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P E R S O N A L E\Pub&amp;Conf\2025\Rugani et al. O-LCA AriTer\"/>
    </mc:Choice>
  </mc:AlternateContent>
  <xr:revisionPtr revIDLastSave="0" documentId="13_ncr:1_{1D1505A4-669D-4B7B-BAAA-EDBDAEC4D676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SM2_LCI tab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8" i="2" l="1"/>
  <c r="L148" i="2"/>
  <c r="K148" i="2"/>
  <c r="H148" i="2"/>
  <c r="M147" i="2"/>
  <c r="L147" i="2"/>
  <c r="K147" i="2"/>
  <c r="H147" i="2"/>
  <c r="D122" i="2"/>
  <c r="M146" i="2"/>
  <c r="L146" i="2"/>
  <c r="K146" i="2"/>
  <c r="M145" i="2"/>
  <c r="L145" i="2"/>
  <c r="K145" i="2"/>
  <c r="H146" i="2"/>
  <c r="H145" i="2"/>
  <c r="M121" i="2"/>
  <c r="L121" i="2"/>
  <c r="K121" i="2"/>
  <c r="H121" i="2"/>
  <c r="M137" i="2"/>
  <c r="L137" i="2"/>
  <c r="K137" i="2"/>
  <c r="M130" i="2"/>
  <c r="L130" i="2"/>
  <c r="K130" i="2"/>
  <c r="M129" i="2"/>
  <c r="L129" i="2"/>
  <c r="K129" i="2"/>
  <c r="H137" i="2"/>
  <c r="H130" i="2"/>
  <c r="H129" i="2"/>
  <c r="M120" i="2"/>
  <c r="L120" i="2"/>
  <c r="K120" i="2"/>
  <c r="H120" i="2"/>
  <c r="D130" i="2"/>
  <c r="D133" i="2"/>
  <c r="D134" i="2"/>
  <c r="D117" i="2"/>
  <c r="D135" i="2"/>
  <c r="D136" i="2"/>
  <c r="D140" i="2"/>
  <c r="D145" i="2"/>
  <c r="D152" i="2"/>
  <c r="D149" i="2"/>
  <c r="D161" i="2"/>
  <c r="D163" i="2"/>
  <c r="D168" i="2"/>
  <c r="D181" i="2"/>
  <c r="D176" i="2"/>
  <c r="D171" i="2"/>
  <c r="D198" i="2"/>
  <c r="D203" i="2"/>
  <c r="D202" i="2"/>
  <c r="D201" i="2"/>
  <c r="D191" i="2"/>
  <c r="D190" i="2"/>
  <c r="D187" i="2"/>
  <c r="D186" i="2"/>
  <c r="D70" i="2"/>
  <c r="D59" i="2"/>
  <c r="D58" i="2"/>
  <c r="D46" i="2"/>
  <c r="D51" i="2"/>
  <c r="D40" i="2"/>
  <c r="D30" i="2"/>
  <c r="D28" i="2"/>
  <c r="D27" i="2"/>
  <c r="D20" i="2"/>
  <c r="D112" i="2"/>
  <c r="D90" i="2"/>
  <c r="D93" i="2"/>
  <c r="D98" i="2"/>
  <c r="D97" i="2"/>
  <c r="D106" i="2"/>
  <c r="D108" i="2"/>
  <c r="D107" i="2"/>
</calcChain>
</file>

<file path=xl/sharedStrings.xml><?xml version="1.0" encoding="utf-8"?>
<sst xmlns="http://schemas.openxmlformats.org/spreadsheetml/2006/main" count="794" uniqueCount="304">
  <si>
    <t>Category</t>
  </si>
  <si>
    <t>Amount</t>
  </si>
  <si>
    <t>Unit</t>
  </si>
  <si>
    <t>kg</t>
  </si>
  <si>
    <t>Copper hydroxide, liquid, used in viticulture</t>
  </si>
  <si>
    <t>l</t>
  </si>
  <si>
    <t>kWh</t>
  </si>
  <si>
    <t>Emissions load per unit of organic fertilisers spread in (BIO) viticulture</t>
  </si>
  <si>
    <t>Emissions load per unit of pesticides spread in (BIO) viticulture</t>
  </si>
  <si>
    <t>Organic fertilizer pellet</t>
  </si>
  <si>
    <t>Packaging and transportation of fertilizers and pesticides</t>
  </si>
  <si>
    <t>Plant resistance inductor</t>
  </si>
  <si>
    <t>ROMEO: induttore di resistenza biologico (Cerevisane)</t>
  </si>
  <si>
    <t>Potassium bicarbonate (potassium hydrogen carbonatee, KHCO3) / S</t>
  </si>
  <si>
    <t/>
  </si>
  <si>
    <t>Spinosad, liquid, used in viticulture</t>
  </si>
  <si>
    <t>Sulphur, liquid, used in viticulture</t>
  </si>
  <si>
    <t>t</t>
  </si>
  <si>
    <t>kg*km</t>
  </si>
  <si>
    <t>Trasporto prodotti e materie prime per le infrastrutture (pali castagno diametro 10-12 H.250cm; palo corten 55x35 h 230cm; tondini di ferro usati per tutori nuovo  impianto vigneto; filo usato per armatura per nuovo impianto vigneto; assumed density of wood: 500 kg/m^3)</t>
  </si>
  <si>
    <t>ha</t>
  </si>
  <si>
    <t>Elementary flows/Resource/in ground</t>
  </si>
  <si>
    <t>Collected barley</t>
  </si>
  <si>
    <t>Collected grape</t>
  </si>
  <si>
    <t>Collected olives</t>
  </si>
  <si>
    <t>Collected spelt</t>
  </si>
  <si>
    <t>Collected wheat</t>
  </si>
  <si>
    <t>Harvested wood, in m^3</t>
  </si>
  <si>
    <t>Legna da ardere, per consumo interno (leccio-albatro-quercia)</t>
  </si>
  <si>
    <t>Filtri olio (7 kg) e contenitori ex-fito bonificati (100 kg)</t>
  </si>
  <si>
    <t>Imballaggi misti</t>
  </si>
  <si>
    <t>used capacitor</t>
  </si>
  <si>
    <t>Batterie esaurite</t>
  </si>
  <si>
    <t>waste mineral oil</t>
  </si>
  <si>
    <t>Olii esausti; assumed density of mineral oil: 0.920 kg/L</t>
  </si>
  <si>
    <t>Laffort; chiarifiche</t>
  </si>
  <si>
    <t>Extra-virgin olive oil, milled (before bottling)</t>
  </si>
  <si>
    <t>Vetro (recupero vetro-150107)</t>
  </si>
  <si>
    <t>Perossido + acido per pulizie (45 kg/anno) AEB; pulizie-igienizzazione</t>
  </si>
  <si>
    <t>Idrossido di sodio (100%; soda caustica) 55 kg/anno AEB. Pulizia tini acciaio</t>
  </si>
  <si>
    <t>Packaging and transportation of products for wine making</t>
  </si>
  <si>
    <t>Trasporto dell'oevo dal frantoio (ipotizzato a 10 km di distanza dal sito dell'azienda a Massa Marittima), per export (95% circa, principalmete in Germania) e vendita diretta (circa il 5%)</t>
  </si>
  <si>
    <t>Trucioli di legno (ICE;affinamento vino)</t>
  </si>
  <si>
    <t>Lees, from wine production, by-product</t>
  </si>
  <si>
    <t>Marc, from wine production, by-product</t>
  </si>
  <si>
    <t>Stalks, from wine production</t>
  </si>
  <si>
    <t>Wine produced and stored in tanks</t>
  </si>
  <si>
    <t xml:space="preserve">Vino destinato alla vendita come sfuso: 5500 litri (ca. 8%)_x000D_
Vino destinato all'imbottigliamento: 53900 litri (ca. 78%, come vino rosso), 5000 (ca. 7%, come vino bianco) e 5000 litri (ca. 7%, come vino rosé), </t>
  </si>
  <si>
    <t>Primary packaging materials and transportation / EVOO</t>
  </si>
  <si>
    <t>Primary packaging materials and transportation / WINE</t>
  </si>
  <si>
    <t>Secondary packaging materials and transportation</t>
  </si>
  <si>
    <t>Bottled wine (red/white/rosé), 75 cl., at winery gate</t>
  </si>
  <si>
    <t>Item(s)</t>
  </si>
  <si>
    <t>Bottled wine (red/white/rosé), at winery gate</t>
  </si>
  <si>
    <t>Extra-virgin olive oil, bottled</t>
  </si>
  <si>
    <t>Trasporti intermedi (su gomma) da/verso il porto + trasporti su gomma all'estero (in Europa)</t>
  </si>
  <si>
    <t>Trasporti su gomma in Italia</t>
  </si>
  <si>
    <t>Trasporto dell'olio (ipotizzati 1500 km di distanza media perché il 95% di 3940 litri finisce in Germania principalmente); 3683 kg nella formula include il peso dell'olio e il peso dell'imballaggio</t>
  </si>
  <si>
    <t>Trasporto su nave del vino</t>
  </si>
  <si>
    <t>olii e grassi commestibili (riciclo - 200125)</t>
  </si>
  <si>
    <t>Extra-virgin olive oil, delivery abroad and selling</t>
  </si>
  <si>
    <t>Il 5% dell'oevo resta in stock e viene venduto in azienda come vendita diretta (quindi a questa quantità di oevo non è associato un processo di trasporto); il 95% va in Germania</t>
  </si>
  <si>
    <t>Extra-virgin olive oil, direct selling at company gate</t>
  </si>
  <si>
    <t>Rifiuti pericolosi (160601-150110)</t>
  </si>
  <si>
    <t>Wine selling and delivery</t>
  </si>
  <si>
    <t>Somma grezza tra vino sfuso e imbottigliato, che si suppone venga tutto venduto</t>
  </si>
  <si>
    <t>Trasporto prodotti e materie prime per le infrastrutture; assumed density of wood: 500 kg/m^3</t>
  </si>
  <si>
    <t>Filtri olio (1 kg) e contenitori ex-fito bonificati (12 kg)</t>
  </si>
  <si>
    <t>Laffort, Chr-Hansen. Inoculo mosti</t>
  </si>
  <si>
    <t>imballaggi contenenti residui o sostanze pericolose o contaminati da queste (Scarto/rifiuto N _conf fitofarmaci)</t>
  </si>
  <si>
    <t>processo aggregato di imballaggi misti, residui di plastica (130 kg), vetro (330 kg) e carta/cartone (80 kg)</t>
  </si>
  <si>
    <t>Vino destinato alla vendita come sfuso: 14600 litri (ca. 30%)_x000D_
Vino destinato all'imbottigliamento: 34672 litri (ca. 70%)</t>
  </si>
  <si>
    <t>Primary packaging materials and transportation</t>
  </si>
  <si>
    <t>Bottled wine, red, 75 cl, at winery gate</t>
  </si>
  <si>
    <t xml:space="preserve">Numero di bottiglie da 75 cl._x000D_
</t>
  </si>
  <si>
    <t>Bottled wine, red, at winery gate</t>
  </si>
  <si>
    <t>Processo utilizzato per modellare la produzione di olio essenziale di arancio (Prev-am)</t>
  </si>
  <si>
    <t>Trasporto dell'oevo dal frantoio intorno a Pienza al sito dell'azienda a Massa Marittima, per uso finale interno</t>
  </si>
  <si>
    <t>Grape selling and delivery</t>
  </si>
  <si>
    <t>Extra-virgin olive oil, milled (before bottling, to Site C)</t>
  </si>
  <si>
    <t>Imballaggi misti (taniche dell'olio...)</t>
  </si>
  <si>
    <t>Input flows</t>
  </si>
  <si>
    <t>Output flows</t>
  </si>
  <si>
    <t>SITE B_Pienza_PHASE 1 - AGRICULTURAL AND AGROFORESTRY ACTIVITIES</t>
  </si>
  <si>
    <t>SITE B_Pienza_PHASE 2 - PRODUCTS PACKAGING, DISTRIBUTION AND HYPOTHETICAL END-OF-LIFE</t>
  </si>
  <si>
    <t>Allocation factors</t>
  </si>
  <si>
    <t>Material (fertilisers &amp; pesticides)</t>
  </si>
  <si>
    <t>Il dataset provider usato come proxy non è un processo BIO (trifoglio squarroso è il prodotto originale)</t>
  </si>
  <si>
    <t>Energy (fossil fuel)</t>
  </si>
  <si>
    <t>Energy (electricity)</t>
  </si>
  <si>
    <t xml:space="preserve"> -</t>
  </si>
  <si>
    <t>Material (product from industrial activities)</t>
  </si>
  <si>
    <t>Service (packaging and transportation)</t>
  </si>
  <si>
    <t>Service (transportation)</t>
  </si>
  <si>
    <t>Market product</t>
  </si>
  <si>
    <t>Hazardous waste, for incineration</t>
  </si>
  <si>
    <t>Kaolin</t>
  </si>
  <si>
    <t>Pollutant emissions</t>
  </si>
  <si>
    <t>Include per approssimazione il metallo usato per le taniche dell'olio (peso stimato a tanica = 300 g, per 11 taniche da 5L)</t>
  </si>
  <si>
    <t>Contenitori ex-fito bonificati (12 kg)</t>
  </si>
  <si>
    <t xml:space="preserve">Più o meno 1 mc di legname è necessario per 1 ha (osservando l'inventario degli inputs); pali castagno diametro 10-12 H.250cm </t>
  </si>
  <si>
    <t>Trasporto prodotti e materie prime per le infrastrutture (pali castagno diametro 10-12 H.250cm; palo corten 55x35 h 230cm; tondini di ferro usati per tutori nuovo impianto vigneto; filo usato per armatura per nuovo impianto vigneto; assumed density of wood: 500 kg/m^3)</t>
  </si>
  <si>
    <t xml:space="preserve">Include tutte e tre le tipologie di materiale in ferro: materiali in corten (=&gt; palo corten 55x35 H.230cm); materiali in ferro (=&gt; tondini di ferro usati per tutori nuovo impianto vigneto); e materiale in ferro zincato (=&gt; filo usato per nuovo impianto-vigneto) </t>
  </si>
  <si>
    <t>ecoinvent database: "pesticide production, unspecified | pesticide, unspecified | Cutoff, RER"</t>
  </si>
  <si>
    <t>ecoinvent database: "market for potassium carbonate | potassium carbonate | Cutoff, GLO"</t>
  </si>
  <si>
    <t>ecoinvent database: "steel production, converter, low-alloyed | steel, low-alloyed | Cutoff, RER"</t>
  </si>
  <si>
    <t>ecoinvent database: "market for transport, freight, lorry 16-32 metric ton, EURO6 | transport, freight, lorry 16-32 metric ton, EURO6 | Cutoff, RER"</t>
  </si>
  <si>
    <t>ecoinvent database: "trellis system construction, wooden poles, soft wood, tar impregnated | trellis system, wooden poles, soft wood, tar impregnated | Cutoff, CH"</t>
  </si>
  <si>
    <t>ecoinvent database: "clover seed production, Swiss integrated production, at farm | clover seed, Swiss integrated production, at farm | Cutoff, CH"</t>
  </si>
  <si>
    <t>ecoinvent database: "market for electricity, low voltage | electricity, low voltage | Cutoff, IT"</t>
  </si>
  <si>
    <t>ecoinvent database: "kaolin production | kaolin | Cutoff, RER"</t>
  </si>
  <si>
    <t>ecoinvent database: "manure, solid, cattle, Recycled Content cut-off | manure, solid, cattle | Cutoff, GLO"</t>
  </si>
  <si>
    <t>ecoinvent database: "treatment of poultry manure, drying, pelleting | poultry manure, dried | Cutoff, CH"</t>
  </si>
  <si>
    <t>new unit process linking to the following ecoinvent datasets: "packaging production for fertiliser, per kilogram of packed product | packaging, for fertilisers | Cutoff, GLO" (= 150+650 kg, in input); "packaging production for pesticide, per kilogram of packed product | packaging, for pesticides | Cutoff, GLO" (= 331.4 kg, in input); "market for transport, freight, lorry 7.5-16 metric ton, EURO6 | transport, freight, lorry 7.5-16 metric ton, EURO6 | Cutoff - RER" (= (150+650+331.4)*25 kg*km, in input); "transport, tractor and trailer, agricultural | transport, tractor and trailer, agricultural | Cutoff, CH" (= 100*5 t*km, in input)</t>
  </si>
  <si>
    <t>new unit process linking to the following ecoinvent datasets: "copper oxide production | copper oxide | Cutoff, RER" (= 400 g, in input); "market for tap water | tap water | Cutoff, Europe without Switzerland" (= 1000*(1-((400*0.001)/3.368)) g, in input)</t>
  </si>
  <si>
    <t>ecoinvent database: "market for sulfur dioxide, liquid | sulfur dioxide, liquid | Cutoff, RER"</t>
  </si>
  <si>
    <t>Assumption: density = 1 kg/L</t>
  </si>
  <si>
    <t>Letame proveniente da allevamenti non intensivi</t>
  </si>
  <si>
    <t>Granverde top N-CIFO</t>
  </si>
  <si>
    <t>Si ipotizza che il letame non sia trasportato imballato e quindi viene escluso dal computo; viene però incluso il packaging delle sementi di trifoglio (= 150 kg)</t>
  </si>
  <si>
    <t>ecoinvent database: "treatment of hazardous waste, hazardous waste incineration | hazardous waste, for incineration | Cutoff, Europe without Switzerland"</t>
  </si>
  <si>
    <t>Emissioni legate all'utilizzo di: --- idrossido di rame, 31 lt/anno, Heliocuivre (fungicida) =&gt; stima di 12.4 kg/anno solo principio attivo --- zolfo liquido, 175 lt/anno, Heliosoufre (fungicida e acaricida) --- Bicarbonato di potassio, 11 kg/anno, Karma 85 (fungicida) --- Caolino, 120 kg/anno, Natural white (insetticida-fungicida-acaricida) --- Prev-am, 13 kg/anno, Olio essenziale arancio (insetticida-fungicida-acaricida) al netto dell'H20 utilizzata per miscelare alcuni principi attivi (idrossido di rame e spinosad)</t>
  </si>
  <si>
    <t>Municipal solid waste</t>
  </si>
  <si>
    <t>Background data provider</t>
  </si>
  <si>
    <t>ecoinvent database: "metal working, average for aluminium product manufacturing | metal working, average for aluminium product manufacturing | Cutoff, RER"</t>
  </si>
  <si>
    <t>ecoinvent database: "market for transport, freight, light commercial vehicle | transport, freight, light commercial vehicle | Cutoff, Europe without Switzerland"</t>
  </si>
  <si>
    <t>ecoinvent database: "market for transport, freight, lorry 7.5-16 metric ton, EURO6 | transport, freight, lorry 7.5-16 metric ton, EURO6 | Cutoff, RER"</t>
  </si>
  <si>
    <t>ecoinvent database: "treatment of municipal solid waste, incineration | municipal solid waste | Cutoff, IT"</t>
  </si>
  <si>
    <t>Resource, in ground (elementary flow)</t>
  </si>
  <si>
    <t>The unit process "soybean meal and crude oil production | soybean oil, crude | Cutoff, U" is used as a proxy and further adapted to model olive oil extraction at a hypothetical oil mill. Transport of olives from the field (20 km) to the mill is also considered. Assumed oil yield (unallocated yield): 6,5 kg Olives needed for 1 kg Olive oil (around 15%). The co-product Olive oil cake is not considered.</t>
  </si>
  <si>
    <t>ecoinvent database: "soybean meal and crude oil production | soybean oil, crude | Cutoff, U", with some modifications</t>
  </si>
  <si>
    <t>SITE A_Radda in Chianti_PHASE 1 - AGRICULTURAL AND AGROFORESTRY ACTIVITIES</t>
  </si>
  <si>
    <t>SITE A_Radda in Chianti_PHASE 2 - OPERATIONS FOR THE PRODUCTION OF WINE AND OTHER PRODUCTS/SERVICES</t>
  </si>
  <si>
    <t>SITE A_Radda in Chianti_PHASE 3 - PRODUCTS PACKAGING OPERATIONS</t>
  </si>
  <si>
    <t>SITE A_Radda in Chianti_PHASE 4 - PRODUCTS DISTRIBUTION AND END-OF-LIFE OPERATIONS OF MATERIALS PACKAGING</t>
  </si>
  <si>
    <t>Life cycle activities by site</t>
  </si>
  <si>
    <t>Waste, not for recycling</t>
  </si>
  <si>
    <t>Waste, for recycling</t>
  </si>
  <si>
    <t>By-product, recovered internally</t>
  </si>
  <si>
    <r>
      <t>Potassium bicarbonate (potassium hydrogen carbonatee, KHCO</t>
    </r>
    <r>
      <rPr>
        <vertAlign val="subscript"/>
        <sz val="11"/>
        <color theme="1"/>
        <rFont val="Arial Nova Cond"/>
        <family val="2"/>
      </rPr>
      <t>3</t>
    </r>
    <r>
      <rPr>
        <sz val="11"/>
        <color theme="1"/>
        <rFont val="Arial Nova Cond"/>
        <family val="2"/>
      </rPr>
      <t>)</t>
    </r>
  </si>
  <si>
    <t>Processo utilizzato per modellare la produzione di olio essenziale di arancio (Prev-am), consumato per 51 kg/anno, e di corroborante da combinare con insetticidi e fungicidi (Nufilm P), consumato per 14 kg/anno---Totale: 65 kg (= 51+14)</t>
  </si>
  <si>
    <t>Utilizzato un dato medio per ettaro; inserito il valore totale dell'area vitigni-probabilmente è inaccurato (si riferisce ai pali che sorreggono alberi da frutto...); +/- 1 mc di legname è necessario per 1 ha (a vedere l'inventario degli inputs), quindi  1ha dovrebbe essere rappresentativo</t>
  </si>
  <si>
    <r>
      <t>m</t>
    </r>
    <r>
      <rPr>
        <vertAlign val="superscript"/>
        <sz val="11"/>
        <color theme="1"/>
        <rFont val="Arial Nova Cond"/>
        <family val="2"/>
      </rPr>
      <t>3</t>
    </r>
  </si>
  <si>
    <t>SITE C_Massa Marittima_PHASE 3 - PRODUCTS PACKAGING OPERATIONS</t>
  </si>
  <si>
    <t>SITE C_Massa Marittima_PHASE 4 - PRODUCTS DISTRIBUTION AND END-OF-LIFE OPERATIONS OF MATERIALS PACKAGING</t>
  </si>
  <si>
    <t>SITE C_Massa Marittima_PHASE 2 - OPERATIONS FOR THE PRODUCTION OF WINE AND OTHER PRODUCTS/SERVICES</t>
  </si>
  <si>
    <t>SITE C_Massa Marittima_PHASE 1 - AGRICULTURAL AND AGROFORESTRY ACTIVITIES</t>
  </si>
  <si>
    <t>Barley grain, organic</t>
  </si>
  <si>
    <t>Fava bean, organic</t>
  </si>
  <si>
    <t>Bentonite</t>
  </si>
  <si>
    <t>Citric acid</t>
  </si>
  <si>
    <t>Hydrogen peroxide, without water, in 50% solution state</t>
  </si>
  <si>
    <t>Neutralising agent, sodium hydroxide-equivalent</t>
  </si>
  <si>
    <t>Material (product from the agri-food sector)</t>
  </si>
  <si>
    <t>AEB (neutralizzazione soda)</t>
  </si>
  <si>
    <t xml:space="preserve">Assunzione: questo processo aggrega i seguenti prodotti: Batteri lattici (5 kg/anno) Agrovin. Avvio fermentazione malolattica; PVPP (polivinilpolipirrolidone) (5 kg/anno) Laffort. Chiarifica; Tannini 45.3 kg/anno Laffort, HTS, Vason. Protezione-strutturante; Mannoproteine del lievito (15 kg/anno) Laffort. Stabilizzazione tartarica; Nutrienti (90 kg/anno) ICE; nutrizione lieviti; Proteina vegetale (1 kg/anno) Laffor, chiarifica; Derivato di lievito (15.5 kg/anno) Laffort, Oenofrance. Chiarifica, affinamento
</t>
  </si>
  <si>
    <t>Idrossido di sodio (100%; soda caustica) 20 kg/anno AEB, per pulizia tini acciaio</t>
  </si>
  <si>
    <t>Azoto liquido 30 kg/anno ITAC, per saturazione impianto</t>
  </si>
  <si>
    <t>Assunzione: used for Potassium bisulfite (or potassium hydrogen sulfite)</t>
  </si>
  <si>
    <t>Per riscaldamento ambienti</t>
  </si>
  <si>
    <t>Per usi civili e di cantina</t>
  </si>
  <si>
    <t>Imballaggi misti (290 kg) e vetro (820 kg)</t>
  </si>
  <si>
    <t>Somma di: idrossido di rame, 26 lt/anno, Heliocuivre (fungicida) =&gt; 10.4 kg/anno solo principio attivo; zolfo liquido, 225 lt/anno, Heliosoufre (fungicida e acaricida); Bicarbonato di potassio, 5 kg/anno, Karma 85 (fungicida); Induttore resistenza, 2 kg/anno, Romeo; fungicida); Spinosad, 2 lt/anno, Tracer (insetticida) =&gt; 0.24 kg/anno solo principio attivo; Caolino, 200 kg/anno, Natural white (insetticida-fungicida-acaricida); Prev-am, 51 kg/anno, Olio essenziale arancio (insetticida-fungicida-acaricida); Corroborante, 14 kg/anno, Nufilm P (da combinare con insetticidi e fungicidi); al netto dell'H20 utilizzata per miscelare alcuni principi attivi (idrossido di rame e spinosad)</t>
  </si>
  <si>
    <t>Trasporto su nave all'estero (calcoli effettuati in altro foglio di lavoro)</t>
  </si>
  <si>
    <t>Trasporti su gomma in Italia (calcoli effettuati in altro foglio di lavoro)</t>
  </si>
  <si>
    <t>Trasporti intermedi (su gomma) da/verso il porto + trasporti su gomma all'estero (in Europa) (calcoli effettuati in altro foglio di lavoro)</t>
  </si>
  <si>
    <t>Recupero - 150110 (imballaggi sostanze pericolose) (12 kg) + recupero - 150106 (materiali misti) (10 kg)</t>
  </si>
  <si>
    <t>Grano duro (balloni da 600kg rotazione annuale della semina) + grano tenero (sacchi da 25 kg rotazione annuale della semina)</t>
  </si>
  <si>
    <t>Il dataset provider usato come proxy non è un processo BIO (trifoglio squarroso è il prodotto originale); balloni da 600kg semina sovesci vigneto</t>
  </si>
  <si>
    <t>Favino: balloni da 600kg rotazione annuale della semina</t>
  </si>
  <si>
    <t>Geolife bio super (36000) + evolution bio 13 (3500)</t>
  </si>
  <si>
    <t>Processo utilizzato per modellare la produzione di corroborante da combinare con insetticidi e fungicidi (Nufilm P), consumato per 28 kg/anno</t>
  </si>
  <si>
    <t>Spyntor fly (52) + tracer (20 kg)</t>
  </si>
  <si>
    <t>Valori: 2742.857143 kg - palo corten 55x35 h 230cm; 3571.428571 kg - tondini di ferro usati per tutori nuovo  impianto vigneto; 771.4285714 kg - filo usato per armatura per nuovo impianto vigneto</t>
  </si>
  <si>
    <r>
      <t>H</t>
    </r>
    <r>
      <rPr>
        <vertAlign val="subscript"/>
        <sz val="11"/>
        <color theme="1"/>
        <rFont val="Arial Nova Cond"/>
        <family val="2"/>
      </rPr>
      <t>2</t>
    </r>
    <r>
      <rPr>
        <sz val="11"/>
        <color theme="1"/>
        <rFont val="Arial Nova Cond"/>
        <family val="2"/>
      </rPr>
      <t>0 per uso domestico</t>
    </r>
  </si>
  <si>
    <r>
      <t>H</t>
    </r>
    <r>
      <rPr>
        <vertAlign val="subscript"/>
        <sz val="11"/>
        <color theme="1"/>
        <rFont val="Arial Nova Cond"/>
        <family val="2"/>
      </rPr>
      <t>2</t>
    </r>
    <r>
      <rPr>
        <sz val="11"/>
        <color theme="1"/>
        <rFont val="Arial Nova Cond"/>
        <family val="2"/>
      </rPr>
      <t>0 usata per i trattamenti</t>
    </r>
  </si>
  <si>
    <t>Olive destinate alla produzione interna: 25508 kg; olive destinate alla vendita ad altre aziende: 1000 kg</t>
  </si>
  <si>
    <t>Farro destinato ai sovesci vigneti</t>
  </si>
  <si>
    <t xml:space="preserve">Orzo destinato all'impiego zootecnico </t>
  </si>
  <si>
    <t>Grano destinato alla semina aziendale</t>
  </si>
  <si>
    <t>Emissioni dalla somma di: idrossido di rame, 89 lt/anno, Heliocuivre (fungicida) =&gt; 35.6 kg/anno solo principio attivo; zolfo liquido, 970 lt/anno, Heliosoufre (fungicida e acaricida); Bicarbonato di potassio, 95 kg/anno, Karma 85 (fungicida); Induttore resistenza, 8 kg/anno, Romeo (fungicida); Spinosad, 20 lt/anno, Tracer (insetticida) =&gt; 2.4 kg/anno solo principio attivo; Spinosad, 52 lt/anno, Spyntor Fly (insetticida) =&gt; 6.24 kg/anno solo principio attivo; Caolino, 1320 kg/anno, Natural white (insetticida-fungicida-acaricida); Corroborante, 28 kg/anno, Nufilm P (da combinare con insetticidi e fungicidi); al netto dell'H20 utilizzata per miscelare alcuni principi attivi (idrossido di rame e spinosad)</t>
  </si>
  <si>
    <t>Gelatina alimentare (Laffort. Chiarifica vini) + enzimi (Laffort, Lallemand. Macerazione-estrazione) + lievito (Laffort, Anchor, AEB. Inoculo mosti)</t>
  </si>
  <si>
    <t xml:space="preserve">Assunzione. Questo processo aggrega i seguenti prodotti: Batteri lattici (2 kg/anno) Laffort. Inoculo per malottica; Colla di pesce (0.25 kg) ICE,chiarifica vino; Tannini, 73 kg/anno, Laffort, Oenofrance , Vason. Protezione-strutturante; Mannoproteine del lievito (26 kg/anno) Laffort. Stabilizzazione tartarica; poliaspartato di potassio, 6 kg/anno, Oenofrance. Stabilizzante tartarico (90 kg/anno) ICE; nutrizione lieviti; Nutrienti (195 kg/anno) ICE, Lallemand. Nutrizione lieviti; Derivato di lievito (31 kg/anno) Laffort, Oenofrance. Chiarifica, affinamento
</t>
  </si>
  <si>
    <t>C.E.R. 15.01.06, plastica da imballaggio a riciclo</t>
  </si>
  <si>
    <t>Usato per "gomma arabica", Oenofrance. Volumizzante vino pre imbottigliamento</t>
  </si>
  <si>
    <t>Uso cantina + civile</t>
  </si>
  <si>
    <t>Vetro (recupero - 15.01.07)</t>
  </si>
  <si>
    <t>Imballaggi contenenti residui o sostanze pericolose o contaminati da queste (Scarto/rifiuto N _conf fitofarmaci) + Filtri olio motori trattori</t>
  </si>
  <si>
    <t>Arabic gum</t>
  </si>
  <si>
    <t>Potassium bisulfite</t>
  </si>
  <si>
    <t>Gelatin, enzymes and yeast</t>
  </si>
  <si>
    <t>Hydrogen peroxide</t>
  </si>
  <si>
    <t>Electricity</t>
  </si>
  <si>
    <t>Sodium hydroxide</t>
  </si>
  <si>
    <t>Water, unspecified natural origin</t>
  </si>
  <si>
    <t>Lactic acid and other products for clarification, tartaric stabilization and refinement</t>
  </si>
  <si>
    <t>Olii e grassi commestibili (riciclo - 200125)</t>
  </si>
  <si>
    <t>Vetro (recupero vetro - 150107)</t>
  </si>
  <si>
    <t>Energy (fossil fuels)</t>
  </si>
  <si>
    <t>Manure</t>
  </si>
  <si>
    <r>
      <t>Potassium bicarbonate (potassium hydrogen carbonate, KHCO</t>
    </r>
    <r>
      <rPr>
        <vertAlign val="subscript"/>
        <sz val="11"/>
        <color theme="1"/>
        <rFont val="Arial Nova Cond"/>
        <family val="2"/>
      </rPr>
      <t>3</t>
    </r>
    <r>
      <rPr>
        <sz val="11"/>
        <color theme="1"/>
        <rFont val="Arial Nova Cond"/>
        <family val="2"/>
      </rPr>
      <t>)</t>
    </r>
  </si>
  <si>
    <t>Resource (product from industrial activities)</t>
  </si>
  <si>
    <r>
      <t>Harvested wood, in m</t>
    </r>
    <r>
      <rPr>
        <vertAlign val="superscript"/>
        <sz val="11"/>
        <color theme="1"/>
        <rFont val="Arial Nova Cond"/>
        <family val="2"/>
      </rPr>
      <t>3</t>
    </r>
  </si>
  <si>
    <t>Trasporto dell'uva (ipotizzati 25 km di distanza media)</t>
  </si>
  <si>
    <t>ecoinvent database: "steel production, converter, low-alloyed | steel, low-alloyed | Cutoff"</t>
  </si>
  <si>
    <t>ecoinvent database: "trellis system construction, wooden poles, soft wood, tar impregnated | trellis system, wooden poles, soft wood, tar impregnated | Cutoff"</t>
  </si>
  <si>
    <t>ecoinvent database: "market for transport, freight, lorry 16-32 metric ton, EURO6 | transport, freight, lorry 16-32 metric ton, EURO6 | Cutoff"</t>
  </si>
  <si>
    <t>ecoinvent database: "treatment of hazardous waste, hazardous waste incineration | hazardous waste, for incineration | Cutoff"</t>
  </si>
  <si>
    <t>ecoinvent database: "treatment of municipal solid waste, incineration | municipal solid waste | Cutoff"</t>
  </si>
  <si>
    <t>ecoinvent database: "treatment of used capacitor, to hazardous waste incineration | used capacitor | Cutoff"</t>
  </si>
  <si>
    <t>ecoinvent database: "treatment of waste mineral oil, hazardous waste incineration | waste mineral oil | Cutoff"</t>
  </si>
  <si>
    <t>ecoinvent database: "sodium hydroxide to generic market for neutralising agent | neutralising agent, sodium hydroxide-equivalent | Cutoff, S</t>
  </si>
  <si>
    <t>ecoinvent database: "citric acid production | citric acid | Cutoff"</t>
  </si>
  <si>
    <t>ecoinvent database: "market for electricity, low voltage | electricity, low voltage | Cutoff"</t>
  </si>
  <si>
    <t>ecoinvent database: "ethanol production from whey | fodder yeast | Cutoff"</t>
  </si>
  <si>
    <t>ecoinvent database: "market for hydrogen peroxide, without water, in 50% solution state | hydrogen peroxide, without water, in 50% solution state | Cutoff"</t>
  </si>
  <si>
    <t>ecoinvent database: "lactic acid production | lactic acid | Cutoff"</t>
  </si>
  <si>
    <t>ecoinvent database: "sodium hydroxide to generic market for neutralising agent | neutralising agent"odium hydroxide-equivalent | Cutoff"</t>
  </si>
  <si>
    <t>ecoinvent database: "air separation, cryogenic | nitrogen, liquid | Cutoff"</t>
  </si>
  <si>
    <t>ecoinvent database: "potassium carbonate production, from potassium hydroxide | potassium carbonate | Cutoff"</t>
  </si>
  <si>
    <t>ecoinvent database: "market for transport, freight"ea, container ship with reefer, cooling | transport, freight"ea, container ship with reefer, cooling | Cutoff"</t>
  </si>
  <si>
    <t>ecoinvent database: "treatment of waste mineral oil, hazardous waste incineration, with energy recovery | waste mineral oil | Cutoff"</t>
  </si>
  <si>
    <t>ecoinvent database: "treatment of waste glass from unsorted public collection"orting | glass cullet"orted | Cutoff"</t>
  </si>
  <si>
    <t>ecoinvent database: "treatment of used vegetable cooking oil, purification | used vegetable cooking oil, purified | Cutoff"</t>
  </si>
  <si>
    <t>ecoinvent database: "barley production, organic | barley grain, organic | Cutoff"</t>
  </si>
  <si>
    <t>ecoinvent database: "clover seed production"wiss integrated production, at farm | clover seed"wiss integrated production, at farm | Cutoff"</t>
  </si>
  <si>
    <t>ecoinvent database: "fava bean production, organic | fava bean, organic | Cutoff"</t>
  </si>
  <si>
    <t>ecoinvent database: "kaolin production | kaolin | Cutoff"</t>
  </si>
  <si>
    <t>ecoinvent database: "manure"olid, cattle, Recycled Content cut-off | manure"olid, cattle | Cutoff"</t>
  </si>
  <si>
    <t>ecoinvent database: "pesticide production, unspecified | pesticide, unspecified | Cutoff"</t>
  </si>
  <si>
    <t>ecoinvent database: "trellis system construction, wooden poles"oft wood, tar impregnated | trellis system, wooden poles"oft wood, tar impregnated | Cutoff"</t>
  </si>
  <si>
    <t>ecoinvent database: "bentonite quarry operation | bentonite | Cutoff"</t>
  </si>
  <si>
    <t>ecoinvent database: "seal production, natural rubber based | seal, natural rubber based | Cutoff"</t>
  </si>
  <si>
    <t>ecoinvent database: "wood chips production, hardwood, at sawmill | wood chips, wet, measured as dry mass | Cutoff"</t>
  </si>
  <si>
    <t>ecoinvent database: "market for transport, freight, light commercial vehicle | transport, freight, light commercial vehicle | Cutoff"</t>
  </si>
  <si>
    <t>ecoinvent database: "polyethylene production, high density, granulate, recycled | polyethylene, high density, granulate, recycled | Cutoff"</t>
  </si>
  <si>
    <t>ecoinvent database: "market for waste paperboard, unsorted | waste paperboard, unsorted | Cutoff"</t>
  </si>
  <si>
    <t>ecoinvent database: "market for transport, freight, lorry 7.5-16 metric ton, EURO6 | transport, freight, lorry 7.5-16 metric ton, EURO6 | Cutoff"</t>
  </si>
  <si>
    <t>Hazardous waste</t>
  </si>
  <si>
    <t>Exhausted oils</t>
  </si>
  <si>
    <t>Edible oils and fats</t>
  </si>
  <si>
    <t>Glass waste</t>
  </si>
  <si>
    <t>Description / notes (in Italian)</t>
  </si>
  <si>
    <t>Intermediate road transport of wine from/to the port + road transport abroad (within Europe)</t>
  </si>
  <si>
    <t>Road transport of wine in Italy</t>
  </si>
  <si>
    <t>Road transport of evoo (total)</t>
  </si>
  <si>
    <t>Sea transport of wine, by container ship</t>
  </si>
  <si>
    <t>Olio esausto (riciclo-130205) =&gt; andrebbe a riciclo…potrebbe esistere un dataset più pertinente; nel frattempo, questo dataset rappresenta il recupero di energia</t>
  </si>
  <si>
    <t>Hazardous waste, including phytopharmaceuticals waste and engine oil filters</t>
  </si>
  <si>
    <t>Packaging plastic waste</t>
  </si>
  <si>
    <t>Cartoni, carta, imballaggi in carta. Rifiuti non pericolosi. A riciclo</t>
  </si>
  <si>
    <t>Waste paperboard</t>
  </si>
  <si>
    <t>Exhausted batteries</t>
  </si>
  <si>
    <t>Wood shavings</t>
  </si>
  <si>
    <t>Electricity consumption</t>
  </si>
  <si>
    <t>Natural insecticides and fungicides (orange essential oil and corroborant)</t>
  </si>
  <si>
    <t>Wooden poles</t>
  </si>
  <si>
    <t>Transport of products and raw materials for infrastructure</t>
  </si>
  <si>
    <t>Steel and iron, for infrastructure</t>
  </si>
  <si>
    <t>Water, for irrigation, from local sources</t>
  </si>
  <si>
    <t>Hazardous waste, including phytopharmaceuticals waste</t>
  </si>
  <si>
    <t>Mixed solid waste (plastic, glass, paper and cardboard)</t>
  </si>
  <si>
    <t>Emissions from diesel combustion</t>
  </si>
  <si>
    <t>Emissions from petrol combustion</t>
  </si>
  <si>
    <t>Diesel consumption</t>
  </si>
  <si>
    <t>Petrol consumption</t>
  </si>
  <si>
    <t>Emissions from propane combustion</t>
  </si>
  <si>
    <t>Propane consumption</t>
  </si>
  <si>
    <t>Liquid nitrogen</t>
  </si>
  <si>
    <t>Water, for wine making uses, from local sources</t>
  </si>
  <si>
    <t>Water, for different operations, from local sources</t>
  </si>
  <si>
    <t>Metal used for oil cans</t>
  </si>
  <si>
    <t>Transport of evoo from oil mill in Pienza to site C, for internal end use</t>
  </si>
  <si>
    <t>Transport of grape, average 25 km of distance</t>
  </si>
  <si>
    <t>Squarrose clover seeds</t>
  </si>
  <si>
    <t>Natural insecticides and fungicides (orange essential oil)</t>
  </si>
  <si>
    <t>Hazardous waste (reclaimed ex-phyto containers)</t>
  </si>
  <si>
    <t>Potable water, from public waterworks</t>
  </si>
  <si>
    <t>Natural insecticides and fungicides, including corroborant</t>
  </si>
  <si>
    <t>Utilizzato un dato medio per ettaro;
inserito il valore totale dell'area vitigni-
probabilmente è sbagliato (si riferisce ai pali che sorreggono alberi da frutto...)
+/- 1 mc di legname è necessario per 1 ha (a vedere l'inventario degli inputs)
quindi forse 1ha va bene</t>
  </si>
  <si>
    <t>Potable water, from public waterworks, for wine making uses</t>
  </si>
  <si>
    <t>Road transport of evoo (from mill around Site B to Site C)</t>
  </si>
  <si>
    <t>Municipal solid waste, including cans waste</t>
  </si>
  <si>
    <t>Hazardous waste, including reclaimed ex-phyto containers and engine oil filters</t>
  </si>
  <si>
    <t>ecoinvent database: "diesel, burned in agricultural machinery | diesel, burned in agricultural machinery | Cutoff"</t>
  </si>
  <si>
    <t>ecoinvent database: "power sawing, without catalytic converter | power sawing, without catalytic converter | Cutoff"</t>
  </si>
  <si>
    <t>adapted from the ecoinvent dataset "tap water production, conventional treatment | tap water | Cutoff": change of input flows regarding electricity and heat (with the national IT production systems)</t>
  </si>
  <si>
    <t>ecoinvent database: "market for sulfur dioxide, liquid | sulfur dioxide, liquid | Cutoff"</t>
  </si>
  <si>
    <t>ecoinvent database: "market for potassium carbonate | potassium carbonate | Cutoff"</t>
  </si>
  <si>
    <t>new unit process linking to the following ecoinvent datasets: "pesticide production, unspecified | pesticide, unspecified | Cutoff" (= 120 g, in input); "market for tap water | tap water | Cutoff, Europe without Switzerland" (= 1000*(1-((120*0.001)/1.16)) g, in input)</t>
  </si>
  <si>
    <t>ecoinvent database: "propane, burned in building machine | propane, burned in building machine | Cutoff"</t>
  </si>
  <si>
    <t>new unit process reporting the following emission flows, to air: (1) dinitrogen monoxide (= 0.791 kg / 1 t manure), default direct emissions by the use of fertilizers (according to PEFCR, 2018 and IPCC, 2019), when site-specific data are not available; N2O to air: 0.041 kg N2O/ kg N synthetic fertilizer and manure applied (Total N in cattle manure = around 1.93% of manure; Zhen et al. 2021, APPLIED ECOLOGY AND ENVIRONMENTAL RESEARCH 19(1):249-261), and (2) ammonia (= 4.632 kg / 1 t manure), default direct emissions by the use of fertilizers (according to PEFCR, 2018 and IPCC, 2019), when site-specific data are not available; NH3 to air: 0.12kg NH3/ kg N synthetic fertilizer applied; 0.24 kg NH3/ kg N manure applied (Total N in cattle manure = around 1.93% of manure; Zhen et al. 2021, APPLIED ECOLOGY AND ENVIRONMENTAL RESEARCH 19(1):249-261), and TO WATER: (1) nitrate (= 25.669 kg / 1 t manure), default direct emissions by the use of fertilizers (according to PEFCR, 2018 and IPCC, 2019), when site-specific data are not available; NO3- to water: 1.33 kg NO3-/ kg N synthetic fertilizer and manure applied (Total N in cattle manure = around 1.93% of manure; Zhen et al. 2021, APPLIED ECOLOGY AND ENVIRONMENTAL RESEARCH 19(1):249-261); and (2) phosphorus (= 0.785 kg / 1 t manure), default direct emissions by the use of fertilizers (according to PEFCR, 2018 and IPCC, 2019), when site-specific data are not available; P to water: 0.05 kg P/ kg P fertilizer applied (Total P in cattle manure = around 1.57% of manure; Zhen et al. 2021, APPLIED ECOLOGY AND ENVIRONMENTAL RESEARCH 19(1):249-261)</t>
  </si>
  <si>
    <t>data retrieved from the Agribalyse v3.0.1 (2020) dataset "Wine grape system n°5 (phase), organic, vintage 2012, organic, at vineyard gate", adapted using ecoinvent elementary flows</t>
  </si>
  <si>
    <t>adapted from the ecoinvent dataset "soybean meal and crude oil production | soybean oil, crude | Cutoff"; transport of olives from the field (20 km) to the mill is also considered. Assumed oil yield (unallocated yield): 6,5 kg Olives needed for 1 kg Olive oil (around 15%). The co-product olive oil cake is not considered.</t>
  </si>
  <si>
    <t>new unit process linking to the following ecoinvent datasets: "packaging production for fertiliser, per kilogram of packed product | packaging, for fertilisers | Cutoff" (= 9000 kg, in input); "packaging production for pesticide, per kilogram of packed product | packaging, for pesticides | Cutoff",  (= 507.64 kg, in input); "market for transport, freight, lorry 7.5-16 metric ton, EURO6 | transport, freight, lorry 7.5-16 metric ton, EURO6 | Cutoff" (= (507.64+9000)*25 kg*km, in input)</t>
  </si>
  <si>
    <t>new unit process linking to the following ecoinvent datasets: "packaging production for fertiliser, per kilogram of packed product | packaging, for fertilisers | Cutoff, GLO" (= 3500+36000+1100+800+300+600 kg, in input); "packaging production for pesticide, per kilogram of packed product | packaging, for pesticides | Cutoff, GLO" (= 2459 kg, in input); "market for transport, freight, lorry 7.5-16 metric ton, EURO6 | transport, freight, lorry 7.5-16 metric ton, EURO6 | Cutoff - RER" (=(3500+36000+1100+800+300+600+2459)*25 kg*km, in input); "transport, tractor and trailer, agricultural | transport, tractor and trailer, agricultural | Cutoff, CH" (= 100*5 t*km, in input)</t>
  </si>
  <si>
    <t>new unit process linking to the following ecoinvent datasets: "packaging production for solid fertiliser or pesticide, per kilogram of packed product | packaging, for fertilisers or pesticides | Cutoff" (= 336.8 kg, in input); "market for transport, freight, lorry 7.5-16 metric ton, EURO6 | transport, freight, lorry 7.5-16 metric ton, EURO6 | Cutoff" (= 336.8*25 kg*km, in input)</t>
  </si>
  <si>
    <t>new unit process linking to the following ecoinvent datasets: "packaging production for solid fertiliser or pesticide, per kilogram of packed product | packaging, for fertilisers or pesticides | Cutoff" (= 761.75 kg, in input); "market for transport, freight, lorry 7.5-16 metric ton, EURO6 | transport, freight, lorry 7.5-16 metric ton, EURO6 | Cutoff" (= 761.75*25 kg*km, in input)</t>
  </si>
  <si>
    <t>new unit process linking to the following ecoinvent datasets: "cork slab production | cork slab | Cutoff" (= 400 kg, in input); "packaging glass production, white | packaging glass, white | Cutoff" (= 71850*0.87 kg, in input); "market for paper, woodfree, coated | paper, woodfree, coated | Cutoff" (= 416*0.87 kg, in input); "market for transport, freight, lorry 7.5-16 metric ton, EURO6 | transport, freight, lorry 7.5-16 metric ton, EURO6 | Cutoff" (= ((71850*0.87)+400+(416*0.87))*50 kg*km, in input)</t>
  </si>
  <si>
    <t>new unit process linking to the following ecoinvent datasets: "cork slab production | cork slab | Cutoff" (= 175 kg, in input); "metal working, average for aluminium product manufacturing | metal working, average for aluminium product manufacturing | Cutoff" (= 50 kg, in input); "packaging glass production, white | packaging glass, white | Cutoff" (= 34600 kg, in input); "market for paper, woodfree, coated | paper, woodfree, coated | Cutoff" (= 277 kg, in input); "market for transport, freight, lorry 7.5-16 metric ton, EURO6 | transport, freight, lorry 7.5-16 metric ton, EURO6 | Cutoff" (= (175+34600+277+50)*50 kg*km, in input)</t>
  </si>
  <si>
    <t>new unit process linking to the following ecoinvent datasets: "market for polyethylene, linear low density, granulate | polyethylene, linear low density, granulate | Cutoff" (= 30 kg, in input); "metal working, average for aluminium product manufacturing | metal working, average for aluminium product manufacturing | Cutoff" (= 76+10+34 kg, in input); "packaging glass production, white | packaging glass, white | Cutoff" (= 71850*0.13 kg, in input); "market for paper, woodfree, coated | paper, woodfree, coated | Cutoff" (= 416*0.13 kg, in input); "market for transport, freight, lorry 7.5-16 metric ton, EURO6 | transport, freight, lorry 7.5-16 metric ton, EURO6 | Cutoff" (= ((71850*0.13)+76+10+34+(416*0.13)+30)*50 kg*km, in input)</t>
  </si>
  <si>
    <t>** The output flow of the dataset "packaging film production, low density polyethylene | packaging film, low density polyethylene | Cutoff, U /RoW" has been replaced with the output flow of the dataset "market for polyethylene terephthalate, granulate, amorphous, recycled | polyethylene terephthalate, granulate, amorphous, recycled | Cutoff, U /Europe without Switzerland" to align with the company's request of modelling a partially recycled plastic supply chain, i.e., pellicola in plastica di fascia A2 (Imballaggi flessibili con una filiera industriale di selezione e riciclo efficace e consolidata, in prevalenza da “Commercio &amp; Industria” ma significativamente presenti in raccolta differenziata urbana)</t>
  </si>
  <si>
    <t>new unit process linking to the following ecoinvent datasets: "containerboard production, linerboard, kraftliner | containerboard, linerboard | Cutoff" (= 2971 kg, in input); "EUR-flat pallet production | EUR-flat pallet | Cutoff" (= 2287/25 kg, in input); "market for packaging film, low density polyethylene | packaging film, low density polyethylene | Cutoff"** (= 118 kg, in input); "market for transport, freight, lorry 7.5-16 metric ton, EURO6 | transport, freight, lorry 7.5-16 metric ton, EURO6 | Cutoff" (= (2971+(2287/25)+118)*50 kg*km, in input)</t>
  </si>
  <si>
    <t>new unit process linking to the following ecoinvent datasets: "containerboard production, linerboard, kraftliner | containerboard, linerboard | Cutoff" (= 1981 kg, in input); "EUR-flat pallet production | EUR-flat pallet | Cutoff" (= 1524/25 kg, in input); "market for packaging film, low density polyethylene | packaging film, low density polyethylene | Cutoff"** (= 79 kg, in input); "market for transport, freight, lorry 7.5-16 metric ton, EURO6 | transport, freight, lorry 7.5-16 metric ton, EURO6 | Cutoff" (= ((1524/25)+1981+79)*50 kg*km, in input)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</si>
</sst>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ova Cond"/>
      <family val="2"/>
    </font>
    <font>
      <b/>
      <sz val="11"/>
      <color theme="1"/>
      <name val="Arial Nova Cond"/>
      <family val="2"/>
    </font>
    <font>
      <b/>
      <sz val="11"/>
      <name val="Arial Nova Cond"/>
      <family val="2"/>
    </font>
    <font>
      <i/>
      <sz val="11"/>
      <color theme="1"/>
      <name val="Arial Nova Cond"/>
      <family val="2"/>
    </font>
    <font>
      <vertAlign val="subscript"/>
      <sz val="11"/>
      <color theme="1"/>
      <name val="Arial Nova Cond"/>
      <family val="2"/>
    </font>
    <font>
      <vertAlign val="superscript"/>
      <sz val="11"/>
      <color theme="1"/>
      <name val="Arial Nova Cond"/>
      <family val="2"/>
    </font>
    <font>
      <sz val="8"/>
      <name val="Calibri"/>
      <family val="2"/>
      <scheme val="minor"/>
    </font>
    <font>
      <b/>
      <sz val="16"/>
      <color theme="0"/>
      <name val="Arial Nova Cond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9" fontId="2" fillId="2" borderId="1" xfId="1" applyFont="1" applyFill="1" applyBorder="1" applyAlignment="1">
      <alignment vertical="center"/>
    </xf>
    <xf numFmtId="9" fontId="2" fillId="2" borderId="0" xfId="1" applyFont="1" applyFill="1" applyBorder="1" applyAlignment="1">
      <alignment vertical="center"/>
    </xf>
    <xf numFmtId="9" fontId="5" fillId="2" borderId="1" xfId="1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9" fontId="2" fillId="2" borderId="2" xfId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9" fontId="5" fillId="2" borderId="2" xfId="1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9" fontId="3" fillId="5" borderId="1" xfId="1" applyFont="1" applyFill="1" applyBorder="1" applyAlignment="1">
      <alignment vertical="center"/>
    </xf>
    <xf numFmtId="9" fontId="3" fillId="5" borderId="0" xfId="1" applyFont="1" applyFill="1" applyBorder="1" applyAlignment="1">
      <alignment vertical="center"/>
    </xf>
    <xf numFmtId="9" fontId="2" fillId="3" borderId="1" xfId="1" applyFont="1" applyFill="1" applyBorder="1" applyAlignment="1">
      <alignment vertical="center"/>
    </xf>
    <xf numFmtId="9" fontId="2" fillId="3" borderId="0" xfId="1" applyFont="1" applyFill="1" applyBorder="1" applyAlignment="1">
      <alignment vertical="center"/>
    </xf>
    <xf numFmtId="9" fontId="2" fillId="4" borderId="1" xfId="1" applyFont="1" applyFill="1" applyBorder="1" applyAlignment="1">
      <alignment vertical="center"/>
    </xf>
    <xf numFmtId="9" fontId="2" fillId="4" borderId="0" xfId="1" applyFont="1" applyFill="1" applyBorder="1" applyAlignment="1">
      <alignment vertical="center"/>
    </xf>
    <xf numFmtId="9" fontId="2" fillId="5" borderId="1" xfId="1" applyFont="1" applyFill="1" applyBorder="1" applyAlignment="1">
      <alignment vertical="center"/>
    </xf>
    <xf numFmtId="9" fontId="2" fillId="5" borderId="0" xfId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5" borderId="2" xfId="0" applyNumberFormat="1" applyFont="1" applyFill="1" applyBorder="1" applyAlignment="1">
      <alignment vertical="center"/>
    </xf>
    <xf numFmtId="164" fontId="2" fillId="5" borderId="2" xfId="0" applyNumberFormat="1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9" fontId="2" fillId="4" borderId="9" xfId="1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9" fontId="2" fillId="2" borderId="9" xfId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9" fontId="2" fillId="3" borderId="9" xfId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9" fontId="3" fillId="5" borderId="9" xfId="1" applyFont="1" applyFill="1" applyBorder="1" applyAlignment="1">
      <alignment vertical="center"/>
    </xf>
    <xf numFmtId="9" fontId="5" fillId="2" borderId="10" xfId="1" applyFont="1" applyFill="1" applyBorder="1" applyAlignment="1">
      <alignment vertical="center"/>
    </xf>
    <xf numFmtId="9" fontId="2" fillId="2" borderId="10" xfId="1" applyFont="1" applyFill="1" applyBorder="1" applyAlignment="1">
      <alignment vertical="center"/>
    </xf>
    <xf numFmtId="9" fontId="5" fillId="2" borderId="0" xfId="1" applyFont="1" applyFill="1" applyBorder="1" applyAlignment="1">
      <alignment vertical="center"/>
    </xf>
    <xf numFmtId="9" fontId="2" fillId="5" borderId="9" xfId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164" fontId="2" fillId="2" borderId="12" xfId="0" applyNumberFormat="1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9" fontId="2" fillId="2" borderId="12" xfId="1" applyFont="1" applyFill="1" applyBorder="1" applyAlignment="1">
      <alignment vertical="center"/>
    </xf>
    <xf numFmtId="9" fontId="2" fillId="2" borderId="13" xfId="1" applyFont="1" applyFill="1" applyBorder="1" applyAlignment="1">
      <alignment vertical="center"/>
    </xf>
    <xf numFmtId="9" fontId="2" fillId="2" borderId="14" xfId="1" applyFont="1" applyFill="1" applyBorder="1" applyAlignment="1">
      <alignment vertical="center"/>
    </xf>
    <xf numFmtId="0" fontId="9" fillId="6" borderId="3" xfId="0" applyFont="1" applyFill="1" applyBorder="1" applyAlignment="1">
      <alignment vertical="center"/>
    </xf>
    <xf numFmtId="0" fontId="9" fillId="6" borderId="4" xfId="0" applyFont="1" applyFill="1" applyBorder="1" applyAlignment="1">
      <alignment vertical="center"/>
    </xf>
    <xf numFmtId="0" fontId="9" fillId="6" borderId="4" xfId="0" applyFont="1" applyFill="1" applyBorder="1" applyAlignment="1">
      <alignment horizontal="center" vertical="center"/>
    </xf>
    <xf numFmtId="9" fontId="9" fillId="6" borderId="5" xfId="1" applyFont="1" applyFill="1" applyBorder="1" applyAlignment="1">
      <alignment horizontal="center" vertical="center"/>
    </xf>
    <xf numFmtId="9" fontId="9" fillId="6" borderId="6" xfId="1" applyFont="1" applyFill="1" applyBorder="1" applyAlignment="1">
      <alignment horizontal="center" vertical="center"/>
    </xf>
    <xf numFmtId="9" fontId="9" fillId="6" borderId="7" xfId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E0A83-DA99-4F92-820D-A2CC05820E97}">
  <dimension ref="B1:N207"/>
  <sheetViews>
    <sheetView tabSelected="1" zoomScale="85" zoomScaleNormal="85" workbookViewId="0">
      <pane ySplit="2" topLeftCell="A3" activePane="bottomLeft" state="frozen"/>
      <selection pane="bottomLeft" activeCell="B2" sqref="B2"/>
    </sheetView>
  </sheetViews>
  <sheetFormatPr defaultRowHeight="18" customHeight="1" x14ac:dyDescent="0.3"/>
  <cols>
    <col min="1" max="1" width="1.6640625" style="1" customWidth="1"/>
    <col min="2" max="2" width="61.109375" style="1" customWidth="1"/>
    <col min="3" max="3" width="37.44140625" style="1" bestFit="1" customWidth="1"/>
    <col min="4" max="4" width="11.88671875" style="1" bestFit="1" customWidth="1"/>
    <col min="5" max="5" width="6.5546875" style="2" bestFit="1" customWidth="1"/>
    <col min="6" max="6" width="58.33203125" style="1" customWidth="1"/>
    <col min="7" max="7" width="38.6640625" style="1" customWidth="1"/>
    <col min="8" max="13" width="12.88671875" style="1" customWidth="1"/>
    <col min="14" max="16384" width="8.88671875" style="1"/>
  </cols>
  <sheetData>
    <row r="1" spans="2:14" ht="9" customHeight="1" thickBot="1" x14ac:dyDescent="0.35"/>
    <row r="2" spans="2:14" ht="30" customHeight="1" x14ac:dyDescent="0.3">
      <c r="B2" s="57" t="s">
        <v>135</v>
      </c>
      <c r="C2" s="58" t="s">
        <v>0</v>
      </c>
      <c r="D2" s="58" t="s">
        <v>1</v>
      </c>
      <c r="E2" s="59" t="s">
        <v>2</v>
      </c>
      <c r="F2" s="58" t="s">
        <v>123</v>
      </c>
      <c r="G2" s="58" t="s">
        <v>242</v>
      </c>
      <c r="H2" s="60" t="s">
        <v>85</v>
      </c>
      <c r="I2" s="61"/>
      <c r="J2" s="61"/>
      <c r="K2" s="61"/>
      <c r="L2" s="61"/>
      <c r="M2" s="62"/>
      <c r="N2" s="4"/>
    </row>
    <row r="3" spans="2:14" ht="18" customHeight="1" x14ac:dyDescent="0.3">
      <c r="B3" s="35" t="s">
        <v>131</v>
      </c>
      <c r="C3" s="15"/>
      <c r="D3" s="30"/>
      <c r="E3" s="16"/>
      <c r="F3" s="15"/>
      <c r="G3" s="15"/>
      <c r="H3" s="26"/>
      <c r="I3" s="27"/>
      <c r="J3" s="27"/>
      <c r="K3" s="27"/>
      <c r="L3" s="27"/>
      <c r="M3" s="36"/>
      <c r="N3" s="4"/>
    </row>
    <row r="4" spans="2:14" ht="18" customHeight="1" x14ac:dyDescent="0.3">
      <c r="B4" s="37" t="s">
        <v>81</v>
      </c>
      <c r="C4" s="7"/>
      <c r="D4" s="19"/>
      <c r="E4" s="8"/>
      <c r="F4" s="7"/>
      <c r="G4" s="7"/>
      <c r="H4" s="3"/>
      <c r="I4" s="4"/>
      <c r="J4" s="4"/>
      <c r="K4" s="4"/>
      <c r="L4" s="4"/>
      <c r="M4" s="38"/>
      <c r="N4" s="4"/>
    </row>
    <row r="5" spans="2:14" ht="18" customHeight="1" x14ac:dyDescent="0.3">
      <c r="B5" s="39" t="s">
        <v>259</v>
      </c>
      <c r="C5" s="7" t="s">
        <v>128</v>
      </c>
      <c r="D5" s="19">
        <v>34</v>
      </c>
      <c r="E5" s="8" t="s">
        <v>142</v>
      </c>
      <c r="F5" s="7"/>
      <c r="G5" s="7"/>
      <c r="H5" s="3"/>
      <c r="I5" s="4"/>
      <c r="J5" s="4"/>
      <c r="K5" s="4"/>
      <c r="L5" s="4"/>
      <c r="M5" s="38"/>
      <c r="N5" s="4"/>
    </row>
    <row r="6" spans="2:14" ht="18" customHeight="1" x14ac:dyDescent="0.3">
      <c r="B6" s="39" t="s">
        <v>254</v>
      </c>
      <c r="C6" s="7" t="s">
        <v>89</v>
      </c>
      <c r="D6" s="19">
        <v>15041</v>
      </c>
      <c r="E6" s="8" t="s">
        <v>6</v>
      </c>
      <c r="F6" s="7" t="s">
        <v>109</v>
      </c>
      <c r="G6" s="7"/>
      <c r="H6" s="3"/>
      <c r="I6" s="4"/>
      <c r="J6" s="4"/>
      <c r="K6" s="4"/>
      <c r="L6" s="4"/>
      <c r="M6" s="38"/>
      <c r="N6" s="4"/>
    </row>
    <row r="7" spans="2:14" ht="18" customHeight="1" x14ac:dyDescent="0.3">
      <c r="B7" s="39" t="s">
        <v>264</v>
      </c>
      <c r="C7" s="7" t="s">
        <v>88</v>
      </c>
      <c r="D7" s="19">
        <v>2586</v>
      </c>
      <c r="E7" s="8" t="s">
        <v>5</v>
      </c>
      <c r="F7" s="7" t="s">
        <v>284</v>
      </c>
      <c r="G7" s="7"/>
      <c r="H7" s="3"/>
      <c r="I7" s="4"/>
      <c r="J7" s="4"/>
      <c r="K7" s="4"/>
      <c r="L7" s="4"/>
      <c r="M7" s="38"/>
      <c r="N7" s="4"/>
    </row>
    <row r="8" spans="2:14" ht="18" customHeight="1" x14ac:dyDescent="0.3">
      <c r="B8" s="39" t="s">
        <v>265</v>
      </c>
      <c r="C8" s="7" t="s">
        <v>88</v>
      </c>
      <c r="D8" s="19">
        <v>100</v>
      </c>
      <c r="E8" s="8" t="s">
        <v>5</v>
      </c>
      <c r="F8" s="7" t="s">
        <v>285</v>
      </c>
      <c r="G8" s="7"/>
      <c r="H8" s="3"/>
      <c r="I8" s="4"/>
      <c r="J8" s="4"/>
      <c r="K8" s="4"/>
      <c r="L8" s="4"/>
      <c r="M8" s="38"/>
      <c r="N8" s="4"/>
    </row>
    <row r="9" spans="2:14" ht="18" customHeight="1" x14ac:dyDescent="0.3">
      <c r="B9" s="39" t="s">
        <v>4</v>
      </c>
      <c r="C9" s="7" t="s">
        <v>86</v>
      </c>
      <c r="D9" s="19">
        <v>26</v>
      </c>
      <c r="E9" s="8" t="s">
        <v>5</v>
      </c>
      <c r="F9" s="7" t="s">
        <v>114</v>
      </c>
      <c r="G9" s="7"/>
      <c r="H9" s="3"/>
      <c r="I9" s="4"/>
      <c r="J9" s="4"/>
      <c r="K9" s="4"/>
      <c r="L9" s="4"/>
      <c r="M9" s="38"/>
      <c r="N9" s="4"/>
    </row>
    <row r="10" spans="2:14" ht="18" customHeight="1" x14ac:dyDescent="0.3">
      <c r="B10" s="39" t="s">
        <v>16</v>
      </c>
      <c r="C10" s="7" t="s">
        <v>86</v>
      </c>
      <c r="D10" s="19">
        <v>225</v>
      </c>
      <c r="E10" s="8" t="s">
        <v>5</v>
      </c>
      <c r="F10" s="7" t="s">
        <v>287</v>
      </c>
      <c r="G10" s="7"/>
      <c r="H10" s="3"/>
      <c r="I10" s="4"/>
      <c r="J10" s="4"/>
      <c r="K10" s="4"/>
      <c r="L10" s="4"/>
      <c r="M10" s="38"/>
      <c r="N10" s="4"/>
    </row>
    <row r="11" spans="2:14" ht="18" customHeight="1" x14ac:dyDescent="0.3">
      <c r="B11" s="39" t="s">
        <v>96</v>
      </c>
      <c r="C11" s="7" t="s">
        <v>86</v>
      </c>
      <c r="D11" s="19">
        <v>200</v>
      </c>
      <c r="E11" s="8" t="s">
        <v>3</v>
      </c>
      <c r="F11" s="7" t="s">
        <v>110</v>
      </c>
      <c r="G11" s="7"/>
      <c r="H11" s="3"/>
      <c r="I11" s="4"/>
      <c r="J11" s="4"/>
      <c r="K11" s="4"/>
      <c r="L11" s="4"/>
      <c r="M11" s="38"/>
      <c r="N11" s="4"/>
    </row>
    <row r="12" spans="2:14" ht="18" customHeight="1" x14ac:dyDescent="0.3">
      <c r="B12" s="39" t="s">
        <v>139</v>
      </c>
      <c r="C12" s="7" t="s">
        <v>86</v>
      </c>
      <c r="D12" s="19">
        <v>5</v>
      </c>
      <c r="E12" s="8" t="s">
        <v>3</v>
      </c>
      <c r="F12" s="7" t="s">
        <v>13</v>
      </c>
      <c r="G12" s="7" t="s">
        <v>14</v>
      </c>
      <c r="H12" s="3"/>
      <c r="I12" s="4"/>
      <c r="J12" s="4"/>
      <c r="K12" s="4"/>
      <c r="L12" s="4"/>
      <c r="M12" s="38"/>
      <c r="N12" s="4"/>
    </row>
    <row r="13" spans="2:14" ht="18" customHeight="1" x14ac:dyDescent="0.3">
      <c r="B13" s="39" t="s">
        <v>9</v>
      </c>
      <c r="C13" s="7" t="s">
        <v>86</v>
      </c>
      <c r="D13" s="19">
        <v>9000</v>
      </c>
      <c r="E13" s="8" t="s">
        <v>3</v>
      </c>
      <c r="F13" s="7" t="s">
        <v>112</v>
      </c>
      <c r="G13" s="7"/>
      <c r="H13" s="3"/>
      <c r="I13" s="4"/>
      <c r="J13" s="4"/>
      <c r="K13" s="4"/>
      <c r="L13" s="4"/>
      <c r="M13" s="38"/>
      <c r="N13" s="4"/>
    </row>
    <row r="14" spans="2:14" ht="18" customHeight="1" x14ac:dyDescent="0.3">
      <c r="B14" s="39" t="s">
        <v>255</v>
      </c>
      <c r="C14" s="7" t="s">
        <v>86</v>
      </c>
      <c r="D14" s="19">
        <v>65</v>
      </c>
      <c r="E14" s="8" t="s">
        <v>3</v>
      </c>
      <c r="F14" s="7" t="s">
        <v>229</v>
      </c>
      <c r="G14" s="7" t="s">
        <v>140</v>
      </c>
      <c r="H14" s="3"/>
      <c r="I14" s="4"/>
      <c r="J14" s="4"/>
      <c r="K14" s="4"/>
      <c r="L14" s="4"/>
      <c r="M14" s="38"/>
      <c r="N14" s="4"/>
    </row>
    <row r="15" spans="2:14" ht="18" customHeight="1" x14ac:dyDescent="0.3">
      <c r="B15" s="39" t="s">
        <v>11</v>
      </c>
      <c r="C15" s="7" t="s">
        <v>86</v>
      </c>
      <c r="D15" s="19">
        <v>2</v>
      </c>
      <c r="E15" s="8" t="s">
        <v>3</v>
      </c>
      <c r="F15" s="7" t="s">
        <v>214</v>
      </c>
      <c r="G15" s="7" t="s">
        <v>12</v>
      </c>
      <c r="H15" s="3"/>
      <c r="I15" s="4"/>
      <c r="J15" s="4"/>
      <c r="K15" s="4"/>
      <c r="L15" s="4"/>
      <c r="M15" s="38"/>
      <c r="N15" s="4"/>
    </row>
    <row r="16" spans="2:14" ht="18" customHeight="1" x14ac:dyDescent="0.3">
      <c r="B16" s="39" t="s">
        <v>15</v>
      </c>
      <c r="C16" s="7" t="s">
        <v>86</v>
      </c>
      <c r="D16" s="19">
        <v>2</v>
      </c>
      <c r="E16" s="8" t="s">
        <v>5</v>
      </c>
      <c r="F16" s="7" t="s">
        <v>289</v>
      </c>
      <c r="G16" s="7"/>
      <c r="H16" s="3"/>
      <c r="I16" s="4"/>
      <c r="J16" s="4"/>
      <c r="K16" s="4"/>
      <c r="L16" s="4"/>
      <c r="M16" s="38"/>
      <c r="N16" s="4"/>
    </row>
    <row r="17" spans="2:14" ht="18" customHeight="1" x14ac:dyDescent="0.3">
      <c r="B17" s="39" t="s">
        <v>258</v>
      </c>
      <c r="C17" s="7" t="s">
        <v>91</v>
      </c>
      <c r="D17" s="19">
        <v>1000</v>
      </c>
      <c r="E17" s="8" t="s">
        <v>3</v>
      </c>
      <c r="F17" s="7" t="s">
        <v>204</v>
      </c>
      <c r="G17" s="7"/>
      <c r="H17" s="3"/>
      <c r="I17" s="4"/>
      <c r="J17" s="4"/>
      <c r="K17" s="4"/>
      <c r="L17" s="4"/>
      <c r="M17" s="38"/>
      <c r="N17" s="4"/>
    </row>
    <row r="18" spans="2:14" ht="18" customHeight="1" x14ac:dyDescent="0.3">
      <c r="B18" s="39" t="s">
        <v>256</v>
      </c>
      <c r="C18" s="7" t="s">
        <v>91</v>
      </c>
      <c r="D18" s="19">
        <v>1</v>
      </c>
      <c r="E18" s="8" t="s">
        <v>20</v>
      </c>
      <c r="F18" s="7" t="s">
        <v>205</v>
      </c>
      <c r="G18" s="7" t="s">
        <v>141</v>
      </c>
      <c r="H18" s="3"/>
      <c r="I18" s="4"/>
      <c r="J18" s="4"/>
      <c r="K18" s="4"/>
      <c r="L18" s="4"/>
      <c r="M18" s="38"/>
      <c r="N18" s="4"/>
    </row>
    <row r="19" spans="2:14" ht="18" customHeight="1" x14ac:dyDescent="0.3">
      <c r="B19" s="39" t="s">
        <v>257</v>
      </c>
      <c r="C19" s="7" t="s">
        <v>93</v>
      </c>
      <c r="D19" s="19">
        <v>37500</v>
      </c>
      <c r="E19" s="8" t="s">
        <v>18</v>
      </c>
      <c r="F19" s="7" t="s">
        <v>206</v>
      </c>
      <c r="G19" s="7" t="s">
        <v>66</v>
      </c>
      <c r="H19" s="3"/>
      <c r="I19" s="4"/>
      <c r="J19" s="4"/>
      <c r="K19" s="4"/>
      <c r="L19" s="4"/>
      <c r="M19" s="38"/>
      <c r="N19" s="4"/>
    </row>
    <row r="20" spans="2:14" ht="18" customHeight="1" x14ac:dyDescent="0.3">
      <c r="B20" s="39" t="s">
        <v>10</v>
      </c>
      <c r="C20" s="7" t="s">
        <v>92</v>
      </c>
      <c r="D20" s="19">
        <f>507.64+9000</f>
        <v>9507.64</v>
      </c>
      <c r="E20" s="8" t="s">
        <v>3</v>
      </c>
      <c r="F20" s="7" t="s">
        <v>294</v>
      </c>
      <c r="G20" s="7"/>
      <c r="H20" s="3"/>
      <c r="I20" s="4"/>
      <c r="J20" s="4"/>
      <c r="K20" s="4"/>
      <c r="L20" s="4"/>
      <c r="M20" s="38"/>
      <c r="N20" s="4"/>
    </row>
    <row r="21" spans="2:14" ht="18" customHeight="1" x14ac:dyDescent="0.3">
      <c r="B21" s="37" t="s">
        <v>82</v>
      </c>
      <c r="C21" s="7"/>
      <c r="D21" s="19"/>
      <c r="E21" s="8"/>
      <c r="F21" s="7"/>
      <c r="G21" s="7"/>
      <c r="H21" s="3"/>
      <c r="I21" s="4"/>
      <c r="J21" s="4"/>
      <c r="K21" s="4"/>
      <c r="L21" s="4"/>
      <c r="M21" s="38"/>
      <c r="N21" s="4"/>
    </row>
    <row r="22" spans="2:14" ht="18" customHeight="1" x14ac:dyDescent="0.3">
      <c r="B22" s="40" t="s">
        <v>23</v>
      </c>
      <c r="C22" s="7" t="s">
        <v>94</v>
      </c>
      <c r="D22" s="19">
        <v>68260</v>
      </c>
      <c r="E22" s="8" t="s">
        <v>3</v>
      </c>
      <c r="F22" s="7"/>
      <c r="G22" s="7"/>
      <c r="H22" s="3"/>
      <c r="I22" s="4"/>
      <c r="J22" s="4"/>
      <c r="K22" s="4"/>
      <c r="L22" s="4"/>
      <c r="M22" s="38"/>
      <c r="N22" s="4"/>
    </row>
    <row r="23" spans="2:14" ht="18" customHeight="1" x14ac:dyDescent="0.3">
      <c r="B23" s="39" t="s">
        <v>7</v>
      </c>
      <c r="C23" s="7" t="s">
        <v>97</v>
      </c>
      <c r="D23" s="19">
        <v>9000</v>
      </c>
      <c r="E23" s="8" t="s">
        <v>3</v>
      </c>
      <c r="F23" s="7" t="s">
        <v>291</v>
      </c>
      <c r="G23" s="7"/>
      <c r="H23" s="3"/>
      <c r="I23" s="4"/>
      <c r="J23" s="4"/>
      <c r="K23" s="4"/>
      <c r="L23" s="4"/>
      <c r="M23" s="38"/>
      <c r="N23" s="4"/>
    </row>
    <row r="24" spans="2:14" ht="18" customHeight="1" x14ac:dyDescent="0.3">
      <c r="B24" s="39" t="s">
        <v>8</v>
      </c>
      <c r="C24" s="7" t="s">
        <v>97</v>
      </c>
      <c r="D24" s="19">
        <v>507.64</v>
      </c>
      <c r="E24" s="8" t="s">
        <v>3</v>
      </c>
      <c r="F24" s="7" t="s">
        <v>292</v>
      </c>
      <c r="G24" s="7" t="s">
        <v>162</v>
      </c>
      <c r="H24" s="3"/>
      <c r="I24" s="4"/>
      <c r="J24" s="4"/>
      <c r="K24" s="4"/>
      <c r="L24" s="4"/>
      <c r="M24" s="38"/>
      <c r="N24" s="4"/>
    </row>
    <row r="25" spans="2:14" ht="18" customHeight="1" x14ac:dyDescent="0.3">
      <c r="B25" s="39" t="s">
        <v>262</v>
      </c>
      <c r="C25" s="7" t="s">
        <v>97</v>
      </c>
      <c r="D25" s="19">
        <v>2586</v>
      </c>
      <c r="E25" s="8" t="s">
        <v>5</v>
      </c>
      <c r="F25" s="7" t="s">
        <v>284</v>
      </c>
      <c r="G25" s="7"/>
      <c r="H25" s="3"/>
      <c r="I25" s="4"/>
      <c r="J25" s="4"/>
      <c r="K25" s="4"/>
      <c r="L25" s="4"/>
      <c r="M25" s="38"/>
      <c r="N25" s="4"/>
    </row>
    <row r="26" spans="2:14" ht="18" customHeight="1" x14ac:dyDescent="0.3">
      <c r="B26" s="39" t="s">
        <v>263</v>
      </c>
      <c r="C26" s="7" t="s">
        <v>97</v>
      </c>
      <c r="D26" s="19">
        <v>100</v>
      </c>
      <c r="E26" s="8" t="s">
        <v>5</v>
      </c>
      <c r="F26" s="7" t="s">
        <v>285</v>
      </c>
      <c r="G26" s="7"/>
      <c r="H26" s="3"/>
      <c r="I26" s="4"/>
      <c r="J26" s="4"/>
      <c r="K26" s="4"/>
      <c r="L26" s="4"/>
      <c r="M26" s="38"/>
      <c r="N26" s="4"/>
    </row>
    <row r="27" spans="2:14" ht="18" customHeight="1" x14ac:dyDescent="0.3">
      <c r="B27" s="39" t="s">
        <v>95</v>
      </c>
      <c r="C27" s="7" t="s">
        <v>136</v>
      </c>
      <c r="D27" s="19">
        <f>1+12</f>
        <v>13</v>
      </c>
      <c r="E27" s="8" t="s">
        <v>3</v>
      </c>
      <c r="F27" s="7" t="s">
        <v>207</v>
      </c>
      <c r="G27" s="7" t="s">
        <v>67</v>
      </c>
      <c r="H27" s="3"/>
      <c r="I27" s="4"/>
      <c r="J27" s="4"/>
      <c r="K27" s="4"/>
      <c r="L27" s="4"/>
      <c r="M27" s="38"/>
      <c r="N27" s="4"/>
    </row>
    <row r="28" spans="2:14" ht="18" customHeight="1" x14ac:dyDescent="0.3">
      <c r="B28" s="39" t="s">
        <v>122</v>
      </c>
      <c r="C28" s="7" t="s">
        <v>136</v>
      </c>
      <c r="D28" s="19">
        <f>290+820</f>
        <v>1110</v>
      </c>
      <c r="E28" s="8" t="s">
        <v>3</v>
      </c>
      <c r="F28" s="7" t="s">
        <v>208</v>
      </c>
      <c r="G28" s="7" t="s">
        <v>161</v>
      </c>
      <c r="H28" s="3"/>
      <c r="I28" s="4"/>
      <c r="J28" s="4"/>
      <c r="K28" s="4"/>
      <c r="L28" s="4"/>
      <c r="M28" s="38"/>
      <c r="N28" s="4"/>
    </row>
    <row r="29" spans="2:14" ht="18" customHeight="1" x14ac:dyDescent="0.3">
      <c r="B29" s="39" t="s">
        <v>31</v>
      </c>
      <c r="C29" s="7" t="s">
        <v>136</v>
      </c>
      <c r="D29" s="19">
        <v>45</v>
      </c>
      <c r="E29" s="8" t="s">
        <v>3</v>
      </c>
      <c r="F29" s="7" t="s">
        <v>209</v>
      </c>
      <c r="G29" s="7" t="s">
        <v>32</v>
      </c>
      <c r="H29" s="3"/>
      <c r="I29" s="4"/>
      <c r="J29" s="4"/>
      <c r="K29" s="4"/>
      <c r="L29" s="4"/>
      <c r="M29" s="38"/>
      <c r="N29" s="4"/>
    </row>
    <row r="30" spans="2:14" ht="18" customHeight="1" x14ac:dyDescent="0.3">
      <c r="B30" s="39" t="s">
        <v>33</v>
      </c>
      <c r="C30" s="7" t="s">
        <v>136</v>
      </c>
      <c r="D30" s="19">
        <f>60*0.92</f>
        <v>55.2</v>
      </c>
      <c r="E30" s="8" t="s">
        <v>3</v>
      </c>
      <c r="F30" s="7" t="s">
        <v>210</v>
      </c>
      <c r="G30" s="7" t="s">
        <v>34</v>
      </c>
      <c r="H30" s="3"/>
      <c r="I30" s="4"/>
      <c r="J30" s="4"/>
      <c r="K30" s="4"/>
      <c r="L30" s="4"/>
      <c r="M30" s="38"/>
      <c r="N30" s="4"/>
    </row>
    <row r="31" spans="2:14" ht="18" customHeight="1" x14ac:dyDescent="0.3">
      <c r="B31" s="39"/>
      <c r="C31" s="7"/>
      <c r="D31" s="19"/>
      <c r="E31" s="8"/>
      <c r="F31" s="7"/>
      <c r="G31" s="7"/>
      <c r="H31" s="3"/>
      <c r="I31" s="4"/>
      <c r="J31" s="4"/>
      <c r="K31" s="4"/>
      <c r="L31" s="4"/>
      <c r="M31" s="38"/>
      <c r="N31" s="4"/>
    </row>
    <row r="32" spans="2:14" ht="18" customHeight="1" x14ac:dyDescent="0.3">
      <c r="B32" s="35" t="s">
        <v>132</v>
      </c>
      <c r="C32" s="15"/>
      <c r="D32" s="30"/>
      <c r="E32" s="16"/>
      <c r="F32" s="15"/>
      <c r="G32" s="15"/>
      <c r="H32" s="26"/>
      <c r="I32" s="27"/>
      <c r="J32" s="27"/>
      <c r="K32" s="27"/>
      <c r="L32" s="27"/>
      <c r="M32" s="36"/>
      <c r="N32" s="4"/>
    </row>
    <row r="33" spans="2:14" ht="18" customHeight="1" x14ac:dyDescent="0.3">
      <c r="B33" s="37" t="s">
        <v>81</v>
      </c>
      <c r="C33" s="7"/>
      <c r="D33" s="19"/>
      <c r="E33" s="8"/>
      <c r="F33" s="7"/>
      <c r="G33" s="7"/>
      <c r="H33" s="3"/>
      <c r="I33" s="4"/>
      <c r="J33" s="4"/>
      <c r="K33" s="4"/>
      <c r="L33" s="4"/>
      <c r="M33" s="38"/>
      <c r="N33" s="4"/>
    </row>
    <row r="34" spans="2:14" ht="18" customHeight="1" x14ac:dyDescent="0.3">
      <c r="B34" s="39" t="s">
        <v>269</v>
      </c>
      <c r="C34" s="7" t="s">
        <v>128</v>
      </c>
      <c r="D34" s="19">
        <v>2050</v>
      </c>
      <c r="E34" s="8" t="s">
        <v>142</v>
      </c>
      <c r="F34" s="7"/>
      <c r="G34" s="7" t="s">
        <v>160</v>
      </c>
      <c r="H34" s="3"/>
      <c r="I34" s="4"/>
      <c r="J34" s="4"/>
      <c r="K34" s="4"/>
      <c r="L34" s="4"/>
      <c r="M34" s="38"/>
      <c r="N34" s="4"/>
    </row>
    <row r="35" spans="2:14" ht="18" customHeight="1" x14ac:dyDescent="0.3">
      <c r="B35" s="39" t="s">
        <v>254</v>
      </c>
      <c r="C35" s="7" t="s">
        <v>89</v>
      </c>
      <c r="D35" s="19">
        <v>48000</v>
      </c>
      <c r="E35" s="8" t="s">
        <v>6</v>
      </c>
      <c r="F35" s="7" t="s">
        <v>213</v>
      </c>
      <c r="G35" s="7"/>
      <c r="H35" s="3"/>
      <c r="I35" s="4"/>
      <c r="J35" s="4"/>
      <c r="K35" s="4"/>
      <c r="L35" s="4"/>
      <c r="M35" s="38"/>
      <c r="N35" s="4"/>
    </row>
    <row r="36" spans="2:14" ht="18" customHeight="1" x14ac:dyDescent="0.3">
      <c r="B36" s="39" t="s">
        <v>267</v>
      </c>
      <c r="C36" s="7" t="s">
        <v>88</v>
      </c>
      <c r="D36" s="19">
        <v>11202</v>
      </c>
      <c r="E36" s="8" t="s">
        <v>5</v>
      </c>
      <c r="F36" s="7" t="s">
        <v>290</v>
      </c>
      <c r="G36" s="7" t="s">
        <v>159</v>
      </c>
      <c r="H36" s="3"/>
      <c r="I36" s="4"/>
      <c r="J36" s="4"/>
      <c r="K36" s="4"/>
      <c r="L36" s="4"/>
      <c r="M36" s="38"/>
      <c r="N36" s="4"/>
    </row>
    <row r="37" spans="2:14" ht="18" customHeight="1" x14ac:dyDescent="0.3">
      <c r="B37" s="39" t="s">
        <v>150</v>
      </c>
      <c r="C37" s="7" t="s">
        <v>153</v>
      </c>
      <c r="D37" s="19">
        <v>25</v>
      </c>
      <c r="E37" s="8" t="s">
        <v>3</v>
      </c>
      <c r="F37" s="7" t="s">
        <v>212</v>
      </c>
      <c r="G37" s="7" t="s">
        <v>154</v>
      </c>
      <c r="H37" s="3"/>
      <c r="I37" s="4"/>
      <c r="J37" s="4"/>
      <c r="K37" s="4"/>
      <c r="L37" s="4"/>
      <c r="M37" s="38"/>
      <c r="N37" s="4"/>
    </row>
    <row r="38" spans="2:14" ht="18" customHeight="1" x14ac:dyDescent="0.3">
      <c r="B38" s="39" t="s">
        <v>190</v>
      </c>
      <c r="C38" s="7" t="s">
        <v>153</v>
      </c>
      <c r="D38" s="19">
        <v>20</v>
      </c>
      <c r="E38" s="8" t="s">
        <v>3</v>
      </c>
      <c r="F38" s="7" t="s">
        <v>214</v>
      </c>
      <c r="G38" s="7" t="s">
        <v>68</v>
      </c>
      <c r="H38" s="3"/>
      <c r="I38" s="4"/>
      <c r="J38" s="4"/>
      <c r="K38" s="4"/>
      <c r="L38" s="4"/>
      <c r="M38" s="38"/>
      <c r="N38" s="4"/>
    </row>
    <row r="39" spans="2:14" ht="18" customHeight="1" x14ac:dyDescent="0.3">
      <c r="B39" s="39" t="s">
        <v>191</v>
      </c>
      <c r="C39" s="7" t="s">
        <v>91</v>
      </c>
      <c r="D39" s="19">
        <v>45</v>
      </c>
      <c r="E39" s="8" t="s">
        <v>3</v>
      </c>
      <c r="F39" s="7" t="s">
        <v>215</v>
      </c>
      <c r="G39" s="7" t="s">
        <v>38</v>
      </c>
      <c r="H39" s="3"/>
      <c r="I39" s="4"/>
      <c r="J39" s="4"/>
      <c r="K39" s="4"/>
      <c r="L39" s="4"/>
      <c r="M39" s="38"/>
      <c r="N39" s="4"/>
    </row>
    <row r="40" spans="2:14" ht="18" customHeight="1" x14ac:dyDescent="0.3">
      <c r="B40" s="39" t="s">
        <v>195</v>
      </c>
      <c r="C40" s="7" t="s">
        <v>153</v>
      </c>
      <c r="D40" s="19">
        <f>5+5+45.3+15+90+1+15.5</f>
        <v>176.8</v>
      </c>
      <c r="E40" s="8" t="s">
        <v>3</v>
      </c>
      <c r="F40" s="7" t="s">
        <v>216</v>
      </c>
      <c r="G40" s="7" t="s">
        <v>155</v>
      </c>
      <c r="H40" s="3"/>
      <c r="I40" s="4"/>
      <c r="J40" s="4"/>
      <c r="K40" s="4"/>
      <c r="L40" s="4"/>
      <c r="M40" s="38"/>
      <c r="N40" s="4"/>
    </row>
    <row r="41" spans="2:14" ht="18" customHeight="1" x14ac:dyDescent="0.3">
      <c r="B41" s="39" t="s">
        <v>193</v>
      </c>
      <c r="C41" s="7" t="s">
        <v>91</v>
      </c>
      <c r="D41" s="19">
        <v>20</v>
      </c>
      <c r="E41" s="8" t="s">
        <v>3</v>
      </c>
      <c r="F41" s="7" t="s">
        <v>217</v>
      </c>
      <c r="G41" s="7" t="s">
        <v>156</v>
      </c>
      <c r="H41" s="3"/>
      <c r="I41" s="4"/>
      <c r="J41" s="4"/>
      <c r="K41" s="4"/>
      <c r="L41" s="4"/>
      <c r="M41" s="38"/>
      <c r="N41" s="4"/>
    </row>
    <row r="42" spans="2:14" ht="18" customHeight="1" x14ac:dyDescent="0.3">
      <c r="B42" s="39" t="s">
        <v>268</v>
      </c>
      <c r="C42" s="7" t="s">
        <v>91</v>
      </c>
      <c r="D42" s="19">
        <v>30</v>
      </c>
      <c r="E42" s="8" t="s">
        <v>3</v>
      </c>
      <c r="F42" s="7" t="s">
        <v>218</v>
      </c>
      <c r="G42" s="7" t="s">
        <v>157</v>
      </c>
      <c r="H42" s="3"/>
      <c r="I42" s="4"/>
      <c r="J42" s="4"/>
      <c r="K42" s="4"/>
      <c r="L42" s="4"/>
      <c r="M42" s="38"/>
      <c r="N42" s="4"/>
    </row>
    <row r="43" spans="2:14" ht="18" customHeight="1" x14ac:dyDescent="0.3">
      <c r="B43" s="39" t="s">
        <v>189</v>
      </c>
      <c r="C43" s="7" t="s">
        <v>91</v>
      </c>
      <c r="D43" s="19">
        <v>20</v>
      </c>
      <c r="E43" s="8" t="s">
        <v>3</v>
      </c>
      <c r="F43" s="7" t="s">
        <v>219</v>
      </c>
      <c r="G43" s="7" t="s">
        <v>158</v>
      </c>
      <c r="H43" s="3"/>
      <c r="I43" s="4"/>
      <c r="J43" s="4"/>
      <c r="K43" s="4"/>
      <c r="L43" s="4"/>
      <c r="M43" s="38"/>
      <c r="N43" s="4"/>
    </row>
    <row r="44" spans="2:14" ht="18" customHeight="1" x14ac:dyDescent="0.3">
      <c r="B44" s="39" t="s">
        <v>40</v>
      </c>
      <c r="C44" s="7" t="s">
        <v>92</v>
      </c>
      <c r="D44" s="19">
        <v>336.8</v>
      </c>
      <c r="E44" s="8" t="s">
        <v>3</v>
      </c>
      <c r="F44" s="7" t="s">
        <v>296</v>
      </c>
      <c r="G44" s="7"/>
      <c r="H44" s="3"/>
      <c r="I44" s="4"/>
      <c r="J44" s="4"/>
      <c r="K44" s="4"/>
      <c r="L44" s="4"/>
      <c r="M44" s="38"/>
      <c r="N44" s="4"/>
    </row>
    <row r="45" spans="2:14" ht="18" customHeight="1" x14ac:dyDescent="0.3">
      <c r="B45" s="37" t="s">
        <v>82</v>
      </c>
      <c r="C45" s="7"/>
      <c r="D45" s="19"/>
      <c r="E45" s="8"/>
      <c r="F45" s="7"/>
      <c r="G45" s="7"/>
      <c r="H45" s="3"/>
      <c r="I45" s="4"/>
      <c r="J45" s="4"/>
      <c r="K45" s="4"/>
      <c r="L45" s="4"/>
      <c r="M45" s="38"/>
      <c r="N45" s="4"/>
    </row>
    <row r="46" spans="2:14" ht="18" customHeight="1" x14ac:dyDescent="0.3">
      <c r="B46" s="40" t="s">
        <v>46</v>
      </c>
      <c r="C46" s="7" t="s">
        <v>94</v>
      </c>
      <c r="D46" s="19">
        <f>14600+34672</f>
        <v>49272</v>
      </c>
      <c r="E46" s="8" t="s">
        <v>5</v>
      </c>
      <c r="F46" s="7"/>
      <c r="G46" s="7" t="s">
        <v>71</v>
      </c>
      <c r="H46" s="3"/>
      <c r="I46" s="4"/>
      <c r="J46" s="4"/>
      <c r="K46" s="4"/>
      <c r="L46" s="4"/>
      <c r="M46" s="38"/>
      <c r="N46" s="4"/>
    </row>
    <row r="47" spans="2:14" ht="18" customHeight="1" x14ac:dyDescent="0.3">
      <c r="B47" s="39" t="s">
        <v>43</v>
      </c>
      <c r="C47" s="7" t="s">
        <v>138</v>
      </c>
      <c r="D47" s="19">
        <v>1353.8</v>
      </c>
      <c r="E47" s="8" t="s">
        <v>3</v>
      </c>
      <c r="F47" s="7"/>
      <c r="G47" s="7"/>
      <c r="H47" s="3"/>
      <c r="I47" s="4"/>
      <c r="J47" s="4"/>
      <c r="K47" s="4"/>
      <c r="L47" s="4"/>
      <c r="M47" s="38"/>
      <c r="N47" s="4"/>
    </row>
    <row r="48" spans="2:14" ht="18" customHeight="1" x14ac:dyDescent="0.3">
      <c r="B48" s="39" t="s">
        <v>44</v>
      </c>
      <c r="C48" s="7" t="s">
        <v>138</v>
      </c>
      <c r="D48" s="19">
        <v>9606</v>
      </c>
      <c r="E48" s="8" t="s">
        <v>3</v>
      </c>
      <c r="F48" s="7"/>
      <c r="G48" s="7"/>
      <c r="H48" s="3"/>
      <c r="I48" s="4"/>
      <c r="J48" s="4"/>
      <c r="K48" s="4"/>
      <c r="L48" s="4"/>
      <c r="M48" s="38"/>
      <c r="N48" s="4"/>
    </row>
    <row r="49" spans="2:14" ht="18" customHeight="1" x14ac:dyDescent="0.3">
      <c r="B49" s="39" t="s">
        <v>45</v>
      </c>
      <c r="C49" s="7" t="s">
        <v>138</v>
      </c>
      <c r="D49" s="19">
        <v>2800</v>
      </c>
      <c r="E49" s="8" t="s">
        <v>3</v>
      </c>
      <c r="F49" s="7"/>
      <c r="G49" s="7"/>
      <c r="H49" s="3"/>
      <c r="I49" s="4"/>
      <c r="J49" s="4"/>
      <c r="K49" s="4"/>
      <c r="L49" s="4"/>
      <c r="M49" s="38"/>
      <c r="N49" s="4"/>
    </row>
    <row r="50" spans="2:14" ht="18" customHeight="1" x14ac:dyDescent="0.3">
      <c r="B50" s="39" t="s">
        <v>266</v>
      </c>
      <c r="C50" s="7" t="s">
        <v>97</v>
      </c>
      <c r="D50" s="19">
        <v>11202</v>
      </c>
      <c r="E50" s="8" t="s">
        <v>5</v>
      </c>
      <c r="F50" s="7" t="s">
        <v>290</v>
      </c>
      <c r="G50" s="7" t="s">
        <v>159</v>
      </c>
      <c r="H50" s="3"/>
      <c r="I50" s="4"/>
      <c r="J50" s="4"/>
      <c r="K50" s="4"/>
      <c r="L50" s="4"/>
      <c r="M50" s="38"/>
      <c r="N50" s="4"/>
    </row>
    <row r="51" spans="2:14" ht="18" customHeight="1" x14ac:dyDescent="0.3">
      <c r="B51" s="39" t="s">
        <v>261</v>
      </c>
      <c r="C51" s="7" t="s">
        <v>136</v>
      </c>
      <c r="D51" s="19">
        <f>130+80+330</f>
        <v>540</v>
      </c>
      <c r="E51" s="8" t="s">
        <v>3</v>
      </c>
      <c r="F51" s="7" t="s">
        <v>208</v>
      </c>
      <c r="G51" s="7" t="s">
        <v>70</v>
      </c>
      <c r="H51" s="3"/>
      <c r="I51" s="4"/>
      <c r="J51" s="4"/>
      <c r="K51" s="4"/>
      <c r="L51" s="4"/>
      <c r="M51" s="38"/>
      <c r="N51" s="4"/>
    </row>
    <row r="52" spans="2:14" ht="18" customHeight="1" x14ac:dyDescent="0.3">
      <c r="B52" s="39" t="s">
        <v>260</v>
      </c>
      <c r="C52" s="7" t="s">
        <v>136</v>
      </c>
      <c r="D52" s="19">
        <v>50</v>
      </c>
      <c r="E52" s="8" t="s">
        <v>3</v>
      </c>
      <c r="F52" s="7" t="s">
        <v>207</v>
      </c>
      <c r="G52" s="7" t="s">
        <v>69</v>
      </c>
      <c r="H52" s="3"/>
      <c r="I52" s="4"/>
      <c r="J52" s="4"/>
      <c r="K52" s="4"/>
      <c r="L52" s="4"/>
      <c r="M52" s="38"/>
      <c r="N52" s="4"/>
    </row>
    <row r="53" spans="2:14" ht="18" customHeight="1" x14ac:dyDescent="0.3">
      <c r="B53" s="39"/>
      <c r="C53" s="7"/>
      <c r="D53" s="19"/>
      <c r="E53" s="8"/>
      <c r="F53" s="7"/>
      <c r="G53" s="7"/>
      <c r="H53" s="3"/>
      <c r="I53" s="4"/>
      <c r="J53" s="4"/>
      <c r="K53" s="4"/>
      <c r="L53" s="4"/>
      <c r="M53" s="38"/>
      <c r="N53" s="4"/>
    </row>
    <row r="54" spans="2:14" ht="18" customHeight="1" x14ac:dyDescent="0.3">
      <c r="B54" s="35" t="s">
        <v>133</v>
      </c>
      <c r="C54" s="15"/>
      <c r="D54" s="30"/>
      <c r="E54" s="16"/>
      <c r="F54" s="15"/>
      <c r="G54" s="15"/>
      <c r="H54" s="26"/>
      <c r="I54" s="27"/>
      <c r="J54" s="27"/>
      <c r="K54" s="27"/>
      <c r="L54" s="27"/>
      <c r="M54" s="36"/>
      <c r="N54" s="4"/>
    </row>
    <row r="55" spans="2:14" ht="18" customHeight="1" x14ac:dyDescent="0.3">
      <c r="B55" s="37" t="s">
        <v>81</v>
      </c>
      <c r="C55" s="7"/>
      <c r="D55" s="19"/>
      <c r="E55" s="8"/>
      <c r="F55" s="7"/>
      <c r="G55" s="7"/>
      <c r="H55" s="3"/>
      <c r="I55" s="4"/>
      <c r="J55" s="4"/>
      <c r="K55" s="4"/>
      <c r="L55" s="4"/>
      <c r="M55" s="38"/>
      <c r="N55" s="4"/>
    </row>
    <row r="56" spans="2:14" ht="18" customHeight="1" x14ac:dyDescent="0.3">
      <c r="B56" s="39" t="s">
        <v>270</v>
      </c>
      <c r="C56" s="7" t="s">
        <v>21</v>
      </c>
      <c r="D56" s="19">
        <v>1000</v>
      </c>
      <c r="E56" s="8" t="s">
        <v>142</v>
      </c>
      <c r="F56" s="7"/>
      <c r="G56" s="7" t="s">
        <v>14</v>
      </c>
      <c r="H56" s="3"/>
      <c r="I56" s="4"/>
      <c r="J56" s="4"/>
      <c r="K56" s="4"/>
      <c r="L56" s="4"/>
      <c r="M56" s="38"/>
      <c r="N56" s="4"/>
    </row>
    <row r="57" spans="2:14" ht="18" customHeight="1" x14ac:dyDescent="0.3">
      <c r="B57" s="39" t="s">
        <v>254</v>
      </c>
      <c r="C57" s="7" t="s">
        <v>89</v>
      </c>
      <c r="D57" s="19">
        <v>6277</v>
      </c>
      <c r="E57" s="8" t="s">
        <v>6</v>
      </c>
      <c r="F57" s="7" t="s">
        <v>213</v>
      </c>
      <c r="G57" s="7"/>
      <c r="H57" s="3"/>
      <c r="I57" s="4"/>
      <c r="J57" s="4"/>
      <c r="K57" s="4"/>
      <c r="L57" s="4"/>
      <c r="M57" s="38"/>
      <c r="N57" s="4"/>
    </row>
    <row r="58" spans="2:14" ht="18" customHeight="1" x14ac:dyDescent="0.3">
      <c r="B58" s="39" t="s">
        <v>72</v>
      </c>
      <c r="C58" s="7" t="s">
        <v>92</v>
      </c>
      <c r="D58" s="19">
        <f>(175+34600+277+50)*50</f>
        <v>1755100</v>
      </c>
      <c r="E58" s="8" t="s">
        <v>18</v>
      </c>
      <c r="F58" s="7" t="s">
        <v>299</v>
      </c>
      <c r="G58" s="7"/>
      <c r="H58" s="3"/>
      <c r="I58" s="4"/>
      <c r="J58" s="4"/>
      <c r="K58" s="4"/>
      <c r="L58" s="4"/>
      <c r="M58" s="38"/>
      <c r="N58" s="4"/>
    </row>
    <row r="59" spans="2:14" ht="18" customHeight="1" x14ac:dyDescent="0.3">
      <c r="B59" s="39" t="s">
        <v>50</v>
      </c>
      <c r="C59" s="7" t="s">
        <v>92</v>
      </c>
      <c r="D59" s="19">
        <f>((1524/25)+1981+79)*50</f>
        <v>106048</v>
      </c>
      <c r="E59" s="8" t="s">
        <v>18</v>
      </c>
      <c r="F59" s="7" t="s">
        <v>303</v>
      </c>
      <c r="G59" s="7"/>
      <c r="H59" s="3"/>
      <c r="I59" s="4"/>
      <c r="J59" s="4"/>
      <c r="K59" s="4"/>
      <c r="L59" s="4"/>
      <c r="M59" s="38"/>
      <c r="N59" s="4"/>
    </row>
    <row r="60" spans="2:14" ht="18" customHeight="1" x14ac:dyDescent="0.3">
      <c r="B60" s="37" t="s">
        <v>82</v>
      </c>
      <c r="C60" s="7"/>
      <c r="D60" s="19"/>
      <c r="E60" s="8"/>
      <c r="F60" s="7"/>
      <c r="G60" s="7"/>
      <c r="H60" s="3"/>
      <c r="I60" s="4"/>
      <c r="J60" s="4"/>
      <c r="K60" s="4"/>
      <c r="L60" s="4"/>
      <c r="M60" s="38"/>
      <c r="N60" s="4"/>
    </row>
    <row r="61" spans="2:14" ht="18" customHeight="1" x14ac:dyDescent="0.3">
      <c r="B61" s="40" t="s">
        <v>73</v>
      </c>
      <c r="C61" s="7" t="s">
        <v>94</v>
      </c>
      <c r="D61" s="19">
        <v>46229</v>
      </c>
      <c r="E61" s="8" t="s">
        <v>52</v>
      </c>
      <c r="F61" s="7"/>
      <c r="G61" s="7" t="s">
        <v>74</v>
      </c>
      <c r="H61" s="3"/>
      <c r="I61" s="4"/>
      <c r="J61" s="4"/>
      <c r="K61" s="4"/>
      <c r="L61" s="4"/>
      <c r="M61" s="38"/>
      <c r="N61" s="4"/>
    </row>
    <row r="62" spans="2:14" ht="18" customHeight="1" x14ac:dyDescent="0.3">
      <c r="B62" s="40" t="s">
        <v>75</v>
      </c>
      <c r="C62" s="7" t="s">
        <v>94</v>
      </c>
      <c r="D62" s="19">
        <v>34672</v>
      </c>
      <c r="E62" s="8" t="s">
        <v>5</v>
      </c>
      <c r="F62" s="7"/>
      <c r="G62" s="7"/>
      <c r="H62" s="3"/>
      <c r="I62" s="4"/>
      <c r="J62" s="4"/>
      <c r="K62" s="4"/>
      <c r="L62" s="4"/>
      <c r="M62" s="38"/>
      <c r="N62" s="4"/>
    </row>
    <row r="63" spans="2:14" ht="18" customHeight="1" x14ac:dyDescent="0.3">
      <c r="B63" s="39"/>
      <c r="C63" s="7"/>
      <c r="D63" s="19"/>
      <c r="E63" s="8"/>
      <c r="F63" s="7"/>
      <c r="G63" s="7"/>
      <c r="H63" s="3"/>
      <c r="I63" s="4"/>
      <c r="J63" s="4"/>
      <c r="K63" s="4"/>
      <c r="L63" s="4"/>
      <c r="M63" s="38"/>
      <c r="N63" s="4"/>
    </row>
    <row r="64" spans="2:14" ht="18" customHeight="1" x14ac:dyDescent="0.3">
      <c r="B64" s="35" t="s">
        <v>134</v>
      </c>
      <c r="C64" s="15"/>
      <c r="D64" s="30"/>
      <c r="E64" s="16"/>
      <c r="F64" s="15"/>
      <c r="G64" s="15"/>
      <c r="H64" s="26"/>
      <c r="I64" s="27"/>
      <c r="J64" s="27"/>
      <c r="K64" s="27"/>
      <c r="L64" s="27"/>
      <c r="M64" s="36"/>
      <c r="N64" s="4"/>
    </row>
    <row r="65" spans="2:14" ht="18" customHeight="1" x14ac:dyDescent="0.3">
      <c r="B65" s="37" t="s">
        <v>81</v>
      </c>
      <c r="C65" s="7"/>
      <c r="D65" s="19"/>
      <c r="E65" s="8"/>
      <c r="F65" s="7"/>
      <c r="G65" s="7"/>
      <c r="H65" s="3"/>
      <c r="I65" s="4"/>
      <c r="J65" s="4"/>
      <c r="K65" s="4"/>
      <c r="L65" s="4"/>
      <c r="M65" s="38"/>
      <c r="N65" s="4"/>
    </row>
    <row r="66" spans="2:14" ht="18" customHeight="1" x14ac:dyDescent="0.3">
      <c r="B66" s="39" t="s">
        <v>243</v>
      </c>
      <c r="C66" s="7" t="s">
        <v>93</v>
      </c>
      <c r="D66" s="19">
        <v>6767381</v>
      </c>
      <c r="E66" s="8" t="s">
        <v>18</v>
      </c>
      <c r="F66" s="7" t="s">
        <v>206</v>
      </c>
      <c r="G66" s="7" t="s">
        <v>165</v>
      </c>
      <c r="H66" s="3"/>
      <c r="I66" s="4"/>
      <c r="J66" s="4"/>
      <c r="K66" s="4"/>
      <c r="L66" s="4"/>
      <c r="M66" s="38"/>
      <c r="N66" s="4"/>
    </row>
    <row r="67" spans="2:14" ht="18" customHeight="1" x14ac:dyDescent="0.3">
      <c r="B67" s="39" t="s">
        <v>244</v>
      </c>
      <c r="C67" s="7" t="s">
        <v>93</v>
      </c>
      <c r="D67" s="19">
        <v>12674284</v>
      </c>
      <c r="E67" s="8" t="s">
        <v>18</v>
      </c>
      <c r="F67" s="7" t="s">
        <v>206</v>
      </c>
      <c r="G67" s="7" t="s">
        <v>164</v>
      </c>
      <c r="H67" s="3"/>
      <c r="I67" s="4"/>
      <c r="J67" s="4"/>
      <c r="K67" s="4"/>
      <c r="L67" s="4"/>
      <c r="M67" s="38"/>
      <c r="N67" s="4"/>
    </row>
    <row r="68" spans="2:14" ht="18" customHeight="1" x14ac:dyDescent="0.3">
      <c r="B68" s="39" t="s">
        <v>246</v>
      </c>
      <c r="C68" s="7" t="s">
        <v>93</v>
      </c>
      <c r="D68" s="19">
        <v>82518387</v>
      </c>
      <c r="E68" s="8" t="s">
        <v>18</v>
      </c>
      <c r="F68" s="7" t="s">
        <v>220</v>
      </c>
      <c r="G68" s="7" t="s">
        <v>163</v>
      </c>
      <c r="H68" s="3"/>
      <c r="I68" s="4"/>
      <c r="J68" s="4"/>
      <c r="K68" s="4"/>
      <c r="L68" s="4"/>
      <c r="M68" s="38"/>
      <c r="N68" s="4"/>
    </row>
    <row r="69" spans="2:14" ht="18" customHeight="1" x14ac:dyDescent="0.3">
      <c r="B69" s="37" t="s">
        <v>82</v>
      </c>
      <c r="C69" s="7"/>
      <c r="D69" s="19"/>
      <c r="E69" s="8"/>
      <c r="F69" s="7"/>
      <c r="G69" s="7"/>
      <c r="H69" s="3"/>
      <c r="I69" s="4"/>
      <c r="J69" s="4"/>
      <c r="K69" s="4"/>
      <c r="L69" s="4"/>
      <c r="M69" s="38"/>
      <c r="N69" s="4"/>
    </row>
    <row r="70" spans="2:14" ht="18" customHeight="1" x14ac:dyDescent="0.3">
      <c r="B70" s="40" t="s">
        <v>64</v>
      </c>
      <c r="C70" s="7" t="s">
        <v>94</v>
      </c>
      <c r="D70" s="19">
        <f>14600+34672</f>
        <v>49272</v>
      </c>
      <c r="E70" s="8" t="s">
        <v>5</v>
      </c>
      <c r="F70" s="7"/>
      <c r="G70" s="7" t="s">
        <v>65</v>
      </c>
      <c r="H70" s="3"/>
      <c r="I70" s="4"/>
      <c r="J70" s="4"/>
      <c r="K70" s="4"/>
      <c r="L70" s="4"/>
      <c r="M70" s="38"/>
      <c r="N70" s="4"/>
    </row>
    <row r="71" spans="2:14" ht="18" customHeight="1" x14ac:dyDescent="0.3">
      <c r="B71" s="39" t="s">
        <v>238</v>
      </c>
      <c r="C71" s="7" t="s">
        <v>136</v>
      </c>
      <c r="D71" s="19">
        <v>145</v>
      </c>
      <c r="E71" s="8" t="s">
        <v>3</v>
      </c>
      <c r="F71" s="7" t="s">
        <v>207</v>
      </c>
      <c r="G71" s="7" t="s">
        <v>63</v>
      </c>
      <c r="H71" s="3"/>
      <c r="I71" s="4"/>
      <c r="J71" s="4"/>
      <c r="K71" s="4"/>
      <c r="L71" s="4"/>
      <c r="M71" s="38"/>
      <c r="N71" s="4"/>
    </row>
    <row r="72" spans="2:14" ht="18" customHeight="1" x14ac:dyDescent="0.3">
      <c r="B72" s="39" t="s">
        <v>239</v>
      </c>
      <c r="C72" s="7" t="s">
        <v>136</v>
      </c>
      <c r="D72" s="19">
        <v>100</v>
      </c>
      <c r="E72" s="8" t="s">
        <v>3</v>
      </c>
      <c r="F72" s="7" t="s">
        <v>221</v>
      </c>
      <c r="G72" s="7" t="s">
        <v>247</v>
      </c>
      <c r="H72" s="3"/>
      <c r="I72" s="4"/>
      <c r="J72" s="4"/>
      <c r="K72" s="4"/>
      <c r="L72" s="4"/>
      <c r="M72" s="38"/>
      <c r="N72" s="4"/>
    </row>
    <row r="73" spans="2:14" ht="18" customHeight="1" x14ac:dyDescent="0.3">
      <c r="B73" s="39" t="s">
        <v>240</v>
      </c>
      <c r="C73" s="7" t="s">
        <v>137</v>
      </c>
      <c r="D73" s="19">
        <v>120</v>
      </c>
      <c r="E73" s="8" t="s">
        <v>3</v>
      </c>
      <c r="F73" s="7" t="s">
        <v>223</v>
      </c>
      <c r="G73" s="7" t="s">
        <v>59</v>
      </c>
      <c r="H73" s="3"/>
      <c r="I73" s="4"/>
      <c r="J73" s="4"/>
      <c r="K73" s="4"/>
      <c r="L73" s="4"/>
      <c r="M73" s="38"/>
      <c r="N73" s="4"/>
    </row>
    <row r="74" spans="2:14" ht="18" customHeight="1" x14ac:dyDescent="0.3">
      <c r="B74" s="39" t="s">
        <v>241</v>
      </c>
      <c r="C74" s="7" t="s">
        <v>137</v>
      </c>
      <c r="D74" s="19">
        <v>820</v>
      </c>
      <c r="E74" s="8" t="s">
        <v>3</v>
      </c>
      <c r="F74" s="7" t="s">
        <v>222</v>
      </c>
      <c r="G74" s="7" t="s">
        <v>37</v>
      </c>
      <c r="H74" s="3"/>
      <c r="I74" s="4"/>
      <c r="J74" s="4"/>
      <c r="K74" s="4"/>
      <c r="L74" s="4"/>
      <c r="M74" s="38"/>
      <c r="N74" s="4"/>
    </row>
    <row r="75" spans="2:14" ht="18" customHeight="1" x14ac:dyDescent="0.3">
      <c r="B75" s="39"/>
      <c r="C75" s="7"/>
      <c r="D75" s="19"/>
      <c r="E75" s="8"/>
      <c r="F75" s="7"/>
      <c r="G75" s="7"/>
      <c r="H75" s="3"/>
      <c r="I75" s="4"/>
      <c r="J75" s="4"/>
      <c r="K75" s="4"/>
      <c r="L75" s="4"/>
      <c r="M75" s="38"/>
      <c r="N75" s="4"/>
    </row>
    <row r="76" spans="2:14" ht="18" customHeight="1" x14ac:dyDescent="0.3">
      <c r="B76" s="41" t="s">
        <v>83</v>
      </c>
      <c r="C76" s="10"/>
      <c r="D76" s="31"/>
      <c r="E76" s="11"/>
      <c r="F76" s="10"/>
      <c r="G76" s="10"/>
      <c r="H76" s="24"/>
      <c r="I76" s="25"/>
      <c r="J76" s="25"/>
      <c r="K76" s="25"/>
      <c r="L76" s="25"/>
      <c r="M76" s="42"/>
      <c r="N76" s="4"/>
    </row>
    <row r="77" spans="2:14" ht="18" customHeight="1" x14ac:dyDescent="0.3">
      <c r="B77" s="43" t="s">
        <v>81</v>
      </c>
      <c r="C77" s="7"/>
      <c r="D77" s="19"/>
      <c r="E77" s="7"/>
      <c r="F77" s="7"/>
      <c r="G77" s="7"/>
      <c r="H77" s="14" t="s">
        <v>23</v>
      </c>
      <c r="I77" s="5" t="s">
        <v>24</v>
      </c>
      <c r="J77" s="4"/>
      <c r="K77" s="4"/>
      <c r="L77" s="4"/>
      <c r="M77" s="38"/>
      <c r="N77" s="4"/>
    </row>
    <row r="78" spans="2:14" ht="18" customHeight="1" x14ac:dyDescent="0.3">
      <c r="B78" s="39" t="s">
        <v>259</v>
      </c>
      <c r="C78" s="7" t="s">
        <v>128</v>
      </c>
      <c r="D78" s="19">
        <v>425</v>
      </c>
      <c r="E78" s="8" t="s">
        <v>142</v>
      </c>
      <c r="F78" s="9" t="s">
        <v>90</v>
      </c>
      <c r="G78" s="7"/>
      <c r="H78" s="12">
        <v>1</v>
      </c>
      <c r="I78" s="3">
        <v>0</v>
      </c>
      <c r="J78" s="4"/>
      <c r="K78" s="4"/>
      <c r="L78" s="4"/>
      <c r="M78" s="38"/>
      <c r="N78" s="4"/>
    </row>
    <row r="79" spans="2:14" ht="18" customHeight="1" x14ac:dyDescent="0.3">
      <c r="B79" s="39" t="s">
        <v>254</v>
      </c>
      <c r="C79" s="7" t="s">
        <v>89</v>
      </c>
      <c r="D79" s="19">
        <v>4534</v>
      </c>
      <c r="E79" s="8" t="s">
        <v>6</v>
      </c>
      <c r="F79" s="7" t="s">
        <v>109</v>
      </c>
      <c r="G79" s="7"/>
      <c r="H79" s="12">
        <v>1</v>
      </c>
      <c r="I79" s="3">
        <v>0</v>
      </c>
      <c r="J79" s="4"/>
      <c r="K79" s="4"/>
      <c r="L79" s="4"/>
      <c r="M79" s="38"/>
      <c r="N79" s="4"/>
    </row>
    <row r="80" spans="2:14" ht="18" customHeight="1" x14ac:dyDescent="0.3">
      <c r="B80" s="39" t="s">
        <v>264</v>
      </c>
      <c r="C80" s="7" t="s">
        <v>88</v>
      </c>
      <c r="D80" s="19">
        <v>3000</v>
      </c>
      <c r="E80" s="8" t="s">
        <v>5</v>
      </c>
      <c r="F80" s="7" t="s">
        <v>284</v>
      </c>
      <c r="G80" s="7"/>
      <c r="H80" s="12">
        <v>0.97512437810945196</v>
      </c>
      <c r="I80" s="3">
        <v>2.4875621890547199E-2</v>
      </c>
      <c r="J80" s="4"/>
      <c r="K80" s="4"/>
      <c r="L80" s="4"/>
      <c r="M80" s="38"/>
      <c r="N80" s="4"/>
    </row>
    <row r="81" spans="2:14" ht="18" customHeight="1" x14ac:dyDescent="0.3">
      <c r="B81" s="39" t="s">
        <v>265</v>
      </c>
      <c r="C81" s="7" t="s">
        <v>88</v>
      </c>
      <c r="D81" s="19">
        <v>80</v>
      </c>
      <c r="E81" s="8" t="s">
        <v>5</v>
      </c>
      <c r="F81" s="7" t="s">
        <v>285</v>
      </c>
      <c r="G81" s="7"/>
      <c r="H81" s="12">
        <v>0.97512437810945196</v>
      </c>
      <c r="I81" s="3">
        <v>2.4875621890547199E-2</v>
      </c>
      <c r="J81" s="4"/>
      <c r="K81" s="4"/>
      <c r="L81" s="4"/>
      <c r="M81" s="38"/>
      <c r="N81" s="4"/>
    </row>
    <row r="82" spans="2:14" ht="18" customHeight="1" x14ac:dyDescent="0.3">
      <c r="B82" s="39" t="s">
        <v>274</v>
      </c>
      <c r="C82" s="7" t="s">
        <v>153</v>
      </c>
      <c r="D82" s="19">
        <v>150</v>
      </c>
      <c r="E82" s="8" t="s">
        <v>3</v>
      </c>
      <c r="F82" s="7" t="s">
        <v>108</v>
      </c>
      <c r="G82" s="7" t="s">
        <v>87</v>
      </c>
      <c r="H82" s="12">
        <v>1</v>
      </c>
      <c r="I82" s="3">
        <v>0</v>
      </c>
      <c r="J82" s="4"/>
      <c r="K82" s="4"/>
      <c r="L82" s="4"/>
      <c r="M82" s="38"/>
      <c r="N82" s="4"/>
    </row>
    <row r="83" spans="2:14" ht="18" customHeight="1" x14ac:dyDescent="0.3">
      <c r="B83" s="39" t="s">
        <v>4</v>
      </c>
      <c r="C83" s="7" t="s">
        <v>86</v>
      </c>
      <c r="D83" s="19">
        <v>31</v>
      </c>
      <c r="E83" s="8" t="s">
        <v>5</v>
      </c>
      <c r="F83" s="7" t="s">
        <v>114</v>
      </c>
      <c r="G83" s="7"/>
      <c r="H83" s="12">
        <v>1</v>
      </c>
      <c r="I83" s="3">
        <v>0</v>
      </c>
      <c r="J83" s="4"/>
      <c r="K83" s="4"/>
      <c r="L83" s="4"/>
      <c r="M83" s="38"/>
      <c r="N83" s="4"/>
    </row>
    <row r="84" spans="2:14" ht="18" customHeight="1" x14ac:dyDescent="0.3">
      <c r="B84" s="39" t="s">
        <v>16</v>
      </c>
      <c r="C84" s="7" t="s">
        <v>86</v>
      </c>
      <c r="D84" s="19">
        <v>175</v>
      </c>
      <c r="E84" s="8" t="s">
        <v>5</v>
      </c>
      <c r="F84" s="7" t="s">
        <v>115</v>
      </c>
      <c r="G84" s="7" t="s">
        <v>116</v>
      </c>
      <c r="H84" s="12">
        <v>1</v>
      </c>
      <c r="I84" s="3">
        <v>0</v>
      </c>
      <c r="J84" s="4"/>
      <c r="K84" s="4"/>
      <c r="L84" s="4"/>
      <c r="M84" s="38"/>
      <c r="N84" s="4"/>
    </row>
    <row r="85" spans="2:14" ht="18" customHeight="1" x14ac:dyDescent="0.3">
      <c r="B85" s="39" t="s">
        <v>200</v>
      </c>
      <c r="C85" s="7" t="s">
        <v>86</v>
      </c>
      <c r="D85" s="19">
        <v>11</v>
      </c>
      <c r="E85" s="8" t="s">
        <v>3</v>
      </c>
      <c r="F85" s="7" t="s">
        <v>104</v>
      </c>
      <c r="G85" s="7"/>
      <c r="H85" s="12">
        <v>1</v>
      </c>
      <c r="I85" s="3">
        <v>0</v>
      </c>
      <c r="J85" s="4"/>
      <c r="K85" s="4"/>
      <c r="L85" s="4"/>
      <c r="M85" s="38"/>
      <c r="N85" s="4"/>
    </row>
    <row r="86" spans="2:14" ht="18" customHeight="1" x14ac:dyDescent="0.3">
      <c r="B86" s="39" t="s">
        <v>96</v>
      </c>
      <c r="C86" s="7" t="s">
        <v>86</v>
      </c>
      <c r="D86" s="19">
        <v>120</v>
      </c>
      <c r="E86" s="8" t="s">
        <v>3</v>
      </c>
      <c r="F86" s="7" t="s">
        <v>110</v>
      </c>
      <c r="G86" s="7"/>
      <c r="H86" s="12">
        <v>1</v>
      </c>
      <c r="I86" s="3">
        <v>0</v>
      </c>
      <c r="J86" s="4"/>
      <c r="K86" s="4"/>
      <c r="L86" s="4"/>
      <c r="M86" s="38"/>
      <c r="N86" s="4"/>
    </row>
    <row r="87" spans="2:14" ht="18" customHeight="1" x14ac:dyDescent="0.3">
      <c r="B87" s="39" t="s">
        <v>199</v>
      </c>
      <c r="C87" s="7" t="s">
        <v>86</v>
      </c>
      <c r="D87" s="19">
        <v>100000</v>
      </c>
      <c r="E87" s="8" t="s">
        <v>3</v>
      </c>
      <c r="F87" s="7" t="s">
        <v>111</v>
      </c>
      <c r="G87" s="7" t="s">
        <v>117</v>
      </c>
      <c r="H87" s="12">
        <v>0.97512437810945196</v>
      </c>
      <c r="I87" s="3">
        <v>2.4875621890547199E-2</v>
      </c>
      <c r="J87" s="4"/>
      <c r="K87" s="4"/>
      <c r="L87" s="4"/>
      <c r="M87" s="38"/>
      <c r="N87" s="4"/>
    </row>
    <row r="88" spans="2:14" ht="18" customHeight="1" x14ac:dyDescent="0.3">
      <c r="B88" s="39" t="s">
        <v>9</v>
      </c>
      <c r="C88" s="7" t="s">
        <v>86</v>
      </c>
      <c r="D88" s="19">
        <v>650</v>
      </c>
      <c r="E88" s="8" t="s">
        <v>3</v>
      </c>
      <c r="F88" s="7" t="s">
        <v>112</v>
      </c>
      <c r="G88" s="7" t="s">
        <v>118</v>
      </c>
      <c r="H88" s="12">
        <v>0.97512437810945196</v>
      </c>
      <c r="I88" s="3">
        <v>2.4875621890547199E-2</v>
      </c>
      <c r="J88" s="4"/>
      <c r="K88" s="4"/>
      <c r="L88" s="4"/>
      <c r="M88" s="38"/>
      <c r="N88" s="4"/>
    </row>
    <row r="89" spans="2:14" ht="18" customHeight="1" x14ac:dyDescent="0.3">
      <c r="B89" s="39" t="s">
        <v>275</v>
      </c>
      <c r="C89" s="7" t="s">
        <v>86</v>
      </c>
      <c r="D89" s="19">
        <v>13</v>
      </c>
      <c r="E89" s="8" t="s">
        <v>3</v>
      </c>
      <c r="F89" s="7" t="s">
        <v>103</v>
      </c>
      <c r="G89" s="7" t="s">
        <v>76</v>
      </c>
      <c r="H89" s="12">
        <v>0.97512437810945196</v>
      </c>
      <c r="I89" s="3">
        <v>2.4875621890547199E-2</v>
      </c>
      <c r="J89" s="4"/>
      <c r="K89" s="4"/>
      <c r="L89" s="4"/>
      <c r="M89" s="38"/>
      <c r="N89" s="4"/>
    </row>
    <row r="90" spans="2:14" ht="18" customHeight="1" x14ac:dyDescent="0.3">
      <c r="B90" s="39" t="s">
        <v>258</v>
      </c>
      <c r="C90" s="7" t="s">
        <v>91</v>
      </c>
      <c r="D90" s="19">
        <f>2000+3500+800</f>
        <v>6300</v>
      </c>
      <c r="E90" s="8" t="s">
        <v>3</v>
      </c>
      <c r="F90" s="7" t="s">
        <v>105</v>
      </c>
      <c r="G90" s="7" t="s">
        <v>102</v>
      </c>
      <c r="H90" s="12">
        <v>1</v>
      </c>
      <c r="I90" s="3">
        <v>0</v>
      </c>
      <c r="J90" s="4"/>
      <c r="K90" s="4"/>
      <c r="L90" s="4"/>
      <c r="M90" s="38"/>
      <c r="N90" s="4"/>
    </row>
    <row r="91" spans="2:14" ht="18" customHeight="1" x14ac:dyDescent="0.3">
      <c r="B91" s="39" t="s">
        <v>256</v>
      </c>
      <c r="C91" s="7" t="s">
        <v>91</v>
      </c>
      <c r="D91" s="19">
        <v>2</v>
      </c>
      <c r="E91" s="8" t="s">
        <v>20</v>
      </c>
      <c r="F91" s="7" t="s">
        <v>107</v>
      </c>
      <c r="G91" s="7" t="s">
        <v>100</v>
      </c>
      <c r="H91" s="12">
        <v>1</v>
      </c>
      <c r="I91" s="3">
        <v>0</v>
      </c>
      <c r="J91" s="4"/>
      <c r="K91" s="4"/>
      <c r="L91" s="4"/>
      <c r="M91" s="38"/>
      <c r="N91" s="4"/>
    </row>
    <row r="92" spans="2:14" ht="18" customHeight="1" x14ac:dyDescent="0.3">
      <c r="B92" s="39" t="s">
        <v>257</v>
      </c>
      <c r="C92" s="7" t="s">
        <v>93</v>
      </c>
      <c r="D92" s="19">
        <v>182500</v>
      </c>
      <c r="E92" s="8" t="s">
        <v>18</v>
      </c>
      <c r="F92" s="7" t="s">
        <v>106</v>
      </c>
      <c r="G92" s="7" t="s">
        <v>101</v>
      </c>
      <c r="H92" s="12">
        <v>1</v>
      </c>
      <c r="I92" s="3">
        <v>0</v>
      </c>
      <c r="J92" s="4"/>
      <c r="K92" s="4"/>
      <c r="L92" s="4"/>
      <c r="M92" s="38"/>
      <c r="N92" s="4"/>
    </row>
    <row r="93" spans="2:14" ht="18" customHeight="1" x14ac:dyDescent="0.3">
      <c r="B93" s="39" t="s">
        <v>10</v>
      </c>
      <c r="C93" s="7" t="s">
        <v>92</v>
      </c>
      <c r="D93" s="19">
        <f>800+331.4+100000</f>
        <v>101131.4</v>
      </c>
      <c r="E93" s="8" t="s">
        <v>3</v>
      </c>
      <c r="F93" s="7" t="s">
        <v>113</v>
      </c>
      <c r="G93" s="7" t="s">
        <v>119</v>
      </c>
      <c r="H93" s="12">
        <v>0.97512437810945196</v>
      </c>
      <c r="I93" s="3">
        <v>2.4875621890547199E-2</v>
      </c>
      <c r="J93" s="4"/>
      <c r="K93" s="4"/>
      <c r="L93" s="4"/>
      <c r="M93" s="38"/>
      <c r="N93" s="4"/>
    </row>
    <row r="94" spans="2:14" ht="18" customHeight="1" x14ac:dyDescent="0.3">
      <c r="B94" s="43" t="s">
        <v>82</v>
      </c>
      <c r="C94" s="6"/>
      <c r="D94" s="32"/>
      <c r="E94" s="13"/>
      <c r="F94" s="6"/>
      <c r="G94" s="6"/>
      <c r="H94" s="3"/>
      <c r="I94" s="4"/>
      <c r="J94" s="4"/>
      <c r="K94" s="4"/>
      <c r="L94" s="4"/>
      <c r="M94" s="38"/>
      <c r="N94" s="4"/>
    </row>
    <row r="95" spans="2:14" ht="18" customHeight="1" x14ac:dyDescent="0.3">
      <c r="B95" s="40" t="s">
        <v>23</v>
      </c>
      <c r="C95" s="7" t="s">
        <v>94</v>
      </c>
      <c r="D95" s="19">
        <v>29400</v>
      </c>
      <c r="E95" s="8" t="s">
        <v>3</v>
      </c>
      <c r="F95" s="9" t="s">
        <v>90</v>
      </c>
      <c r="G95" s="7"/>
      <c r="H95" s="3"/>
      <c r="I95" s="4"/>
      <c r="J95" s="4"/>
      <c r="K95" s="4"/>
      <c r="L95" s="4"/>
      <c r="M95" s="38"/>
      <c r="N95" s="4"/>
    </row>
    <row r="96" spans="2:14" ht="18" customHeight="1" x14ac:dyDescent="0.3">
      <c r="B96" s="40" t="s">
        <v>24</v>
      </c>
      <c r="C96" s="7" t="s">
        <v>94</v>
      </c>
      <c r="D96" s="19">
        <v>750</v>
      </c>
      <c r="E96" s="8" t="s">
        <v>3</v>
      </c>
      <c r="F96" s="9" t="s">
        <v>90</v>
      </c>
      <c r="G96" s="7"/>
      <c r="H96" s="3"/>
      <c r="I96" s="4"/>
      <c r="J96" s="4"/>
      <c r="K96" s="4"/>
      <c r="L96" s="4"/>
      <c r="M96" s="38"/>
      <c r="N96" s="4"/>
    </row>
    <row r="97" spans="2:14" ht="18" customHeight="1" x14ac:dyDescent="0.3">
      <c r="B97" s="39" t="s">
        <v>7</v>
      </c>
      <c r="C97" s="7" t="s">
        <v>97</v>
      </c>
      <c r="D97" s="19">
        <f>100000+650</f>
        <v>100650</v>
      </c>
      <c r="E97" s="8" t="s">
        <v>3</v>
      </c>
      <c r="F97" s="7" t="s">
        <v>291</v>
      </c>
      <c r="G97" s="7"/>
      <c r="H97" s="12">
        <v>0.97512437810945196</v>
      </c>
      <c r="I97" s="3">
        <v>2.4875621890547199E-2</v>
      </c>
      <c r="J97" s="4"/>
      <c r="K97" s="4"/>
      <c r="L97" s="4"/>
      <c r="M97" s="38"/>
      <c r="N97" s="4"/>
    </row>
    <row r="98" spans="2:14" ht="18" customHeight="1" x14ac:dyDescent="0.3">
      <c r="B98" s="39" t="s">
        <v>8</v>
      </c>
      <c r="C98" s="7" t="s">
        <v>97</v>
      </c>
      <c r="D98" s="19">
        <f>12.4+175+11+13+120</f>
        <v>331.4</v>
      </c>
      <c r="E98" s="8" t="s">
        <v>3</v>
      </c>
      <c r="F98" s="7" t="s">
        <v>292</v>
      </c>
      <c r="G98" s="7" t="s">
        <v>121</v>
      </c>
      <c r="H98" s="12">
        <v>0.97512437810945196</v>
      </c>
      <c r="I98" s="3">
        <v>2.4875621890547199E-2</v>
      </c>
      <c r="J98" s="4"/>
      <c r="K98" s="4"/>
      <c r="L98" s="4"/>
      <c r="M98" s="38"/>
      <c r="N98" s="4"/>
    </row>
    <row r="99" spans="2:14" ht="18" customHeight="1" x14ac:dyDescent="0.3">
      <c r="B99" s="39" t="s">
        <v>262</v>
      </c>
      <c r="C99" s="7" t="s">
        <v>97</v>
      </c>
      <c r="D99" s="19">
        <v>3000</v>
      </c>
      <c r="E99" s="8" t="s">
        <v>5</v>
      </c>
      <c r="F99" s="7" t="s">
        <v>284</v>
      </c>
      <c r="G99" s="7"/>
      <c r="H99" s="12">
        <v>0.97512437810945196</v>
      </c>
      <c r="I99" s="3">
        <v>2.4875621890547199E-2</v>
      </c>
      <c r="J99" s="4"/>
      <c r="K99" s="4"/>
      <c r="L99" s="4"/>
      <c r="M99" s="38"/>
      <c r="N99" s="4"/>
    </row>
    <row r="100" spans="2:14" ht="18" customHeight="1" x14ac:dyDescent="0.3">
      <c r="B100" s="39" t="s">
        <v>263</v>
      </c>
      <c r="C100" s="7" t="s">
        <v>97</v>
      </c>
      <c r="D100" s="19">
        <v>80</v>
      </c>
      <c r="E100" s="8" t="s">
        <v>5</v>
      </c>
      <c r="F100" s="7" t="s">
        <v>285</v>
      </c>
      <c r="G100" s="7"/>
      <c r="H100" s="12">
        <v>0.97512437810945196</v>
      </c>
      <c r="I100" s="3">
        <v>2.4875621890547199E-2</v>
      </c>
      <c r="J100" s="4"/>
      <c r="K100" s="4"/>
      <c r="L100" s="4"/>
      <c r="M100" s="38"/>
      <c r="N100" s="4"/>
    </row>
    <row r="101" spans="2:14" ht="18" customHeight="1" x14ac:dyDescent="0.3">
      <c r="B101" s="39" t="s">
        <v>276</v>
      </c>
      <c r="C101" s="7" t="s">
        <v>136</v>
      </c>
      <c r="D101" s="19">
        <v>12</v>
      </c>
      <c r="E101" s="8" t="s">
        <v>3</v>
      </c>
      <c r="F101" s="7" t="s">
        <v>120</v>
      </c>
      <c r="G101" s="7" t="s">
        <v>99</v>
      </c>
      <c r="H101" s="12">
        <v>1</v>
      </c>
      <c r="I101" s="3">
        <v>0</v>
      </c>
      <c r="J101" s="4"/>
      <c r="K101" s="4"/>
      <c r="L101" s="4"/>
      <c r="M101" s="38"/>
      <c r="N101" s="4"/>
    </row>
    <row r="102" spans="2:14" ht="18" customHeight="1" x14ac:dyDescent="0.3">
      <c r="B102" s="39"/>
      <c r="C102" s="7"/>
      <c r="D102" s="19"/>
      <c r="E102" s="8"/>
      <c r="F102" s="7"/>
      <c r="G102" s="7"/>
      <c r="H102" s="3"/>
      <c r="I102" s="4"/>
      <c r="J102" s="4"/>
      <c r="K102" s="4"/>
      <c r="L102" s="4"/>
      <c r="M102" s="38"/>
      <c r="N102" s="4"/>
    </row>
    <row r="103" spans="2:14" ht="18" customHeight="1" x14ac:dyDescent="0.3">
      <c r="B103" s="41" t="s">
        <v>84</v>
      </c>
      <c r="C103" s="10"/>
      <c r="D103" s="31"/>
      <c r="E103" s="11"/>
      <c r="F103" s="10"/>
      <c r="G103" s="10"/>
      <c r="H103" s="24"/>
      <c r="I103" s="25"/>
      <c r="J103" s="25"/>
      <c r="K103" s="25"/>
      <c r="L103" s="25"/>
      <c r="M103" s="42"/>
      <c r="N103" s="4"/>
    </row>
    <row r="104" spans="2:14" ht="18" customHeight="1" x14ac:dyDescent="0.3">
      <c r="B104" s="37" t="s">
        <v>81</v>
      </c>
      <c r="C104" s="6"/>
      <c r="D104" s="32"/>
      <c r="E104" s="13"/>
      <c r="F104" s="6"/>
      <c r="G104" s="6"/>
      <c r="H104" s="14" t="s">
        <v>79</v>
      </c>
      <c r="I104" s="5" t="s">
        <v>78</v>
      </c>
      <c r="J104" s="4"/>
      <c r="K104" s="4"/>
      <c r="L104" s="4"/>
      <c r="M104" s="38"/>
      <c r="N104" s="4"/>
    </row>
    <row r="105" spans="2:14" ht="18" customHeight="1" x14ac:dyDescent="0.3">
      <c r="B105" s="39" t="s">
        <v>36</v>
      </c>
      <c r="C105" s="7" t="s">
        <v>201</v>
      </c>
      <c r="D105" s="19">
        <v>55</v>
      </c>
      <c r="E105" s="8" t="s">
        <v>5</v>
      </c>
      <c r="F105" s="7" t="s">
        <v>130</v>
      </c>
      <c r="G105" s="7" t="s">
        <v>129</v>
      </c>
      <c r="H105" s="12">
        <v>1</v>
      </c>
      <c r="I105" s="3">
        <v>0</v>
      </c>
      <c r="J105" s="4"/>
      <c r="K105" s="4"/>
      <c r="L105" s="4"/>
      <c r="M105" s="38"/>
      <c r="N105" s="4"/>
    </row>
    <row r="106" spans="2:14" ht="18" customHeight="1" x14ac:dyDescent="0.3">
      <c r="B106" s="39" t="s">
        <v>271</v>
      </c>
      <c r="C106" s="7" t="s">
        <v>91</v>
      </c>
      <c r="D106" s="19">
        <f>11*3</f>
        <v>33</v>
      </c>
      <c r="E106" s="8" t="s">
        <v>3</v>
      </c>
      <c r="F106" s="7" t="s">
        <v>124</v>
      </c>
      <c r="G106" s="7" t="s">
        <v>98</v>
      </c>
      <c r="H106" s="12">
        <v>1</v>
      </c>
      <c r="I106" s="3">
        <v>0</v>
      </c>
      <c r="J106" s="4"/>
      <c r="K106" s="4"/>
      <c r="L106" s="4"/>
      <c r="M106" s="38"/>
      <c r="N106" s="4"/>
    </row>
    <row r="107" spans="2:14" ht="18" customHeight="1" x14ac:dyDescent="0.3">
      <c r="B107" s="39" t="s">
        <v>272</v>
      </c>
      <c r="C107" s="7" t="s">
        <v>93</v>
      </c>
      <c r="D107" s="19">
        <f>(55*0.916)*120</f>
        <v>6045.6</v>
      </c>
      <c r="E107" s="8" t="s">
        <v>18</v>
      </c>
      <c r="F107" s="7" t="s">
        <v>125</v>
      </c>
      <c r="G107" s="7" t="s">
        <v>77</v>
      </c>
      <c r="H107" s="12">
        <v>1</v>
      </c>
      <c r="I107" s="3">
        <v>0</v>
      </c>
      <c r="J107" s="4"/>
      <c r="K107" s="4"/>
      <c r="L107" s="4"/>
      <c r="M107" s="38"/>
      <c r="N107" s="4"/>
    </row>
    <row r="108" spans="2:14" ht="18" customHeight="1" x14ac:dyDescent="0.3">
      <c r="B108" s="39" t="s">
        <v>273</v>
      </c>
      <c r="C108" s="7" t="s">
        <v>93</v>
      </c>
      <c r="D108" s="19">
        <f>29400*25</f>
        <v>735000</v>
      </c>
      <c r="E108" s="8" t="s">
        <v>18</v>
      </c>
      <c r="F108" s="7" t="s">
        <v>126</v>
      </c>
      <c r="G108" s="7" t="s">
        <v>203</v>
      </c>
      <c r="H108" s="12">
        <v>0</v>
      </c>
      <c r="I108" s="3">
        <v>1</v>
      </c>
      <c r="J108" s="4"/>
      <c r="K108" s="4"/>
      <c r="L108" s="4"/>
      <c r="M108" s="38"/>
      <c r="N108" s="4"/>
    </row>
    <row r="109" spans="2:14" ht="18" customHeight="1" x14ac:dyDescent="0.3">
      <c r="B109" s="43" t="s">
        <v>82</v>
      </c>
      <c r="C109" s="6"/>
      <c r="D109" s="32"/>
      <c r="E109" s="13"/>
      <c r="F109" s="6"/>
      <c r="G109" s="6"/>
      <c r="H109" s="12"/>
      <c r="I109" s="3"/>
      <c r="J109" s="4"/>
      <c r="K109" s="4"/>
      <c r="L109" s="4"/>
      <c r="M109" s="38"/>
      <c r="N109" s="4"/>
    </row>
    <row r="110" spans="2:14" ht="18" customHeight="1" x14ac:dyDescent="0.3">
      <c r="B110" s="40" t="s">
        <v>78</v>
      </c>
      <c r="C110" s="7" t="s">
        <v>94</v>
      </c>
      <c r="D110" s="19">
        <v>29400</v>
      </c>
      <c r="E110" s="8" t="s">
        <v>3</v>
      </c>
      <c r="F110" s="7"/>
      <c r="G110" s="7"/>
      <c r="H110" s="12"/>
      <c r="I110" s="3"/>
      <c r="J110" s="4"/>
      <c r="K110" s="4"/>
      <c r="L110" s="4"/>
      <c r="M110" s="38"/>
      <c r="N110" s="4"/>
    </row>
    <row r="111" spans="2:14" ht="18" customHeight="1" x14ac:dyDescent="0.3">
      <c r="B111" s="40" t="s">
        <v>79</v>
      </c>
      <c r="C111" s="7" t="s">
        <v>94</v>
      </c>
      <c r="D111" s="19">
        <v>55</v>
      </c>
      <c r="E111" s="8" t="s">
        <v>5</v>
      </c>
      <c r="F111" s="7"/>
      <c r="G111" s="7"/>
      <c r="H111" s="12"/>
      <c r="I111" s="3"/>
      <c r="J111" s="4"/>
      <c r="K111" s="4"/>
      <c r="L111" s="4"/>
      <c r="M111" s="38"/>
      <c r="N111" s="4"/>
    </row>
    <row r="112" spans="2:14" ht="18" customHeight="1" x14ac:dyDescent="0.3">
      <c r="B112" s="39" t="s">
        <v>238</v>
      </c>
      <c r="C112" s="7" t="s">
        <v>136</v>
      </c>
      <c r="D112" s="19">
        <f>12+10</f>
        <v>22</v>
      </c>
      <c r="E112" s="8" t="s">
        <v>3</v>
      </c>
      <c r="F112" s="7" t="s">
        <v>120</v>
      </c>
      <c r="G112" s="7" t="s">
        <v>166</v>
      </c>
      <c r="H112" s="12">
        <v>0</v>
      </c>
      <c r="I112" s="3">
        <v>1</v>
      </c>
      <c r="J112" s="4"/>
      <c r="K112" s="4"/>
      <c r="L112" s="4"/>
      <c r="M112" s="38"/>
      <c r="N112" s="4"/>
    </row>
    <row r="113" spans="2:14" ht="18" customHeight="1" x14ac:dyDescent="0.3">
      <c r="B113" s="39" t="s">
        <v>282</v>
      </c>
      <c r="C113" s="7" t="s">
        <v>136</v>
      </c>
      <c r="D113" s="19">
        <v>33</v>
      </c>
      <c r="E113" s="8" t="s">
        <v>3</v>
      </c>
      <c r="F113" s="7" t="s">
        <v>127</v>
      </c>
      <c r="G113" s="7" t="s">
        <v>80</v>
      </c>
      <c r="H113" s="12">
        <v>0</v>
      </c>
      <c r="I113" s="3">
        <v>1</v>
      </c>
      <c r="J113" s="4"/>
      <c r="K113" s="4"/>
      <c r="L113" s="4"/>
      <c r="M113" s="38"/>
      <c r="N113" s="4"/>
    </row>
    <row r="114" spans="2:14" ht="18" customHeight="1" x14ac:dyDescent="0.3">
      <c r="B114" s="39"/>
      <c r="C114" s="7"/>
      <c r="D114" s="19"/>
      <c r="E114" s="8"/>
      <c r="F114" s="7"/>
      <c r="G114" s="7"/>
      <c r="H114" s="3"/>
      <c r="I114" s="4"/>
      <c r="J114" s="4"/>
      <c r="K114" s="4"/>
      <c r="L114" s="4"/>
      <c r="M114" s="38"/>
      <c r="N114" s="4"/>
    </row>
    <row r="115" spans="2:14" ht="18" customHeight="1" x14ac:dyDescent="0.3">
      <c r="B115" s="44" t="s">
        <v>146</v>
      </c>
      <c r="C115" s="17"/>
      <c r="D115" s="33"/>
      <c r="E115" s="18"/>
      <c r="F115" s="17"/>
      <c r="G115" s="17"/>
      <c r="H115" s="22"/>
      <c r="I115" s="23"/>
      <c r="J115" s="23"/>
      <c r="K115" s="23"/>
      <c r="L115" s="23"/>
      <c r="M115" s="45"/>
      <c r="N115" s="4"/>
    </row>
    <row r="116" spans="2:14" ht="18" customHeight="1" x14ac:dyDescent="0.3">
      <c r="B116" s="37" t="s">
        <v>81</v>
      </c>
      <c r="C116" s="7"/>
      <c r="D116" s="19"/>
      <c r="E116" s="8"/>
      <c r="F116" s="7"/>
      <c r="G116" s="7"/>
      <c r="H116" s="14" t="s">
        <v>22</v>
      </c>
      <c r="I116" s="14" t="s">
        <v>23</v>
      </c>
      <c r="J116" s="14" t="s">
        <v>24</v>
      </c>
      <c r="K116" s="14" t="s">
        <v>25</v>
      </c>
      <c r="L116" s="14" t="s">
        <v>26</v>
      </c>
      <c r="M116" s="46" t="s">
        <v>27</v>
      </c>
      <c r="N116" s="4"/>
    </row>
    <row r="117" spans="2:14" ht="18" customHeight="1" x14ac:dyDescent="0.3">
      <c r="B117" s="39" t="s">
        <v>194</v>
      </c>
      <c r="C117" s="7" t="s">
        <v>128</v>
      </c>
      <c r="D117" s="19">
        <f>1000+1260</f>
        <v>2260</v>
      </c>
      <c r="E117" s="8" t="s">
        <v>142</v>
      </c>
      <c r="F117" s="7"/>
      <c r="G117" s="7" t="s">
        <v>175</v>
      </c>
      <c r="H117" s="12">
        <v>0</v>
      </c>
      <c r="I117" s="12">
        <v>1</v>
      </c>
      <c r="J117" s="12">
        <v>0</v>
      </c>
      <c r="K117" s="12">
        <v>0</v>
      </c>
      <c r="L117" s="12">
        <v>0</v>
      </c>
      <c r="M117" s="47">
        <v>0</v>
      </c>
      <c r="N117" s="4"/>
    </row>
    <row r="118" spans="2:14" ht="18" customHeight="1" x14ac:dyDescent="0.3">
      <c r="B118" s="39" t="s">
        <v>277</v>
      </c>
      <c r="C118" s="7" t="s">
        <v>201</v>
      </c>
      <c r="D118" s="19">
        <v>2422</v>
      </c>
      <c r="E118" s="8" t="s">
        <v>17</v>
      </c>
      <c r="F118" s="7" t="s">
        <v>286</v>
      </c>
      <c r="G118" s="7" t="s">
        <v>174</v>
      </c>
      <c r="H118" s="12">
        <v>0</v>
      </c>
      <c r="I118" s="12">
        <v>1</v>
      </c>
      <c r="J118" s="12">
        <v>0</v>
      </c>
      <c r="K118" s="12">
        <v>0</v>
      </c>
      <c r="L118" s="12">
        <v>0</v>
      </c>
      <c r="M118" s="47">
        <v>0</v>
      </c>
      <c r="N118" s="4"/>
    </row>
    <row r="119" spans="2:14" ht="18" customHeight="1" x14ac:dyDescent="0.3">
      <c r="B119" s="39" t="s">
        <v>254</v>
      </c>
      <c r="C119" s="7" t="s">
        <v>89</v>
      </c>
      <c r="D119" s="19">
        <v>9814</v>
      </c>
      <c r="E119" s="8" t="s">
        <v>6</v>
      </c>
      <c r="F119" s="7" t="s">
        <v>213</v>
      </c>
      <c r="G119" s="7"/>
      <c r="H119" s="12">
        <v>0</v>
      </c>
      <c r="I119" s="12">
        <v>1</v>
      </c>
      <c r="J119" s="12">
        <v>0</v>
      </c>
      <c r="K119" s="12">
        <v>0</v>
      </c>
      <c r="L119" s="12">
        <v>0</v>
      </c>
      <c r="M119" s="47">
        <v>0</v>
      </c>
      <c r="N119" s="4"/>
    </row>
    <row r="120" spans="2:14" ht="18" customHeight="1" x14ac:dyDescent="0.3">
      <c r="B120" s="39" t="s">
        <v>264</v>
      </c>
      <c r="C120" s="7" t="s">
        <v>198</v>
      </c>
      <c r="D120" s="19">
        <v>25054</v>
      </c>
      <c r="E120" s="8" t="s">
        <v>5</v>
      </c>
      <c r="F120" s="7" t="s">
        <v>284</v>
      </c>
      <c r="G120" s="7"/>
      <c r="H120" s="12">
        <f>0.05/4</f>
        <v>1.2500000000000001E-2</v>
      </c>
      <c r="I120" s="12">
        <v>0.7</v>
      </c>
      <c r="J120" s="12">
        <v>0.25</v>
      </c>
      <c r="K120" s="12">
        <f>0.05/4</f>
        <v>1.2500000000000001E-2</v>
      </c>
      <c r="L120" s="12">
        <f>0.05/4</f>
        <v>1.2500000000000001E-2</v>
      </c>
      <c r="M120" s="47">
        <f>0.05/4</f>
        <v>1.2500000000000001E-2</v>
      </c>
      <c r="N120" s="4"/>
    </row>
    <row r="121" spans="2:14" ht="18" customHeight="1" x14ac:dyDescent="0.3">
      <c r="B121" s="39" t="s">
        <v>265</v>
      </c>
      <c r="C121" s="7" t="s">
        <v>198</v>
      </c>
      <c r="D121" s="19">
        <v>100</v>
      </c>
      <c r="E121" s="8" t="s">
        <v>5</v>
      </c>
      <c r="F121" s="7" t="s">
        <v>285</v>
      </c>
      <c r="G121" s="7"/>
      <c r="H121" s="12">
        <f>0.05/4</f>
        <v>1.2500000000000001E-2</v>
      </c>
      <c r="I121" s="12">
        <v>0.7</v>
      </c>
      <c r="J121" s="12">
        <v>0.25</v>
      </c>
      <c r="K121" s="12">
        <f t="shared" ref="K121:M121" si="0">0.05/4</f>
        <v>1.2500000000000001E-2</v>
      </c>
      <c r="L121" s="12">
        <f t="shared" si="0"/>
        <v>1.2500000000000001E-2</v>
      </c>
      <c r="M121" s="47">
        <f t="shared" si="0"/>
        <v>1.2500000000000001E-2</v>
      </c>
      <c r="N121" s="4"/>
    </row>
    <row r="122" spans="2:14" ht="18" customHeight="1" x14ac:dyDescent="0.3">
      <c r="B122" s="39" t="s">
        <v>147</v>
      </c>
      <c r="C122" s="7" t="s">
        <v>153</v>
      </c>
      <c r="D122" s="19">
        <f>800+300</f>
        <v>1100</v>
      </c>
      <c r="E122" s="8" t="s">
        <v>3</v>
      </c>
      <c r="F122" s="7" t="s">
        <v>224</v>
      </c>
      <c r="G122" s="7" t="s">
        <v>167</v>
      </c>
      <c r="H122" s="12">
        <v>0</v>
      </c>
      <c r="I122" s="12">
        <v>0</v>
      </c>
      <c r="J122" s="12">
        <v>0</v>
      </c>
      <c r="K122" s="12">
        <v>0</v>
      </c>
      <c r="L122" s="12">
        <v>1</v>
      </c>
      <c r="M122" s="47">
        <v>0</v>
      </c>
      <c r="N122" s="4"/>
    </row>
    <row r="123" spans="2:14" ht="18" customHeight="1" x14ac:dyDescent="0.3">
      <c r="B123" s="39" t="s">
        <v>274</v>
      </c>
      <c r="C123" s="7" t="s">
        <v>153</v>
      </c>
      <c r="D123" s="19">
        <v>1100</v>
      </c>
      <c r="E123" s="8" t="s">
        <v>3</v>
      </c>
      <c r="F123" s="7" t="s">
        <v>225</v>
      </c>
      <c r="G123" s="7" t="s">
        <v>168</v>
      </c>
      <c r="H123" s="12">
        <v>1</v>
      </c>
      <c r="I123" s="12">
        <v>0</v>
      </c>
      <c r="J123" s="12">
        <v>0</v>
      </c>
      <c r="K123" s="12">
        <v>0</v>
      </c>
      <c r="L123" s="12">
        <v>0</v>
      </c>
      <c r="M123" s="47">
        <v>0</v>
      </c>
      <c r="N123" s="4"/>
    </row>
    <row r="124" spans="2:14" ht="18" customHeight="1" x14ac:dyDescent="0.3">
      <c r="B124" s="39" t="s">
        <v>148</v>
      </c>
      <c r="C124" s="7" t="s">
        <v>153</v>
      </c>
      <c r="D124" s="19">
        <v>600</v>
      </c>
      <c r="E124" s="8" t="s">
        <v>3</v>
      </c>
      <c r="F124" s="7" t="s">
        <v>226</v>
      </c>
      <c r="G124" s="7" t="s">
        <v>169</v>
      </c>
      <c r="H124" s="12">
        <v>0</v>
      </c>
      <c r="I124" s="12">
        <v>0</v>
      </c>
      <c r="J124" s="12">
        <v>0</v>
      </c>
      <c r="K124" s="12">
        <v>1</v>
      </c>
      <c r="L124" s="12">
        <v>0</v>
      </c>
      <c r="M124" s="47">
        <v>0</v>
      </c>
      <c r="N124" s="4"/>
    </row>
    <row r="125" spans="2:14" ht="18" customHeight="1" x14ac:dyDescent="0.3">
      <c r="B125" s="39" t="s">
        <v>4</v>
      </c>
      <c r="C125" s="7" t="s">
        <v>86</v>
      </c>
      <c r="D125" s="19">
        <v>89</v>
      </c>
      <c r="E125" s="8" t="s">
        <v>5</v>
      </c>
      <c r="F125" s="7" t="s">
        <v>114</v>
      </c>
      <c r="G125" s="7"/>
      <c r="H125" s="12">
        <v>0</v>
      </c>
      <c r="I125" s="12">
        <v>1</v>
      </c>
      <c r="J125" s="12">
        <v>0</v>
      </c>
      <c r="K125" s="12">
        <v>0</v>
      </c>
      <c r="L125" s="12">
        <v>0</v>
      </c>
      <c r="M125" s="47">
        <v>0</v>
      </c>
      <c r="N125" s="4"/>
    </row>
    <row r="126" spans="2:14" ht="18" customHeight="1" x14ac:dyDescent="0.3">
      <c r="B126" s="39" t="s">
        <v>16</v>
      </c>
      <c r="C126" s="7" t="s">
        <v>86</v>
      </c>
      <c r="D126" s="19">
        <v>970</v>
      </c>
      <c r="E126" s="8" t="s">
        <v>5</v>
      </c>
      <c r="F126" s="7" t="s">
        <v>287</v>
      </c>
      <c r="G126" s="7"/>
      <c r="H126" s="12">
        <v>0</v>
      </c>
      <c r="I126" s="12">
        <v>1</v>
      </c>
      <c r="J126" s="12">
        <v>0</v>
      </c>
      <c r="K126" s="12">
        <v>0</v>
      </c>
      <c r="L126" s="12">
        <v>0</v>
      </c>
      <c r="M126" s="47">
        <v>0</v>
      </c>
      <c r="N126" s="4"/>
    </row>
    <row r="127" spans="2:14" ht="18" customHeight="1" x14ac:dyDescent="0.3">
      <c r="B127" s="39" t="s">
        <v>200</v>
      </c>
      <c r="C127" s="7" t="s">
        <v>86</v>
      </c>
      <c r="D127" s="19">
        <v>95</v>
      </c>
      <c r="E127" s="8" t="s">
        <v>3</v>
      </c>
      <c r="F127" s="7" t="s">
        <v>288</v>
      </c>
      <c r="G127" s="7" t="s">
        <v>14</v>
      </c>
      <c r="H127" s="12">
        <v>0</v>
      </c>
      <c r="I127" s="12">
        <v>1</v>
      </c>
      <c r="J127" s="12">
        <v>0</v>
      </c>
      <c r="K127" s="12">
        <v>0</v>
      </c>
      <c r="L127" s="12">
        <v>0</v>
      </c>
      <c r="M127" s="47">
        <v>0</v>
      </c>
      <c r="N127" s="4"/>
    </row>
    <row r="128" spans="2:14" ht="18" customHeight="1" x14ac:dyDescent="0.3">
      <c r="B128" s="39" t="s">
        <v>96</v>
      </c>
      <c r="C128" s="7" t="s">
        <v>86</v>
      </c>
      <c r="D128" s="19">
        <v>1320</v>
      </c>
      <c r="E128" s="8" t="s">
        <v>3</v>
      </c>
      <c r="F128" s="7" t="s">
        <v>227</v>
      </c>
      <c r="G128" s="7"/>
      <c r="H128" s="12">
        <v>0</v>
      </c>
      <c r="I128" s="12">
        <v>1</v>
      </c>
      <c r="J128" s="12">
        <v>0</v>
      </c>
      <c r="K128" s="12">
        <v>0</v>
      </c>
      <c r="L128" s="12">
        <v>0</v>
      </c>
      <c r="M128" s="47">
        <v>0</v>
      </c>
      <c r="N128" s="4"/>
    </row>
    <row r="129" spans="2:14" ht="18" customHeight="1" x14ac:dyDescent="0.3">
      <c r="B129" s="39" t="s">
        <v>199</v>
      </c>
      <c r="C129" s="7" t="s">
        <v>86</v>
      </c>
      <c r="D129" s="19">
        <v>100000</v>
      </c>
      <c r="E129" s="8" t="s">
        <v>3</v>
      </c>
      <c r="F129" s="7" t="s">
        <v>228</v>
      </c>
      <c r="G129" s="7" t="s">
        <v>117</v>
      </c>
      <c r="H129" s="12">
        <f t="shared" ref="H129:H137" si="1">0.05/4</f>
        <v>1.2500000000000001E-2</v>
      </c>
      <c r="I129" s="12">
        <v>0.7</v>
      </c>
      <c r="J129" s="12">
        <v>0.25</v>
      </c>
      <c r="K129" s="12">
        <f t="shared" ref="K129:M137" si="2">0.05/4</f>
        <v>1.2500000000000001E-2</v>
      </c>
      <c r="L129" s="12">
        <f t="shared" si="2"/>
        <v>1.2500000000000001E-2</v>
      </c>
      <c r="M129" s="47">
        <f t="shared" si="2"/>
        <v>1.2500000000000001E-2</v>
      </c>
      <c r="N129" s="4"/>
    </row>
    <row r="130" spans="2:14" ht="18" customHeight="1" x14ac:dyDescent="0.3">
      <c r="B130" s="39" t="s">
        <v>9</v>
      </c>
      <c r="C130" s="7" t="s">
        <v>86</v>
      </c>
      <c r="D130" s="19">
        <f>36000+3500</f>
        <v>39500</v>
      </c>
      <c r="E130" s="8" t="s">
        <v>3</v>
      </c>
      <c r="F130" s="7" t="s">
        <v>112</v>
      </c>
      <c r="G130" s="7" t="s">
        <v>170</v>
      </c>
      <c r="H130" s="12">
        <f t="shared" si="1"/>
        <v>1.2500000000000001E-2</v>
      </c>
      <c r="I130" s="12">
        <v>0.7</v>
      </c>
      <c r="J130" s="12">
        <v>0.25</v>
      </c>
      <c r="K130" s="12">
        <f t="shared" si="2"/>
        <v>1.2500000000000001E-2</v>
      </c>
      <c r="L130" s="12">
        <f t="shared" si="2"/>
        <v>1.2500000000000001E-2</v>
      </c>
      <c r="M130" s="47">
        <f t="shared" si="2"/>
        <v>1.2500000000000001E-2</v>
      </c>
      <c r="N130" s="4"/>
    </row>
    <row r="131" spans="2:14" ht="18" customHeight="1" x14ac:dyDescent="0.3">
      <c r="B131" s="39" t="s">
        <v>278</v>
      </c>
      <c r="C131" s="7" t="s">
        <v>86</v>
      </c>
      <c r="D131" s="19">
        <v>28</v>
      </c>
      <c r="E131" s="8" t="s">
        <v>3</v>
      </c>
      <c r="F131" s="7" t="s">
        <v>229</v>
      </c>
      <c r="G131" s="7" t="s">
        <v>171</v>
      </c>
      <c r="H131" s="12">
        <v>0</v>
      </c>
      <c r="I131" s="12">
        <v>1</v>
      </c>
      <c r="J131" s="12">
        <v>0</v>
      </c>
      <c r="K131" s="12">
        <v>0</v>
      </c>
      <c r="L131" s="12">
        <v>0</v>
      </c>
      <c r="M131" s="47">
        <v>0</v>
      </c>
      <c r="N131" s="4"/>
    </row>
    <row r="132" spans="2:14" ht="18" customHeight="1" x14ac:dyDescent="0.3">
      <c r="B132" s="39" t="s">
        <v>11</v>
      </c>
      <c r="C132" s="7" t="s">
        <v>86</v>
      </c>
      <c r="D132" s="19">
        <v>8</v>
      </c>
      <c r="E132" s="8" t="s">
        <v>3</v>
      </c>
      <c r="F132" s="7" t="s">
        <v>214</v>
      </c>
      <c r="G132" s="7" t="s">
        <v>12</v>
      </c>
      <c r="H132" s="12">
        <v>0</v>
      </c>
      <c r="I132" s="12">
        <v>1</v>
      </c>
      <c r="J132" s="12">
        <v>0</v>
      </c>
      <c r="K132" s="12">
        <v>0</v>
      </c>
      <c r="L132" s="12">
        <v>0</v>
      </c>
      <c r="M132" s="47">
        <v>0</v>
      </c>
      <c r="N132" s="4"/>
    </row>
    <row r="133" spans="2:14" ht="18" customHeight="1" x14ac:dyDescent="0.3">
      <c r="B133" s="39" t="s">
        <v>15</v>
      </c>
      <c r="C133" s="7" t="s">
        <v>86</v>
      </c>
      <c r="D133" s="19">
        <f>20+52</f>
        <v>72</v>
      </c>
      <c r="E133" s="8" t="s">
        <v>5</v>
      </c>
      <c r="F133" s="7" t="s">
        <v>289</v>
      </c>
      <c r="G133" s="7" t="s">
        <v>172</v>
      </c>
      <c r="H133" s="12">
        <v>0</v>
      </c>
      <c r="I133" s="12">
        <v>1</v>
      </c>
      <c r="J133" s="12">
        <v>0</v>
      </c>
      <c r="K133" s="12">
        <v>0</v>
      </c>
      <c r="L133" s="12">
        <v>0</v>
      </c>
      <c r="M133" s="47">
        <v>0</v>
      </c>
      <c r="N133" s="4"/>
    </row>
    <row r="134" spans="2:14" ht="18" customHeight="1" x14ac:dyDescent="0.3">
      <c r="B134" s="39" t="s">
        <v>258</v>
      </c>
      <c r="C134" s="7" t="s">
        <v>91</v>
      </c>
      <c r="D134" s="19">
        <f>2742.857143+3571.428571+771.4285714</f>
        <v>7085.7142853999994</v>
      </c>
      <c r="E134" s="8" t="s">
        <v>3</v>
      </c>
      <c r="F134" s="7" t="s">
        <v>204</v>
      </c>
      <c r="G134" s="7" t="s">
        <v>173</v>
      </c>
      <c r="H134" s="12">
        <v>0</v>
      </c>
      <c r="I134" s="12">
        <v>1</v>
      </c>
      <c r="J134" s="12">
        <v>0</v>
      </c>
      <c r="K134" s="12">
        <v>0</v>
      </c>
      <c r="L134" s="12">
        <v>0</v>
      </c>
      <c r="M134" s="47">
        <v>0</v>
      </c>
      <c r="N134" s="4"/>
    </row>
    <row r="135" spans="2:14" ht="18" customHeight="1" x14ac:dyDescent="0.3">
      <c r="B135" s="39" t="s">
        <v>256</v>
      </c>
      <c r="C135" s="7" t="s">
        <v>91</v>
      </c>
      <c r="D135" s="19">
        <f>1.428571429</f>
        <v>1.428571429</v>
      </c>
      <c r="E135" s="8" t="s">
        <v>20</v>
      </c>
      <c r="F135" s="7" t="s">
        <v>230</v>
      </c>
      <c r="G135" s="7" t="s">
        <v>279</v>
      </c>
      <c r="H135" s="12">
        <v>0</v>
      </c>
      <c r="I135" s="12">
        <v>1</v>
      </c>
      <c r="J135" s="12">
        <v>0</v>
      </c>
      <c r="K135" s="12">
        <v>0</v>
      </c>
      <c r="L135" s="12">
        <v>0</v>
      </c>
      <c r="M135" s="47">
        <v>0</v>
      </c>
      <c r="N135" s="4"/>
    </row>
    <row r="136" spans="2:14" ht="18" customHeight="1" x14ac:dyDescent="0.3">
      <c r="B136" s="39" t="s">
        <v>257</v>
      </c>
      <c r="C136" s="7" t="s">
        <v>93</v>
      </c>
      <c r="D136" s="19">
        <f>((1.428571429*500)+2742.857143+3571.428571+771.4285714)*25</f>
        <v>194999.99999749998</v>
      </c>
      <c r="E136" s="8" t="s">
        <v>18</v>
      </c>
      <c r="F136" s="7" t="s">
        <v>206</v>
      </c>
      <c r="G136" s="7" t="s">
        <v>19</v>
      </c>
      <c r="H136" s="12">
        <v>0</v>
      </c>
      <c r="I136" s="12">
        <v>1</v>
      </c>
      <c r="J136" s="12">
        <v>0</v>
      </c>
      <c r="K136" s="12">
        <v>0</v>
      </c>
      <c r="L136" s="12">
        <v>0</v>
      </c>
      <c r="M136" s="47">
        <v>0</v>
      </c>
      <c r="N136" s="4"/>
    </row>
    <row r="137" spans="2:14" ht="18" customHeight="1" x14ac:dyDescent="0.3">
      <c r="B137" s="39" t="s">
        <v>10</v>
      </c>
      <c r="C137" s="7" t="s">
        <v>92</v>
      </c>
      <c r="D137" s="19">
        <v>144759</v>
      </c>
      <c r="E137" s="8" t="s">
        <v>3</v>
      </c>
      <c r="F137" s="7" t="s">
        <v>295</v>
      </c>
      <c r="G137" s="7"/>
      <c r="H137" s="12">
        <f t="shared" si="1"/>
        <v>1.2500000000000001E-2</v>
      </c>
      <c r="I137" s="12">
        <v>0.7</v>
      </c>
      <c r="J137" s="12">
        <v>0.25</v>
      </c>
      <c r="K137" s="12">
        <f t="shared" si="2"/>
        <v>1.2500000000000001E-2</v>
      </c>
      <c r="L137" s="12">
        <f t="shared" si="2"/>
        <v>1.2500000000000001E-2</v>
      </c>
      <c r="M137" s="47">
        <f t="shared" si="2"/>
        <v>1.2500000000000001E-2</v>
      </c>
      <c r="N137" s="4"/>
    </row>
    <row r="138" spans="2:14" ht="18" customHeight="1" x14ac:dyDescent="0.3">
      <c r="B138" s="37" t="s">
        <v>82</v>
      </c>
      <c r="C138" s="7"/>
      <c r="D138" s="19"/>
      <c r="E138" s="8"/>
      <c r="F138" s="7"/>
      <c r="G138" s="7"/>
      <c r="H138" s="3"/>
      <c r="I138" s="4"/>
      <c r="J138" s="4"/>
      <c r="K138" s="4"/>
      <c r="L138" s="4"/>
      <c r="M138" s="38"/>
      <c r="N138" s="4"/>
    </row>
    <row r="139" spans="2:14" ht="18" customHeight="1" x14ac:dyDescent="0.3">
      <c r="B139" s="40" t="s">
        <v>23</v>
      </c>
      <c r="C139" s="7" t="s">
        <v>94</v>
      </c>
      <c r="D139" s="19">
        <v>105938</v>
      </c>
      <c r="E139" s="8" t="s">
        <v>3</v>
      </c>
      <c r="F139" s="7"/>
      <c r="G139" s="7"/>
      <c r="H139" s="3"/>
      <c r="I139" s="4"/>
      <c r="J139" s="4"/>
      <c r="K139" s="4"/>
      <c r="L139" s="4"/>
      <c r="M139" s="38"/>
      <c r="N139" s="4"/>
    </row>
    <row r="140" spans="2:14" ht="18" customHeight="1" x14ac:dyDescent="0.3">
      <c r="B140" s="40" t="s">
        <v>24</v>
      </c>
      <c r="C140" s="7" t="s">
        <v>94</v>
      </c>
      <c r="D140" s="19">
        <f>25508+1000</f>
        <v>26508</v>
      </c>
      <c r="E140" s="8" t="s">
        <v>3</v>
      </c>
      <c r="F140" s="7"/>
      <c r="G140" s="7" t="s">
        <v>176</v>
      </c>
      <c r="H140" s="3"/>
      <c r="I140" s="4"/>
      <c r="J140" s="4"/>
      <c r="K140" s="4"/>
      <c r="L140" s="4"/>
      <c r="M140" s="38"/>
      <c r="N140" s="4"/>
    </row>
    <row r="141" spans="2:14" ht="18" customHeight="1" x14ac:dyDescent="0.3">
      <c r="B141" s="39" t="s">
        <v>22</v>
      </c>
      <c r="C141" s="7" t="s">
        <v>138</v>
      </c>
      <c r="D141" s="19">
        <v>6000</v>
      </c>
      <c r="E141" s="8" t="s">
        <v>3</v>
      </c>
      <c r="F141" s="7"/>
      <c r="G141" s="7" t="s">
        <v>178</v>
      </c>
      <c r="H141" s="3"/>
      <c r="I141" s="4"/>
      <c r="J141" s="4"/>
      <c r="K141" s="4"/>
      <c r="L141" s="4"/>
      <c r="M141" s="38"/>
      <c r="N141" s="4"/>
    </row>
    <row r="142" spans="2:14" ht="18" customHeight="1" x14ac:dyDescent="0.3">
      <c r="B142" s="39" t="s">
        <v>25</v>
      </c>
      <c r="C142" s="7" t="s">
        <v>138</v>
      </c>
      <c r="D142" s="19">
        <v>3000</v>
      </c>
      <c r="E142" s="8" t="s">
        <v>3</v>
      </c>
      <c r="F142" s="7"/>
      <c r="G142" s="7" t="s">
        <v>177</v>
      </c>
      <c r="H142" s="3"/>
      <c r="I142" s="4"/>
      <c r="J142" s="4"/>
      <c r="K142" s="4"/>
      <c r="L142" s="4"/>
      <c r="M142" s="38"/>
      <c r="N142" s="4"/>
    </row>
    <row r="143" spans="2:14" ht="18" customHeight="1" x14ac:dyDescent="0.3">
      <c r="B143" s="39" t="s">
        <v>26</v>
      </c>
      <c r="C143" s="7" t="s">
        <v>138</v>
      </c>
      <c r="D143" s="19">
        <v>1000</v>
      </c>
      <c r="E143" s="8" t="s">
        <v>3</v>
      </c>
      <c r="F143" s="7"/>
      <c r="G143" s="7" t="s">
        <v>179</v>
      </c>
      <c r="H143" s="3"/>
      <c r="I143" s="4"/>
      <c r="J143" s="4"/>
      <c r="K143" s="4"/>
      <c r="L143" s="4"/>
      <c r="M143" s="38"/>
      <c r="N143" s="4"/>
    </row>
    <row r="144" spans="2:14" ht="18" customHeight="1" x14ac:dyDescent="0.3">
      <c r="B144" s="39" t="s">
        <v>202</v>
      </c>
      <c r="C144" s="7" t="s">
        <v>138</v>
      </c>
      <c r="D144" s="19">
        <v>6</v>
      </c>
      <c r="E144" s="8" t="s">
        <v>142</v>
      </c>
      <c r="F144" s="7"/>
      <c r="G144" s="7" t="s">
        <v>28</v>
      </c>
      <c r="H144" s="3"/>
      <c r="I144" s="4"/>
      <c r="J144" s="4"/>
      <c r="K144" s="4"/>
      <c r="L144" s="4"/>
      <c r="M144" s="38"/>
      <c r="N144" s="4"/>
    </row>
    <row r="145" spans="2:14" ht="18" customHeight="1" x14ac:dyDescent="0.3">
      <c r="B145" s="39" t="s">
        <v>7</v>
      </c>
      <c r="C145" s="7" t="s">
        <v>97</v>
      </c>
      <c r="D145" s="19">
        <f>100000+36000+3500</f>
        <v>139500</v>
      </c>
      <c r="E145" s="8" t="s">
        <v>3</v>
      </c>
      <c r="F145" s="7" t="s">
        <v>291</v>
      </c>
      <c r="G145" s="7"/>
      <c r="H145" s="12">
        <f t="shared" ref="H145:H146" si="3">0.05/4</f>
        <v>1.2500000000000001E-2</v>
      </c>
      <c r="I145" s="12">
        <v>0.7</v>
      </c>
      <c r="J145" s="12">
        <v>0.25</v>
      </c>
      <c r="K145" s="12">
        <f t="shared" ref="K145:M146" si="4">0.05/4</f>
        <v>1.2500000000000001E-2</v>
      </c>
      <c r="L145" s="12">
        <f t="shared" si="4"/>
        <v>1.2500000000000001E-2</v>
      </c>
      <c r="M145" s="47">
        <f t="shared" si="4"/>
        <v>1.2500000000000001E-2</v>
      </c>
      <c r="N145" s="4"/>
    </row>
    <row r="146" spans="2:14" ht="18" customHeight="1" x14ac:dyDescent="0.3">
      <c r="B146" s="39" t="s">
        <v>8</v>
      </c>
      <c r="C146" s="7" t="s">
        <v>97</v>
      </c>
      <c r="D146" s="19">
        <v>2465.2399999999998</v>
      </c>
      <c r="E146" s="8" t="s">
        <v>3</v>
      </c>
      <c r="F146" s="7" t="s">
        <v>292</v>
      </c>
      <c r="G146" s="7" t="s">
        <v>180</v>
      </c>
      <c r="H146" s="12">
        <f t="shared" si="3"/>
        <v>1.2500000000000001E-2</v>
      </c>
      <c r="I146" s="12">
        <v>0.7</v>
      </c>
      <c r="J146" s="12">
        <v>0.25</v>
      </c>
      <c r="K146" s="12">
        <f t="shared" si="4"/>
        <v>1.2500000000000001E-2</v>
      </c>
      <c r="L146" s="12">
        <f t="shared" si="4"/>
        <v>1.2500000000000001E-2</v>
      </c>
      <c r="M146" s="47">
        <f t="shared" si="4"/>
        <v>1.2500000000000001E-2</v>
      </c>
      <c r="N146" s="4"/>
    </row>
    <row r="147" spans="2:14" ht="18" customHeight="1" x14ac:dyDescent="0.3">
      <c r="B147" s="39" t="s">
        <v>262</v>
      </c>
      <c r="C147" s="7" t="s">
        <v>97</v>
      </c>
      <c r="D147" s="19">
        <v>25054</v>
      </c>
      <c r="E147" s="8" t="s">
        <v>5</v>
      </c>
      <c r="F147" s="7" t="s">
        <v>284</v>
      </c>
      <c r="G147" s="7"/>
      <c r="H147" s="12">
        <f>0.05/4</f>
        <v>1.2500000000000001E-2</v>
      </c>
      <c r="I147" s="12">
        <v>0.7</v>
      </c>
      <c r="J147" s="12">
        <v>0.25</v>
      </c>
      <c r="K147" s="12">
        <f>0.05/4</f>
        <v>1.2500000000000001E-2</v>
      </c>
      <c r="L147" s="12">
        <f>0.05/4</f>
        <v>1.2500000000000001E-2</v>
      </c>
      <c r="M147" s="47">
        <f>0.05/4</f>
        <v>1.2500000000000001E-2</v>
      </c>
      <c r="N147" s="4"/>
    </row>
    <row r="148" spans="2:14" ht="18" customHeight="1" x14ac:dyDescent="0.3">
      <c r="B148" s="39" t="s">
        <v>263</v>
      </c>
      <c r="C148" s="7" t="s">
        <v>97</v>
      </c>
      <c r="D148" s="19">
        <v>100</v>
      </c>
      <c r="E148" s="8" t="s">
        <v>5</v>
      </c>
      <c r="F148" s="7" t="s">
        <v>285</v>
      </c>
      <c r="G148" s="7"/>
      <c r="H148" s="12">
        <f>0.05/4</f>
        <v>1.2500000000000001E-2</v>
      </c>
      <c r="I148" s="12">
        <v>0.7</v>
      </c>
      <c r="J148" s="12">
        <v>0.25</v>
      </c>
      <c r="K148" s="12">
        <f t="shared" ref="K148:M148" si="5">0.05/4</f>
        <v>1.2500000000000001E-2</v>
      </c>
      <c r="L148" s="12">
        <f t="shared" si="5"/>
        <v>1.2500000000000001E-2</v>
      </c>
      <c r="M148" s="47">
        <f t="shared" si="5"/>
        <v>1.2500000000000001E-2</v>
      </c>
      <c r="N148" s="4"/>
    </row>
    <row r="149" spans="2:14" ht="18" customHeight="1" x14ac:dyDescent="0.3">
      <c r="B149" s="39" t="s">
        <v>283</v>
      </c>
      <c r="C149" s="7" t="s">
        <v>136</v>
      </c>
      <c r="D149" s="19">
        <f>7+100</f>
        <v>107</v>
      </c>
      <c r="E149" s="8" t="s">
        <v>3</v>
      </c>
      <c r="F149" s="7" t="s">
        <v>207</v>
      </c>
      <c r="G149" s="7" t="s">
        <v>29</v>
      </c>
      <c r="H149" s="12">
        <v>0</v>
      </c>
      <c r="I149" s="12">
        <v>1</v>
      </c>
      <c r="J149" s="12">
        <v>0</v>
      </c>
      <c r="K149" s="12">
        <v>0</v>
      </c>
      <c r="L149" s="12">
        <v>0</v>
      </c>
      <c r="M149" s="47">
        <v>0</v>
      </c>
      <c r="N149" s="4"/>
    </row>
    <row r="150" spans="2:14" ht="18" customHeight="1" x14ac:dyDescent="0.3">
      <c r="B150" s="39" t="s">
        <v>261</v>
      </c>
      <c r="C150" s="7" t="s">
        <v>136</v>
      </c>
      <c r="D150" s="19">
        <v>40</v>
      </c>
      <c r="E150" s="8" t="s">
        <v>3</v>
      </c>
      <c r="F150" s="7" t="s">
        <v>208</v>
      </c>
      <c r="G150" s="7" t="s">
        <v>30</v>
      </c>
      <c r="H150" s="12">
        <v>0</v>
      </c>
      <c r="I150" s="12">
        <v>1</v>
      </c>
      <c r="J150" s="12">
        <v>0</v>
      </c>
      <c r="K150" s="12">
        <v>0</v>
      </c>
      <c r="L150" s="12">
        <v>0</v>
      </c>
      <c r="M150" s="47">
        <v>0</v>
      </c>
      <c r="N150" s="4"/>
    </row>
    <row r="151" spans="2:14" ht="18" customHeight="1" x14ac:dyDescent="0.3">
      <c r="B151" s="39" t="s">
        <v>252</v>
      </c>
      <c r="C151" s="7" t="s">
        <v>136</v>
      </c>
      <c r="D151" s="19">
        <v>45</v>
      </c>
      <c r="E151" s="8" t="s">
        <v>3</v>
      </c>
      <c r="F151" s="7" t="s">
        <v>209</v>
      </c>
      <c r="G151" s="7" t="s">
        <v>32</v>
      </c>
      <c r="H151" s="12">
        <v>0</v>
      </c>
      <c r="I151" s="12">
        <v>1</v>
      </c>
      <c r="J151" s="12">
        <v>0</v>
      </c>
      <c r="K151" s="12">
        <v>0</v>
      </c>
      <c r="L151" s="12">
        <v>0</v>
      </c>
      <c r="M151" s="47">
        <v>0</v>
      </c>
      <c r="N151" s="4"/>
    </row>
    <row r="152" spans="2:14" ht="18" customHeight="1" x14ac:dyDescent="0.3">
      <c r="B152" s="39" t="s">
        <v>239</v>
      </c>
      <c r="C152" s="7" t="s">
        <v>136</v>
      </c>
      <c r="D152" s="19">
        <f>100/0.92</f>
        <v>108.69565217391303</v>
      </c>
      <c r="E152" s="8" t="s">
        <v>3</v>
      </c>
      <c r="F152" s="7" t="s">
        <v>210</v>
      </c>
      <c r="G152" s="7" t="s">
        <v>34</v>
      </c>
      <c r="H152" s="12">
        <v>0</v>
      </c>
      <c r="I152" s="12">
        <v>1</v>
      </c>
      <c r="J152" s="12">
        <v>0</v>
      </c>
      <c r="K152" s="12">
        <v>0</v>
      </c>
      <c r="L152" s="12">
        <v>0</v>
      </c>
      <c r="M152" s="47">
        <v>0</v>
      </c>
      <c r="N152" s="4"/>
    </row>
    <row r="153" spans="2:14" ht="18" customHeight="1" x14ac:dyDescent="0.3">
      <c r="B153" s="39"/>
      <c r="C153" s="7"/>
      <c r="D153" s="19"/>
      <c r="E153" s="8"/>
      <c r="F153" s="7"/>
      <c r="G153" s="7"/>
      <c r="H153" s="3"/>
      <c r="I153" s="4"/>
      <c r="J153" s="4"/>
      <c r="K153" s="4"/>
      <c r="L153" s="4"/>
      <c r="M153" s="38"/>
      <c r="N153" s="4"/>
    </row>
    <row r="154" spans="2:14" ht="18" customHeight="1" x14ac:dyDescent="0.3">
      <c r="B154" s="44" t="s">
        <v>145</v>
      </c>
      <c r="C154" s="17"/>
      <c r="D154" s="33"/>
      <c r="E154" s="18"/>
      <c r="F154" s="17"/>
      <c r="G154" s="17"/>
      <c r="H154" s="22"/>
      <c r="I154" s="23"/>
      <c r="J154" s="23"/>
      <c r="K154" s="23"/>
      <c r="L154" s="23"/>
      <c r="M154" s="45"/>
      <c r="N154" s="4"/>
    </row>
    <row r="155" spans="2:14" ht="18" customHeight="1" x14ac:dyDescent="0.3">
      <c r="B155" s="37" t="s">
        <v>81</v>
      </c>
      <c r="C155" s="7"/>
      <c r="D155" s="19"/>
      <c r="E155" s="8"/>
      <c r="F155" s="7"/>
      <c r="G155" s="7"/>
      <c r="H155" s="14" t="s">
        <v>36</v>
      </c>
      <c r="I155" s="14" t="s">
        <v>43</v>
      </c>
      <c r="J155" s="48" t="s">
        <v>44</v>
      </c>
      <c r="K155" s="14" t="s">
        <v>45</v>
      </c>
      <c r="L155" s="48" t="s">
        <v>46</v>
      </c>
      <c r="M155" s="38"/>
      <c r="N155" s="4"/>
    </row>
    <row r="156" spans="2:14" ht="18" customHeight="1" x14ac:dyDescent="0.3">
      <c r="B156" s="39" t="s">
        <v>280</v>
      </c>
      <c r="C156" s="7" t="s">
        <v>201</v>
      </c>
      <c r="D156" s="19">
        <v>526</v>
      </c>
      <c r="E156" s="8" t="s">
        <v>17</v>
      </c>
      <c r="F156" s="7" t="s">
        <v>286</v>
      </c>
      <c r="G156" s="7" t="s">
        <v>185</v>
      </c>
      <c r="H156" s="12">
        <v>0</v>
      </c>
      <c r="I156" s="12">
        <v>0</v>
      </c>
      <c r="J156" s="4">
        <v>0</v>
      </c>
      <c r="K156" s="12">
        <v>0</v>
      </c>
      <c r="L156" s="4">
        <v>1</v>
      </c>
      <c r="M156" s="38"/>
      <c r="N156" s="4"/>
    </row>
    <row r="157" spans="2:14" ht="18" customHeight="1" x14ac:dyDescent="0.3">
      <c r="B157" s="39" t="s">
        <v>36</v>
      </c>
      <c r="C157" s="7" t="s">
        <v>201</v>
      </c>
      <c r="D157" s="19">
        <v>3940</v>
      </c>
      <c r="E157" s="8" t="s">
        <v>5</v>
      </c>
      <c r="F157" s="7" t="s">
        <v>293</v>
      </c>
      <c r="G157" s="7"/>
      <c r="H157" s="12">
        <v>1</v>
      </c>
      <c r="I157" s="12">
        <v>0</v>
      </c>
      <c r="J157" s="4">
        <v>0</v>
      </c>
      <c r="K157" s="12">
        <v>0</v>
      </c>
      <c r="L157" s="4">
        <v>0</v>
      </c>
      <c r="M157" s="38"/>
      <c r="N157" s="4"/>
    </row>
    <row r="158" spans="2:14" ht="18" customHeight="1" x14ac:dyDescent="0.3">
      <c r="B158" s="39" t="s">
        <v>254</v>
      </c>
      <c r="C158" s="7" t="s">
        <v>89</v>
      </c>
      <c r="D158" s="19">
        <v>23086</v>
      </c>
      <c r="E158" s="8" t="s">
        <v>6</v>
      </c>
      <c r="F158" s="7" t="s">
        <v>213</v>
      </c>
      <c r="G158" s="7"/>
      <c r="H158" s="12">
        <v>0</v>
      </c>
      <c r="I158" s="12">
        <v>0</v>
      </c>
      <c r="J158" s="4">
        <v>0</v>
      </c>
      <c r="K158" s="12">
        <v>0</v>
      </c>
      <c r="L158" s="4">
        <v>1</v>
      </c>
      <c r="M158" s="38"/>
      <c r="N158" s="4"/>
    </row>
    <row r="159" spans="2:14" ht="18" customHeight="1" x14ac:dyDescent="0.3">
      <c r="B159" s="39" t="s">
        <v>149</v>
      </c>
      <c r="C159" s="7" t="s">
        <v>153</v>
      </c>
      <c r="D159" s="19">
        <v>1</v>
      </c>
      <c r="E159" s="8" t="s">
        <v>3</v>
      </c>
      <c r="F159" s="7" t="s">
        <v>231</v>
      </c>
      <c r="G159" s="7" t="s">
        <v>35</v>
      </c>
      <c r="H159" s="12">
        <v>0</v>
      </c>
      <c r="I159" s="12">
        <v>0</v>
      </c>
      <c r="J159" s="4">
        <v>0</v>
      </c>
      <c r="K159" s="12">
        <v>0</v>
      </c>
      <c r="L159" s="4">
        <v>1</v>
      </c>
      <c r="M159" s="38"/>
      <c r="N159" s="4"/>
    </row>
    <row r="160" spans="2:14" ht="18" customHeight="1" x14ac:dyDescent="0.3">
      <c r="B160" s="39" t="s">
        <v>150</v>
      </c>
      <c r="C160" s="7" t="s">
        <v>153</v>
      </c>
      <c r="D160" s="19">
        <v>75</v>
      </c>
      <c r="E160" s="8" t="s">
        <v>3</v>
      </c>
      <c r="F160" s="7" t="s">
        <v>212</v>
      </c>
      <c r="G160" s="7" t="s">
        <v>154</v>
      </c>
      <c r="H160" s="12">
        <v>0</v>
      </c>
      <c r="I160" s="12">
        <v>0</v>
      </c>
      <c r="J160" s="4">
        <v>0</v>
      </c>
      <c r="K160" s="12">
        <v>0</v>
      </c>
      <c r="L160" s="4">
        <v>1</v>
      </c>
      <c r="M160" s="38"/>
      <c r="N160" s="4"/>
    </row>
    <row r="161" spans="2:14" ht="18" customHeight="1" x14ac:dyDescent="0.3">
      <c r="B161" s="39" t="s">
        <v>190</v>
      </c>
      <c r="C161" s="7" t="s">
        <v>153</v>
      </c>
      <c r="D161" s="19">
        <f>4+4+28.5</f>
        <v>36.5</v>
      </c>
      <c r="E161" s="8" t="s">
        <v>3</v>
      </c>
      <c r="F161" s="7" t="s">
        <v>214</v>
      </c>
      <c r="G161" s="7" t="s">
        <v>181</v>
      </c>
      <c r="H161" s="12">
        <v>0</v>
      </c>
      <c r="I161" s="12">
        <v>0</v>
      </c>
      <c r="J161" s="4">
        <v>0</v>
      </c>
      <c r="K161" s="12">
        <v>0</v>
      </c>
      <c r="L161" s="4">
        <v>1</v>
      </c>
      <c r="M161" s="38"/>
      <c r="N161" s="4"/>
    </row>
    <row r="162" spans="2:14" ht="18" customHeight="1" x14ac:dyDescent="0.3">
      <c r="B162" s="39" t="s">
        <v>151</v>
      </c>
      <c r="C162" s="7" t="s">
        <v>91</v>
      </c>
      <c r="D162" s="19">
        <v>75</v>
      </c>
      <c r="E162" s="8" t="s">
        <v>3</v>
      </c>
      <c r="F162" s="7" t="s">
        <v>215</v>
      </c>
      <c r="G162" s="7" t="s">
        <v>38</v>
      </c>
      <c r="H162" s="12">
        <v>0</v>
      </c>
      <c r="I162" s="12">
        <v>0</v>
      </c>
      <c r="J162" s="4">
        <v>0</v>
      </c>
      <c r="K162" s="12">
        <v>0</v>
      </c>
      <c r="L162" s="4">
        <v>1</v>
      </c>
      <c r="M162" s="38"/>
      <c r="N162" s="4"/>
    </row>
    <row r="163" spans="2:14" ht="18" customHeight="1" x14ac:dyDescent="0.3">
      <c r="B163" s="39" t="s">
        <v>195</v>
      </c>
      <c r="C163" s="7" t="s">
        <v>153</v>
      </c>
      <c r="D163" s="19">
        <f>0.25+2+73+26+6+195+31</f>
        <v>333.25</v>
      </c>
      <c r="E163" s="8" t="s">
        <v>3</v>
      </c>
      <c r="F163" s="7" t="s">
        <v>216</v>
      </c>
      <c r="G163" s="7" t="s">
        <v>182</v>
      </c>
      <c r="H163" s="12">
        <v>0</v>
      </c>
      <c r="I163" s="12">
        <v>0</v>
      </c>
      <c r="J163" s="4">
        <v>0</v>
      </c>
      <c r="K163" s="12">
        <v>0</v>
      </c>
      <c r="L163" s="4">
        <v>1</v>
      </c>
      <c r="M163" s="38"/>
      <c r="N163" s="4"/>
    </row>
    <row r="164" spans="2:14" ht="18" customHeight="1" x14ac:dyDescent="0.3">
      <c r="B164" s="39" t="s">
        <v>152</v>
      </c>
      <c r="C164" s="7" t="s">
        <v>91</v>
      </c>
      <c r="D164" s="19">
        <v>55</v>
      </c>
      <c r="E164" s="8" t="s">
        <v>3</v>
      </c>
      <c r="F164" s="7" t="s">
        <v>211</v>
      </c>
      <c r="G164" s="7" t="s">
        <v>39</v>
      </c>
      <c r="H164" s="12">
        <v>0</v>
      </c>
      <c r="I164" s="12">
        <v>0</v>
      </c>
      <c r="J164" s="4">
        <v>0</v>
      </c>
      <c r="K164" s="12">
        <v>0</v>
      </c>
      <c r="L164" s="4">
        <v>1</v>
      </c>
      <c r="M164" s="38"/>
      <c r="N164" s="4"/>
    </row>
    <row r="165" spans="2:14" ht="18" customHeight="1" x14ac:dyDescent="0.3">
      <c r="B165" s="39" t="s">
        <v>189</v>
      </c>
      <c r="C165" s="7" t="s">
        <v>153</v>
      </c>
      <c r="D165" s="19">
        <v>41</v>
      </c>
      <c r="E165" s="8" t="s">
        <v>3</v>
      </c>
      <c r="F165" s="7" t="s">
        <v>219</v>
      </c>
      <c r="G165" s="7" t="s">
        <v>158</v>
      </c>
      <c r="H165" s="12">
        <v>0</v>
      </c>
      <c r="I165" s="12">
        <v>0</v>
      </c>
      <c r="J165" s="4">
        <v>0</v>
      </c>
      <c r="K165" s="12">
        <v>0</v>
      </c>
      <c r="L165" s="4">
        <v>1</v>
      </c>
      <c r="M165" s="38"/>
      <c r="N165" s="4"/>
    </row>
    <row r="166" spans="2:14" ht="18" customHeight="1" x14ac:dyDescent="0.3">
      <c r="B166" s="39" t="s">
        <v>188</v>
      </c>
      <c r="C166" s="7" t="s">
        <v>153</v>
      </c>
      <c r="D166" s="19">
        <v>115</v>
      </c>
      <c r="E166" s="8" t="s">
        <v>3</v>
      </c>
      <c r="F166" s="7" t="s">
        <v>232</v>
      </c>
      <c r="G166" s="7" t="s">
        <v>184</v>
      </c>
      <c r="H166" s="12">
        <v>0</v>
      </c>
      <c r="I166" s="12">
        <v>0</v>
      </c>
      <c r="J166" s="4">
        <v>0</v>
      </c>
      <c r="K166" s="12">
        <v>0</v>
      </c>
      <c r="L166" s="4">
        <v>1</v>
      </c>
      <c r="M166" s="38"/>
      <c r="N166" s="4"/>
    </row>
    <row r="167" spans="2:14" ht="18" customHeight="1" x14ac:dyDescent="0.3">
      <c r="B167" s="39" t="s">
        <v>253</v>
      </c>
      <c r="C167" s="7" t="s">
        <v>91</v>
      </c>
      <c r="D167" s="19">
        <v>30</v>
      </c>
      <c r="E167" s="8" t="s">
        <v>3</v>
      </c>
      <c r="F167" s="7" t="s">
        <v>233</v>
      </c>
      <c r="G167" s="7" t="s">
        <v>42</v>
      </c>
      <c r="H167" s="12">
        <v>0</v>
      </c>
      <c r="I167" s="12">
        <v>0</v>
      </c>
      <c r="J167" s="4">
        <v>0</v>
      </c>
      <c r="K167" s="12">
        <v>0</v>
      </c>
      <c r="L167" s="4">
        <v>1</v>
      </c>
      <c r="M167" s="38"/>
      <c r="N167" s="4"/>
    </row>
    <row r="168" spans="2:14" ht="18" customHeight="1" x14ac:dyDescent="0.3">
      <c r="B168" s="39" t="s">
        <v>281</v>
      </c>
      <c r="C168" s="7" t="s">
        <v>93</v>
      </c>
      <c r="D168" s="19">
        <f>(3940*0.916)*10</f>
        <v>36090.400000000001</v>
      </c>
      <c r="E168" s="8" t="s">
        <v>18</v>
      </c>
      <c r="F168" s="7" t="s">
        <v>234</v>
      </c>
      <c r="G168" s="7" t="s">
        <v>41</v>
      </c>
      <c r="H168" s="12">
        <v>1</v>
      </c>
      <c r="I168" s="12">
        <v>0</v>
      </c>
      <c r="J168" s="4">
        <v>0</v>
      </c>
      <c r="K168" s="12">
        <v>0</v>
      </c>
      <c r="L168" s="4">
        <v>0</v>
      </c>
      <c r="M168" s="38"/>
      <c r="N168" s="4"/>
    </row>
    <row r="169" spans="2:14" ht="18" customHeight="1" x14ac:dyDescent="0.3">
      <c r="B169" s="39" t="s">
        <v>40</v>
      </c>
      <c r="C169" s="7" t="s">
        <v>92</v>
      </c>
      <c r="D169" s="19">
        <v>761.75</v>
      </c>
      <c r="E169" s="8" t="s">
        <v>3</v>
      </c>
      <c r="F169" s="7" t="s">
        <v>297</v>
      </c>
      <c r="G169" s="7"/>
      <c r="H169" s="12">
        <v>0</v>
      </c>
      <c r="I169" s="12">
        <v>0</v>
      </c>
      <c r="J169" s="4">
        <v>0</v>
      </c>
      <c r="K169" s="12">
        <v>0</v>
      </c>
      <c r="L169" s="4">
        <v>1</v>
      </c>
      <c r="M169" s="38"/>
      <c r="N169" s="4"/>
    </row>
    <row r="170" spans="2:14" ht="18" customHeight="1" x14ac:dyDescent="0.3">
      <c r="B170" s="37" t="s">
        <v>82</v>
      </c>
      <c r="C170" s="7"/>
      <c r="D170" s="19"/>
      <c r="E170" s="8"/>
      <c r="F170" s="7"/>
      <c r="G170" s="7"/>
      <c r="H170" s="3"/>
      <c r="I170" s="4"/>
      <c r="J170" s="4"/>
      <c r="K170" s="4"/>
      <c r="L170" s="4"/>
      <c r="M170" s="38"/>
      <c r="N170" s="4"/>
    </row>
    <row r="171" spans="2:14" ht="18" customHeight="1" x14ac:dyDescent="0.3">
      <c r="B171" s="40" t="s">
        <v>46</v>
      </c>
      <c r="C171" s="7" t="s">
        <v>94</v>
      </c>
      <c r="D171" s="19">
        <f>53900+5000+5000</f>
        <v>63900</v>
      </c>
      <c r="E171" s="8" t="s">
        <v>5</v>
      </c>
      <c r="F171" s="7"/>
      <c r="G171" s="7" t="s">
        <v>47</v>
      </c>
      <c r="H171" s="3"/>
      <c r="I171" s="4"/>
      <c r="J171" s="4"/>
      <c r="K171" s="4"/>
      <c r="L171" s="4"/>
      <c r="M171" s="38"/>
      <c r="N171" s="4"/>
    </row>
    <row r="172" spans="2:14" ht="18" customHeight="1" x14ac:dyDescent="0.3">
      <c r="B172" s="40" t="s">
        <v>36</v>
      </c>
      <c r="C172" s="7" t="s">
        <v>94</v>
      </c>
      <c r="D172" s="19">
        <v>3940</v>
      </c>
      <c r="E172" s="8" t="s">
        <v>5</v>
      </c>
      <c r="F172" s="7"/>
      <c r="G172" s="7"/>
      <c r="H172" s="3"/>
      <c r="I172" s="4"/>
      <c r="J172" s="4"/>
      <c r="K172" s="4"/>
      <c r="L172" s="4"/>
      <c r="M172" s="38"/>
      <c r="N172" s="4"/>
    </row>
    <row r="173" spans="2:14" ht="18" customHeight="1" x14ac:dyDescent="0.3">
      <c r="B173" s="39" t="s">
        <v>43</v>
      </c>
      <c r="C173" s="7" t="s">
        <v>138</v>
      </c>
      <c r="D173" s="19">
        <v>3300</v>
      </c>
      <c r="E173" s="8" t="s">
        <v>3</v>
      </c>
      <c r="F173" s="7"/>
      <c r="G173" s="7"/>
      <c r="H173" s="3"/>
      <c r="I173" s="4"/>
      <c r="J173" s="4"/>
      <c r="K173" s="4"/>
      <c r="L173" s="4"/>
      <c r="M173" s="38"/>
      <c r="N173" s="4"/>
    </row>
    <row r="174" spans="2:14" ht="18" customHeight="1" x14ac:dyDescent="0.3">
      <c r="B174" s="39" t="s">
        <v>44</v>
      </c>
      <c r="C174" s="7" t="s">
        <v>138</v>
      </c>
      <c r="D174" s="19">
        <v>25291</v>
      </c>
      <c r="E174" s="8" t="s">
        <v>3</v>
      </c>
      <c r="F174" s="7"/>
      <c r="G174" s="7"/>
      <c r="H174" s="3"/>
      <c r="I174" s="4"/>
      <c r="J174" s="4"/>
      <c r="K174" s="4"/>
      <c r="L174" s="4"/>
      <c r="M174" s="38"/>
      <c r="N174" s="4"/>
    </row>
    <row r="175" spans="2:14" ht="18" customHeight="1" x14ac:dyDescent="0.3">
      <c r="B175" s="39" t="s">
        <v>45</v>
      </c>
      <c r="C175" s="7" t="s">
        <v>138</v>
      </c>
      <c r="D175" s="19">
        <v>6000</v>
      </c>
      <c r="E175" s="8" t="s">
        <v>3</v>
      </c>
      <c r="F175" s="7"/>
      <c r="G175" s="7"/>
      <c r="H175" s="3"/>
      <c r="I175" s="4"/>
      <c r="J175" s="4"/>
      <c r="K175" s="4"/>
      <c r="L175" s="4"/>
      <c r="M175" s="38"/>
      <c r="N175" s="4"/>
    </row>
    <row r="176" spans="2:14" ht="18" customHeight="1" x14ac:dyDescent="0.3">
      <c r="B176" s="39" t="s">
        <v>248</v>
      </c>
      <c r="C176" s="7" t="s">
        <v>136</v>
      </c>
      <c r="D176" s="19">
        <f>100+7</f>
        <v>107</v>
      </c>
      <c r="E176" s="8" t="s">
        <v>3</v>
      </c>
      <c r="F176" s="7" t="s">
        <v>207</v>
      </c>
      <c r="G176" s="7" t="s">
        <v>187</v>
      </c>
      <c r="H176" s="12">
        <v>0</v>
      </c>
      <c r="I176" s="3">
        <v>0</v>
      </c>
      <c r="J176" s="12">
        <v>0</v>
      </c>
      <c r="K176" s="12">
        <v>0</v>
      </c>
      <c r="L176" s="4">
        <v>1</v>
      </c>
      <c r="M176" s="38"/>
      <c r="N176" s="4"/>
    </row>
    <row r="177" spans="2:14" ht="18" customHeight="1" x14ac:dyDescent="0.3">
      <c r="B177" s="39" t="s">
        <v>241</v>
      </c>
      <c r="C177" s="7" t="s">
        <v>137</v>
      </c>
      <c r="D177" s="19">
        <v>490</v>
      </c>
      <c r="E177" s="8" t="s">
        <v>3</v>
      </c>
      <c r="F177" s="7" t="s">
        <v>222</v>
      </c>
      <c r="G177" s="7" t="s">
        <v>186</v>
      </c>
      <c r="H177" s="12">
        <v>0</v>
      </c>
      <c r="I177" s="3">
        <v>0</v>
      </c>
      <c r="J177" s="12">
        <v>0</v>
      </c>
      <c r="K177" s="12">
        <v>0</v>
      </c>
      <c r="L177" s="4">
        <v>1</v>
      </c>
      <c r="M177" s="38"/>
      <c r="N177" s="4"/>
    </row>
    <row r="178" spans="2:14" ht="18" customHeight="1" x14ac:dyDescent="0.3">
      <c r="B178" s="39" t="s">
        <v>249</v>
      </c>
      <c r="C178" s="7" t="s">
        <v>137</v>
      </c>
      <c r="D178" s="19">
        <v>200</v>
      </c>
      <c r="E178" s="8" t="s">
        <v>3</v>
      </c>
      <c r="F178" s="7" t="s">
        <v>235</v>
      </c>
      <c r="G178" s="7" t="s">
        <v>183</v>
      </c>
      <c r="H178" s="12">
        <v>0</v>
      </c>
      <c r="I178" s="3">
        <v>0</v>
      </c>
      <c r="J178" s="12">
        <v>0</v>
      </c>
      <c r="K178" s="12">
        <v>0</v>
      </c>
      <c r="L178" s="4">
        <v>1</v>
      </c>
      <c r="M178" s="38"/>
      <c r="N178" s="4"/>
    </row>
    <row r="179" spans="2:14" ht="18" customHeight="1" x14ac:dyDescent="0.3">
      <c r="B179" s="39" t="s">
        <v>251</v>
      </c>
      <c r="C179" s="7" t="s">
        <v>137</v>
      </c>
      <c r="D179" s="19">
        <v>120</v>
      </c>
      <c r="E179" s="8" t="s">
        <v>3</v>
      </c>
      <c r="F179" s="7" t="s">
        <v>236</v>
      </c>
      <c r="G179" s="7" t="s">
        <v>250</v>
      </c>
      <c r="H179" s="12">
        <v>0</v>
      </c>
      <c r="I179" s="3">
        <v>0</v>
      </c>
      <c r="J179" s="12">
        <v>0</v>
      </c>
      <c r="K179" s="12">
        <v>0</v>
      </c>
      <c r="L179" s="4">
        <v>1</v>
      </c>
      <c r="M179" s="38"/>
      <c r="N179" s="4"/>
    </row>
    <row r="180" spans="2:14" ht="18" customHeight="1" x14ac:dyDescent="0.3">
      <c r="B180" s="39" t="s">
        <v>252</v>
      </c>
      <c r="C180" s="7" t="s">
        <v>136</v>
      </c>
      <c r="D180" s="19">
        <v>45</v>
      </c>
      <c r="E180" s="8" t="s">
        <v>3</v>
      </c>
      <c r="F180" s="7" t="s">
        <v>209</v>
      </c>
      <c r="G180" s="7" t="s">
        <v>32</v>
      </c>
      <c r="H180" s="12">
        <v>0</v>
      </c>
      <c r="I180" s="3">
        <v>0</v>
      </c>
      <c r="J180" s="12">
        <v>0</v>
      </c>
      <c r="K180" s="12">
        <v>0</v>
      </c>
      <c r="L180" s="4">
        <v>1</v>
      </c>
      <c r="M180" s="38"/>
      <c r="N180" s="4"/>
    </row>
    <row r="181" spans="2:14" ht="18" customHeight="1" x14ac:dyDescent="0.3">
      <c r="B181" s="39" t="s">
        <v>239</v>
      </c>
      <c r="C181" s="7" t="s">
        <v>136</v>
      </c>
      <c r="D181" s="19">
        <f>100/0.92</f>
        <v>108.69565217391303</v>
      </c>
      <c r="E181" s="8" t="s">
        <v>3</v>
      </c>
      <c r="F181" s="7" t="s">
        <v>210</v>
      </c>
      <c r="G181" s="7" t="s">
        <v>34</v>
      </c>
      <c r="H181" s="12">
        <v>0</v>
      </c>
      <c r="I181" s="3">
        <v>0</v>
      </c>
      <c r="J181" s="12">
        <v>0</v>
      </c>
      <c r="K181" s="12">
        <v>0</v>
      </c>
      <c r="L181" s="4">
        <v>1</v>
      </c>
      <c r="M181" s="38"/>
      <c r="N181" s="4"/>
    </row>
    <row r="182" spans="2:14" ht="18" customHeight="1" x14ac:dyDescent="0.3">
      <c r="B182" s="39"/>
      <c r="C182" s="7"/>
      <c r="D182" s="19"/>
      <c r="E182" s="8"/>
      <c r="F182" s="7"/>
      <c r="G182" s="7"/>
      <c r="H182" s="3"/>
      <c r="I182" s="4"/>
      <c r="J182" s="4"/>
      <c r="K182" s="4"/>
      <c r="L182" s="4"/>
      <c r="M182" s="38"/>
      <c r="N182" s="4"/>
    </row>
    <row r="183" spans="2:14" ht="18" customHeight="1" x14ac:dyDescent="0.3">
      <c r="B183" s="44" t="s">
        <v>143</v>
      </c>
      <c r="C183" s="20"/>
      <c r="D183" s="34"/>
      <c r="E183" s="21"/>
      <c r="F183" s="20"/>
      <c r="G183" s="20"/>
      <c r="H183" s="28"/>
      <c r="I183" s="29"/>
      <c r="J183" s="29"/>
      <c r="K183" s="29"/>
      <c r="L183" s="29"/>
      <c r="M183" s="49"/>
      <c r="N183" s="4"/>
    </row>
    <row r="184" spans="2:14" ht="18" customHeight="1" x14ac:dyDescent="0.3">
      <c r="B184" s="37" t="s">
        <v>81</v>
      </c>
      <c r="C184" s="7"/>
      <c r="D184" s="19"/>
      <c r="E184" s="8"/>
      <c r="F184" s="7"/>
      <c r="G184" s="7"/>
      <c r="H184" s="14" t="s">
        <v>51</v>
      </c>
      <c r="I184" s="14" t="s">
        <v>53</v>
      </c>
      <c r="J184" s="48" t="s">
        <v>54</v>
      </c>
      <c r="K184" s="4"/>
      <c r="L184" s="4"/>
      <c r="M184" s="38"/>
      <c r="N184" s="4"/>
    </row>
    <row r="185" spans="2:14" ht="18" customHeight="1" x14ac:dyDescent="0.3">
      <c r="B185" s="39" t="s">
        <v>192</v>
      </c>
      <c r="C185" s="7" t="s">
        <v>89</v>
      </c>
      <c r="D185" s="19">
        <v>32900</v>
      </c>
      <c r="E185" s="8" t="s">
        <v>6</v>
      </c>
      <c r="F185" s="7" t="s">
        <v>213</v>
      </c>
      <c r="G185" s="7"/>
      <c r="H185" s="12">
        <v>0</v>
      </c>
      <c r="I185" s="12">
        <v>1</v>
      </c>
      <c r="J185" s="4">
        <v>0</v>
      </c>
      <c r="K185" s="4"/>
      <c r="L185" s="4"/>
      <c r="M185" s="38"/>
      <c r="N185" s="4"/>
    </row>
    <row r="186" spans="2:14" ht="18" customHeight="1" x14ac:dyDescent="0.3">
      <c r="B186" s="39" t="s">
        <v>48</v>
      </c>
      <c r="C186" s="7" t="s">
        <v>92</v>
      </c>
      <c r="D186" s="19">
        <f>((71850*0.13)+76+10+34+(416*0.13)+30)*50</f>
        <v>477229</v>
      </c>
      <c r="E186" s="8" t="s">
        <v>18</v>
      </c>
      <c r="F186" s="7" t="s">
        <v>300</v>
      </c>
      <c r="G186" s="7"/>
      <c r="H186" s="12">
        <v>0</v>
      </c>
      <c r="I186" s="12">
        <v>0</v>
      </c>
      <c r="J186" s="4">
        <v>1</v>
      </c>
      <c r="K186" s="4"/>
      <c r="L186" s="4"/>
      <c r="M186" s="38"/>
      <c r="N186" s="4"/>
    </row>
    <row r="187" spans="2:14" ht="18" customHeight="1" x14ac:dyDescent="0.3">
      <c r="B187" s="39" t="s">
        <v>49</v>
      </c>
      <c r="C187" s="7" t="s">
        <v>92</v>
      </c>
      <c r="D187" s="19">
        <f>((71850*0.87)+400+(416*0.87))*50</f>
        <v>3163571</v>
      </c>
      <c r="E187" s="8" t="s">
        <v>18</v>
      </c>
      <c r="F187" s="7" t="s">
        <v>298</v>
      </c>
      <c r="G187" s="7"/>
      <c r="H187" s="12">
        <v>0</v>
      </c>
      <c r="I187" s="12">
        <v>1</v>
      </c>
      <c r="J187" s="4">
        <v>0</v>
      </c>
      <c r="K187" s="4"/>
      <c r="L187" s="4"/>
      <c r="M187" s="38"/>
      <c r="N187" s="4"/>
    </row>
    <row r="188" spans="2:14" ht="18" customHeight="1" x14ac:dyDescent="0.3">
      <c r="B188" s="39" t="s">
        <v>50</v>
      </c>
      <c r="C188" s="7" t="s">
        <v>92</v>
      </c>
      <c r="D188" s="19">
        <v>159000</v>
      </c>
      <c r="E188" s="8" t="s">
        <v>18</v>
      </c>
      <c r="F188" s="7" t="s">
        <v>302</v>
      </c>
      <c r="G188" s="7" t="s">
        <v>301</v>
      </c>
      <c r="H188" s="12">
        <v>0</v>
      </c>
      <c r="I188" s="12">
        <v>1</v>
      </c>
      <c r="J188" s="4">
        <v>0</v>
      </c>
      <c r="K188" s="4"/>
      <c r="L188" s="4"/>
      <c r="M188" s="38"/>
      <c r="N188" s="4"/>
    </row>
    <row r="189" spans="2:14" ht="18" customHeight="1" x14ac:dyDescent="0.3">
      <c r="B189" s="37" t="s">
        <v>82</v>
      </c>
      <c r="C189" s="7"/>
      <c r="D189" s="19"/>
      <c r="E189" s="8"/>
      <c r="F189" s="7"/>
      <c r="G189" s="7"/>
      <c r="H189" s="3"/>
      <c r="I189" s="4"/>
      <c r="J189" s="4"/>
      <c r="K189" s="4"/>
      <c r="L189" s="4"/>
      <c r="M189" s="38"/>
      <c r="N189" s="4"/>
    </row>
    <row r="190" spans="2:14" ht="18" customHeight="1" x14ac:dyDescent="0.3">
      <c r="B190" s="40" t="s">
        <v>51</v>
      </c>
      <c r="C190" s="7" t="s">
        <v>94</v>
      </c>
      <c r="D190" s="19">
        <f>(53900+5000+5000)/0.75</f>
        <v>85200</v>
      </c>
      <c r="E190" s="8" t="s">
        <v>52</v>
      </c>
      <c r="F190" s="7"/>
      <c r="G190" s="7"/>
      <c r="H190" s="3"/>
      <c r="I190" s="4"/>
      <c r="J190" s="4"/>
      <c r="K190" s="4"/>
      <c r="L190" s="4"/>
      <c r="M190" s="38"/>
      <c r="N190" s="4"/>
    </row>
    <row r="191" spans="2:14" ht="18" customHeight="1" x14ac:dyDescent="0.3">
      <c r="B191" s="40" t="s">
        <v>53</v>
      </c>
      <c r="C191" s="7" t="s">
        <v>94</v>
      </c>
      <c r="D191" s="19">
        <f>53900+5000+5000</f>
        <v>63900</v>
      </c>
      <c r="E191" s="8" t="s">
        <v>5</v>
      </c>
      <c r="F191" s="7"/>
      <c r="G191" s="7"/>
      <c r="H191" s="3"/>
      <c r="I191" s="4"/>
      <c r="J191" s="4"/>
      <c r="K191" s="4"/>
      <c r="L191" s="4"/>
      <c r="M191" s="38"/>
      <c r="N191" s="4"/>
    </row>
    <row r="192" spans="2:14" ht="18" customHeight="1" x14ac:dyDescent="0.3">
      <c r="B192" s="40" t="s">
        <v>54</v>
      </c>
      <c r="C192" s="7" t="s">
        <v>94</v>
      </c>
      <c r="D192" s="19">
        <v>3940</v>
      </c>
      <c r="E192" s="8" t="s">
        <v>5</v>
      </c>
      <c r="F192" s="7"/>
      <c r="G192" s="7"/>
      <c r="H192" s="3"/>
      <c r="I192" s="4"/>
      <c r="J192" s="4"/>
      <c r="K192" s="4"/>
      <c r="L192" s="4"/>
      <c r="M192" s="38"/>
      <c r="N192" s="4"/>
    </row>
    <row r="193" spans="2:14" ht="18" customHeight="1" x14ac:dyDescent="0.3">
      <c r="B193" s="39"/>
      <c r="C193" s="7"/>
      <c r="D193" s="19"/>
      <c r="E193" s="8"/>
      <c r="F193" s="7"/>
      <c r="G193" s="7"/>
      <c r="H193" s="3"/>
      <c r="I193" s="4"/>
      <c r="J193" s="4"/>
      <c r="K193" s="4"/>
      <c r="L193" s="4"/>
      <c r="M193" s="38"/>
      <c r="N193" s="4"/>
    </row>
    <row r="194" spans="2:14" ht="18" customHeight="1" x14ac:dyDescent="0.3">
      <c r="B194" s="44" t="s">
        <v>144</v>
      </c>
      <c r="C194" s="20"/>
      <c r="D194" s="34"/>
      <c r="E194" s="21"/>
      <c r="F194" s="20"/>
      <c r="G194" s="20"/>
      <c r="H194" s="29"/>
      <c r="I194" s="29"/>
      <c r="J194" s="29"/>
      <c r="K194" s="29"/>
      <c r="L194" s="29"/>
      <c r="M194" s="49"/>
      <c r="N194" s="4"/>
    </row>
    <row r="195" spans="2:14" ht="18" customHeight="1" x14ac:dyDescent="0.3">
      <c r="B195" s="37" t="s">
        <v>81</v>
      </c>
      <c r="C195" s="7"/>
      <c r="D195" s="19"/>
      <c r="E195" s="8"/>
      <c r="F195" s="7"/>
      <c r="G195" s="7"/>
      <c r="H195" s="14" t="s">
        <v>60</v>
      </c>
      <c r="I195" s="14" t="s">
        <v>62</v>
      </c>
      <c r="J195" s="48" t="s">
        <v>64</v>
      </c>
      <c r="K195" s="48"/>
      <c r="L195" s="4"/>
      <c r="M195" s="38"/>
      <c r="N195" s="4"/>
    </row>
    <row r="196" spans="2:14" ht="18" customHeight="1" x14ac:dyDescent="0.3">
      <c r="B196" s="39" t="s">
        <v>243</v>
      </c>
      <c r="C196" s="7" t="s">
        <v>93</v>
      </c>
      <c r="D196" s="19">
        <v>38300000</v>
      </c>
      <c r="E196" s="8" t="s">
        <v>18</v>
      </c>
      <c r="F196" s="7" t="s">
        <v>206</v>
      </c>
      <c r="G196" s="7" t="s">
        <v>55</v>
      </c>
      <c r="H196" s="12">
        <v>0</v>
      </c>
      <c r="I196" s="12">
        <v>0</v>
      </c>
      <c r="J196" s="4">
        <v>1</v>
      </c>
      <c r="K196" s="4"/>
      <c r="L196" s="4"/>
      <c r="M196" s="38"/>
      <c r="N196" s="4"/>
    </row>
    <row r="197" spans="2:14" ht="18" customHeight="1" x14ac:dyDescent="0.3">
      <c r="B197" s="39" t="s">
        <v>244</v>
      </c>
      <c r="C197" s="7" t="s">
        <v>93</v>
      </c>
      <c r="D197" s="19">
        <v>9401279</v>
      </c>
      <c r="E197" s="8" t="s">
        <v>18</v>
      </c>
      <c r="F197" s="7" t="s">
        <v>206</v>
      </c>
      <c r="G197" s="7" t="s">
        <v>56</v>
      </c>
      <c r="H197" s="12">
        <v>0</v>
      </c>
      <c r="I197" s="12">
        <v>0</v>
      </c>
      <c r="J197" s="4">
        <v>1</v>
      </c>
      <c r="K197" s="4"/>
      <c r="L197" s="4"/>
      <c r="M197" s="38"/>
      <c r="N197" s="4"/>
    </row>
    <row r="198" spans="2:14" ht="18" customHeight="1" x14ac:dyDescent="0.3">
      <c r="B198" s="39" t="s">
        <v>245</v>
      </c>
      <c r="C198" s="7" t="s">
        <v>93</v>
      </c>
      <c r="D198" s="19">
        <f>(3683*0.95)*1500</f>
        <v>5248275</v>
      </c>
      <c r="E198" s="8" t="s">
        <v>18</v>
      </c>
      <c r="F198" s="7" t="s">
        <v>237</v>
      </c>
      <c r="G198" s="7" t="s">
        <v>57</v>
      </c>
      <c r="H198" s="12">
        <v>1</v>
      </c>
      <c r="I198" s="12">
        <v>0</v>
      </c>
      <c r="J198" s="4">
        <v>0</v>
      </c>
      <c r="K198" s="4"/>
      <c r="L198" s="4"/>
      <c r="M198" s="38"/>
      <c r="N198" s="4"/>
    </row>
    <row r="199" spans="2:14" ht="18" customHeight="1" x14ac:dyDescent="0.3">
      <c r="B199" s="39" t="s">
        <v>246</v>
      </c>
      <c r="C199" s="7" t="s">
        <v>93</v>
      </c>
      <c r="D199" s="19">
        <v>467620088</v>
      </c>
      <c r="E199" s="8" t="s">
        <v>18</v>
      </c>
      <c r="F199" s="7" t="s">
        <v>220</v>
      </c>
      <c r="G199" s="7" t="s">
        <v>58</v>
      </c>
      <c r="H199" s="12">
        <v>0</v>
      </c>
      <c r="I199" s="12">
        <v>0</v>
      </c>
      <c r="J199" s="4">
        <v>1</v>
      </c>
      <c r="K199" s="4"/>
      <c r="L199" s="4"/>
      <c r="M199" s="38"/>
      <c r="N199" s="4"/>
    </row>
    <row r="200" spans="2:14" ht="18" customHeight="1" x14ac:dyDescent="0.3">
      <c r="B200" s="37" t="s">
        <v>82</v>
      </c>
      <c r="C200" s="7"/>
      <c r="D200" s="19"/>
      <c r="E200" s="8"/>
      <c r="F200" s="7"/>
      <c r="G200" s="7"/>
      <c r="H200" s="3"/>
      <c r="I200" s="4"/>
      <c r="J200" s="4"/>
      <c r="K200" s="4"/>
      <c r="L200" s="4"/>
      <c r="M200" s="38"/>
      <c r="N200" s="4"/>
    </row>
    <row r="201" spans="2:14" ht="18" customHeight="1" x14ac:dyDescent="0.3">
      <c r="B201" s="40" t="s">
        <v>64</v>
      </c>
      <c r="C201" s="7" t="s">
        <v>94</v>
      </c>
      <c r="D201" s="19">
        <f>53900+10000</f>
        <v>63900</v>
      </c>
      <c r="E201" s="8" t="s">
        <v>5</v>
      </c>
      <c r="F201" s="7"/>
      <c r="G201" s="7" t="s">
        <v>65</v>
      </c>
      <c r="H201" s="3"/>
      <c r="I201" s="4"/>
      <c r="J201" s="4"/>
      <c r="K201" s="4"/>
      <c r="L201" s="4"/>
      <c r="M201" s="38"/>
      <c r="N201" s="4"/>
    </row>
    <row r="202" spans="2:14" ht="18" customHeight="1" x14ac:dyDescent="0.3">
      <c r="B202" s="40" t="s">
        <v>60</v>
      </c>
      <c r="C202" s="7" t="s">
        <v>94</v>
      </c>
      <c r="D202" s="19">
        <f>3940*0.95</f>
        <v>3743</v>
      </c>
      <c r="E202" s="8" t="s">
        <v>5</v>
      </c>
      <c r="F202" s="7"/>
      <c r="G202" s="7" t="s">
        <v>61</v>
      </c>
      <c r="H202" s="3"/>
      <c r="I202" s="4"/>
      <c r="J202" s="4"/>
      <c r="K202" s="4"/>
      <c r="L202" s="4"/>
      <c r="M202" s="38"/>
      <c r="N202" s="4"/>
    </row>
    <row r="203" spans="2:14" ht="18" customHeight="1" x14ac:dyDescent="0.3">
      <c r="B203" s="40" t="s">
        <v>62</v>
      </c>
      <c r="C203" s="7" t="s">
        <v>94</v>
      </c>
      <c r="D203" s="19">
        <f>3940*0.5</f>
        <v>1970</v>
      </c>
      <c r="E203" s="8" t="s">
        <v>5</v>
      </c>
      <c r="F203" s="7"/>
      <c r="G203" s="7"/>
      <c r="H203" s="3"/>
      <c r="I203" s="4"/>
      <c r="J203" s="4"/>
      <c r="K203" s="4"/>
      <c r="L203" s="4"/>
      <c r="M203" s="38"/>
      <c r="N203" s="4"/>
    </row>
    <row r="204" spans="2:14" ht="18" customHeight="1" x14ac:dyDescent="0.3">
      <c r="B204" s="39" t="s">
        <v>238</v>
      </c>
      <c r="C204" s="7" t="s">
        <v>136</v>
      </c>
      <c r="D204" s="19">
        <v>145</v>
      </c>
      <c r="E204" s="8" t="s">
        <v>3</v>
      </c>
      <c r="F204" s="7" t="s">
        <v>207</v>
      </c>
      <c r="G204" s="7" t="s">
        <v>63</v>
      </c>
      <c r="H204" s="12">
        <v>0</v>
      </c>
      <c r="I204" s="12">
        <v>0</v>
      </c>
      <c r="J204" s="4">
        <v>1</v>
      </c>
      <c r="K204" s="4"/>
      <c r="L204" s="4"/>
      <c r="M204" s="38"/>
      <c r="N204" s="4"/>
    </row>
    <row r="205" spans="2:14" ht="18" customHeight="1" x14ac:dyDescent="0.3">
      <c r="B205" s="39" t="s">
        <v>239</v>
      </c>
      <c r="C205" s="7" t="s">
        <v>136</v>
      </c>
      <c r="D205" s="19">
        <v>100</v>
      </c>
      <c r="E205" s="8" t="s">
        <v>3</v>
      </c>
      <c r="F205" s="7" t="s">
        <v>221</v>
      </c>
      <c r="G205" s="7" t="s">
        <v>247</v>
      </c>
      <c r="H205" s="12">
        <v>0</v>
      </c>
      <c r="I205" s="12">
        <v>0</v>
      </c>
      <c r="J205" s="4">
        <v>1</v>
      </c>
      <c r="K205" s="4"/>
      <c r="L205" s="4"/>
      <c r="M205" s="38"/>
      <c r="N205" s="4"/>
    </row>
    <row r="206" spans="2:14" ht="18" customHeight="1" x14ac:dyDescent="0.3">
      <c r="B206" s="39" t="s">
        <v>240</v>
      </c>
      <c r="C206" s="7" t="s">
        <v>137</v>
      </c>
      <c r="D206" s="19">
        <v>120</v>
      </c>
      <c r="E206" s="8" t="s">
        <v>3</v>
      </c>
      <c r="F206" s="7" t="s">
        <v>223</v>
      </c>
      <c r="G206" s="7" t="s">
        <v>196</v>
      </c>
      <c r="H206" s="12">
        <v>0</v>
      </c>
      <c r="I206" s="12">
        <v>0</v>
      </c>
      <c r="J206" s="4">
        <v>1</v>
      </c>
      <c r="K206" s="4"/>
      <c r="L206" s="4"/>
      <c r="M206" s="38"/>
      <c r="N206" s="4"/>
    </row>
    <row r="207" spans="2:14" ht="18" customHeight="1" thickBot="1" x14ac:dyDescent="0.35">
      <c r="B207" s="50" t="s">
        <v>241</v>
      </c>
      <c r="C207" s="51" t="s">
        <v>137</v>
      </c>
      <c r="D207" s="52">
        <v>820</v>
      </c>
      <c r="E207" s="53" t="s">
        <v>3</v>
      </c>
      <c r="F207" s="51" t="s">
        <v>222</v>
      </c>
      <c r="G207" s="51" t="s">
        <v>197</v>
      </c>
      <c r="H207" s="54">
        <v>0</v>
      </c>
      <c r="I207" s="54">
        <v>0</v>
      </c>
      <c r="J207" s="55">
        <v>1</v>
      </c>
      <c r="K207" s="55"/>
      <c r="L207" s="55"/>
      <c r="M207" s="56"/>
      <c r="N207" s="4"/>
    </row>
  </sheetData>
  <mergeCells count="1">
    <mergeCell ref="H2:M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SM2_LCI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BENEDETTO RUGANI</cp:lastModifiedBy>
  <dcterms:created xsi:type="dcterms:W3CDTF">2015-06-05T18:17:20Z</dcterms:created>
  <dcterms:modified xsi:type="dcterms:W3CDTF">2025-08-13T06:34:00Z</dcterms:modified>
</cp:coreProperties>
</file>