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fde421a594b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a040229f094f4b63"/>
    <x:sheet xmlns:r="http://schemas.openxmlformats.org/officeDocument/2006/relationships" name="Inputs" sheetId="2" r:id="R6cbee205284a42a7"/>
    <x:sheet xmlns:r="http://schemas.openxmlformats.org/officeDocument/2006/relationships" name="Hydraulics" sheetId="3" r:id="Rd9e7a8c296c24952"/>
    <x:sheet xmlns:r="http://schemas.openxmlformats.org/officeDocument/2006/relationships" name="Water Balance" sheetId="4" r:id="R05d4f90469a94149"/>
    <x:sheet xmlns:r="http://schemas.openxmlformats.org/officeDocument/2006/relationships" name="Cases" sheetId="5" r:id="Rc655f76d216f499b"/>
    <x:sheet xmlns:r="http://schemas.openxmlformats.org/officeDocument/2006/relationships" name="Mass Balance" sheetId="6" r:id="R015a9046284b47bd"/>
    <x:sheet xmlns:r="http://schemas.openxmlformats.org/officeDocument/2006/relationships" name="Aerobic Capacity" sheetId="7" r:id="R7607a10a3ddf4238"/>
    <x:sheet xmlns:r="http://schemas.openxmlformats.org/officeDocument/2006/relationships" name="Economics" sheetId="8" r:id="R14ee592a6cee48ef"/>
    <x:sheet xmlns:r="http://schemas.openxmlformats.org/officeDocument/2006/relationships" name="Sensitivity" sheetId="9" r:id="Rc1300b9902db46d0"/>
    <x:sheet xmlns:r="http://schemas.openxmlformats.org/officeDocument/2006/relationships" name="Conceptual BOQ" sheetId="10" r:id="R24589ad51e6449e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8">
    <x:numFmt numFmtId="200" formatCode="0.00%"/>
    <x:numFmt numFmtId="201" formatCode="0.000"/>
    <x:numFmt numFmtId="202" formatCode="0.00"/>
    <x:numFmt numFmtId="203" formatCode="0.0"/>
    <x:numFmt numFmtId="204" formatCode="0.0%"/>
    <x:numFmt numFmtId="205" formatCode="#,##0.0"/>
    <x:numFmt numFmtId="206" formatCode="0%"/>
    <x:numFmt numFmtId="207" formatCode="0"/>
  </x:numFmts>
  <x:fonts count="3">
    <x:font>
      <x:sz val="11"/>
      <x:name val="Carlito"/>
    </x:font>
    <x:font>
      <x:b/>
      <x:sz val="14"/>
      <x:name val="Carlito"/>
    </x:font>
    <x:font>
      <x:b/>
      <x:sz val="11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E7E6E6"/>
      </x:patternFill>
    </x:fill>
    <x:fill>
      <x:patternFill patternType="solid">
        <x:fgColor rgb="FFFFF2CC"/>
      </x:patternFill>
    </x:fill>
  </x:fills>
  <x:borders count="2">
    <x:border/>
    <x:border/>
  </x:borders>
  <x:cellStyleXfs count="1">
    <x:xf numFmtId="0" fontId="0" fillId="0" borderId="0"/>
  </x:cellStyleXfs>
  <x:cellXfs count="42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center"/>
    </x:xf>
    <x:xf numFmtId="0" fontId="1" fillId="0" borderId="0" xfId="0" applyNumberFormat="1" applyFont="1" applyFill="1" applyBorder="1" applyAlignment="1">
      <x:alignment horizontal="center" vertical="center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horizontal="center"/>
    </x:xf>
    <x:xf numFmtId="0" fontId="1" fillId="0" borderId="1" xfId="0" applyNumberFormat="1" applyFont="1" applyFill="1" applyBorder="1" applyAlignment="1">
      <x:alignment horizontal="center" vertical="center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1" fillId="0" borderId="0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horizontal="center" vertical="center" wrapText="1"/>
    </x:xf>
    <x:xf numFmtId="0" fontId="2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0" fillId="2" borderId="1" xfId="0" applyNumberFormat="1" applyFont="1" applyFill="1" applyBorder="1"/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wrapText="1"/>
    </x:xf>
    <x:xf numFmtId="0" fontId="2" fillId="2" borderId="1" xfId="0" applyNumberFormat="1" applyFont="1" applyFill="1" applyBorder="1" applyAlignment="1">
      <x:alignment horizontal="center"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202" fontId="0" fillId="0" borderId="0" xfId="0" applyNumberFormat="1" applyFont="1" applyFill="1" applyBorder="1" applyAlignment="1">
      <x:alignment wrapText="1"/>
    </x:xf>
    <x:xf numFmtId="202" fontId="0" fillId="0" borderId="1" xfId="0" applyNumberFormat="1" applyFont="1" applyFill="1" applyBorder="1" applyAlignment="1">
      <x:alignment wrapText="1"/>
    </x:xf>
    <x:xf numFmtId="203" fontId="0" fillId="0" borderId="0" xfId="0" applyNumberFormat="1" applyFont="1" applyFill="1" applyBorder="1" applyAlignment="1">
      <x:alignment wrapText="1"/>
    </x:xf>
    <x:xf numFmtId="203" fontId="0" fillId="0" borderId="1" xfId="0" applyNumberFormat="1" applyFont="1" applyFill="1" applyBorder="1" applyAlignment="1">
      <x:alignment wrapText="1"/>
    </x:xf>
    <x:xf numFmtId="204" fontId="0" fillId="0" borderId="0" xfId="0" applyNumberFormat="1" applyFont="1" applyFill="1" applyBorder="1" applyAlignment="1">
      <x:alignment wrapText="1"/>
    </x:xf>
    <x:xf numFmtId="204" fontId="0" fillId="0" borderId="1" xfId="0" applyNumberFormat="1" applyFont="1" applyFill="1" applyBorder="1" applyAlignment="1">
      <x:alignment wrapText="1"/>
    </x:xf>
    <x:xf numFmtId="205" fontId="0" fillId="0" borderId="0" xfId="0" applyNumberFormat="1" applyFont="1" applyFill="1" applyBorder="1" applyAlignment="1">
      <x:alignment wrapText="1"/>
    </x:xf>
    <x:xf numFmtId="205" fontId="0" fillId="0" borderId="1" xfId="0" applyNumberFormat="1" applyFont="1" applyFill="1" applyBorder="1" applyAlignment="1">
      <x:alignment wrapText="1"/>
    </x:xf>
    <x:xf numFmtId="206" fontId="0" fillId="0" borderId="0" xfId="0" applyNumberFormat="1" applyFont="1" applyFill="1" applyBorder="1" applyAlignment="1">
      <x:alignment wrapText="1"/>
    </x:xf>
    <x:xf numFmtId="206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207" fontId="0" fillId="0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fc85c5ad324425" /><Relationship Type="http://schemas.openxmlformats.org/officeDocument/2006/relationships/theme" Target="/xl/theme/theme1.xml" Id="Rb38b7a0658e54fcc" /><Relationship Type="http://schemas.openxmlformats.org/officeDocument/2006/relationships/sharedStrings" Target="/xl/sharedStrings.xml" Id="R21ac86b7d3eb4f6f" /><Relationship Type="http://schemas.openxmlformats.org/officeDocument/2006/relationships/worksheet" Target="/xl/worksheets/sheet1.xml" Id="Ra040229f094f4b63" /><Relationship Type="http://schemas.openxmlformats.org/officeDocument/2006/relationships/worksheet" Target="/xl/worksheets/sheet2.xml" Id="R6cbee205284a42a7" /><Relationship Type="http://schemas.openxmlformats.org/officeDocument/2006/relationships/worksheet" Target="/xl/worksheets/sheet3.xml" Id="Rd9e7a8c296c24952" /><Relationship Type="http://schemas.openxmlformats.org/officeDocument/2006/relationships/worksheet" Target="/xl/worksheets/sheet4.xml" Id="R05d4f90469a94149" /><Relationship Type="http://schemas.openxmlformats.org/officeDocument/2006/relationships/worksheet" Target="/xl/worksheets/sheet5.xml" Id="Rc655f76d216f499b" /><Relationship Type="http://schemas.openxmlformats.org/officeDocument/2006/relationships/worksheet" Target="/xl/worksheets/sheet6.xml" Id="R015a9046284b47bd" /><Relationship Type="http://schemas.openxmlformats.org/officeDocument/2006/relationships/worksheet" Target="/xl/worksheets/sheet7.xml" Id="R7607a10a3ddf4238" /><Relationship Type="http://schemas.openxmlformats.org/officeDocument/2006/relationships/worksheet" Target="/xl/worksheets/sheet8.xml" Id="R14ee592a6cee48ef" /><Relationship Type="http://schemas.openxmlformats.org/officeDocument/2006/relationships/worksheet" Target="/xl/worksheets/sheet9.xml" Id="Rc1300b9902db46d0" /><Relationship Type="http://schemas.openxmlformats.org/officeDocument/2006/relationships/worksheet" Target="/xl/worksheets/sheet10.xml" Id="R24589ad51e6449e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70" hidden="0" customWidth="1"/>
  </x:cols>
  <x:sheetData>
    <x:row r="1">
      <x:c r="A1" s="10" t="str">
        <x:v>Discover Water supporting calculation workbook</x:v>
      </x:c>
      <x:c r="B1" s="10" t="str"/>
    </x:row>
    <x:row r="2">
      <x:c r="A2" s="11" t="str">
        <x:v>Study</x:v>
      </x:c>
      <x:c r="B2" s="12" t="str">
        <x:v>Technoeconomic Screening and Decision Framework for Vertical Flow Constructed Wetlands Using Reclaimed Water in Riyadh Parks</x:v>
      </x:c>
    </x:row>
    <x:row r="3">
      <x:c r="A3" s="11" t="str">
        <x:v>Purpose</x:v>
      </x:c>
      <x:c r="B3" s="12" t="str">
        <x:v>Formula-driven workbook reproducing the principal hydraulic, water-balance, pollutant mass-balance, aerobic-capacity, life-cycle-cost and sensitivity results reported in the manuscript.</x:v>
      </x:c>
    </x:row>
    <x:row r="4">
      <x:c r="A4" s="11" t="str">
        <x:v>Reference flow</x:v>
      </x:c>
      <x:c r="B4" s="12" t="str">
        <x:v>500 m3/d</x:v>
      </x:c>
    </x:row>
    <x:row r="5">
      <x:c r="A5" s="11" t="str">
        <x:v>Active VFCW area</x:v>
      </x:c>
      <x:c r="B5" s="12" t="str">
        <x:v>4,200 m2</x:v>
      </x:c>
    </x:row>
    <x:row r="6">
      <x:c r="A6" s="11" t="str">
        <x:v>Base ET</x:v>
      </x:c>
      <x:c r="B6" s="12" t="str">
        <x:v>10 mm/d</x:v>
      </x:c>
    </x:row>
    <x:row r="7">
      <x:c r="A7" s="11" t="str">
        <x:v>Economic horizon</x:v>
      </x:c>
      <x:c r="B7" s="12" t="str">
        <x:v>30 years</x:v>
      </x:c>
    </x:row>
    <x:row r="8">
      <x:c r="A8" s="11" t="str">
        <x:v>Real discount rate</x:v>
      </x:c>
      <x:c r="B8" s="12" t="str">
        <x:v>6%</x:v>
      </x:c>
    </x:row>
    <x:row r="9">
      <x:c r="A9" s="11" t="str">
        <x:v>Availability</x:v>
      </x:c>
      <x:c r="B9" s="12" t="str">
        <x:v>95%</x:v>
      </x:c>
    </x:row>
    <x:row r="10">
      <x:c r="A10" s="11" t="str">
        <x:v>Important note</x:v>
      </x:c>
      <x:c r="B10" s="12" t="str">
        <x:v>Cases A and B are analytical source-water scenarios, not measured year-round datasets from specific Riyadh facilities.</x:v>
      </x:c>
    </x:row>
    <x:row r="11">
      <x:c r="A11" s="11" t="str">
        <x:v>Sources</x:v>
      </x:c>
      <x:c r="B11" s="12" t="str">
        <x:v>Inputs are stated in the manuscript / Online Resource 1 or derived from cited public sources listed in the manuscript.</x:v>
      </x:c>
    </x:row>
    <x:row r="12">
      <x:c r="A12" s="11" t="str">
        <x:v>Repository note</x:v>
      </x:c>
      <x:c r="B12" s="41" t="str">
        <x:v>This workbook is deposited as the public supporting dataset associated with the manuscript.</x:v>
      </x:c>
    </x:row>
  </x:sheetData>
  <x:mergeCells>
    <x:mergeCell ref="A1:B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16" hidden="0" customWidth="1"/>
    <x:col min="3" max="3" width="18" hidden="0" customWidth="1"/>
    <x:col min="4" max="4" width="45" hidden="0" customWidth="1"/>
  </x:cols>
  <x:sheetData>
    <x:row r="1">
      <x:c r="A1" s="22" t="str">
        <x:v>Parameter</x:v>
      </x:c>
      <x:c r="B1" s="22" t="str">
        <x:v>Value</x:v>
      </x:c>
      <x:c r="C1" s="22" t="str">
        <x:v>Unit</x:v>
      </x:c>
      <x:c r="D1" s="22" t="str">
        <x:v>Basis / source</x:v>
      </x:c>
    </x:row>
    <x:row r="2">
      <x:c r="A2" s="12" t="str">
        <x:v>Influent flow Q</x:v>
      </x:c>
      <x:c r="B2" s="12" t="n">
        <x:v>500</x:v>
      </x:c>
      <x:c r="C2" s="12" t="str">
        <x:v>m3/d</x:v>
      </x:c>
      <x:c r="D2" s="12" t="str">
        <x:v>Reference design basis in manuscript</x:v>
      </x:c>
    </x:row>
    <x:row r="3">
      <x:c r="A3" s="12" t="str">
        <x:v>Number of cells</x:v>
      </x:c>
      <x:c r="B3" s="12" t="n">
        <x:v>6</x:v>
      </x:c>
      <x:c r="C3" s="12" t="str">
        <x:v>-</x:v>
      </x:c>
      <x:c r="D3" s="12" t="str">
        <x:v>Reference hydraulic design</x:v>
      </x:c>
    </x:row>
    <x:row r="4">
      <x:c r="A4" s="12" t="str">
        <x:v>Cell length</x:v>
      </x:c>
      <x:c r="B4" s="12" t="n">
        <x:v>35</x:v>
      </x:c>
      <x:c r="C4" s="12" t="str">
        <x:v>m</x:v>
      </x:c>
      <x:c r="D4" s="12" t="str">
        <x:v>Reference hydraulic design</x:v>
      </x:c>
    </x:row>
    <x:row r="5">
      <x:c r="A5" s="12" t="str">
        <x:v>Cell width</x:v>
      </x:c>
      <x:c r="B5" s="12" t="n">
        <x:v>20</x:v>
      </x:c>
      <x:c r="C5" s="12" t="str">
        <x:v>m</x:v>
      </x:c>
      <x:c r="D5" s="12" t="str">
        <x:v>Reference hydraulic design</x:v>
      </x:c>
    </x:row>
    <x:row r="6">
      <x:c r="A6" s="12" t="str">
        <x:v>Active area</x:v>
      </x:c>
      <x:c r="B6" s="12" t="n">
        <x:v>4200</x:v>
      </x:c>
      <x:c r="C6" s="12" t="str">
        <x:v>m2</x:v>
      </x:c>
      <x:c r="D6" s="12" t="str">
        <x:v>6 cells x 700 m2</x:v>
      </x:c>
    </x:row>
    <x:row r="7">
      <x:c r="A7" s="12" t="str">
        <x:v>Doses per day</x:v>
      </x:c>
      <x:c r="B7" s="12" t="n">
        <x:v>4</x:v>
      </x:c>
      <x:c r="C7" s="12" t="str">
        <x:v>doses/d</x:v>
      </x:c>
      <x:c r="D7" s="12" t="str">
        <x:v>Intermittent dosing assumption</x:v>
      </x:c>
    </x:row>
    <x:row r="8">
      <x:c r="A8" s="12" t="str">
        <x:v>Base ET</x:v>
      </x:c>
      <x:c r="B8" s="12" t="n">
        <x:v>10</x:v>
      </x:c>
      <x:c r="C8" s="12" t="str">
        <x:v>mm/d</x:v>
      </x:c>
      <x:c r="D8" s="12" t="str">
        <x:v>Analytical screening assumption</x:v>
      </x:c>
    </x:row>
    <x:row r="9">
      <x:c r="A9" s="12" t="str">
        <x:v>Availability</x:v>
      </x:c>
      <x:c r="B9" s="24" t="n">
        <x:v>0.95</x:v>
      </x:c>
      <x:c r="C9" s="12" t="str">
        <x:v>fraction</x:v>
      </x:c>
      <x:c r="D9" s="12" t="str">
        <x:v>Economic model assumption</x:v>
      </x:c>
    </x:row>
    <x:row r="10">
      <x:c r="A10" s="12" t="str">
        <x:v>Project life</x:v>
      </x:c>
      <x:c r="B10" s="39" t="n">
        <x:v>30</x:v>
      </x:c>
      <x:c r="C10" s="12" t="str">
        <x:v>years</x:v>
      </x:c>
      <x:c r="D10" s="12" t="str">
        <x:v>Economic model assumption</x:v>
      </x:c>
    </x:row>
    <x:row r="11">
      <x:c r="A11" s="12" t="str">
        <x:v>Real discount rate</x:v>
      </x:c>
      <x:c r="B11" s="24" t="n">
        <x:v>0.06</x:v>
      </x:c>
      <x:c r="C11" s="12" t="str">
        <x:v>fraction</x:v>
      </x:c>
      <x:c r="D11" s="12" t="str">
        <x:v>Economic model assumption</x:v>
      </x:c>
    </x:row>
    <x:row r="12">
      <x:c r="A12" s="12" t="str">
        <x:v>BOD5 target</x:v>
      </x:c>
      <x:c r="B12" s="12" t="n">
        <x:v>5</x:v>
      </x:c>
      <x:c r="C12" s="12" t="str">
        <x:v>mg/L</x:v>
      </x:c>
      <x:c r="D12" s="12" t="str">
        <x:v>Internal target used in model</x:v>
      </x:c>
    </x:row>
    <x:row r="13">
      <x:c r="A13" s="12" t="str">
        <x:v>TSS target</x:v>
      </x:c>
      <x:c r="B13" s="12" t="n">
        <x:v>5</x:v>
      </x:c>
      <x:c r="C13" s="12" t="str">
        <x:v>mg/L</x:v>
      </x:c>
      <x:c r="D13" s="12" t="str">
        <x:v>Internal target used in model</x:v>
      </x:c>
    </x:row>
    <x:row r="14">
      <x:c r="A14" s="12" t="str">
        <x:v>NH4-N target</x:v>
      </x:c>
      <x:c r="B14" s="12" t="n">
        <x:v>2</x:v>
      </x:c>
      <x:c r="C14" s="12" t="str">
        <x:v>mg/L</x:v>
      </x:c>
      <x:c r="D14" s="12" t="str">
        <x:v>Internal target used in model</x:v>
      </x:c>
    </x:row>
    <x:row r="15">
      <x:c r="A15" s="12" t="str">
        <x:v>NO3-N target</x:v>
      </x:c>
      <x:c r="B15" s="12" t="n">
        <x:v>8</x:v>
      </x:c>
      <x:c r="C15" s="12" t="str">
        <x:v>mg/L</x:v>
      </x:c>
      <x:c r="D15" s="12" t="str">
        <x:v>Internal target used in model</x:v>
      </x:c>
    </x:row>
    <x:row r="16">
      <x:c r="A16" s="12" t="str">
        <x:v>PO4 target</x:v>
      </x:c>
      <x:c r="B16" s="12" t="n">
        <x:v>1.5</x:v>
      </x:c>
      <x:c r="C16" s="12" t="str">
        <x:v>mg/L</x:v>
      </x:c>
      <x:c r="D16" s="12" t="str">
        <x:v>Internal target used in model</x:v>
      </x:c>
    </x:row>
    <x:row r="17">
      <x:c r="A17" s="12" t="str">
        <x:v>Denitrification COD factor</x:v>
      </x:c>
      <x:c r="B17" s="12" t="n">
        <x:v>2.86</x:v>
      </x:c>
      <x:c r="C17" s="12" t="str">
        <x:v>g COD/g NO3-N</x:v>
      </x:c>
      <x:c r="D17" s="12" t="str">
        <x:v>Theoretical minimum used in manuscript</x:v>
      </x:c>
    </x:row>
    <x:row r="18">
      <x:c r="A18" s="12" t="str">
        <x:v>NH4 oxygen factor</x:v>
      </x:c>
      <x:c r="B18" s="12" t="n">
        <x:v>4.3</x:v>
      </x:c>
      <x:c r="C18" s="12" t="str">
        <x:v>g O2/g NH4-N</x:v>
      </x:c>
      <x:c r="D18" s="12" t="str">
        <x:v>Aerobic-capacity screening factor</x:v>
      </x:c>
    </x:row>
    <x:row r="19">
      <x:c r="A19" s="12" t="str">
        <x:v>Literature O2 comparator low</x:v>
      </x:c>
      <x:c r="B19" s="12" t="n">
        <x:v>23</x:v>
      </x:c>
      <x:c r="C19" s="12" t="str">
        <x:v>g O2/m2/d</x:v>
      </x:c>
      <x:c r="D19" s="12" t="str">
        <x:v>Comparator summarized in manuscript</x:v>
      </x:c>
    </x:row>
    <x:row r="20">
      <x:c r="A20" s="12" t="str">
        <x:v>Literature O2 comparator high</x:v>
      </x:c>
      <x:c r="B20" s="12" t="n">
        <x:v>64</x:v>
      </x:c>
      <x:c r="C20" s="12" t="str">
        <x:v>g O2/m2/d</x:v>
      </x:c>
      <x:c r="D20" s="12" t="str">
        <x:v>Comparator summarized in manuscript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>
      <x:c r="A1" s="22" t="str">
        <x:v>Condition</x:v>
      </x:c>
      <x:c r="B1" s="22" t="str">
        <x:v>Active cells</x:v>
      </x:c>
      <x:c r="C1" s="22" t="str">
        <x:v>Active area m2</x:v>
      </x:c>
      <x:c r="D1" s="22" t="str">
        <x:v>HLR m/d</x:v>
      </x:c>
      <x:c r="E1" s="22" t="str">
        <x:v>Volume per cell per dose m3</x:v>
      </x:c>
      <x:c r="F1" s="22" t="str">
        <x:v>Pulse depth mm</x:v>
      </x:c>
    </x:row>
    <x:row r="2">
      <x:c r="A2" s="12" t="str">
        <x:v>Normal</x:v>
      </x:c>
      <x:c r="B2" s="12" t="n">
        <x:v>6</x:v>
      </x:c>
      <x:c r="C2" s="12" t="n">
        <x:v>4200</x:v>
      </x:c>
      <x:c r="D2" s="26" t="n">
        <x:f>Inputs!$B$2/C2</x:f>
        <x:v>0.11904761904761904</x:v>
      </x:c>
      <x:c r="E2" s="28" t="n">
        <x:f>Inputs!$B$2/B2/Inputs!$B$7</x:f>
        <x:v>20.833333333333332</x:v>
      </x:c>
      <x:c r="F2" s="30" t="n">
        <x:f>E2/(C2/B2)*1000</x:f>
        <x:v>29.76190476190476</x:v>
      </x:c>
    </x:row>
    <x:row r="3">
      <x:c r="A3" s="12" t="str">
        <x:v>One cell offline</x:v>
      </x:c>
      <x:c r="B3" s="12" t="n">
        <x:v>5</x:v>
      </x:c>
      <x:c r="C3" s="12" t="n">
        <x:v>3500</x:v>
      </x:c>
      <x:c r="D3" s="26" t="n">
        <x:f>Inputs!$B$2/C3</x:f>
        <x:v>0.14285714285714285</x:v>
      </x:c>
      <x:c r="E3" s="28" t="n">
        <x:f>Inputs!$B$2/B3/Inputs!$B$7</x:f>
        <x:v>25</x:v>
      </x:c>
      <x:c r="F3" s="30" t="n">
        <x:f>E3/(C3/B3)*1000</x:f>
        <x:v>35.714285714285715</x:v>
      </x:c>
    </x:row>
    <x:row r="4">
      <x:c r="A4" s="12" t="str"/>
      <x:c r="B4" s="12" t="str"/>
      <x:c r="C4" s="12" t="str"/>
      <x:c r="D4" s="12" t="str"/>
      <x:c r="E4" s="12" t="str"/>
      <x:c r="F4" s="12" t="str"/>
    </x:row>
    <x:row r="5">
      <x:c r="A5" s="12" t="str">
        <x:v>Base calculation note</x:v>
      </x:c>
      <x:c r="B5" s="12" t="str"/>
      <x:c r="C5" s="12" t="str"/>
      <x:c r="D5" s="12" t="str"/>
      <x:c r="E5" s="12" t="str"/>
      <x:c r="F5" s="12" t="str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</x:cols>
  <x:sheetData>
    <x:row r="1">
      <x:c r="A1" s="22" t="str">
        <x:v>ET mm/d</x:v>
      </x:c>
      <x:c r="B1" s="22" t="str">
        <x:v>ET loss m3/d</x:v>
      </x:c>
      <x:c r="C1" s="22" t="str">
        <x:v>Net output m3/d</x:v>
      </x:c>
      <x:c r="D1" s="22" t="str">
        <x:v>Recovery</x:v>
      </x:c>
      <x:c r="E1" s="22" t="str">
        <x:v>Concentration factor</x:v>
      </x:c>
      <x:c r="F1" s="22" t="str">
        <x:v>Annual delivered volume m3/y</x:v>
      </x:c>
    </x:row>
    <x:row r="2">
      <x:c r="A2" s="12" t="n">
        <x:v>5</x:v>
      </x:c>
      <x:c r="B2" s="30" t="n">
        <x:f>A2/1000*Inputs!$B$6</x:f>
        <x:v>21</x:v>
      </x:c>
      <x:c r="C2" s="30" t="n">
        <x:f>Inputs!$B$2-B2</x:f>
        <x:v>479</x:v>
      </x:c>
      <x:c r="D2" s="32" t="n">
        <x:f>C2/Inputs!$B$2</x:f>
        <x:v>0.958</x:v>
      </x:c>
      <x:c r="E2" s="26" t="n">
        <x:f>Inputs!$B$2/C2</x:f>
        <x:v>1.0438413361169103</x:v>
      </x:c>
      <x:c r="F2" s="34" t="n">
        <x:f>C2*365*Inputs!$B$9</x:f>
        <x:v>166093.25</x:v>
      </x:c>
    </x:row>
    <x:row r="3">
      <x:c r="A3" s="12" t="n">
        <x:v>10</x:v>
      </x:c>
      <x:c r="B3" s="30" t="n">
        <x:f>A3/1000*Inputs!$B$6</x:f>
        <x:v>42</x:v>
      </x:c>
      <x:c r="C3" s="30" t="n">
        <x:f>Inputs!$B$2-B3</x:f>
        <x:v>458</x:v>
      </x:c>
      <x:c r="D3" s="32" t="n">
        <x:f>C3/Inputs!$B$2</x:f>
        <x:v>0.916</x:v>
      </x:c>
      <x:c r="E3" s="26" t="n">
        <x:f>Inputs!$B$2/C3</x:f>
        <x:v>1.091703056768559</x:v>
      </x:c>
      <x:c r="F3" s="34" t="n">
        <x:f>C3*365*Inputs!$B$9</x:f>
        <x:v>158811.5</x:v>
      </x:c>
    </x:row>
    <x:row r="4">
      <x:c r="A4" s="12" t="n">
        <x:v>15</x:v>
      </x:c>
      <x:c r="B4" s="30" t="n">
        <x:f>A4/1000*Inputs!$B$6</x:f>
        <x:v>63</x:v>
      </x:c>
      <x:c r="C4" s="30" t="n">
        <x:f>Inputs!$B$2-B4</x:f>
        <x:v>437</x:v>
      </x:c>
      <x:c r="D4" s="32" t="n">
        <x:f>C4/Inputs!$B$2</x:f>
        <x:v>0.874</x:v>
      </x:c>
      <x:c r="E4" s="26" t="n">
        <x:f>Inputs!$B$2/C4</x:f>
        <x:v>1.1441647597254005</x:v>
      </x:c>
      <x:c r="F4" s="34" t="n">
        <x:f>C4*365*Inputs!$B$9</x:f>
        <x:v>151529.75</x:v>
      </x:c>
    </x:row>
    <x:row r="5">
      <x:c r="A5" s="12" t="str">
        <x:v>Base case</x:v>
      </x:c>
      <x:c r="B5" s="12" t="str"/>
      <x:c r="C5" s="12" t="str"/>
      <x:c r="D5" s="12" t="str"/>
      <x:c r="E5" s="12" t="str"/>
      <x:c r="F5" s="12" t="str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3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>
      <x:c r="A1" s="22" t="str">
        <x:v>Case</x:v>
      </x:c>
      <x:c r="B1" s="22" t="str">
        <x:v>Description</x:v>
      </x:c>
      <x:c r="C1" s="22" t="str">
        <x:v>BOD5 mg/L</x:v>
      </x:c>
      <x:c r="D1" s="22" t="str">
        <x:v>COD mg/L</x:v>
      </x:c>
      <x:c r="E1" s="22" t="str">
        <x:v>TSS mg/L</x:v>
      </x:c>
      <x:c r="F1" s="22" t="str">
        <x:v>NH4-N mg/L</x:v>
      </x:c>
      <x:c r="G1" s="22" t="str">
        <x:v>NO3-N mg/L</x:v>
      </x:c>
      <x:c r="H1" s="22" t="str">
        <x:v>PO4 mg/L</x:v>
      </x:c>
    </x:row>
    <x:row r="2">
      <x:c r="A2" s="12" t="str">
        <x:v>A</x:v>
      </x:c>
      <x:c r="B2" s="12" t="str">
        <x:v>Low-strength reclaimed</x:v>
      </x:c>
      <x:c r="C2" s="12" t="n">
        <x:v>15</x:v>
      </x:c>
      <x:c r="D2" s="12" t="n">
        <x:v>45</x:v>
      </x:c>
      <x:c r="E2" s="12" t="n">
        <x:v>15</x:v>
      </x:c>
      <x:c r="F2" s="12" t="n">
        <x:v>2</x:v>
      </x:c>
      <x:c r="G2" s="12" t="n">
        <x:v>8</x:v>
      </x:c>
      <x:c r="H2" s="12" t="n">
        <x:v>1.5</x:v>
      </x:c>
    </x:row>
    <x:row r="3">
      <x:c r="A3" s="12" t="str">
        <x:v>B</x:v>
      </x:c>
      <x:c r="B3" s="12" t="str">
        <x:v>Intermediate secondary</x:v>
      </x:c>
      <x:c r="C3" s="12" t="n">
        <x:v>25</x:v>
      </x:c>
      <x:c r="D3" s="12" t="n">
        <x:v>65</x:v>
      </x:c>
      <x:c r="E3" s="12" t="n">
        <x:v>25</x:v>
      </x:c>
      <x:c r="F3" s="12" t="n">
        <x:v>4</x:v>
      </x:c>
      <x:c r="G3" s="12" t="n">
        <x:v>12</x:v>
      </x:c>
      <x:c r="H3" s="12" t="n">
        <x:v>2.5</x:v>
      </x:c>
    </x:row>
    <x:row r="4">
      <x:c r="A4" s="12" t="str">
        <x:v>C</x:v>
      </x:c>
      <x:c r="B4" s="12" t="str">
        <x:v>Regulatory upper-bound secondary</x:v>
      </x:c>
      <x:c r="C4" s="12" t="n">
        <x:v>40</x:v>
      </x:c>
      <x:c r="D4" s="12" t="n">
        <x:v>90</x:v>
      </x:c>
      <x:c r="E4" s="12" t="n">
        <x:v>40</x:v>
      </x:c>
      <x:c r="F4" s="12" t="n">
        <x:v>5</x:v>
      </x:c>
      <x:c r="G4" s="12" t="n">
        <x:v>25</x:v>
      </x:c>
      <x:c r="H4" s="12" t="n">
        <x:v>5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>
      <x:c r="A1" s="22" t="str">
        <x:v>Case</x:v>
      </x:c>
      <x:c r="B1" s="22" t="str">
        <x:v>BOD5 removal kg/d</x:v>
      </x:c>
      <x:c r="C1" s="22" t="str">
        <x:v>TSS removal kg/d</x:v>
      </x:c>
      <x:c r="D1" s="22" t="str">
        <x:v>NH4-N removal kg/d</x:v>
      </x:c>
      <x:c r="E1" s="22" t="str">
        <x:v>Direct NO3-N reduction kg/d</x:v>
      </x:c>
      <x:c r="F1" s="22" t="str">
        <x:v>NO3-N denitrification duty kg/d</x:v>
      </x:c>
      <x:c r="G1" s="22" t="str">
        <x:v>Minimum denit COD kg/d</x:v>
      </x:c>
      <x:c r="H1" s="22" t="str">
        <x:v>PO4 removal kg/d</x:v>
      </x:c>
      <x:c r="I1" s="22" t="str">
        <x:v>PO4 removal kg/y</x:v>
      </x:c>
    </x:row>
    <x:row r="2">
      <x:c r="A2" s="12" t="str">
        <x:v>A</x:v>
      </x:c>
      <x:c r="B2" s="26" t="n">
        <x:f>(Inputs!$B$2*Cases!C2-'Water Balance'!$C$3*Inputs!$B$12)/1000</x:f>
        <x:v>5.21</x:v>
      </x:c>
      <x:c r="C2" s="26" t="n">
        <x:f>(Inputs!$B$2*Cases!E2-'Water Balance'!$C$3*Inputs!$B$13)/1000</x:f>
        <x:v>5.21</x:v>
      </x:c>
      <x:c r="D2" s="26" t="n">
        <x:f>(Inputs!$B$2*Cases!F2-'Water Balance'!$C$3*Inputs!$B$14)/1000</x:f>
        <x:v>0.084</x:v>
      </x:c>
      <x:c r="E2" s="26" t="n">
        <x:f>(Inputs!$B$2*Cases!G2-'Water Balance'!$C$3*Inputs!$B$15)/1000</x:f>
        <x:v>0.336</x:v>
      </x:c>
      <x:c r="F2" s="26" t="n">
        <x:f>E2+D2</x:f>
        <x:v>0.42000000000000004</x:v>
      </x:c>
      <x:c r="G2" s="26" t="n">
        <x:f>F2*Inputs!$B$17</x:f>
        <x:v>1.2012</x:v>
      </x:c>
      <x:c r="H2" s="26" t="n">
        <x:f>(Inputs!$B$2*Cases!H2-'Water Balance'!$C$3*Inputs!$B$16)/1000</x:f>
        <x:v>0.063</x:v>
      </x:c>
      <x:c r="I2" s="26" t="n">
        <x:f>H2*365</x:f>
        <x:v>22.995</x:v>
      </x:c>
    </x:row>
    <x:row r="3">
      <x:c r="A3" s="12" t="str">
        <x:v>B</x:v>
      </x:c>
      <x:c r="B3" s="26" t="n">
        <x:f>(Inputs!$B$2*Cases!C3-'Water Balance'!$C$3*Inputs!$B$12)/1000</x:f>
        <x:v>10.21</x:v>
      </x:c>
      <x:c r="C3" s="26" t="n">
        <x:f>(Inputs!$B$2*Cases!E3-'Water Balance'!$C$3*Inputs!$B$13)/1000</x:f>
        <x:v>10.21</x:v>
      </x:c>
      <x:c r="D3" s="26" t="n">
        <x:f>(Inputs!$B$2*Cases!F3-'Water Balance'!$C$3*Inputs!$B$14)/1000</x:f>
        <x:v>1.084</x:v>
      </x:c>
      <x:c r="E3" s="26" t="n">
        <x:f>(Inputs!$B$2*Cases!G3-'Water Balance'!$C$3*Inputs!$B$15)/1000</x:f>
        <x:v>2.336</x:v>
      </x:c>
      <x:c r="F3" s="26" t="n">
        <x:f>E3+D3</x:f>
        <x:v>3.42</x:v>
      </x:c>
      <x:c r="G3" s="26" t="n">
        <x:f>F3*Inputs!$B$17</x:f>
        <x:v>9.7812</x:v>
      </x:c>
      <x:c r="H3" s="26" t="n">
        <x:f>(Inputs!$B$2*Cases!H3-'Water Balance'!$C$3*Inputs!$B$16)/1000</x:f>
        <x:v>0.563</x:v>
      </x:c>
      <x:c r="I3" s="26" t="n">
        <x:f>H3*365</x:f>
        <x:v>205.49499999999998</x:v>
      </x:c>
    </x:row>
    <x:row r="4">
      <x:c r="A4" s="12" t="str">
        <x:v>C</x:v>
      </x:c>
      <x:c r="B4" s="26" t="n">
        <x:f>(Inputs!$B$2*Cases!C4-'Water Balance'!$C$3*Inputs!$B$12)/1000</x:f>
        <x:v>17.71</x:v>
      </x:c>
      <x:c r="C4" s="26" t="n">
        <x:f>(Inputs!$B$2*Cases!E4-'Water Balance'!$C$3*Inputs!$B$13)/1000</x:f>
        <x:v>17.71</x:v>
      </x:c>
      <x:c r="D4" s="26" t="n">
        <x:f>(Inputs!$B$2*Cases!F4-'Water Balance'!$C$3*Inputs!$B$14)/1000</x:f>
        <x:v>1.584</x:v>
      </x:c>
      <x:c r="E4" s="26" t="n">
        <x:f>(Inputs!$B$2*Cases!G4-'Water Balance'!$C$3*Inputs!$B$15)/1000</x:f>
        <x:v>8.836</x:v>
      </x:c>
      <x:c r="F4" s="26" t="n">
        <x:f>E4+D4</x:f>
        <x:v>10.42</x:v>
      </x:c>
      <x:c r="G4" s="26" t="n">
        <x:f>F4*Inputs!$B$17</x:f>
        <x:v>29.801199999999998</x:v>
      </x:c>
      <x:c r="H4" s="26" t="n">
        <x:f>(Inputs!$B$2*Cases!H4-'Water Balance'!$C$3*Inputs!$B$16)/1000</x:f>
        <x:v>1.813</x:v>
      </x:c>
      <x:c r="I4" s="26" t="n">
        <x:f>H4*365</x:f>
        <x:v>661.745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</x:cols>
  <x:sheetData>
    <x:row r="1">
      <x:c r="A1" s="22" t="str">
        <x:v>Case</x:v>
      </x:c>
      <x:c r="B1" s="22" t="str">
        <x:v>BOD5 areal removal g/m2/d</x:v>
      </x:c>
      <x:c r="C1" s="22" t="str">
        <x:v>NH4-N areal removal g N/m2/d</x:v>
      </x:c>
      <x:c r="D1" s="22" t="str">
        <x:v>Screening O2 requirement g O2/m2/d</x:v>
      </x:c>
      <x:c r="E1" s="22" t="str">
        <x:v>Literature comparator g O2/m2/d</x:v>
      </x:c>
    </x:row>
    <x:row r="2">
      <x:c r="A2" s="12" t="str">
        <x:v>A</x:v>
      </x:c>
      <x:c r="B2" s="28" t="n">
        <x:f>'Mass Balance'!B2*1000/Inputs!$B$6</x:f>
        <x:v>1.2404761904761905</x:v>
      </x:c>
      <x:c r="C2" s="28" t="n">
        <x:f>'Mass Balance'!D2*1000/Inputs!$B$6</x:f>
        <x:v>0.02</x:v>
      </x:c>
      <x:c r="D2" s="28" t="n">
        <x:f>('Mass Balance'!B2+Inputs!$B$18*'Mass Balance'!D2)*1000/Inputs!$B$6</x:f>
        <x:v>1.3264761904761904</x:v>
      </x:c>
      <x:c r="E2" s="12" t="str">
        <x:v>23-64</x:v>
      </x:c>
    </x:row>
    <x:row r="3">
      <x:c r="A3" s="12" t="str">
        <x:v>B</x:v>
      </x:c>
      <x:c r="B3" s="28" t="n">
        <x:f>'Mass Balance'!B3*1000/Inputs!$B$6</x:f>
        <x:v>2.4309523809523808</x:v>
      </x:c>
      <x:c r="C3" s="28" t="n">
        <x:f>'Mass Balance'!D3*1000/Inputs!$B$6</x:f>
        <x:v>0.2580952380952381</x:v>
      </x:c>
      <x:c r="D3" s="28" t="n">
        <x:f>('Mass Balance'!B3+Inputs!$B$18*'Mass Balance'!D3)*1000/Inputs!$B$6</x:f>
        <x:v>3.540761904761905</x:v>
      </x:c>
      <x:c r="E3" s="12" t="str">
        <x:v>23-64</x:v>
      </x:c>
    </x:row>
    <x:row r="4">
      <x:c r="A4" s="12" t="str">
        <x:v>C</x:v>
      </x:c>
      <x:c r="B4" s="28" t="n">
        <x:f>'Mass Balance'!B4*1000/Inputs!$B$6</x:f>
        <x:v>4.216666666666667</x:v>
      </x:c>
      <x:c r="C4" s="28" t="n">
        <x:f>'Mass Balance'!D4*1000/Inputs!$B$6</x:f>
        <x:v>0.37714285714285717</x:v>
      </x:c>
      <x:c r="D4" s="28" t="n">
        <x:f>('Mass Balance'!B4+Inputs!$B$18*'Mass Balance'!D4)*1000/Inputs!$B$6</x:f>
        <x:v>5.838380952380953</x:v>
      </x:c>
      <x:c r="E4" s="12" t="str">
        <x:v>23-64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</x:cols>
  <x:sheetData>
    <x:row r="1">
      <x:c r="A1" s="22" t="str">
        <x:v>Case</x:v>
      </x:c>
      <x:c r="B1" s="22" t="str">
        <x:v>CAPEX low M SAR</x:v>
      </x:c>
      <x:c r="C1" s="22" t="str">
        <x:v>CAPEX high M SAR</x:v>
      </x:c>
      <x:c r="D1" s="22" t="str">
        <x:v>OPEX low SAR/m3 treated</x:v>
      </x:c>
      <x:c r="E1" s="22" t="str">
        <x:v>OPEX high SAR/m3 treated</x:v>
      </x:c>
      <x:c r="F1" s="22" t="str">
        <x:v>Midpoint CAPEX M SAR</x:v>
      </x:c>
      <x:c r="G1" s="22" t="str">
        <x:v>Midpoint OPEX SAR/m3</x:v>
      </x:c>
      <x:c r="H1" s="22" t="str">
        <x:v>Midpoint delivered LC SAR/m3</x:v>
      </x:c>
      <x:c r="I1" s="22" t="str">
        <x:v>NPC low M SAR</x:v>
      </x:c>
      <x:c r="J1" s="22" t="str">
        <x:v>NPC high M SAR</x:v>
      </x:c>
      <x:c r="K1" s="22" t="str">
        <x:v>Delivered LC low SAR/m3</x:v>
      </x:c>
      <x:c r="L1" s="22" t="str">
        <x:v>Delivered LC high SAR/m3</x:v>
      </x:c>
      <x:c r="M1" s="22" t="str">
        <x:v>10% CAPEX reserve at year 15 SAR/m3</x:v>
      </x:c>
      <x:c r="N1" s="22" t="str">
        <x:v>Midpoint LC incl reserve SAR/m3</x:v>
      </x:c>
    </x:row>
    <x:row r="2">
      <x:c r="A2" s="12" t="str">
        <x:v>A</x:v>
      </x:c>
      <x:c r="B2" s="28" t="n">
        <x:v>3.3</x:v>
      </x:c>
      <x:c r="C2" s="28" t="n">
        <x:v>4.2</x:v>
      </x:c>
      <x:c r="D2" s="28" t="n">
        <x:v>0.5</x:v>
      </x:c>
      <x:c r="E2" s="28" t="n">
        <x:v>0.7</x:v>
      </x:c>
      <x:c r="F2" s="28" t="n">
        <x:f>AVERAGE(B2:C2)</x:f>
        <x:v>3.75</x:v>
      </x:c>
      <x:c r="G2" s="28" t="n">
        <x:f>AVERAGE(D2:E2)</x:f>
        <x:v>0.6</x:v>
      </x:c>
      <x:c r="H2" s="28" t="n">
        <x:f>(F2*1000000 + (Inputs!$B$2*365*Inputs!$B$9*G2)*((1-(1+Inputs!$B$11)^(-Inputs!$B$10))/Inputs!$B$11))/(('Water Balance'!$C$3*365*Inputs!$B$9)*((1-(1+Inputs!$B$11)^(-Inputs!$B$10))/Inputs!$B$11))</x:f>
        <x:v>2.3704732849175087</x:v>
      </x:c>
      <x:c r="I2" s="28" t="n">
        <x:f>(B2*1000000 + (Inputs!$B$2*365*Inputs!$B$9)*D2*((1-(1+Inputs!$B$11)^(-Inputs!$B$10))/Inputs!$B$11))/1000000</x:f>
        <x:v>4.49323880044474</x:v>
      </x:c>
      <x:c r="J2" s="28" t="n">
        <x:f>(C2*1000000 + (Inputs!$B$2*365*Inputs!$B$9)*E2*((1-(1+Inputs!$B$11)^(-Inputs!$B$10))/Inputs!$B$11))/1000000</x:f>
        <x:v>5.870534320622636</x:v>
      </x:c>
      <x:c r="K2" s="28" t="n">
        <x:f>I2*1000000/(('Water Balance'!$C$3*365*Inputs!$B$9)*((1-(1+Inputs!$B$11)^(-Inputs!$B$10))/Inputs!$B$11))</x:f>
        <x:v>2.0554488051378885</x:v>
      </x:c>
      <x:c r="L2" s="28" t="n">
        <x:f>J2*1000000/(('Water Balance'!$C$3*365*Inputs!$B$9)*((1-(1+Inputs!$B$11)^(-Inputs!$B$10))/Inputs!$B$11))</x:f>
        <x:v>2.68549776469713</x:v>
      </x:c>
      <x:c r="M2" s="28" t="n">
        <x:f>(0.10*F2*1000000/(1+Inputs!$B$11)^15)/(('Water Balance'!$C$3*365*Inputs!$B$9)*((1-(1+Inputs!$B$11)^(-Inputs!$B$10))/Inputs!$B$11))</x:f>
        <x:v>0.07157979538304557</x:v>
      </x:c>
      <x:c r="N2" s="28" t="n">
        <x:f>H2+M2</x:f>
        <x:v>2.4420530803005542</x:v>
      </x:c>
    </x:row>
    <x:row r="3">
      <x:c r="A3" s="12" t="str">
        <x:v>B</x:v>
      </x:c>
      <x:c r="B3" s="28" t="n">
        <x:v>3.8</x:v>
      </x:c>
      <x:c r="C3" s="28" t="n">
        <x:v>5.3</x:v>
      </x:c>
      <x:c r="D3" s="28" t="n">
        <x:v>0.75</x:v>
      </x:c>
      <x:c r="E3" s="28" t="n">
        <x:v>1.05</x:v>
      </x:c>
      <x:c r="F3" s="28" t="n">
        <x:f>AVERAGE(B3:C3)</x:f>
        <x:v>4.55</x:v>
      </x:c>
      <x:c r="G3" s="28" t="n">
        <x:f>AVERAGE(D3:E3)</x:f>
        <x:v>0.9</x:v>
      </x:c>
      <x:c r="H3" s="28" t="n">
        <x:f>(F3*1000000 + (Inputs!$B$2*365*Inputs!$B$9*G3)*((1-(1+Inputs!$B$11)^(-Inputs!$B$10))/Inputs!$B$11))/(('Water Balance'!$C$3*365*Inputs!$B$9)*((1-(1+Inputs!$B$11)^(-Inputs!$B$10))/Inputs!$B$11))</x:f>
        <x:v>3.0639471781307694</x:v>
      </x:c>
      <x:c r="I3" s="28" t="n">
        <x:f>(B3*1000000 + (Inputs!$B$2*365*Inputs!$B$9)*D3*((1-(1+Inputs!$B$11)^(-Inputs!$B$10))/Inputs!$B$11))/1000000</x:f>
        <x:v>5.589858200667109</x:v>
      </x:c>
      <x:c r="J3" s="28" t="n">
        <x:f>(C3*1000000 + (Inputs!$B$2*365*Inputs!$B$9)*E3*((1-(1+Inputs!$B$11)^(-Inputs!$B$10))/Inputs!$B$11))/1000000</x:f>
        <x:v>7.805801480933953</x:v>
      </x:c>
      <x:c r="K3" s="28" t="n">
        <x:f>I3*1000000/(('Water Balance'!$C$3*365*Inputs!$B$9)*((1-(1+Inputs!$B$11)^(-Inputs!$B$10))/Inputs!$B$11))</x:f>
        <x:v>2.557101429444211</x:v>
      </x:c>
      <x:c r="L3" s="28" t="n">
        <x:f>J3*1000000/(('Water Balance'!$C$3*365*Inputs!$B$9)*((1-(1+Inputs!$B$11)^(-Inputs!$B$10))/Inputs!$B$11))</x:f>
        <x:v>3.570792926817328</x:v>
      </x:c>
      <x:c r="M3" s="28" t="n">
        <x:f>(0.10*F3*1000000/(1+Inputs!$B$11)^15)/(('Water Balance'!$C$3*365*Inputs!$B$9)*((1-(1+Inputs!$B$11)^(-Inputs!$B$10))/Inputs!$B$11))</x:f>
        <x:v>0.08685015173142861</x:v>
      </x:c>
      <x:c r="N3" s="28" t="n">
        <x:f>H3+M3</x:f>
        <x:v>3.150797329862198</x:v>
      </x:c>
    </x:row>
    <x:row r="4">
      <x:c r="A4" s="12" t="str">
        <x:v>C</x:v>
      </x:c>
      <x:c r="B4" s="28" t="n">
        <x:v>4.8</x:v>
      </x:c>
      <x:c r="C4" s="28" t="n">
        <x:v>6.7</x:v>
      </x:c>
      <x:c r="D4" s="28" t="n">
        <x:v>1.3</x:v>
      </x:c>
      <x:c r="E4" s="28" t="n">
        <x:v>1.9</x:v>
      </x:c>
      <x:c r="F4" s="28" t="n">
        <x:f>AVERAGE(B4:C4)</x:f>
        <x:v>5.75</x:v>
      </x:c>
      <x:c r="G4" s="28" t="n">
        <x:f>AVERAGE(D4:E4)</x:f>
        <x:v>1.6</x:v>
      </x:c>
      <x:c r="H4" s="28" t="n">
        <x:f>(F4*1000000 + (Inputs!$B$2*365*Inputs!$B$9*G4)*((1-(1+Inputs!$B$11)^(-Inputs!$B$10))/Inputs!$B$11))/(('Water Balance'!$C$3*365*Inputs!$B$9)*((1-(1+Inputs!$B$11)^(-Inputs!$B$10))/Inputs!$B$11))</x:f>
        <x:v>4.377083782142801</x:v>
      </x:c>
      <x:c r="I4" s="28" t="n">
        <x:f>(B4*1000000 + (Inputs!$B$2*365*Inputs!$B$9)*D4*((1-(1+Inputs!$B$11)^(-Inputs!$B$10))/Inputs!$B$11))/1000000</x:f>
        <x:v>7.902420881156323</x:v>
      </x:c>
      <x:c r="J4" s="28" t="n">
        <x:f>(C4*1000000 + (Inputs!$B$2*365*Inputs!$B$9)*E4*((1-(1+Inputs!$B$11)^(-Inputs!$B$10))/Inputs!$B$11))/1000000</x:f>
        <x:v>11.23430744169001</x:v>
      </x:c>
      <x:c r="K4" s="28" t="n">
        <x:f>I4*1000000/(('Water Balance'!$C$3*365*Inputs!$B$9)*((1-(1+Inputs!$B$11)^(-Inputs!$B$10))/Inputs!$B$11))</x:f>
        <x:v>3.614991830895285</x:v>
      </x:c>
      <x:c r="L4" s="28" t="n">
        <x:f>J4*1000000/(('Water Balance'!$C$3*365*Inputs!$B$9)*((1-(1+Inputs!$B$11)^(-Inputs!$B$10))/Inputs!$B$11))</x:f>
        <x:v>5.139175733390316</x:v>
      </x:c>
      <x:c r="M4" s="28" t="n">
        <x:f>(0.10*F4*1000000/(1+Inputs!$B$11)^15)/(('Water Balance'!$C$3*365*Inputs!$B$9)*((1-(1+Inputs!$B$11)^(-Inputs!$B$10))/Inputs!$B$11))</x:f>
        <x:v>0.10975568625400321</x:v>
      </x:c>
      <x:c r="N4" s="28" t="n">
        <x:f>H4+M4</x:f>
        <x:v>4.486839468396804</x:v>
      </x:c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>
      <x:c r="A1" s="22" t="str">
        <x:v>Variable</x:v>
      </x:c>
      <x:c r="B1" s="22" t="str">
        <x:v>Low</x:v>
      </x:c>
      <x:c r="C1" s="22" t="str">
        <x:v>Base</x:v>
      </x:c>
      <x:c r="D1" s="22" t="str">
        <x:v>High</x:v>
      </x:c>
      <x:c r="E1" s="22" t="str">
        <x:v>Delivered LC at low</x:v>
      </x:c>
      <x:c r="F1" s="22" t="str">
        <x:v>Delivered LC at high</x:v>
      </x:c>
    </x:row>
    <x:row r="2">
      <x:c r="A2" s="12" t="str">
        <x:v>ET mm/d</x:v>
      </x:c>
      <x:c r="B2" s="12" t="n">
        <x:v>5</x:v>
      </x:c>
      <x:c r="C2" s="12" t="n">
        <x:v>10</x:v>
      </x:c>
      <x:c r="D2" s="12" t="n">
        <x:v>15</x:v>
      </x:c>
      <x:c r="E2" s="28" t="n">
        <x:f>(Economics!F3*1000000 + (Inputs!$B$2*365*Inputs!$B$9*Economics!G3)*((1-(1+Inputs!$B$11)^(-Inputs!$B$10))/Inputs!$B$11))/(((Inputs!$B$2-(B2/1000*Inputs!$B$6))*365*Inputs!$B$9)*((1-(1+Inputs!$B$11)^(-Inputs!$B$10))/Inputs!$B$11))</x:f>
        <x:v>2.92961964004988</x:v>
      </x:c>
      <x:c r="F2" s="28" t="n">
        <x:f>(Economics!F3*1000000 + (Inputs!$B$2*365*Inputs!$B$9*Economics!G3)*((1-(1+Inputs!$B$11)^(-Inputs!$B$10))/Inputs!$B$11))/(((Inputs!$B$2-(D2/1000*Inputs!$B$6))*365*Inputs!$B$9)*((1-(1+Inputs!$B$11)^(-Inputs!$B$10))/Inputs!$B$11))</x:f>
        <x:v>3.2111849143796167</x:v>
      </x:c>
    </x:row>
    <x:row r="3">
      <x:c r="A3" s="12" t="str">
        <x:v>CAPEX multiplier</x:v>
      </x:c>
      <x:c r="B3" s="12" t="n">
        <x:v>0.7</x:v>
      </x:c>
      <x:c r="C3" s="12" t="n">
        <x:v>1</x:v>
      </x:c>
      <x:c r="D3" s="12" t="n">
        <x:v>1.3</x:v>
      </x:c>
      <x:c r="E3" s="28" t="n">
        <x:f>((Economics!F3*B3)*1000000 + (Inputs!$B$2*365*Inputs!$B$9*Economics!G3)*((1-(1+Inputs!$B$11)^(-Inputs!$B$10))/Inputs!$B$11))/(('Water Balance'!$C$3*365*Inputs!$B$9)*((1-(1+Inputs!$B$11)^(-Inputs!$B$10))/Inputs!$B$11))</x:f>
        <x:v>2.4395228500190496</x:v>
      </x:c>
      <x:c r="F3" s="28" t="n">
        <x:f>((Economics!F3*D3)*1000000 + (Inputs!$B$2*365*Inputs!$B$9*Economics!G3)*((1-(1+Inputs!$B$11)^(-Inputs!$B$10))/Inputs!$B$11))/(('Water Balance'!$C$3*365*Inputs!$B$9)*((1-(1+Inputs!$B$11)^(-Inputs!$B$10))/Inputs!$B$11))</x:f>
        <x:v>3.6883715062424898</x:v>
      </x:c>
    </x:row>
    <x:row r="4">
      <x:c r="A4" s="12" t="str">
        <x:v>OPEX multiplier</x:v>
      </x:c>
      <x:c r="B4" s="12" t="n">
        <x:v>0.7</x:v>
      </x:c>
      <x:c r="C4" s="12" t="n">
        <x:v>1</x:v>
      </x:c>
      <x:c r="D4" s="12" t="n">
        <x:v>1.3</x:v>
      </x:c>
      <x:c r="E4" s="28" t="n">
        <x:f>(Economics!F3*1000000 + (Inputs!$B$2*365*Inputs!$B$9*Economics!G3*B4)*((1-(1+Inputs!$B$11)^(-Inputs!$B$10))/Inputs!$B$11))/(('Water Balance'!$C$3*365*Inputs!$B$9)*((1-(1+Inputs!$B$11)^(-Inputs!$B$10))/Inputs!$B$11))</x:f>
        <x:v>2.769187352803259</x:v>
      </x:c>
      <x:c r="F4" s="28" t="n">
        <x:f>(Economics!F3*1000000 + (Inputs!$B$2*365*Inputs!$B$9*Economics!G3*D4)*((1-(1+Inputs!$B$11)^(-Inputs!$B$10))/Inputs!$B$11))/(('Water Balance'!$C$3*365*Inputs!$B$9)*((1-(1+Inputs!$B$11)^(-Inputs!$B$10))/Inputs!$B$11))</x:f>
        <x:v>3.3587070034582807</x:v>
      </x:c>
    </x:row>
    <x:row r="5">
      <x:c r="A5" s="12" t="str">
        <x:v>Discount rate</x:v>
      </x:c>
      <x:c r="B5" s="36" t="n">
        <x:v>0.03</x:v>
      </x:c>
      <x:c r="C5" s="36" t="n">
        <x:v>0.06</x:v>
      </x:c>
      <x:c r="D5" s="36" t="n">
        <x:v>0.09</x:v>
      </x:c>
      <x:c r="E5" s="28" t="n">
        <x:f>(Economics!F3*1000000 + (Inputs!$B$2*365*Inputs!$B$9*Economics!G3)*((1-(1+B5)^(-Inputs!$B$10))/B5))/(('Water Balance'!$C$3*365*Inputs!$B$9)*((1-(1+B5)^(-Inputs!$B$10))/B5))</x:f>
        <x:v>2.444250762111995</x:v>
      </x:c>
      <x:c r="F5" s="28" t="n">
        <x:f>(Economics!F3*1000000 + (Inputs!$B$2*365*Inputs!$B$9*Economics!G3)*((1-(1+D5)^(-Inputs!$B$10))/D5))/(('Water Balance'!$C$3*365*Inputs!$B$9)*((1-(1+D5)^(-Inputs!$B$10))/D5))</x:f>
        <x:v>3.771250185462316</x:v>
      </x:c>
    </x:row>
    <x:row r="6">
      <x:c r="A6" s="12" t="str">
        <x:v>Project life years</x:v>
      </x:c>
      <x:c r="B6" s="12" t="n">
        <x:v>20</x:v>
      </x:c>
      <x:c r="C6" s="12" t="n">
        <x:v>30</x:v>
      </x:c>
      <x:c r="D6" s="12" t="n">
        <x:v>40</x:v>
      </x:c>
      <x:c r="E6" s="28" t="n">
        <x:f>(Economics!F3*1000000 + (Inputs!$B$2*365*Inputs!$B$9*Economics!G3)*((1-(1+Inputs!$B$11)^(-B6))/Inputs!$B$11))/(('Water Balance'!$C$3*365*Inputs!$B$9)*((1-(1+Inputs!$B$11)^(-B6))/Inputs!$B$11))</x:f>
        <x:v>3.480398045762894</x:v>
      </x:c>
      <x:c r="F6" s="28" t="n">
        <x:f>(Economics!F3*1000000 + (Inputs!$B$2*365*Inputs!$B$9*Economics!G3)*((1-(1+Inputs!$B$11)^(-D6))/Inputs!$B$11))/(('Water Balance'!$C$3*365*Inputs!$B$9)*((1-(1+Inputs!$B$11)^(-D6))/Inputs!$B$11))</x:f>
        <x:v>2.8866768995889687</x:v>
      </x:c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22" hidden="0" customWidth="1"/>
    <x:col min="3" max="3" width="20" hidden="0" customWidth="1"/>
    <x:col min="4" max="4" width="44" hidden="0" customWidth="1"/>
  </x:cols>
  <x:sheetData>
    <x:row r="1">
      <x:c r="A1" s="22" t="str">
        <x:v>Cost group</x:v>
      </x:c>
      <x:c r="B1" s="22" t="str">
        <x:v>Quantity basis</x:v>
      </x:c>
      <x:c r="C1" s="22" t="str">
        <x:v>Feasibility range</x:v>
      </x:c>
      <x:c r="D1" s="22" t="str">
        <x:v>Status / next evidence</x:v>
      </x:c>
    </x:row>
    <x:row r="2">
      <x:c r="A2" s="12" t="str">
        <x:v>Earthworks / formation</x:v>
      </x:c>
      <x:c r="B2" s="12" t="str">
        <x:v>~4,800 m3</x:v>
      </x:c>
      <x:c r="C2" s="12" t="str">
        <x:v>0.15-0.22 M SAR</x:v>
      </x:c>
      <x:c r="D2" s="12" t="str">
        <x:v>Concept allowance; verify site quantities and local rates</x:v>
      </x:c>
    </x:row>
    <x:row r="3">
      <x:c r="A3" s="12" t="str">
        <x:v>Filter sand + graded gravel</x:v>
      </x:c>
      <x:c r="B3" s="12" t="str">
        <x:v>~4,000 m3</x:v>
      </x:c>
      <x:c r="C3" s="12" t="str">
        <x:v>0.75-0.90 M SAR</x:v>
      </x:c>
      <x:c r="D3" s="12" t="str">
        <x:v>Confirm local media gradation, quarry and transport</x:v>
      </x:c>
    </x:row>
    <x:row r="4">
      <x:c r="A4" s="12" t="str">
        <x:v>Liner + geotextile</x:v>
      </x:c>
      <x:c r="B4" s="12" t="str">
        <x:v>~5,600 m2 liner</x:v>
      </x:c>
      <x:c r="C4" s="12" t="str">
        <x:v>0.40-0.55 M SAR</x:v>
      </x:c>
      <x:c r="D4" s="12" t="str">
        <x:v>Installed supplier quotation required</x:v>
      </x:c>
    </x:row>
    <x:row r="5">
      <x:c r="A5" s="12" t="str">
        <x:v>Distribution / drainage pipework</x:v>
      </x:c>
      <x:c r="B5" s="12" t="str">
        <x:v>~2.7 km concept</x:v>
      </x:c>
      <x:c r="C5" s="12" t="str">
        <x:v>0.30-0.40 M SAR</x:v>
      </x:c>
      <x:c r="D5" s="12" t="str">
        <x:v>Final routing and installed rates required</x:v>
      </x:c>
    </x:row>
    <x:row r="6">
      <x:c r="A6" s="12" t="str">
        <x:v>Chambers / manifolds / valves</x:v>
      </x:c>
      <x:c r="B6" s="12" t="str">
        <x:v>Allowance</x:v>
      </x:c>
      <x:c r="C6" s="12" t="str">
        <x:v>0.15-0.22 M SAR</x:v>
      </x:c>
      <x:c r="D6" s="12" t="str">
        <x:v>Engineering allowance; RFQ required</x:v>
      </x:c>
    </x:row>
    <x:row r="7">
      <x:c r="A7" s="12" t="str">
        <x:v>EQ + treated-water storage</x:v>
      </x:c>
      <x:c r="B7" s="12" t="str">
        <x:v>~550 m3 effective</x:v>
      </x:c>
      <x:c r="C7" s="12" t="str">
        <x:v>0.55-0.75 M SAR</x:v>
      </x:c>
      <x:c r="D7" s="12" t="str">
        <x:v>Tank type and structural basis to be confirmed</x:v>
      </x:c>
    </x:row>
    <x:row r="8">
      <x:c r="A8" s="12" t="str">
        <x:v>Pumps / MCC / control</x:v>
      </x:c>
      <x:c r="B8" s="12" t="str">
        <x:v>Allowance</x:v>
      </x:c>
      <x:c r="C8" s="12" t="str">
        <x:v>0.15-0.22 M SAR</x:v>
      </x:c>
      <x:c r="D8" s="12" t="str">
        <x:v>Duty / head and controls to be detailed</x:v>
      </x:c>
    </x:row>
    <x:row r="9">
      <x:c r="A9" s="12" t="str">
        <x:v>Filtration / disinfection</x:v>
      </x:c>
      <x:c r="B9" s="12" t="str">
        <x:v>Allowance</x:v>
      </x:c>
      <x:c r="C9" s="12" t="str">
        <x:v>0.12-0.20 M SAR</x:v>
      </x:c>
      <x:c r="D9" s="12" t="str">
        <x:v>Compliance package; pathogen model not included</x:v>
      </x:c>
    </x:row>
    <x:row r="10">
      <x:c r="A10" s="12" t="str">
        <x:v>Instrumentation</x:v>
      </x:c>
      <x:c r="B10" s="12" t="str">
        <x:v>Allowance</x:v>
      </x:c>
      <x:c r="C10" s="12" t="str">
        <x:v>0.10-0.15 M SAR</x:v>
      </x:c>
      <x:c r="D10" s="12" t="str">
        <x:v>Monitoring scope to be confirmed</x:v>
      </x:c>
    </x:row>
    <x:row r="11">
      <x:c r="A11" s="12" t="str">
        <x:v>Wetland planting / establishment</x:v>
      </x:c>
      <x:c r="B11" s="12" t="str">
        <x:v>4,200 m2</x:v>
      </x:c>
      <x:c r="C11" s="12" t="str">
        <x:v>0.12-0.20 M SAR</x:v>
      </x:c>
      <x:c r="D11" s="12" t="str">
        <x:v>Species and establishment plan required</x:v>
      </x:c>
    </x:row>
  </x:sheetData>
  <x:pageMargins left="0.7" right="0.7" top="0.75" bottom="0.75" header="0.3" footer="0.3"/>
</x:worksheet>
</file>