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amp\Downloads\RE__Better_XRD_Refinements_for_the_TEC_Paper\"/>
    </mc:Choice>
  </mc:AlternateContent>
  <xr:revisionPtr revIDLastSave="0" documentId="13_ncr:1_{C9A7EFB9-179F-4FC0-BBA8-7AFDCB9FAF7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ummary" sheetId="1" r:id="rId1"/>
    <sheet name="LE-1" sheetId="2" r:id="rId2"/>
    <sheet name="LE-2" sheetId="3" r:id="rId3"/>
    <sheet name="LE-3" sheetId="4" r:id="rId4"/>
    <sheet name="HE-1" sheetId="5" r:id="rId5"/>
    <sheet name="HE-2" sheetId="6" r:id="rId6"/>
    <sheet name="HE-3" sheetId="7" r:id="rId7"/>
    <sheet name="HE-4" sheetId="8" r:id="rId8"/>
    <sheet name="HE-5" sheetId="9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7" i="5" l="1"/>
  <c r="B16" i="5"/>
  <c r="AC12" i="5"/>
  <c r="AE12" i="5" s="1"/>
  <c r="AB12" i="5"/>
  <c r="Q12" i="5"/>
  <c r="AD12" i="5" s="1"/>
  <c r="J12" i="5"/>
  <c r="AC11" i="5"/>
  <c r="AE11" i="5" s="1"/>
  <c r="AB11" i="5"/>
  <c r="Q11" i="5"/>
  <c r="J11" i="5"/>
  <c r="AD11" i="5" s="1"/>
  <c r="AE10" i="5"/>
  <c r="AC10" i="5"/>
  <c r="AB10" i="5"/>
  <c r="Q10" i="5"/>
  <c r="J10" i="5"/>
  <c r="AD10" i="5" s="1"/>
  <c r="AC9" i="5"/>
  <c r="AE9" i="5" s="1"/>
  <c r="AB9" i="5"/>
  <c r="Q9" i="5"/>
  <c r="J9" i="5"/>
  <c r="AC8" i="5"/>
  <c r="AE8" i="5" s="1"/>
  <c r="AB8" i="5"/>
  <c r="Q8" i="5"/>
  <c r="AD8" i="5" s="1"/>
  <c r="J8" i="5"/>
  <c r="AC7" i="5"/>
  <c r="AE7" i="5" s="1"/>
  <c r="AB7" i="5"/>
  <c r="Q7" i="5"/>
  <c r="J7" i="5"/>
  <c r="AD7" i="5" s="1"/>
  <c r="AE6" i="5"/>
  <c r="AC6" i="5"/>
  <c r="AB6" i="5"/>
  <c r="Q6" i="5"/>
  <c r="J6" i="5"/>
  <c r="AD6" i="5" s="1"/>
  <c r="AC5" i="5"/>
  <c r="AE5" i="5" s="1"/>
  <c r="AB5" i="5"/>
  <c r="Q5" i="5"/>
  <c r="J5" i="5"/>
  <c r="AC4" i="5"/>
  <c r="AE4" i="5" s="1"/>
  <c r="AB4" i="5"/>
  <c r="Q4" i="5"/>
  <c r="AD4" i="5" s="1"/>
  <c r="J4" i="5"/>
  <c r="B17" i="6"/>
  <c r="B16" i="6"/>
  <c r="R12" i="6"/>
  <c r="T12" i="6" s="1"/>
  <c r="Q12" i="6"/>
  <c r="J12" i="6"/>
  <c r="S12" i="6" s="1"/>
  <c r="R11" i="6"/>
  <c r="T11" i="6" s="1"/>
  <c r="Q11" i="6"/>
  <c r="J11" i="6"/>
  <c r="S11" i="6" s="1"/>
  <c r="R10" i="6"/>
  <c r="S10" i="6" s="1"/>
  <c r="Q10" i="6"/>
  <c r="J10" i="6"/>
  <c r="R9" i="6"/>
  <c r="T9" i="6" s="1"/>
  <c r="Q9" i="6"/>
  <c r="J9" i="6"/>
  <c r="S9" i="6" s="1"/>
  <c r="T8" i="6"/>
  <c r="R8" i="6"/>
  <c r="Q8" i="6"/>
  <c r="J8" i="6"/>
  <c r="S8" i="6" s="1"/>
  <c r="R7" i="6"/>
  <c r="T7" i="6" s="1"/>
  <c r="Q7" i="6"/>
  <c r="S7" i="6" s="1"/>
  <c r="J7" i="6"/>
  <c r="R6" i="6"/>
  <c r="T6" i="6" s="1"/>
  <c r="Q6" i="6"/>
  <c r="J6" i="6"/>
  <c r="S6" i="6" s="1"/>
  <c r="T5" i="6"/>
  <c r="S5" i="6"/>
  <c r="R5" i="6"/>
  <c r="Q5" i="6"/>
  <c r="J5" i="6"/>
  <c r="R4" i="6"/>
  <c r="T4" i="6" s="1"/>
  <c r="Q4" i="6"/>
  <c r="J4" i="6"/>
  <c r="S4" i="6" s="1"/>
  <c r="B17" i="9"/>
  <c r="B16" i="9"/>
  <c r="AC12" i="9"/>
  <c r="AE12" i="9" s="1"/>
  <c r="AB12" i="9"/>
  <c r="Q12" i="9"/>
  <c r="AD12" i="9" s="1"/>
  <c r="J12" i="9"/>
  <c r="AC11" i="9"/>
  <c r="AB11" i="9"/>
  <c r="AE11" i="9" s="1"/>
  <c r="Q11" i="9"/>
  <c r="J11" i="9"/>
  <c r="AD11" i="9" s="1"/>
  <c r="AE10" i="9"/>
  <c r="AC10" i="9"/>
  <c r="AB10" i="9"/>
  <c r="Q10" i="9"/>
  <c r="J10" i="9"/>
  <c r="AD10" i="9" s="1"/>
  <c r="AC9" i="9"/>
  <c r="AE9" i="9" s="1"/>
  <c r="AB9" i="9"/>
  <c r="Q9" i="9"/>
  <c r="J9" i="9"/>
  <c r="AC8" i="9"/>
  <c r="AE8" i="9" s="1"/>
  <c r="AB8" i="9"/>
  <c r="Q8" i="9"/>
  <c r="AD8" i="9" s="1"/>
  <c r="J8" i="9"/>
  <c r="AC7" i="9"/>
  <c r="AB7" i="9"/>
  <c r="AE7" i="9" s="1"/>
  <c r="Q7" i="9"/>
  <c r="J7" i="9"/>
  <c r="AD7" i="9" s="1"/>
  <c r="AE6" i="9"/>
  <c r="AC6" i="9"/>
  <c r="AB6" i="9"/>
  <c r="Q6" i="9"/>
  <c r="J6" i="9"/>
  <c r="AD6" i="9" s="1"/>
  <c r="AC5" i="9"/>
  <c r="AE5" i="9" s="1"/>
  <c r="AB5" i="9"/>
  <c r="Q5" i="9"/>
  <c r="J5" i="9"/>
  <c r="AC4" i="9"/>
  <c r="AE4" i="9" s="1"/>
  <c r="AB4" i="9"/>
  <c r="Q4" i="9"/>
  <c r="AD4" i="9" s="1"/>
  <c r="J4" i="9"/>
  <c r="B17" i="8"/>
  <c r="B16" i="8"/>
  <c r="AC12" i="8"/>
  <c r="AE12" i="8" s="1"/>
  <c r="AB12" i="8"/>
  <c r="Q12" i="8"/>
  <c r="J12" i="8"/>
  <c r="AD12" i="8" s="1"/>
  <c r="AC11" i="8"/>
  <c r="AE11" i="8" s="1"/>
  <c r="AB11" i="8"/>
  <c r="Q11" i="8"/>
  <c r="J11" i="8"/>
  <c r="AD11" i="8" s="1"/>
  <c r="AE10" i="8"/>
  <c r="AD10" i="8"/>
  <c r="AC10" i="8"/>
  <c r="AB10" i="8"/>
  <c r="Q10" i="8"/>
  <c r="J10" i="8"/>
  <c r="AC9" i="8"/>
  <c r="AD9" i="8" s="1"/>
  <c r="AB9" i="8"/>
  <c r="Q9" i="8"/>
  <c r="J9" i="8"/>
  <c r="AC8" i="8"/>
  <c r="AE8" i="8" s="1"/>
  <c r="AB8" i="8"/>
  <c r="Q8" i="8"/>
  <c r="J8" i="8"/>
  <c r="AD8" i="8" s="1"/>
  <c r="AC7" i="8"/>
  <c r="AE7" i="8" s="1"/>
  <c r="AB7" i="8"/>
  <c r="Q7" i="8"/>
  <c r="J7" i="8"/>
  <c r="AD7" i="8" s="1"/>
  <c r="AE6" i="8"/>
  <c r="AD6" i="8"/>
  <c r="AC6" i="8"/>
  <c r="AB6" i="8"/>
  <c r="Q6" i="8"/>
  <c r="J6" i="8"/>
  <c r="AC5" i="8"/>
  <c r="AE5" i="8" s="1"/>
  <c r="AB5" i="8"/>
  <c r="Q5" i="8"/>
  <c r="J5" i="8"/>
  <c r="AC4" i="8"/>
  <c r="AE4" i="8" s="1"/>
  <c r="AB4" i="8"/>
  <c r="Q4" i="8"/>
  <c r="J4" i="8"/>
  <c r="AD4" i="8" s="1"/>
  <c r="B17" i="7"/>
  <c r="B16" i="7"/>
  <c r="AC12" i="7"/>
  <c r="AE12" i="7" s="1"/>
  <c r="AB12" i="7"/>
  <c r="Q12" i="7"/>
  <c r="AD12" i="7" s="1"/>
  <c r="J12" i="7"/>
  <c r="AC11" i="7"/>
  <c r="AE11" i="7" s="1"/>
  <c r="AB11" i="7"/>
  <c r="Q11" i="7"/>
  <c r="J11" i="7"/>
  <c r="AD11" i="7" s="1"/>
  <c r="AE10" i="7"/>
  <c r="AC10" i="7"/>
  <c r="AB10" i="7"/>
  <c r="Q10" i="7"/>
  <c r="J10" i="7"/>
  <c r="AD10" i="7" s="1"/>
  <c r="AC9" i="7"/>
  <c r="AE9" i="7" s="1"/>
  <c r="AB9" i="7"/>
  <c r="Q9" i="7"/>
  <c r="J9" i="7"/>
  <c r="AC8" i="7"/>
  <c r="AE8" i="7" s="1"/>
  <c r="AB8" i="7"/>
  <c r="Q8" i="7"/>
  <c r="AD8" i="7" s="1"/>
  <c r="J8" i="7"/>
  <c r="AD7" i="7"/>
  <c r="AC7" i="7"/>
  <c r="AE7" i="7" s="1"/>
  <c r="AB7" i="7"/>
  <c r="Q7" i="7"/>
  <c r="J7" i="7"/>
  <c r="AE6" i="7"/>
  <c r="AC6" i="7"/>
  <c r="AB6" i="7"/>
  <c r="Q6" i="7"/>
  <c r="J6" i="7"/>
  <c r="AD6" i="7" s="1"/>
  <c r="AC5" i="7"/>
  <c r="AE5" i="7" s="1"/>
  <c r="AB5" i="7"/>
  <c r="Q5" i="7"/>
  <c r="J5" i="7"/>
  <c r="AC4" i="7"/>
  <c r="AE4" i="7" s="1"/>
  <c r="AB4" i="7"/>
  <c r="Q4" i="7"/>
  <c r="AD4" i="7" s="1"/>
  <c r="J4" i="7"/>
  <c r="B17" i="4"/>
  <c r="B16" i="4"/>
  <c r="AC12" i="4"/>
  <c r="AE12" i="4" s="1"/>
  <c r="AB12" i="4"/>
  <c r="Q12" i="4"/>
  <c r="AD12" i="4" s="1"/>
  <c r="J12" i="4"/>
  <c r="AE11" i="4"/>
  <c r="AC11" i="4"/>
  <c r="AB11" i="4"/>
  <c r="Q11" i="4"/>
  <c r="J11" i="4"/>
  <c r="AD11" i="4" s="1"/>
  <c r="AE10" i="4"/>
  <c r="AC10" i="4"/>
  <c r="AB10" i="4"/>
  <c r="Q10" i="4"/>
  <c r="J10" i="4"/>
  <c r="AD10" i="4" s="1"/>
  <c r="AC9" i="4"/>
  <c r="AD9" i="4" s="1"/>
  <c r="AB9" i="4"/>
  <c r="Q9" i="4"/>
  <c r="J9" i="4"/>
  <c r="AC8" i="4"/>
  <c r="AE8" i="4" s="1"/>
  <c r="AB8" i="4"/>
  <c r="Q8" i="4"/>
  <c r="J8" i="4"/>
  <c r="AD8" i="4" s="1"/>
  <c r="AE7" i="4"/>
  <c r="AC7" i="4"/>
  <c r="AB7" i="4"/>
  <c r="Q7" i="4"/>
  <c r="J7" i="4"/>
  <c r="AD7" i="4" s="1"/>
  <c r="AE6" i="4"/>
  <c r="AC6" i="4"/>
  <c r="AB6" i="4"/>
  <c r="Q6" i="4"/>
  <c r="J6" i="4"/>
  <c r="AD6" i="4" s="1"/>
  <c r="AC5" i="4"/>
  <c r="AD5" i="4" s="1"/>
  <c r="AB5" i="4"/>
  <c r="Q5" i="4"/>
  <c r="J5" i="4"/>
  <c r="AC4" i="4"/>
  <c r="AE4" i="4" s="1"/>
  <c r="AB4" i="4"/>
  <c r="Q4" i="4"/>
  <c r="J4" i="4"/>
  <c r="AD4" i="4" s="1"/>
  <c r="B17" i="3"/>
  <c r="B16" i="3"/>
  <c r="AC12" i="3"/>
  <c r="AE12" i="3" s="1"/>
  <c r="AB12" i="3"/>
  <c r="Q12" i="3"/>
  <c r="J12" i="3"/>
  <c r="AD12" i="3" s="1"/>
  <c r="AC11" i="3"/>
  <c r="AB11" i="3"/>
  <c r="AE11" i="3" s="1"/>
  <c r="Q11" i="3"/>
  <c r="J11" i="3"/>
  <c r="AD11" i="3" s="1"/>
  <c r="AC10" i="3"/>
  <c r="AE10" i="3" s="1"/>
  <c r="AB10" i="3"/>
  <c r="Q10" i="3"/>
  <c r="J10" i="3"/>
  <c r="AC9" i="3"/>
  <c r="AE9" i="3" s="1"/>
  <c r="AB9" i="3"/>
  <c r="Q9" i="3"/>
  <c r="AD9" i="3" s="1"/>
  <c r="J9" i="3"/>
  <c r="AC8" i="3"/>
  <c r="AE8" i="3" s="1"/>
  <c r="AB8" i="3"/>
  <c r="Q8" i="3"/>
  <c r="J8" i="3"/>
  <c r="AD8" i="3" s="1"/>
  <c r="AE7" i="3"/>
  <c r="AC7" i="3"/>
  <c r="AB7" i="3"/>
  <c r="Q7" i="3"/>
  <c r="J7" i="3"/>
  <c r="AD7" i="3" s="1"/>
  <c r="AC6" i="3"/>
  <c r="AD6" i="3" s="1"/>
  <c r="AB6" i="3"/>
  <c r="Q6" i="3"/>
  <c r="J6" i="3"/>
  <c r="AC5" i="3"/>
  <c r="AE5" i="3" s="1"/>
  <c r="AB5" i="3"/>
  <c r="Q5" i="3"/>
  <c r="AD5" i="3" s="1"/>
  <c r="J5" i="3"/>
  <c r="AC4" i="3"/>
  <c r="AE4" i="3" s="1"/>
  <c r="AB4" i="3"/>
  <c r="Q4" i="3"/>
  <c r="J4" i="3"/>
  <c r="AD4" i="3" s="1"/>
  <c r="A28" i="2"/>
  <c r="A27" i="2"/>
  <c r="A26" i="2"/>
  <c r="A25" i="2"/>
  <c r="B38" i="2" s="1"/>
  <c r="A24" i="2"/>
  <c r="A23" i="2"/>
  <c r="A22" i="2"/>
  <c r="A21" i="2"/>
  <c r="B35" i="2" s="1"/>
  <c r="A20" i="2"/>
  <c r="E15" i="2"/>
  <c r="D15" i="2"/>
  <c r="B28" i="2" s="1"/>
  <c r="E14" i="2"/>
  <c r="D14" i="2"/>
  <c r="B27" i="2" s="1"/>
  <c r="E13" i="2"/>
  <c r="D13" i="2"/>
  <c r="B26" i="2" s="1"/>
  <c r="K9" i="2"/>
  <c r="N9" i="2" s="1"/>
  <c r="F9" i="2"/>
  <c r="M9" i="2" s="1"/>
  <c r="B25" i="2" s="1"/>
  <c r="K8" i="2"/>
  <c r="N8" i="2" s="1"/>
  <c r="F8" i="2"/>
  <c r="M8" i="2" s="1"/>
  <c r="B24" i="2" s="1"/>
  <c r="K7" i="2"/>
  <c r="N7" i="2" s="1"/>
  <c r="F7" i="2"/>
  <c r="M7" i="2" s="1"/>
  <c r="B23" i="2" s="1"/>
  <c r="K6" i="2"/>
  <c r="N6" i="2" s="1"/>
  <c r="F6" i="2"/>
  <c r="M6" i="2" s="1"/>
  <c r="B22" i="2" s="1"/>
  <c r="K5" i="2"/>
  <c r="N5" i="2" s="1"/>
  <c r="F5" i="2"/>
  <c r="M5" i="2" s="1"/>
  <c r="B21" i="2" s="1"/>
  <c r="K4" i="2"/>
  <c r="N4" i="2" s="1"/>
  <c r="F4" i="2"/>
  <c r="M4" i="2" s="1"/>
  <c r="B20" i="2" s="1"/>
  <c r="B18" i="5" l="1"/>
  <c r="B19" i="5"/>
  <c r="B24" i="5" s="1"/>
  <c r="B25" i="5" s="1"/>
  <c r="AD15" i="5"/>
  <c r="AD5" i="5"/>
  <c r="B20" i="5" s="1"/>
  <c r="B22" i="5" s="1"/>
  <c r="B23" i="5" s="1"/>
  <c r="AD9" i="5"/>
  <c r="B21" i="6"/>
  <c r="B20" i="6"/>
  <c r="B18" i="6"/>
  <c r="S15" i="6"/>
  <c r="B19" i="6"/>
  <c r="T10" i="6"/>
  <c r="B18" i="9"/>
  <c r="B19" i="9"/>
  <c r="AD9" i="9"/>
  <c r="AD5" i="9"/>
  <c r="B21" i="9" s="1"/>
  <c r="B19" i="8"/>
  <c r="B18" i="8"/>
  <c r="AE9" i="8"/>
  <c r="AD5" i="8"/>
  <c r="AD15" i="8" s="1"/>
  <c r="B18" i="7"/>
  <c r="B19" i="7"/>
  <c r="AD5" i="7"/>
  <c r="B21" i="7" s="1"/>
  <c r="AD9" i="7"/>
  <c r="AD15" i="4"/>
  <c r="B19" i="4"/>
  <c r="B24" i="4" s="1"/>
  <c r="B25" i="4" s="1"/>
  <c r="B18" i="4"/>
  <c r="B21" i="4"/>
  <c r="B20" i="4"/>
  <c r="AE5" i="4"/>
  <c r="AE9" i="4"/>
  <c r="B18" i="3"/>
  <c r="AD15" i="3"/>
  <c r="B19" i="3"/>
  <c r="AD10" i="3"/>
  <c r="B20" i="3" s="1"/>
  <c r="B22" i="3" s="1"/>
  <c r="B23" i="3" s="1"/>
  <c r="AE6" i="3"/>
  <c r="B37" i="2"/>
  <c r="B34" i="2"/>
  <c r="B33" i="2"/>
  <c r="B36" i="2"/>
  <c r="B40" i="2"/>
  <c r="B39" i="2"/>
  <c r="B32" i="2"/>
  <c r="B21" i="5" l="1"/>
  <c r="B24" i="6"/>
  <c r="B25" i="6" s="1"/>
  <c r="B22" i="6"/>
  <c r="B23" i="6" s="1"/>
  <c r="B24" i="9"/>
  <c r="B25" i="9" s="1"/>
  <c r="AD15" i="9"/>
  <c r="B20" i="9"/>
  <c r="B22" i="9" s="1"/>
  <c r="B23" i="9" s="1"/>
  <c r="B20" i="8"/>
  <c r="B22" i="8" s="1"/>
  <c r="B23" i="8" s="1"/>
  <c r="B21" i="8"/>
  <c r="B24" i="8"/>
  <c r="B25" i="8" s="1"/>
  <c r="AD15" i="7"/>
  <c r="B24" i="7"/>
  <c r="B25" i="7" s="1"/>
  <c r="B20" i="7"/>
  <c r="B22" i="7" s="1"/>
  <c r="B23" i="7" s="1"/>
  <c r="B22" i="4"/>
  <c r="B23" i="4" s="1"/>
  <c r="B24" i="3"/>
  <c r="B25" i="3" s="1"/>
  <c r="B21" i="3"/>
</calcChain>
</file>

<file path=xl/sharedStrings.xml><?xml version="1.0" encoding="utf-8"?>
<sst xmlns="http://schemas.openxmlformats.org/spreadsheetml/2006/main" count="400" uniqueCount="85">
  <si>
    <t>Sample</t>
  </si>
  <si>
    <t>Phases</t>
  </si>
  <si>
    <t>N points</t>
  </si>
  <si>
    <t>T_min (C)</t>
  </si>
  <si>
    <t>T_max (C)</t>
  </si>
  <si>
    <t>A7_CaSmGdYBa</t>
  </si>
  <si>
    <t>rhom+cubic+ortho</t>
  </si>
  <si>
    <t>CaNdGd</t>
  </si>
  <si>
    <t>CaNdY</t>
  </si>
  <si>
    <t>CaSmNdBa</t>
  </si>
  <si>
    <t>rhom+cubic</t>
  </si>
  <si>
    <t>La6Sr2Ca2</t>
  </si>
  <si>
    <t>La7Ca3</t>
  </si>
  <si>
    <t>NdGdBa</t>
  </si>
  <si>
    <t>LSCF</t>
  </si>
  <si>
    <t>rhom+cubic (mix-&gt;pure cubic)</t>
  </si>
  <si>
    <t>Label</t>
  </si>
  <si>
    <t>LE-1</t>
  </si>
  <si>
    <t>LE-3</t>
  </si>
  <si>
    <t>LE-2</t>
  </si>
  <si>
    <t>HE-1</t>
  </si>
  <si>
    <t>HE-2</t>
  </si>
  <si>
    <t>HE-3</t>
  </si>
  <si>
    <t>HE-5</t>
  </si>
  <si>
    <t>HE-4</t>
  </si>
  <si>
    <t>LSCF (commercial): rhombohedral+cubic mixture 22-500C, single cubic phase 600-800C (from comm_LSCF_CTE_calcs_final_v2.xlsx)</t>
  </si>
  <si>
    <t>Rhombohedral + cubic phase mixture (22-500 C)</t>
  </si>
  <si>
    <t>T (C)</t>
  </si>
  <si>
    <t>a_rhom</t>
  </si>
  <si>
    <t>err</t>
  </si>
  <si>
    <t>c_rhom</t>
  </si>
  <si>
    <t>a_pc (rhom, axis-based)</t>
  </si>
  <si>
    <t>rhom wt%</t>
  </si>
  <si>
    <t>a_cubic</t>
  </si>
  <si>
    <t>cubic wt%</t>
  </si>
  <si>
    <t>bulk a_pc</t>
  </si>
  <si>
    <t>Single cubic phase (600-800 C, Z=1, a_pc = a_cubic directly)</t>
  </si>
  <si>
    <t>Combined bulk a_pc series (full 22-800 C range)</t>
  </si>
  <si>
    <t>region</t>
  </si>
  <si>
    <t>rhom+cubic mix</t>
  </si>
  <si>
    <t>pure cubic</t>
  </si>
  <si>
    <t>CTE results</t>
  </si>
  <si>
    <t>Full range (22-800C): secant CTE (ppm/K)</t>
  </si>
  <si>
    <t>Full range (22-800C): regression CTE (ppm/K)</t>
  </si>
  <si>
    <t>Full range (22-800C): R^2 of linear fit</t>
  </si>
  <si>
    <t>Mix region (22-500C): secant CTE (ppm/K)</t>
  </si>
  <si>
    <t>Mix region (22-500C): regression CTE (ppm/K)</t>
  </si>
  <si>
    <t>Mix region (22-500C): R^2 of linear fit</t>
  </si>
  <si>
    <t>Pure-cubic region (500/600-800C): secant CTE (ppm/K)</t>
  </si>
  <si>
    <t>Pure-cubic region (600-800C only): regression CTE (ppm/K)</t>
  </si>
  <si>
    <t>Pure-cubic region (600-800C only): R^2 of linear fit</t>
  </si>
  <si>
    <t>Data and methodology reproduced from comm_LSCF_CTE_calcs_final_v2.xlsx (sheet LSCF_cte). Verified: recomputing every step independently (pseudocubic a_pc for each phase, phase-weighted bulk a_pc, and the full-range secant CTE) reproduces that workbook's own values exactly, including its final CTE of 1.61926e-5 /K = 16.19 ppm/K (22-800C secant). Unlike the other 7 samples, LSCF's cubic phase fraction reaches 100% by 600C, so it is fit here as two regions (rhom+cubic mixture 22-500C; pure cubic 600-800C) in addition to the full-range fit, for consistency with the rest of this workbook.</t>
  </si>
  <si>
    <t>La6Sr2Ca2: weighted-average pseudocubic unit cell (rhombohedral + cubic + orthorhombic phase mixture), 24-800 C</t>
  </si>
  <si>
    <t>Rhombohedral (R-3c, Z=6)</t>
  </si>
  <si>
    <t>Cubic (Pm-3m, Z=1)</t>
  </si>
  <si>
    <t>Orthorhombic (Pnma, Z=4)</t>
  </si>
  <si>
    <t>vol_rhom</t>
  </si>
  <si>
    <t>vol_cubic</t>
  </si>
  <si>
    <t>a_pc (cubic)</t>
  </si>
  <si>
    <t>a_ortho</t>
  </si>
  <si>
    <t>b_ortho</t>
  </si>
  <si>
    <t>c_ortho</t>
  </si>
  <si>
    <t>vol_ortho</t>
  </si>
  <si>
    <t>ortho wt%</t>
  </si>
  <si>
    <t>a_pc (ortho, from V)</t>
  </si>
  <si>
    <t>total wt% (check)</t>
  </si>
  <si>
    <t>bulk a_pc (weighted)</t>
  </si>
  <si>
    <t>err bulk a_pc</t>
  </si>
  <si>
    <t>alpha_100_800</t>
  </si>
  <si>
    <t>CTE from weighted-average pseudocubic a (bulk)</t>
  </si>
  <si>
    <t>a_pc at T_min</t>
  </si>
  <si>
    <t>a_pc at T_max</t>
  </si>
  <si>
    <t>slope da_pc/dT (linear regression, all points)</t>
  </si>
  <si>
    <t>R^2 of linear fit</t>
  </si>
  <si>
    <t>CTE, regression method (1/K)</t>
  </si>
  <si>
    <t>CTE, regression method (ppm/K)</t>
  </si>
  <si>
    <t>CTE, secant/endpoint method (1/K)</t>
  </si>
  <si>
    <t>CTE, secant/endpoint method (ppm/K)</t>
  </si>
  <si>
    <t>Notes: a_pc(rhom) = axis-based pseudocubic conversion, weighted 2:1 for the two a-type directions vs. the c-direction: (2*(a/sqrt2) + c/(2*sqrt3))/3. a_pc(cubic) = a_cubic directly (Z=1). a_pc(ortho) = (V_ortho/4)^(1/3) (Z=4, standard Pnma-perovskite convention). bulk a_pc(T) = phase-wt%-weighted average of the phases present, normalized by their total wt% (handles rounding so weights need not sum to exactly 100). CTE(regression) uses a least-squares linear fit of bulk a_pc vs. T across all measured points, divided by a_pc at the lowest measured T. CTE(secant) uses only the endpoints (lowest and highest T), matching the method in comm_LSCF_CTE_calcs_final_v2.xlsx. All phases were present at every measured temperature in this sample (no phase disappears/appears), so a single fit covers the whole range.</t>
  </si>
  <si>
    <t>La7Ca3: weighted-average pseudocubic unit cell (rhombohedral + cubic + orthorhombic phase mixture), 24-800 C</t>
  </si>
  <si>
    <t>A7_CaSmGdYBa: weighted-average pseudocubic unit cell (rhombohedral + cubic + orthorhombic phase mixture), 22-800 C</t>
  </si>
  <si>
    <t>CaNdGd: weighted-average pseudocubic unit cell (rhombohedral + cubic + orthorhombic phase mixture), 26-800 C</t>
  </si>
  <si>
    <t>CaNdY: weighted-average pseudocubic unit cell (rhombohedral + cubic + orthorhombic phase mixture), 22-800 C</t>
  </si>
  <si>
    <t>CaSmNdBa: weighted-average pseudocubic unit cell (rhombohedral + cubic phase mixture), 24-800 C</t>
  </si>
  <si>
    <t>NdGdBa: weighted-average pseudocubic unit cell (rhombohedral + cubic + orthorhombic phase mixture), 24-800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</si>
</sst>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6" formatCode="0.000"/>
    <numFmt numFmtId="168" formatCode="0.00000000"/>
  </numFmts>
  <fonts count="7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sz val="11"/>
      <color theme="1"/>
      <name val="Calibri"/>
      <family val="2"/>
    </font>
    <font>
      <i/>
      <sz val="9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FFFCC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1" xfId="0" applyFont="1" applyBorder="1"/>
    <xf numFmtId="164" fontId="2" fillId="0" borderId="1" xfId="0" applyNumberFormat="1" applyFont="1" applyBorder="1"/>
    <xf numFmtId="1" fontId="2" fillId="0" borderId="1" xfId="0" applyNumberFormat="1" applyFont="1" applyBorder="1"/>
    <xf numFmtId="2" fontId="2" fillId="0" borderId="1" xfId="0" applyNumberFormat="1" applyFont="1" applyBorder="1"/>
    <xf numFmtId="0" fontId="3" fillId="0" borderId="0" xfId="0" applyFont="1"/>
    <xf numFmtId="0" fontId="1" fillId="0" borderId="0" xfId="0" applyFont="1"/>
    <xf numFmtId="0" fontId="1" fillId="2" borderId="1" xfId="0" applyFont="1" applyFill="1" applyBorder="1"/>
    <xf numFmtId="0" fontId="4" fillId="0" borderId="0" xfId="0" applyFont="1"/>
    <xf numFmtId="2" fontId="0" fillId="0" borderId="0" xfId="0" applyNumberFormat="1"/>
    <xf numFmtId="164" fontId="0" fillId="0" borderId="0" xfId="0" applyNumberFormat="1"/>
    <xf numFmtId="0" fontId="5" fillId="0" borderId="0" xfId="0" applyFont="1" applyAlignment="1">
      <alignment vertical="top" wrapText="1"/>
    </xf>
    <xf numFmtId="0" fontId="2" fillId="0" borderId="0" xfId="0" applyFont="1"/>
    <xf numFmtId="166" fontId="0" fillId="0" borderId="0" xfId="0" applyNumberFormat="1"/>
    <xf numFmtId="168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workbookViewId="0">
      <selection activeCell="D18" sqref="D18"/>
    </sheetView>
  </sheetViews>
  <sheetFormatPr defaultRowHeight="15" x14ac:dyDescent="0.25"/>
  <cols>
    <col min="2" max="2" width="12.7109375" customWidth="1"/>
    <col min="3" max="3" width="30.140625" customWidth="1"/>
    <col min="4" max="4" width="14.5703125" customWidth="1"/>
    <col min="5" max="5" width="9.5703125" bestFit="1" customWidth="1"/>
    <col min="6" max="6" width="11.85546875" customWidth="1"/>
  </cols>
  <sheetData>
    <row r="1" spans="1:6" ht="30" x14ac:dyDescent="0.25">
      <c r="A1" s="1" t="s">
        <v>16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x14ac:dyDescent="0.25">
      <c r="A2" s="16" t="s">
        <v>17</v>
      </c>
      <c r="B2" s="2" t="s">
        <v>14</v>
      </c>
      <c r="C2" s="2" t="s">
        <v>15</v>
      </c>
      <c r="D2" s="2">
        <v>9</v>
      </c>
      <c r="E2" s="4">
        <v>22</v>
      </c>
      <c r="F2" s="4">
        <v>800</v>
      </c>
    </row>
    <row r="3" spans="1:6" x14ac:dyDescent="0.25">
      <c r="A3" s="16" t="s">
        <v>19</v>
      </c>
      <c r="B3" s="2" t="s">
        <v>11</v>
      </c>
      <c r="C3" s="2" t="s">
        <v>6</v>
      </c>
      <c r="D3" s="2">
        <v>9</v>
      </c>
      <c r="E3" s="4">
        <v>24</v>
      </c>
      <c r="F3" s="4">
        <v>800</v>
      </c>
    </row>
    <row r="4" spans="1:6" x14ac:dyDescent="0.25">
      <c r="A4" s="16" t="s">
        <v>18</v>
      </c>
      <c r="B4" s="2" t="s">
        <v>12</v>
      </c>
      <c r="C4" s="2" t="s">
        <v>6</v>
      </c>
      <c r="D4" s="2">
        <v>9</v>
      </c>
      <c r="E4" s="4">
        <v>24</v>
      </c>
      <c r="F4" s="4">
        <v>800</v>
      </c>
    </row>
    <row r="5" spans="1:6" x14ac:dyDescent="0.25">
      <c r="A5" s="16" t="s">
        <v>20</v>
      </c>
      <c r="B5" s="2" t="s">
        <v>13</v>
      </c>
      <c r="C5" s="2" t="s">
        <v>6</v>
      </c>
      <c r="D5" s="2">
        <v>9</v>
      </c>
      <c r="E5" s="4">
        <v>24</v>
      </c>
      <c r="F5" s="4">
        <v>800</v>
      </c>
    </row>
    <row r="6" spans="1:6" x14ac:dyDescent="0.25">
      <c r="A6" s="16" t="s">
        <v>21</v>
      </c>
      <c r="B6" s="2" t="s">
        <v>9</v>
      </c>
      <c r="C6" s="2" t="s">
        <v>10</v>
      </c>
      <c r="D6" s="2">
        <v>9</v>
      </c>
      <c r="E6" s="4">
        <v>24</v>
      </c>
      <c r="F6" s="4">
        <v>800</v>
      </c>
    </row>
    <row r="7" spans="1:6" x14ac:dyDescent="0.25">
      <c r="A7" s="16" t="s">
        <v>22</v>
      </c>
      <c r="B7" s="2" t="s">
        <v>5</v>
      </c>
      <c r="C7" s="2" t="s">
        <v>6</v>
      </c>
      <c r="D7" s="2">
        <v>9</v>
      </c>
      <c r="E7" s="4">
        <v>22</v>
      </c>
      <c r="F7" s="4">
        <v>800</v>
      </c>
    </row>
    <row r="8" spans="1:6" x14ac:dyDescent="0.25">
      <c r="A8" s="16" t="s">
        <v>24</v>
      </c>
      <c r="B8" s="2" t="s">
        <v>7</v>
      </c>
      <c r="C8" s="2" t="s">
        <v>6</v>
      </c>
      <c r="D8" s="2">
        <v>9</v>
      </c>
      <c r="E8" s="4">
        <v>26</v>
      </c>
      <c r="F8" s="4">
        <v>800</v>
      </c>
    </row>
    <row r="9" spans="1:6" x14ac:dyDescent="0.25">
      <c r="A9" s="16" t="s">
        <v>23</v>
      </c>
      <c r="B9" s="2" t="s">
        <v>8</v>
      </c>
      <c r="C9" s="2" t="s">
        <v>6</v>
      </c>
      <c r="D9" s="2">
        <v>9</v>
      </c>
      <c r="E9" s="4">
        <v>22</v>
      </c>
      <c r="F9" s="4">
        <v>800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CD4131-B22F-4620-BBFE-23A87FBE4DA3}">
  <dimension ref="A1:N42"/>
  <sheetViews>
    <sheetView workbookViewId="0">
      <selection sqref="A1:XFD1048576"/>
    </sheetView>
  </sheetViews>
  <sheetFormatPr defaultColWidth="8.7109375" defaultRowHeight="15" x14ac:dyDescent="0.25"/>
  <cols>
    <col min="1" max="1" width="45.28515625" customWidth="1"/>
    <col min="2" max="14" width="12" customWidth="1"/>
  </cols>
  <sheetData>
    <row r="1" spans="1:14" ht="15.75" x14ac:dyDescent="0.25">
      <c r="A1" s="6" t="s">
        <v>25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4" x14ac:dyDescent="0.25">
      <c r="A2" s="7" t="s">
        <v>26</v>
      </c>
    </row>
    <row r="3" spans="1:14" ht="45" x14ac:dyDescent="0.25">
      <c r="A3" s="1" t="s">
        <v>27</v>
      </c>
      <c r="B3" s="1" t="s">
        <v>28</v>
      </c>
      <c r="C3" s="1" t="s">
        <v>29</v>
      </c>
      <c r="D3" s="1" t="s">
        <v>30</v>
      </c>
      <c r="E3" s="1" t="s">
        <v>29</v>
      </c>
      <c r="F3" s="1" t="s">
        <v>31</v>
      </c>
      <c r="G3" s="1" t="s">
        <v>32</v>
      </c>
      <c r="H3" s="1" t="s">
        <v>29</v>
      </c>
      <c r="I3" s="1" t="s">
        <v>33</v>
      </c>
      <c r="J3" s="1" t="s">
        <v>29</v>
      </c>
      <c r="K3" s="1" t="s">
        <v>34</v>
      </c>
      <c r="L3" s="1" t="s">
        <v>29</v>
      </c>
      <c r="M3" s="1" t="s">
        <v>35</v>
      </c>
      <c r="N3" s="1" t="s">
        <v>29</v>
      </c>
    </row>
    <row r="4" spans="1:14" x14ac:dyDescent="0.25">
      <c r="A4" s="4">
        <v>22</v>
      </c>
      <c r="B4" s="3">
        <v>5.5059870000000002</v>
      </c>
      <c r="C4" s="3">
        <v>2.7500000000000002E-4</v>
      </c>
      <c r="D4" s="3">
        <v>13.390972</v>
      </c>
      <c r="E4" s="3">
        <v>7.7800000000000005E-4</v>
      </c>
      <c r="F4" s="3">
        <f t="shared" ref="F4:F9" si="0">(2*(B4/SQRT(2))+(D4/(2*SQRT(3))))/3</f>
        <v>3.8840940447017736</v>
      </c>
      <c r="G4" s="5">
        <v>34.037999999999997</v>
      </c>
      <c r="H4" s="5">
        <v>0.61499999999999999</v>
      </c>
      <c r="I4" s="3">
        <v>3.8902139999999998</v>
      </c>
      <c r="J4" s="3">
        <v>4.66E-4</v>
      </c>
      <c r="K4" s="5">
        <f t="shared" ref="K4:K9" si="1">100-G4</f>
        <v>65.962000000000003</v>
      </c>
      <c r="L4" s="5">
        <v>0.61499999999999999</v>
      </c>
      <c r="M4" s="3">
        <f t="shared" ref="M4:M9" si="2">F4*(G4/100)+I4*(K4/100)</f>
        <v>3.8881308896155895</v>
      </c>
      <c r="N4" s="3">
        <f t="shared" ref="N4:N9" si="3">SQRT(((G4/100)*C4/SQRT(2)*2/3)^2+((G4/100)*E4/(2*SQRT(3))*1/3)^2+((K4/100)*J4)^2)</f>
        <v>3.1157768498207248E-4</v>
      </c>
    </row>
    <row r="5" spans="1:14" x14ac:dyDescent="0.25">
      <c r="A5" s="4">
        <v>100</v>
      </c>
      <c r="B5" s="3">
        <v>5.5094539999999999</v>
      </c>
      <c r="C5" s="3">
        <v>2.7799999999999998E-4</v>
      </c>
      <c r="D5" s="3">
        <v>13.408125999999999</v>
      </c>
      <c r="E5" s="3">
        <v>8.7100000000000003E-4</v>
      </c>
      <c r="F5" s="3">
        <f t="shared" si="0"/>
        <v>3.8873790485949691</v>
      </c>
      <c r="G5" s="5">
        <v>36.142000000000003</v>
      </c>
      <c r="H5" s="5">
        <v>0.622</v>
      </c>
      <c r="I5" s="3">
        <v>3.8928769999999999</v>
      </c>
      <c r="J5" s="3">
        <v>5.1900000000000004E-4</v>
      </c>
      <c r="K5" s="5">
        <f t="shared" si="1"/>
        <v>63.857999999999997</v>
      </c>
      <c r="L5" s="5">
        <v>0.622</v>
      </c>
      <c r="M5" s="3">
        <f t="shared" si="2"/>
        <v>3.8908899304031936</v>
      </c>
      <c r="N5" s="3">
        <f t="shared" si="3"/>
        <v>3.3615793327898303E-4</v>
      </c>
    </row>
    <row r="6" spans="1:14" x14ac:dyDescent="0.25">
      <c r="A6" s="4">
        <v>200</v>
      </c>
      <c r="B6" s="3">
        <v>5.5133830000000001</v>
      </c>
      <c r="C6" s="3">
        <v>2.8800000000000001E-4</v>
      </c>
      <c r="D6" s="3">
        <v>13.431138000000001</v>
      </c>
      <c r="E6" s="3">
        <v>1.091E-3</v>
      </c>
      <c r="F6" s="3">
        <f t="shared" si="0"/>
        <v>3.8914455276895894</v>
      </c>
      <c r="G6" s="5">
        <v>40.353000000000002</v>
      </c>
      <c r="H6" s="5">
        <v>0.58299999999999996</v>
      </c>
      <c r="I6" s="3">
        <v>3.8965299999999998</v>
      </c>
      <c r="J6" s="3">
        <v>6.5899999999999997E-4</v>
      </c>
      <c r="K6" s="5">
        <f t="shared" si="1"/>
        <v>59.646999999999998</v>
      </c>
      <c r="L6" s="5">
        <v>0.58299999999999996</v>
      </c>
      <c r="M6" s="3">
        <f t="shared" si="2"/>
        <v>3.8944782628885797</v>
      </c>
      <c r="N6" s="3">
        <f t="shared" si="3"/>
        <v>3.9912779795409596E-4</v>
      </c>
    </row>
    <row r="7" spans="1:14" x14ac:dyDescent="0.25">
      <c r="A7" s="4">
        <v>300</v>
      </c>
      <c r="B7" s="3">
        <v>5.5196969999999999</v>
      </c>
      <c r="C7" s="3">
        <v>4.1800000000000002E-4</v>
      </c>
      <c r="D7" s="3">
        <v>13.458743999999999</v>
      </c>
      <c r="E7" s="3">
        <v>1.8519999999999999E-3</v>
      </c>
      <c r="F7" s="3">
        <f t="shared" si="0"/>
        <v>3.8970783644224052</v>
      </c>
      <c r="G7" s="5">
        <v>41.076000000000001</v>
      </c>
      <c r="H7" s="5">
        <v>0.61199999999999999</v>
      </c>
      <c r="I7" s="3">
        <v>3.9000149999999998</v>
      </c>
      <c r="J7" s="3">
        <v>1.07E-3</v>
      </c>
      <c r="K7" s="5">
        <f t="shared" si="1"/>
        <v>58.923999999999999</v>
      </c>
      <c r="L7" s="5">
        <v>0.61199999999999999</v>
      </c>
      <c r="M7" s="3">
        <f t="shared" si="2"/>
        <v>3.8988087475701469</v>
      </c>
      <c r="N7" s="3">
        <f t="shared" si="3"/>
        <v>6.3986180464367139E-4</v>
      </c>
    </row>
    <row r="8" spans="1:14" x14ac:dyDescent="0.25">
      <c r="A8" s="4">
        <v>400</v>
      </c>
      <c r="B8" s="3">
        <v>5.5258450000000003</v>
      </c>
      <c r="C8" s="3">
        <v>7.1599999999999995E-4</v>
      </c>
      <c r="D8" s="3">
        <v>13.496058</v>
      </c>
      <c r="E8" s="3">
        <v>3.3790000000000001E-3</v>
      </c>
      <c r="F8" s="3">
        <f t="shared" si="0"/>
        <v>3.9035671007403185</v>
      </c>
      <c r="G8" s="5">
        <v>41.77</v>
      </c>
      <c r="H8" s="5">
        <v>0.48699999999999999</v>
      </c>
      <c r="I8" s="3">
        <v>3.906323</v>
      </c>
      <c r="J8" s="3">
        <v>1.0449999999999999E-3</v>
      </c>
      <c r="K8" s="5">
        <f t="shared" si="1"/>
        <v>58.23</v>
      </c>
      <c r="L8" s="5">
        <v>0.48699999999999999</v>
      </c>
      <c r="M8" s="3">
        <f t="shared" si="2"/>
        <v>3.9051718608792312</v>
      </c>
      <c r="N8" s="3">
        <f t="shared" si="3"/>
        <v>6.3921690452741289E-4</v>
      </c>
    </row>
    <row r="9" spans="1:14" x14ac:dyDescent="0.25">
      <c r="A9" s="4">
        <v>500</v>
      </c>
      <c r="B9" s="3">
        <v>5.5302340000000001</v>
      </c>
      <c r="C9" s="3">
        <v>2.679E-3</v>
      </c>
      <c r="D9" s="3">
        <v>13.54415</v>
      </c>
      <c r="E9" s="3">
        <v>1.3011999999999999E-2</v>
      </c>
      <c r="F9" s="3">
        <f t="shared" si="0"/>
        <v>3.9102637500397157</v>
      </c>
      <c r="G9" s="5">
        <v>43.387999999999998</v>
      </c>
      <c r="H9" s="5">
        <v>0.39500000000000002</v>
      </c>
      <c r="I9" s="3">
        <v>3.913627</v>
      </c>
      <c r="J9" s="3">
        <v>7.2999999999999996E-4</v>
      </c>
      <c r="K9" s="5">
        <f t="shared" si="1"/>
        <v>56.612000000000002</v>
      </c>
      <c r="L9" s="5">
        <v>0.39500000000000002</v>
      </c>
      <c r="M9" s="3">
        <f t="shared" si="2"/>
        <v>3.9121677531072319</v>
      </c>
      <c r="N9" s="3">
        <f t="shared" si="3"/>
        <v>8.7530337350147011E-4</v>
      </c>
    </row>
    <row r="11" spans="1:14" x14ac:dyDescent="0.25">
      <c r="A11" s="7" t="s">
        <v>36</v>
      </c>
    </row>
    <row r="12" spans="1:14" x14ac:dyDescent="0.25">
      <c r="A12" s="1" t="s">
        <v>27</v>
      </c>
      <c r="B12" s="1" t="s">
        <v>33</v>
      </c>
      <c r="C12" s="1" t="s">
        <v>29</v>
      </c>
      <c r="D12" s="1" t="s">
        <v>35</v>
      </c>
      <c r="E12" s="1" t="s">
        <v>29</v>
      </c>
    </row>
    <row r="13" spans="1:14" x14ac:dyDescent="0.25">
      <c r="A13" s="4">
        <v>600</v>
      </c>
      <c r="B13" s="3">
        <v>3.9190339999999999</v>
      </c>
      <c r="C13" s="3">
        <v>2.5999999999999998E-5</v>
      </c>
      <c r="D13" s="3">
        <f t="shared" ref="D13:E15" si="4">B13</f>
        <v>3.9190339999999999</v>
      </c>
      <c r="E13" s="3">
        <f t="shared" si="4"/>
        <v>2.5999999999999998E-5</v>
      </c>
    </row>
    <row r="14" spans="1:14" x14ac:dyDescent="0.25">
      <c r="A14" s="4">
        <v>700</v>
      </c>
      <c r="B14" s="3">
        <v>3.9271950000000002</v>
      </c>
      <c r="C14" s="3">
        <v>2.0000000000000002E-5</v>
      </c>
      <c r="D14" s="3">
        <f t="shared" si="4"/>
        <v>3.9271950000000002</v>
      </c>
      <c r="E14" s="3">
        <f t="shared" si="4"/>
        <v>2.0000000000000002E-5</v>
      </c>
    </row>
    <row r="15" spans="1:14" x14ac:dyDescent="0.25">
      <c r="A15" s="4">
        <v>800</v>
      </c>
      <c r="B15" s="3">
        <v>3.9371130000000001</v>
      </c>
      <c r="C15" s="3">
        <v>1.5E-5</v>
      </c>
      <c r="D15" s="3">
        <f t="shared" si="4"/>
        <v>3.9371130000000001</v>
      </c>
      <c r="E15" s="3">
        <f t="shared" si="4"/>
        <v>1.5E-5</v>
      </c>
    </row>
    <row r="18" spans="1:3" x14ac:dyDescent="0.25">
      <c r="A18" s="7" t="s">
        <v>37</v>
      </c>
    </row>
    <row r="19" spans="1:3" x14ac:dyDescent="0.25">
      <c r="A19" s="8" t="s">
        <v>27</v>
      </c>
      <c r="B19" s="8" t="s">
        <v>35</v>
      </c>
      <c r="C19" s="8" t="s">
        <v>38</v>
      </c>
    </row>
    <row r="20" spans="1:3" x14ac:dyDescent="0.25">
      <c r="A20" s="4">
        <f t="shared" ref="A20:A25" si="5">A4</f>
        <v>22</v>
      </c>
      <c r="B20" s="3">
        <f t="shared" ref="B20:B25" si="6">M4</f>
        <v>3.8881308896155895</v>
      </c>
      <c r="C20" s="2" t="s">
        <v>39</v>
      </c>
    </row>
    <row r="21" spans="1:3" x14ac:dyDescent="0.25">
      <c r="A21" s="4">
        <f t="shared" si="5"/>
        <v>100</v>
      </c>
      <c r="B21" s="3">
        <f t="shared" si="6"/>
        <v>3.8908899304031936</v>
      </c>
      <c r="C21" s="2" t="s">
        <v>39</v>
      </c>
    </row>
    <row r="22" spans="1:3" x14ac:dyDescent="0.25">
      <c r="A22" s="4">
        <f t="shared" si="5"/>
        <v>200</v>
      </c>
      <c r="B22" s="3">
        <f t="shared" si="6"/>
        <v>3.8944782628885797</v>
      </c>
      <c r="C22" s="2" t="s">
        <v>39</v>
      </c>
    </row>
    <row r="23" spans="1:3" x14ac:dyDescent="0.25">
      <c r="A23" s="4">
        <f t="shared" si="5"/>
        <v>300</v>
      </c>
      <c r="B23" s="3">
        <f t="shared" si="6"/>
        <v>3.8988087475701469</v>
      </c>
      <c r="C23" s="2" t="s">
        <v>39</v>
      </c>
    </row>
    <row r="24" spans="1:3" x14ac:dyDescent="0.25">
      <c r="A24" s="4">
        <f t="shared" si="5"/>
        <v>400</v>
      </c>
      <c r="B24" s="3">
        <f t="shared" si="6"/>
        <v>3.9051718608792312</v>
      </c>
      <c r="C24" s="2" t="s">
        <v>39</v>
      </c>
    </row>
    <row r="25" spans="1:3" x14ac:dyDescent="0.25">
      <c r="A25" s="4">
        <f t="shared" si="5"/>
        <v>500</v>
      </c>
      <c r="B25" s="3">
        <f t="shared" si="6"/>
        <v>3.9121677531072319</v>
      </c>
      <c r="C25" s="2" t="s">
        <v>39</v>
      </c>
    </row>
    <row r="26" spans="1:3" x14ac:dyDescent="0.25">
      <c r="A26" s="4">
        <f>A13</f>
        <v>600</v>
      </c>
      <c r="B26" s="3">
        <f>D13</f>
        <v>3.9190339999999999</v>
      </c>
      <c r="C26" s="2" t="s">
        <v>40</v>
      </c>
    </row>
    <row r="27" spans="1:3" x14ac:dyDescent="0.25">
      <c r="A27" s="4">
        <f>A14</f>
        <v>700</v>
      </c>
      <c r="B27" s="3">
        <f>D14</f>
        <v>3.9271950000000002</v>
      </c>
      <c r="C27" s="2" t="s">
        <v>40</v>
      </c>
    </row>
    <row r="28" spans="1:3" x14ac:dyDescent="0.25">
      <c r="A28" s="4">
        <f>A15</f>
        <v>800</v>
      </c>
      <c r="B28" s="3">
        <f>D15</f>
        <v>3.9371130000000001</v>
      </c>
      <c r="C28" s="2" t="s">
        <v>40</v>
      </c>
    </row>
    <row r="30" spans="1:3" x14ac:dyDescent="0.25">
      <c r="B30" s="9"/>
    </row>
    <row r="31" spans="1:3" x14ac:dyDescent="0.25">
      <c r="A31" s="7" t="s">
        <v>41</v>
      </c>
    </row>
    <row r="32" spans="1:3" x14ac:dyDescent="0.25">
      <c r="A32" t="s">
        <v>42</v>
      </c>
      <c r="B32" s="10">
        <f>((INDEX(B20:B28,MATCH(MAX(A20:A28),A20:A28,0))-INDEX(B20:B28,MATCH(MIN(A20:A28),A20:A28,0)))/(INDEX(B20:B28,MATCH(MIN(A20:A28),A20:A28,0))*(MAX(A20:A28)-MIN(A20:A28))))*1000000</f>
        <v>16.192616083226039</v>
      </c>
    </row>
    <row r="33" spans="1:12" x14ac:dyDescent="0.25">
      <c r="A33" t="s">
        <v>43</v>
      </c>
      <c r="B33" s="10">
        <f>(SLOPE(B20:B28,A20:A28)/INDEX(B20:B28,MATCH(MIN(A20:A28),A20:A28,0)))*1000000</f>
        <v>16.014981946536768</v>
      </c>
    </row>
    <row r="34" spans="1:12" x14ac:dyDescent="0.25">
      <c r="A34" t="s">
        <v>44</v>
      </c>
      <c r="B34" s="11">
        <f>RSQ(B20:B28,A20:A28)</f>
        <v>0.97495928837218193</v>
      </c>
    </row>
    <row r="35" spans="1:12" x14ac:dyDescent="0.25">
      <c r="A35" t="s">
        <v>45</v>
      </c>
      <c r="B35" s="10">
        <f>((INDEX(B20:B25,MATCH(MAX(A20:A25),A20:A25,0))-INDEX(B20:B25,MATCH(MIN(A20:A25),A20:A25,0)))/(INDEX(B20:B25,MATCH(MIN(A20:A25),A20:A25,0))*(MAX(A20:A25)-MIN(A20:A25))))*1000000</f>
        <v>12.933290242524375</v>
      </c>
    </row>
    <row r="36" spans="1:12" x14ac:dyDescent="0.25">
      <c r="A36" t="s">
        <v>46</v>
      </c>
      <c r="B36" s="10">
        <f>(SLOPE(B20:B25,A20:A25)/INDEX(B20:B25,MATCH(MIN(A20:A25),A20:A25,0)))*1000000</f>
        <v>12.741852931113966</v>
      </c>
    </row>
    <row r="37" spans="1:12" x14ac:dyDescent="0.25">
      <c r="A37" t="s">
        <v>47</v>
      </c>
      <c r="B37" s="11">
        <f>RSQ(B20:B25,A20:A25)</f>
        <v>0.97769760853499033</v>
      </c>
    </row>
    <row r="38" spans="1:12" x14ac:dyDescent="0.25">
      <c r="A38" t="s">
        <v>48</v>
      </c>
      <c r="B38" s="10">
        <f>((INDEX(B25:B28,MATCH(MAX(A25:A28),A25:A28,0))-INDEX(B25:B28,MATCH(MIN(A25:A28),A25:A28,0)))/(INDEX(B25:B28,MATCH(MIN(A25:A28),A25:A28,0))*(MAX(A25:A28)-MIN(A25:A28))))*1000000</f>
        <v>21.254411421864948</v>
      </c>
    </row>
    <row r="39" spans="1:12" x14ac:dyDescent="0.25">
      <c r="A39" t="s">
        <v>49</v>
      </c>
      <c r="B39" s="10">
        <f>(SLOPE(B26:B28,A26:A28)/INDEX(B26:B28,1))*1000000</f>
        <v>23.065633010583955</v>
      </c>
    </row>
    <row r="40" spans="1:12" x14ac:dyDescent="0.25">
      <c r="A40" t="s">
        <v>50</v>
      </c>
      <c r="B40" s="11">
        <f>RSQ(B26:B28,A26:A28)</f>
        <v>0.99686159978004751</v>
      </c>
    </row>
    <row r="42" spans="1:12" ht="69.75" customHeight="1" x14ac:dyDescent="0.25">
      <c r="A42" s="12" t="s">
        <v>51</v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</row>
  </sheetData>
  <mergeCells count="2">
    <mergeCell ref="A1:L1"/>
    <mergeCell ref="A42:L4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3D9EB-DAF6-4452-AAC7-8B92EEA4EF10}">
  <dimension ref="A1:AE27"/>
  <sheetViews>
    <sheetView workbookViewId="0">
      <selection activeCell="F19" sqref="F19"/>
    </sheetView>
  </sheetViews>
  <sheetFormatPr defaultColWidth="8.7109375" defaultRowHeight="15" x14ac:dyDescent="0.25"/>
  <cols>
    <col min="1" max="1" width="9" customWidth="1"/>
    <col min="2" max="31" width="11" customWidth="1"/>
  </cols>
  <sheetData>
    <row r="1" spans="1:31" ht="15.75" x14ac:dyDescent="0.25">
      <c r="A1" s="6" t="s">
        <v>52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</row>
    <row r="2" spans="1:31" ht="15" customHeight="1" x14ac:dyDescent="0.25">
      <c r="B2" s="7" t="s">
        <v>53</v>
      </c>
      <c r="K2" s="7" t="s">
        <v>54</v>
      </c>
      <c r="P2" s="7" t="s">
        <v>55</v>
      </c>
    </row>
    <row r="3" spans="1:31" ht="60" x14ac:dyDescent="0.25">
      <c r="A3" s="1" t="s">
        <v>27</v>
      </c>
      <c r="B3" s="1" t="s">
        <v>28</v>
      </c>
      <c r="C3" s="1" t="s">
        <v>29</v>
      </c>
      <c r="D3" s="1" t="s">
        <v>30</v>
      </c>
      <c r="E3" s="1" t="s">
        <v>29</v>
      </c>
      <c r="F3" s="1" t="s">
        <v>56</v>
      </c>
      <c r="G3" s="1" t="s">
        <v>29</v>
      </c>
      <c r="H3" s="1" t="s">
        <v>32</v>
      </c>
      <c r="I3" s="1" t="s">
        <v>29</v>
      </c>
      <c r="J3" s="1" t="s">
        <v>31</v>
      </c>
      <c r="K3" s="1" t="s">
        <v>33</v>
      </c>
      <c r="L3" s="1" t="s">
        <v>29</v>
      </c>
      <c r="M3" s="1" t="s">
        <v>57</v>
      </c>
      <c r="N3" s="1" t="s">
        <v>29</v>
      </c>
      <c r="O3" s="1" t="s">
        <v>34</v>
      </c>
      <c r="P3" s="1" t="s">
        <v>29</v>
      </c>
      <c r="Q3" s="1" t="s">
        <v>58</v>
      </c>
      <c r="R3" s="1" t="s">
        <v>59</v>
      </c>
      <c r="S3" s="1" t="s">
        <v>29</v>
      </c>
      <c r="T3" s="1" t="s">
        <v>60</v>
      </c>
      <c r="U3" s="1" t="s">
        <v>29</v>
      </c>
      <c r="V3" s="1" t="s">
        <v>61</v>
      </c>
      <c r="W3" s="1" t="s">
        <v>29</v>
      </c>
      <c r="X3" s="1" t="s">
        <v>62</v>
      </c>
      <c r="Y3" s="1" t="s">
        <v>29</v>
      </c>
      <c r="Z3" s="1" t="s">
        <v>63</v>
      </c>
      <c r="AA3" s="1" t="s">
        <v>29</v>
      </c>
      <c r="AB3" s="1" t="s">
        <v>64</v>
      </c>
      <c r="AC3" s="1" t="s">
        <v>65</v>
      </c>
      <c r="AD3" s="1" t="s">
        <v>66</v>
      </c>
      <c r="AE3" s="1" t="s">
        <v>67</v>
      </c>
    </row>
    <row r="4" spans="1:31" ht="15" customHeight="1" x14ac:dyDescent="0.25">
      <c r="A4" s="4">
        <v>24</v>
      </c>
      <c r="B4" s="3">
        <v>5.5020100000000003</v>
      </c>
      <c r="C4" s="3">
        <v>1.5499999999999999E-3</v>
      </c>
      <c r="D4" s="3">
        <v>13.52305</v>
      </c>
      <c r="E4" s="3">
        <v>7.5599999999999999E-3</v>
      </c>
      <c r="F4" s="3">
        <v>354.39647000000002</v>
      </c>
      <c r="G4" s="3">
        <v>0.28620000000000001</v>
      </c>
      <c r="H4" s="5">
        <v>36.252180000000003</v>
      </c>
      <c r="I4" s="5">
        <v>1.7567999999999999</v>
      </c>
      <c r="J4" s="3">
        <f t="shared" ref="J4:J12" si="0">(2*(B4/SQRT(2))+(D4/(2*SQRT(3))))/3</f>
        <v>3.8949284803982587</v>
      </c>
      <c r="K4" s="3">
        <v>3.88415</v>
      </c>
      <c r="L4" s="3">
        <v>1.2999999999999999E-4</v>
      </c>
      <c r="M4" s="3">
        <v>58.598739999999999</v>
      </c>
      <c r="N4" s="3">
        <v>5.8700000000000002E-3</v>
      </c>
      <c r="O4" s="5">
        <v>48.316479999999999</v>
      </c>
      <c r="P4" s="5">
        <v>1.66571</v>
      </c>
      <c r="Q4" s="3">
        <f t="shared" ref="Q4:Q12" si="1">K4</f>
        <v>3.88415</v>
      </c>
      <c r="R4" s="3">
        <v>6.0043600000000001</v>
      </c>
      <c r="S4" s="3">
        <v>1.0019999999999999E-2</v>
      </c>
      <c r="T4" s="3">
        <v>5.0566399999999998</v>
      </c>
      <c r="U4" s="3">
        <v>8.77E-3</v>
      </c>
      <c r="V4" s="3">
        <v>7.9407800000000002</v>
      </c>
      <c r="W4" s="3">
        <v>7.7600000000000004E-3</v>
      </c>
      <c r="X4" s="3">
        <v>241.09715</v>
      </c>
      <c r="Y4" s="3">
        <v>0.62648999999999999</v>
      </c>
      <c r="Z4" s="5">
        <v>15.431340000000001</v>
      </c>
      <c r="AA4" s="5">
        <v>0.92588000000000004</v>
      </c>
      <c r="AB4" s="3">
        <f t="shared" ref="AB4:AB12" si="2">(X4/4)^(1/3)</f>
        <v>3.9208241251964444</v>
      </c>
      <c r="AC4" s="5">
        <f t="shared" ref="AC4:AC12" si="3">H4+O4+Z4</f>
        <v>100</v>
      </c>
      <c r="AD4" s="3">
        <f t="shared" ref="AD4:AD12" si="4">(J4*H4+Q4*O4+AB4*Z4)/AC4</f>
        <v>3.8937167430663298</v>
      </c>
      <c r="AE4" s="3">
        <f t="shared" ref="AE4:AE12" si="5">SQRT(((H4/AC4)*C4/SQRT(2)*2/3)^2+((H4/AC4)*E4/(2*SQRT(3))*1/3)^2+((O4/AC4)*L4)^2+((Z4/AC4)*AB4/(3*X4)*Y4)^2)</f>
        <v>6.4676000107635582E-4</v>
      </c>
    </row>
    <row r="5" spans="1:31" ht="15" customHeight="1" x14ac:dyDescent="0.25">
      <c r="A5" s="4">
        <v>100</v>
      </c>
      <c r="B5" s="3">
        <v>5.50922</v>
      </c>
      <c r="C5" s="3">
        <v>2.14E-3</v>
      </c>
      <c r="D5" s="3">
        <v>13.5169</v>
      </c>
      <c r="E5" s="3">
        <v>1.034E-2</v>
      </c>
      <c r="F5" s="3">
        <v>355.15839</v>
      </c>
      <c r="G5" s="3">
        <v>0.39024999999999999</v>
      </c>
      <c r="H5" s="5">
        <v>38.172629999999998</v>
      </c>
      <c r="I5" s="5">
        <v>1.73203</v>
      </c>
      <c r="J5" s="3">
        <f t="shared" si="0"/>
        <v>3.8977355229672432</v>
      </c>
      <c r="K5" s="3">
        <v>3.88585</v>
      </c>
      <c r="L5" s="3">
        <v>1.3999999999999999E-4</v>
      </c>
      <c r="M5" s="3">
        <v>58.675780000000003</v>
      </c>
      <c r="N5" s="3">
        <v>6.3600000000000002E-3</v>
      </c>
      <c r="O5" s="5">
        <v>46.72231</v>
      </c>
      <c r="P5" s="5">
        <v>1.6443300000000001</v>
      </c>
      <c r="Q5" s="3">
        <f t="shared" si="1"/>
        <v>3.88585</v>
      </c>
      <c r="R5" s="3">
        <v>6.0251099999999997</v>
      </c>
      <c r="S5" s="3">
        <v>9.4999999999999998E-3</v>
      </c>
      <c r="T5" s="3">
        <v>5.0464399999999996</v>
      </c>
      <c r="U5" s="3">
        <v>8.3999999999999995E-3</v>
      </c>
      <c r="V5" s="3">
        <v>7.9575199999999997</v>
      </c>
      <c r="W5" s="3">
        <v>7.7499999999999999E-3</v>
      </c>
      <c r="X5" s="3">
        <v>241.95151000000001</v>
      </c>
      <c r="Y5" s="3">
        <v>0.60282999999999998</v>
      </c>
      <c r="Z5" s="5">
        <v>15.10505</v>
      </c>
      <c r="AA5" s="5">
        <v>0.87634999999999996</v>
      </c>
      <c r="AB5" s="3">
        <f t="shared" si="2"/>
        <v>3.9254499869497814</v>
      </c>
      <c r="AC5" s="5">
        <f t="shared" si="3"/>
        <v>99.999989999999997</v>
      </c>
      <c r="AD5" s="3">
        <f t="shared" si="4"/>
        <v>3.8963686155864701</v>
      </c>
      <c r="AE5" s="3">
        <f t="shared" si="5"/>
        <v>7.3438698980167699E-4</v>
      </c>
    </row>
    <row r="6" spans="1:31" ht="15" customHeight="1" x14ac:dyDescent="0.25">
      <c r="A6" s="4">
        <v>200</v>
      </c>
      <c r="B6" s="3">
        <v>5.5125099999999998</v>
      </c>
      <c r="C6" s="3">
        <v>2.0100000000000001E-3</v>
      </c>
      <c r="D6" s="3">
        <v>13.52815</v>
      </c>
      <c r="E6" s="3">
        <v>9.8799999999999999E-3</v>
      </c>
      <c r="F6" s="3">
        <v>355.85962000000001</v>
      </c>
      <c r="G6" s="3">
        <v>0.37106</v>
      </c>
      <c r="H6" s="5">
        <v>40.095030000000001</v>
      </c>
      <c r="I6" s="5">
        <v>1.5576300000000001</v>
      </c>
      <c r="J6" s="3">
        <f t="shared" si="0"/>
        <v>3.9003689755953759</v>
      </c>
      <c r="K6" s="3">
        <v>3.8868499999999999</v>
      </c>
      <c r="L6" s="3">
        <v>1.2999999999999999E-4</v>
      </c>
      <c r="M6" s="3">
        <v>58.720910000000003</v>
      </c>
      <c r="N6" s="3">
        <v>6.0400000000000002E-3</v>
      </c>
      <c r="O6" s="5">
        <v>45.780200000000001</v>
      </c>
      <c r="P6" s="5">
        <v>1.4913099999999999</v>
      </c>
      <c r="Q6" s="3">
        <f t="shared" si="1"/>
        <v>3.8868499999999999</v>
      </c>
      <c r="R6" s="3">
        <v>6.0394500000000004</v>
      </c>
      <c r="S6" s="3">
        <v>8.77E-3</v>
      </c>
      <c r="T6" s="3">
        <v>5.0609999999999999</v>
      </c>
      <c r="U6" s="3">
        <v>7.7999999999999996E-3</v>
      </c>
      <c r="V6" s="3">
        <v>7.9321099999999998</v>
      </c>
      <c r="W6" s="3">
        <v>7.6299999999999996E-3</v>
      </c>
      <c r="X6" s="3">
        <v>242.45025000000001</v>
      </c>
      <c r="Y6" s="3">
        <v>0.56403000000000003</v>
      </c>
      <c r="Z6" s="5">
        <v>14.12477</v>
      </c>
      <c r="AA6" s="5">
        <v>0.80025999999999997</v>
      </c>
      <c r="AB6" s="3">
        <f t="shared" si="2"/>
        <v>3.9281453414315401</v>
      </c>
      <c r="AC6" s="5">
        <f t="shared" si="3"/>
        <v>100</v>
      </c>
      <c r="AD6" s="3">
        <f t="shared" si="4"/>
        <v>3.8981033093185791</v>
      </c>
      <c r="AE6" s="3">
        <f t="shared" si="5"/>
        <v>6.9158923295972187E-4</v>
      </c>
    </row>
    <row r="7" spans="1:31" ht="15" customHeight="1" x14ac:dyDescent="0.25">
      <c r="A7" s="4">
        <v>300</v>
      </c>
      <c r="B7" s="3">
        <v>5.5179299999999998</v>
      </c>
      <c r="C7" s="3">
        <v>1.99E-3</v>
      </c>
      <c r="D7" s="3">
        <v>13.54264</v>
      </c>
      <c r="E7" s="3">
        <v>9.5899999999999996E-3</v>
      </c>
      <c r="F7" s="3">
        <v>356.96267</v>
      </c>
      <c r="G7" s="3">
        <v>0.36470999999999998</v>
      </c>
      <c r="H7" s="5">
        <v>41.544069999999998</v>
      </c>
      <c r="I7" s="5">
        <v>1.3991400000000001</v>
      </c>
      <c r="J7" s="3">
        <f t="shared" si="0"/>
        <v>3.9043182889981565</v>
      </c>
      <c r="K7" s="3">
        <v>3.8900199999999998</v>
      </c>
      <c r="L7" s="3">
        <v>1.2E-4</v>
      </c>
      <c r="M7" s="3">
        <v>58.864710000000002</v>
      </c>
      <c r="N7" s="3">
        <v>5.3899999999999998E-3</v>
      </c>
      <c r="O7" s="5">
        <v>46.23574</v>
      </c>
      <c r="P7" s="5">
        <v>1.3553299999999999</v>
      </c>
      <c r="Q7" s="3">
        <f t="shared" si="1"/>
        <v>3.8900199999999998</v>
      </c>
      <c r="R7" s="3">
        <v>6.0397699999999999</v>
      </c>
      <c r="S7" s="3">
        <v>8.8199999999999997E-3</v>
      </c>
      <c r="T7" s="3">
        <v>5.0839600000000003</v>
      </c>
      <c r="U7" s="3">
        <v>7.6600000000000001E-3</v>
      </c>
      <c r="V7" s="3">
        <v>7.8938899999999999</v>
      </c>
      <c r="W7" s="3">
        <v>6.8300000000000001E-3</v>
      </c>
      <c r="X7" s="3">
        <v>242.38961</v>
      </c>
      <c r="Y7" s="3">
        <v>0.54993000000000003</v>
      </c>
      <c r="Z7" s="5">
        <v>12.220190000000001</v>
      </c>
      <c r="AA7" s="5">
        <v>0.67047999999999996</v>
      </c>
      <c r="AB7" s="3">
        <f t="shared" si="2"/>
        <v>3.9278178204996133</v>
      </c>
      <c r="AC7" s="5">
        <f t="shared" si="3"/>
        <v>100</v>
      </c>
      <c r="AD7" s="3">
        <f t="shared" si="4"/>
        <v>3.9005790566711083</v>
      </c>
      <c r="AE7" s="3">
        <f t="shared" si="5"/>
        <v>6.5855832618600427E-4</v>
      </c>
    </row>
    <row r="8" spans="1:31" ht="15" customHeight="1" x14ac:dyDescent="0.25">
      <c r="A8" s="4">
        <v>400</v>
      </c>
      <c r="B8" s="3">
        <v>5.5241300000000004</v>
      </c>
      <c r="C8" s="3">
        <v>1.72E-3</v>
      </c>
      <c r="D8" s="3">
        <v>13.567069999999999</v>
      </c>
      <c r="E8" s="3">
        <v>7.8799999999999999E-3</v>
      </c>
      <c r="F8" s="3">
        <v>358.42059999999998</v>
      </c>
      <c r="G8" s="3">
        <v>0.30854999999999999</v>
      </c>
      <c r="H8" s="5">
        <v>42.7881</v>
      </c>
      <c r="I8" s="5">
        <v>1.39459</v>
      </c>
      <c r="J8" s="3">
        <f t="shared" si="0"/>
        <v>3.9095917748731117</v>
      </c>
      <c r="K8" s="3">
        <v>3.8958400000000002</v>
      </c>
      <c r="L8" s="3">
        <v>1.2999999999999999E-4</v>
      </c>
      <c r="M8" s="3">
        <v>59.129269999999998</v>
      </c>
      <c r="N8" s="3">
        <v>5.7200000000000003E-3</v>
      </c>
      <c r="O8" s="5">
        <v>45.500259999999997</v>
      </c>
      <c r="P8" s="5">
        <v>1.35141</v>
      </c>
      <c r="Q8" s="3">
        <f t="shared" si="1"/>
        <v>3.8958400000000002</v>
      </c>
      <c r="R8" s="3">
        <v>6.0639500000000002</v>
      </c>
      <c r="S8" s="3">
        <v>8.0400000000000003E-3</v>
      </c>
      <c r="T8" s="3">
        <v>5.0882699999999996</v>
      </c>
      <c r="U8" s="3">
        <v>7.1900000000000002E-3</v>
      </c>
      <c r="V8" s="3">
        <v>7.8882899999999996</v>
      </c>
      <c r="W8" s="3">
        <v>6.7600000000000004E-3</v>
      </c>
      <c r="X8" s="3">
        <v>243.39368999999999</v>
      </c>
      <c r="Y8" s="3">
        <v>0.51571</v>
      </c>
      <c r="Z8" s="5">
        <v>11.711639999999999</v>
      </c>
      <c r="AA8" s="5">
        <v>0.65258000000000005</v>
      </c>
      <c r="AB8" s="3">
        <f t="shared" si="2"/>
        <v>3.9332339081606089</v>
      </c>
      <c r="AC8" s="5">
        <f t="shared" si="3"/>
        <v>100</v>
      </c>
      <c r="AD8" s="3">
        <f t="shared" si="4"/>
        <v>3.9061035630901824</v>
      </c>
      <c r="AE8" s="3">
        <f t="shared" si="5"/>
        <v>5.7876794763290433E-4</v>
      </c>
    </row>
    <row r="9" spans="1:31" ht="15" customHeight="1" x14ac:dyDescent="0.25">
      <c r="A9" s="4">
        <v>500</v>
      </c>
      <c r="B9" s="3">
        <v>5.53207</v>
      </c>
      <c r="C9" s="3">
        <v>1.5900000000000001E-3</v>
      </c>
      <c r="D9" s="3">
        <v>13.580769999999999</v>
      </c>
      <c r="E9" s="3">
        <v>7.5399999999999998E-3</v>
      </c>
      <c r="F9" s="3">
        <v>359.81700000000001</v>
      </c>
      <c r="G9" s="3">
        <v>0.29115999999999997</v>
      </c>
      <c r="H9" s="5">
        <v>43.8444</v>
      </c>
      <c r="I9" s="5">
        <v>1.4552400000000001</v>
      </c>
      <c r="J9" s="3">
        <f t="shared" si="0"/>
        <v>3.9146530098828412</v>
      </c>
      <c r="K9" s="3">
        <v>3.9023599999999998</v>
      </c>
      <c r="L9" s="3">
        <v>1.2999999999999999E-4</v>
      </c>
      <c r="M9" s="3">
        <v>59.426729999999999</v>
      </c>
      <c r="N9" s="3">
        <v>5.8399999999999997E-3</v>
      </c>
      <c r="O9" s="5">
        <v>44.459530000000001</v>
      </c>
      <c r="P9" s="5">
        <v>1.41954</v>
      </c>
      <c r="Q9" s="3">
        <f t="shared" si="1"/>
        <v>3.9023599999999998</v>
      </c>
      <c r="R9" s="3">
        <v>6.0817500000000004</v>
      </c>
      <c r="S9" s="3">
        <v>9.5499999999999995E-3</v>
      </c>
      <c r="T9" s="3">
        <v>5.0883500000000002</v>
      </c>
      <c r="U9" s="3">
        <v>8.3599999999999994E-3</v>
      </c>
      <c r="V9" s="3">
        <v>7.9420700000000002</v>
      </c>
      <c r="W9" s="3">
        <v>7.79E-3</v>
      </c>
      <c r="X9" s="3">
        <v>245.77628999999999</v>
      </c>
      <c r="Y9" s="3">
        <v>0.60841000000000001</v>
      </c>
      <c r="Z9" s="5">
        <v>11.696070000000001</v>
      </c>
      <c r="AA9" s="5">
        <v>0.67144000000000004</v>
      </c>
      <c r="AB9" s="3">
        <f t="shared" si="2"/>
        <v>3.9460265014527898</v>
      </c>
      <c r="AC9" s="5">
        <f t="shared" si="3"/>
        <v>100.00000000000001</v>
      </c>
      <c r="AD9" s="3">
        <f t="shared" si="4"/>
        <v>3.9128570610015414</v>
      </c>
      <c r="AE9" s="3">
        <f t="shared" si="5"/>
        <v>5.9796609741142508E-4</v>
      </c>
    </row>
    <row r="10" spans="1:31" ht="15" customHeight="1" x14ac:dyDescent="0.25">
      <c r="A10" s="4">
        <v>600</v>
      </c>
      <c r="B10" s="3">
        <v>5.5398699999999996</v>
      </c>
      <c r="C10" s="3">
        <v>1.3699999999999999E-3</v>
      </c>
      <c r="D10" s="3">
        <v>13.596880000000001</v>
      </c>
      <c r="E10" s="3">
        <v>6.6600000000000001E-3</v>
      </c>
      <c r="F10" s="3">
        <v>361.35489000000001</v>
      </c>
      <c r="G10" s="3">
        <v>0.25439000000000001</v>
      </c>
      <c r="H10" s="5">
        <v>43.42454</v>
      </c>
      <c r="I10" s="5">
        <v>1.3374200000000001</v>
      </c>
      <c r="J10" s="3">
        <f t="shared" si="0"/>
        <v>3.9198801506177858</v>
      </c>
      <c r="K10" s="3">
        <v>3.9095499999999999</v>
      </c>
      <c r="L10" s="3">
        <v>1.1E-4</v>
      </c>
      <c r="M10" s="3">
        <v>59.755629999999996</v>
      </c>
      <c r="N10" s="3">
        <v>5.1999999999999998E-3</v>
      </c>
      <c r="O10" s="5">
        <v>44.364820000000002</v>
      </c>
      <c r="P10" s="5">
        <v>1.3057000000000001</v>
      </c>
      <c r="Q10" s="3">
        <f t="shared" si="1"/>
        <v>3.9095499999999999</v>
      </c>
      <c r="R10" s="3">
        <v>6.1469199999999997</v>
      </c>
      <c r="S10" s="3">
        <v>1.529E-2</v>
      </c>
      <c r="T10" s="3">
        <v>5.04894</v>
      </c>
      <c r="U10" s="3">
        <v>1.273E-2</v>
      </c>
      <c r="V10" s="3">
        <v>8.07179</v>
      </c>
      <c r="W10" s="3">
        <v>1.0290000000000001E-2</v>
      </c>
      <c r="X10" s="3">
        <v>250.51185000000001</v>
      </c>
      <c r="Y10" s="3">
        <v>0.94301000000000001</v>
      </c>
      <c r="Z10" s="5">
        <v>12.21064</v>
      </c>
      <c r="AA10" s="5">
        <v>0.92784</v>
      </c>
      <c r="AB10" s="3">
        <f t="shared" si="2"/>
        <v>3.9712091544087889</v>
      </c>
      <c r="AC10" s="5">
        <f t="shared" si="3"/>
        <v>100</v>
      </c>
      <c r="AD10" s="3">
        <f t="shared" si="4"/>
        <v>3.9215647977589816</v>
      </c>
      <c r="AE10" s="3">
        <f t="shared" si="5"/>
        <v>7.271131748154612E-4</v>
      </c>
    </row>
    <row r="11" spans="1:31" ht="15" customHeight="1" x14ac:dyDescent="0.25">
      <c r="A11" s="4">
        <v>700</v>
      </c>
      <c r="B11" s="3">
        <v>5.5438099999999997</v>
      </c>
      <c r="C11" s="3">
        <v>9.1E-4</v>
      </c>
      <c r="D11" s="3">
        <v>13.62018</v>
      </c>
      <c r="E11" s="3">
        <v>4.3600000000000002E-3</v>
      </c>
      <c r="F11" s="3">
        <v>362.50466</v>
      </c>
      <c r="G11" s="3">
        <v>0.16924</v>
      </c>
      <c r="H11" s="5">
        <v>43.121189999999999</v>
      </c>
      <c r="I11" s="5">
        <v>1.3021400000000001</v>
      </c>
      <c r="J11" s="3">
        <f t="shared" si="0"/>
        <v>3.9239795279750553</v>
      </c>
      <c r="K11" s="3">
        <v>3.9161700000000002</v>
      </c>
      <c r="L11" s="3">
        <v>9.0000000000000006E-5</v>
      </c>
      <c r="M11" s="3">
        <v>60.059959999999997</v>
      </c>
      <c r="N11" s="3">
        <v>4.3600000000000002E-3</v>
      </c>
      <c r="O11" s="5">
        <v>45.490630000000003</v>
      </c>
      <c r="P11" s="5">
        <v>1.2952600000000001</v>
      </c>
      <c r="Q11" s="3">
        <f t="shared" si="1"/>
        <v>3.9161700000000002</v>
      </c>
      <c r="R11" s="3">
        <v>6.1650400000000003</v>
      </c>
      <c r="S11" s="3">
        <v>1.9279999999999999E-2</v>
      </c>
      <c r="T11" s="3">
        <v>5.0424899999999999</v>
      </c>
      <c r="U11" s="3">
        <v>1.464E-2</v>
      </c>
      <c r="V11" s="3">
        <v>8.1048799999999996</v>
      </c>
      <c r="W11" s="3">
        <v>1.4279999999999999E-2</v>
      </c>
      <c r="X11" s="3">
        <v>251.95785000000001</v>
      </c>
      <c r="Y11" s="3">
        <v>1.1633899999999999</v>
      </c>
      <c r="Z11" s="5">
        <v>11.38818</v>
      </c>
      <c r="AA11" s="5">
        <v>1.06864</v>
      </c>
      <c r="AB11" s="3">
        <f t="shared" si="2"/>
        <v>3.9788353472970726</v>
      </c>
      <c r="AC11" s="5">
        <f t="shared" si="3"/>
        <v>100</v>
      </c>
      <c r="AD11" s="3">
        <f t="shared" si="4"/>
        <v>3.9266740039440422</v>
      </c>
      <c r="AE11" s="3">
        <f t="shared" si="5"/>
        <v>7.4498303850073348E-4</v>
      </c>
    </row>
    <row r="12" spans="1:31" ht="15" customHeight="1" x14ac:dyDescent="0.25">
      <c r="A12" s="4">
        <v>800</v>
      </c>
      <c r="B12" s="3">
        <v>5.5484999999999998</v>
      </c>
      <c r="C12" s="3">
        <v>6.4000000000000005E-4</v>
      </c>
      <c r="D12" s="3">
        <v>13.64184</v>
      </c>
      <c r="E12" s="3">
        <v>3.0100000000000001E-3</v>
      </c>
      <c r="F12" s="3">
        <v>363.67925000000002</v>
      </c>
      <c r="G12" s="3">
        <v>0.11909</v>
      </c>
      <c r="H12" s="5">
        <v>40.429079999999999</v>
      </c>
      <c r="I12" s="5">
        <v>1.1858200000000001</v>
      </c>
      <c r="J12" s="3">
        <f t="shared" si="0"/>
        <v>3.9282746496493401</v>
      </c>
      <c r="K12" s="3">
        <v>3.9225699999999999</v>
      </c>
      <c r="L12" s="3">
        <v>5.0000000000000002E-5</v>
      </c>
      <c r="M12" s="3">
        <v>60.354880000000001</v>
      </c>
      <c r="N12" s="3">
        <v>2.5100000000000001E-3</v>
      </c>
      <c r="O12" s="5">
        <v>46.79853</v>
      </c>
      <c r="P12" s="5">
        <v>1.2105999999999999</v>
      </c>
      <c r="Q12" s="3">
        <f t="shared" si="1"/>
        <v>3.9225699999999999</v>
      </c>
      <c r="R12" s="3">
        <v>6.1576700000000004</v>
      </c>
      <c r="S12" s="3">
        <v>1.9429999999999999E-2</v>
      </c>
      <c r="T12" s="3">
        <v>5.0092499999999998</v>
      </c>
      <c r="U12" s="3">
        <v>1.617E-2</v>
      </c>
      <c r="V12" s="3">
        <v>8.1933100000000003</v>
      </c>
      <c r="W12" s="3">
        <v>1.8419999999999999E-2</v>
      </c>
      <c r="X12" s="3">
        <v>252.72541000000001</v>
      </c>
      <c r="Y12" s="3">
        <v>1.2744500000000001</v>
      </c>
      <c r="Z12" s="5">
        <v>12.77239</v>
      </c>
      <c r="AA12" s="5">
        <v>1.34494</v>
      </c>
      <c r="AB12" s="3">
        <f t="shared" si="2"/>
        <v>3.9828716029444755</v>
      </c>
      <c r="AC12" s="5">
        <f t="shared" si="3"/>
        <v>100</v>
      </c>
      <c r="AD12" s="3">
        <f t="shared" si="4"/>
        <v>3.9325782932747715</v>
      </c>
      <c r="AE12" s="3">
        <f t="shared" si="5"/>
        <v>8.7197893399126793E-4</v>
      </c>
    </row>
    <row r="14" spans="1:31" x14ac:dyDescent="0.25">
      <c r="AD14" s="9" t="s">
        <v>68</v>
      </c>
    </row>
    <row r="15" spans="1:31" ht="15" customHeight="1" x14ac:dyDescent="0.25">
      <c r="A15" s="7" t="s">
        <v>69</v>
      </c>
      <c r="AD15">
        <f>(1000000/700)*(AD12-AD5)/AD5</f>
        <v>13.275979787015549</v>
      </c>
    </row>
    <row r="16" spans="1:31" ht="15" customHeight="1" x14ac:dyDescent="0.25">
      <c r="A16" s="13" t="s">
        <v>3</v>
      </c>
      <c r="B16" s="11">
        <f>MIN(A4:A12)</f>
        <v>24</v>
      </c>
    </row>
    <row r="17" spans="1:16" ht="15" customHeight="1" x14ac:dyDescent="0.25">
      <c r="A17" s="13" t="s">
        <v>4</v>
      </c>
      <c r="B17" s="11">
        <f>MAX(A4:A12)</f>
        <v>800</v>
      </c>
    </row>
    <row r="18" spans="1:16" ht="15" customHeight="1" x14ac:dyDescent="0.25">
      <c r="A18" s="13" t="s">
        <v>70</v>
      </c>
      <c r="B18" s="11">
        <f>INDEX(AD4:AD12,MATCH(MIN(A4:A12),A4:A12,0))</f>
        <v>3.8937167430663298</v>
      </c>
    </row>
    <row r="19" spans="1:16" ht="15" customHeight="1" x14ac:dyDescent="0.25">
      <c r="A19" s="13" t="s">
        <v>71</v>
      </c>
      <c r="B19" s="11">
        <f>INDEX(AD4:AD12,MATCH(MAX(A4:A12),A4:A12,0))</f>
        <v>3.9325782932747715</v>
      </c>
    </row>
    <row r="20" spans="1:16" ht="15" customHeight="1" x14ac:dyDescent="0.25">
      <c r="A20" s="13" t="s">
        <v>72</v>
      </c>
      <c r="B20" s="11">
        <f>SLOPE(AD4:AD12,A4:A12)</f>
        <v>5.1898834639801083E-5</v>
      </c>
    </row>
    <row r="21" spans="1:16" ht="15" customHeight="1" x14ac:dyDescent="0.25">
      <c r="A21" s="13" t="s">
        <v>73</v>
      </c>
      <c r="B21" s="14">
        <f>RSQ(AD4:AD12,A4:A12)</f>
        <v>0.96300927981982676</v>
      </c>
    </row>
    <row r="22" spans="1:16" ht="15" customHeight="1" x14ac:dyDescent="0.25">
      <c r="A22" s="13" t="s">
        <v>74</v>
      </c>
      <c r="B22" s="15">
        <f>B20/B18</f>
        <v>1.3328867522841526E-5</v>
      </c>
    </row>
    <row r="23" spans="1:16" ht="15" customHeight="1" x14ac:dyDescent="0.25">
      <c r="A23" s="13" t="s">
        <v>75</v>
      </c>
      <c r="B23" s="10">
        <f>B22*1000000</f>
        <v>13.328867522841525</v>
      </c>
    </row>
    <row r="24" spans="1:16" ht="15" customHeight="1" x14ac:dyDescent="0.25">
      <c r="A24" s="13" t="s">
        <v>76</v>
      </c>
      <c r="B24" s="15">
        <f>(B19-B18)/(B18*(B17-B16))</f>
        <v>1.2861571753543105E-5</v>
      </c>
    </row>
    <row r="25" spans="1:16" ht="15" customHeight="1" x14ac:dyDescent="0.25">
      <c r="A25" s="13" t="s">
        <v>77</v>
      </c>
      <c r="B25" s="10">
        <f>B24*1000000</f>
        <v>12.861571753543105</v>
      </c>
    </row>
    <row r="27" spans="1:16" ht="60" customHeight="1" x14ac:dyDescent="0.25">
      <c r="A27" s="12" t="s">
        <v>78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</row>
  </sheetData>
  <mergeCells count="2">
    <mergeCell ref="A1:X1"/>
    <mergeCell ref="A27:P2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52F061-D631-46D9-A7C6-001396ADBD21}">
  <dimension ref="A1:AE27"/>
  <sheetViews>
    <sheetView workbookViewId="0">
      <selection activeCell="H24" sqref="H24"/>
    </sheetView>
  </sheetViews>
  <sheetFormatPr defaultColWidth="8.7109375" defaultRowHeight="15" x14ac:dyDescent="0.25"/>
  <cols>
    <col min="1" max="1" width="9" customWidth="1"/>
    <col min="2" max="31" width="11" customWidth="1"/>
  </cols>
  <sheetData>
    <row r="1" spans="1:31" ht="15.75" x14ac:dyDescent="0.25">
      <c r="A1" s="6" t="s">
        <v>79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</row>
    <row r="2" spans="1:31" ht="15" customHeight="1" x14ac:dyDescent="0.25">
      <c r="B2" s="7" t="s">
        <v>53</v>
      </c>
      <c r="K2" s="7" t="s">
        <v>54</v>
      </c>
      <c r="P2" s="7" t="s">
        <v>55</v>
      </c>
    </row>
    <row r="3" spans="1:31" ht="60" x14ac:dyDescent="0.25">
      <c r="A3" s="1" t="s">
        <v>27</v>
      </c>
      <c r="B3" s="1" t="s">
        <v>28</v>
      </c>
      <c r="C3" s="1" t="s">
        <v>29</v>
      </c>
      <c r="D3" s="1" t="s">
        <v>30</v>
      </c>
      <c r="E3" s="1" t="s">
        <v>29</v>
      </c>
      <c r="F3" s="1" t="s">
        <v>56</v>
      </c>
      <c r="G3" s="1" t="s">
        <v>29</v>
      </c>
      <c r="H3" s="1" t="s">
        <v>32</v>
      </c>
      <c r="I3" s="1" t="s">
        <v>29</v>
      </c>
      <c r="J3" s="1" t="s">
        <v>31</v>
      </c>
      <c r="K3" s="1" t="s">
        <v>33</v>
      </c>
      <c r="L3" s="1" t="s">
        <v>29</v>
      </c>
      <c r="M3" s="1" t="s">
        <v>57</v>
      </c>
      <c r="N3" s="1" t="s">
        <v>29</v>
      </c>
      <c r="O3" s="1" t="s">
        <v>34</v>
      </c>
      <c r="P3" s="1" t="s">
        <v>29</v>
      </c>
      <c r="Q3" s="1" t="s">
        <v>58</v>
      </c>
      <c r="R3" s="1" t="s">
        <v>59</v>
      </c>
      <c r="S3" s="1" t="s">
        <v>29</v>
      </c>
      <c r="T3" s="1" t="s">
        <v>60</v>
      </c>
      <c r="U3" s="1" t="s">
        <v>29</v>
      </c>
      <c r="V3" s="1" t="s">
        <v>61</v>
      </c>
      <c r="W3" s="1" t="s">
        <v>29</v>
      </c>
      <c r="X3" s="1" t="s">
        <v>62</v>
      </c>
      <c r="Y3" s="1" t="s">
        <v>29</v>
      </c>
      <c r="Z3" s="1" t="s">
        <v>63</v>
      </c>
      <c r="AA3" s="1" t="s">
        <v>29</v>
      </c>
      <c r="AB3" s="1" t="s">
        <v>64</v>
      </c>
      <c r="AC3" s="1" t="s">
        <v>65</v>
      </c>
      <c r="AD3" s="1" t="s">
        <v>66</v>
      </c>
      <c r="AE3" s="1" t="s">
        <v>67</v>
      </c>
    </row>
    <row r="4" spans="1:31" ht="15" customHeight="1" x14ac:dyDescent="0.25">
      <c r="A4" s="4">
        <v>24</v>
      </c>
      <c r="B4" s="3">
        <v>5.4858099999999999</v>
      </c>
      <c r="C4" s="3">
        <v>2.5000000000000001E-4</v>
      </c>
      <c r="D4" s="3">
        <v>13.398400000000001</v>
      </c>
      <c r="E4" s="3">
        <v>1.0499999999999999E-3</v>
      </c>
      <c r="F4" s="3">
        <v>349.18898999999999</v>
      </c>
      <c r="G4" s="3">
        <v>4.3950000000000003E-2</v>
      </c>
      <c r="H4" s="5">
        <v>59.139049999999997</v>
      </c>
      <c r="I4" s="5">
        <v>0.51607000000000003</v>
      </c>
      <c r="J4" s="3">
        <f t="shared" ref="J4:J12" si="0">(2*(B4/SQRT(2))+(D4/(2*SQRT(3))))/3</f>
        <v>3.8752972753190296</v>
      </c>
      <c r="K4" s="3">
        <v>3.9080400000000002</v>
      </c>
      <c r="L4" s="3">
        <v>1.2E-4</v>
      </c>
      <c r="M4" s="3">
        <v>59.68656</v>
      </c>
      <c r="N4" s="3">
        <v>5.28E-3</v>
      </c>
      <c r="O4" s="5">
        <v>23.983450000000001</v>
      </c>
      <c r="P4" s="5">
        <v>0.43239</v>
      </c>
      <c r="Q4" s="3">
        <f t="shared" ref="Q4:Q12" si="1">K4</f>
        <v>3.9080400000000002</v>
      </c>
      <c r="R4" s="3">
        <v>5.53329</v>
      </c>
      <c r="S4" s="3">
        <v>2.48E-3</v>
      </c>
      <c r="T4" s="3">
        <v>5.4953500000000002</v>
      </c>
      <c r="U4" s="3">
        <v>1.5900000000000001E-3</v>
      </c>
      <c r="V4" s="3">
        <v>7.7233099999999997</v>
      </c>
      <c r="W4" s="3">
        <v>3.1099999999999999E-3</v>
      </c>
      <c r="X4" s="3">
        <v>234.84547000000001</v>
      </c>
      <c r="Y4" s="3">
        <v>0.15705</v>
      </c>
      <c r="Z4" s="5">
        <v>16.877500000000001</v>
      </c>
      <c r="AA4" s="5">
        <v>0.49042999999999998</v>
      </c>
      <c r="AB4" s="3">
        <f t="shared" ref="AB4:AB12" si="2">(X4/4)^(1/3)</f>
        <v>3.8866377570952779</v>
      </c>
      <c r="AC4" s="5">
        <f t="shared" ref="AC4:AC12" si="3">H4+O4+Z4</f>
        <v>100</v>
      </c>
      <c r="AD4" s="3">
        <f t="shared" ref="AD4:AD12" si="4">(J4*H4+Q4*O4+AB4*Z4)/AC4</f>
        <v>3.8850641001333144</v>
      </c>
      <c r="AE4" s="3">
        <f t="shared" ref="AE4:AE12" si="5">SQRT(((H4/AC4)*C4/SQRT(2)*2/3)^2+((H4/AC4)*E4/(2*SQRT(3))*1/3)^2+((O4/AC4)*L4)^2+((Z4/AC4)*AB4/(3*X4)*Y4)^2)</f>
        <v>1.7503539033157412E-4</v>
      </c>
    </row>
    <row r="5" spans="1:31" ht="15" customHeight="1" x14ac:dyDescent="0.25">
      <c r="A5" s="4">
        <v>100</v>
      </c>
      <c r="B5" s="3">
        <v>5.4905299999999997</v>
      </c>
      <c r="C5" s="3">
        <v>2.1000000000000001E-4</v>
      </c>
      <c r="D5" s="3">
        <v>13.40335</v>
      </c>
      <c r="E5" s="3">
        <v>8.4000000000000003E-4</v>
      </c>
      <c r="F5" s="3">
        <v>349.91385000000002</v>
      </c>
      <c r="G5" s="3">
        <v>3.6929999999999998E-2</v>
      </c>
      <c r="H5" s="5">
        <v>60.063249999999996</v>
      </c>
      <c r="I5" s="5">
        <v>0.48845</v>
      </c>
      <c r="J5" s="3">
        <f t="shared" si="0"/>
        <v>3.8779986186292441</v>
      </c>
      <c r="K5" s="3">
        <v>3.9110100000000001</v>
      </c>
      <c r="L5" s="3">
        <v>1.1E-4</v>
      </c>
      <c r="M5" s="3">
        <v>59.822780000000002</v>
      </c>
      <c r="N5" s="3">
        <v>5.0499999999999998E-3</v>
      </c>
      <c r="O5" s="5">
        <v>24.089510000000001</v>
      </c>
      <c r="P5" s="5">
        <v>0.39040000000000002</v>
      </c>
      <c r="Q5" s="3">
        <f t="shared" si="1"/>
        <v>3.9110100000000001</v>
      </c>
      <c r="R5" s="3">
        <v>5.53904</v>
      </c>
      <c r="S5" s="3">
        <v>2.5699999999999998E-3</v>
      </c>
      <c r="T5" s="3">
        <v>5.4945000000000004</v>
      </c>
      <c r="U5" s="3">
        <v>1.6299999999999999E-3</v>
      </c>
      <c r="V5" s="3">
        <v>7.7330899999999998</v>
      </c>
      <c r="W5" s="3">
        <v>3.3899999999999998E-3</v>
      </c>
      <c r="X5" s="3">
        <v>235.35066</v>
      </c>
      <c r="Y5" s="3">
        <v>0.16547000000000001</v>
      </c>
      <c r="Z5" s="5">
        <v>15.847239999999999</v>
      </c>
      <c r="AA5" s="5">
        <v>0.48135</v>
      </c>
      <c r="AB5" s="3">
        <f t="shared" si="2"/>
        <v>3.8894226866658763</v>
      </c>
      <c r="AC5" s="5">
        <f t="shared" si="3"/>
        <v>100</v>
      </c>
      <c r="AD5" s="3">
        <f t="shared" si="4"/>
        <v>3.8877612981252185</v>
      </c>
      <c r="AE5" s="3">
        <f t="shared" si="5"/>
        <v>1.6571282960517854E-4</v>
      </c>
    </row>
    <row r="6" spans="1:31" ht="15" customHeight="1" x14ac:dyDescent="0.25">
      <c r="A6" s="4">
        <v>200</v>
      </c>
      <c r="B6" s="3">
        <v>5.4970299999999996</v>
      </c>
      <c r="C6" s="3">
        <v>2.0000000000000001E-4</v>
      </c>
      <c r="D6" s="3">
        <v>13.415480000000001</v>
      </c>
      <c r="E6" s="3">
        <v>7.6000000000000004E-4</v>
      </c>
      <c r="F6" s="3">
        <v>351.0711</v>
      </c>
      <c r="G6" s="3">
        <v>3.4709999999999998E-2</v>
      </c>
      <c r="H6" s="5">
        <v>60.695999999999998</v>
      </c>
      <c r="I6" s="5">
        <v>0.50788999999999995</v>
      </c>
      <c r="J6" s="3">
        <f t="shared" si="0"/>
        <v>3.8822299578085979</v>
      </c>
      <c r="K6" s="3">
        <v>3.91527</v>
      </c>
      <c r="L6" s="3">
        <v>1.1E-4</v>
      </c>
      <c r="M6" s="3">
        <v>60.018569999999997</v>
      </c>
      <c r="N6" s="3">
        <v>5.2500000000000003E-3</v>
      </c>
      <c r="O6" s="5">
        <v>24.521699999999999</v>
      </c>
      <c r="P6" s="5">
        <v>0.41277999999999998</v>
      </c>
      <c r="Q6" s="3">
        <f t="shared" si="1"/>
        <v>3.91527</v>
      </c>
      <c r="R6" s="3">
        <v>5.5447100000000002</v>
      </c>
      <c r="S6" s="3">
        <v>3.0200000000000001E-3</v>
      </c>
      <c r="T6" s="3">
        <v>5.5010599999999998</v>
      </c>
      <c r="U6" s="3">
        <v>2.0799999999999998E-3</v>
      </c>
      <c r="V6" s="3">
        <v>7.7413699999999999</v>
      </c>
      <c r="W6" s="3">
        <v>3.82E-3</v>
      </c>
      <c r="X6" s="3">
        <v>236.12555</v>
      </c>
      <c r="Y6" s="3">
        <v>0.19506000000000001</v>
      </c>
      <c r="Z6" s="5">
        <v>14.782310000000001</v>
      </c>
      <c r="AA6" s="5">
        <v>0.49001</v>
      </c>
      <c r="AB6" s="3">
        <f t="shared" si="2"/>
        <v>3.8936866405237547</v>
      </c>
      <c r="AC6" s="5">
        <f t="shared" si="3"/>
        <v>100.00000999999999</v>
      </c>
      <c r="AD6" s="3">
        <f t="shared" si="4"/>
        <v>3.892025499209764</v>
      </c>
      <c r="AE6" s="3">
        <f t="shared" si="5"/>
        <v>1.7632986487951257E-4</v>
      </c>
    </row>
    <row r="7" spans="1:31" ht="15" customHeight="1" x14ac:dyDescent="0.25">
      <c r="A7" s="4">
        <v>300</v>
      </c>
      <c r="B7" s="3">
        <v>5.50535</v>
      </c>
      <c r="C7" s="3">
        <v>1.8000000000000001E-4</v>
      </c>
      <c r="D7" s="3">
        <v>13.42737</v>
      </c>
      <c r="E7" s="3">
        <v>6.0999999999999997E-4</v>
      </c>
      <c r="F7" s="3">
        <v>352.46478999999999</v>
      </c>
      <c r="G7" s="3">
        <v>3.0190000000000002E-2</v>
      </c>
      <c r="H7" s="5">
        <v>60.678310000000003</v>
      </c>
      <c r="I7" s="5">
        <v>0.51198999999999995</v>
      </c>
      <c r="J7" s="3">
        <f t="shared" si="0"/>
        <v>3.8872961592050239</v>
      </c>
      <c r="K7" s="3">
        <v>3.92014</v>
      </c>
      <c r="L7" s="3">
        <v>1.1E-4</v>
      </c>
      <c r="M7" s="3">
        <v>60.242530000000002</v>
      </c>
      <c r="N7" s="3">
        <v>5.2399999999999999E-3</v>
      </c>
      <c r="O7" s="5">
        <v>25.143809999999998</v>
      </c>
      <c r="P7" s="5">
        <v>0.42864999999999998</v>
      </c>
      <c r="Q7" s="3">
        <f t="shared" si="1"/>
        <v>3.92014</v>
      </c>
      <c r="R7" s="3">
        <v>5.5502200000000004</v>
      </c>
      <c r="S7" s="3">
        <v>3.6900000000000001E-3</v>
      </c>
      <c r="T7" s="3">
        <v>5.5066300000000004</v>
      </c>
      <c r="U7" s="3">
        <v>2.6700000000000001E-3</v>
      </c>
      <c r="V7" s="3">
        <v>7.7524600000000001</v>
      </c>
      <c r="W7" s="3">
        <v>4.6299999999999996E-3</v>
      </c>
      <c r="X7" s="3">
        <v>236.93847</v>
      </c>
      <c r="Y7" s="3">
        <v>0.24101</v>
      </c>
      <c r="Z7" s="5">
        <v>14.17788</v>
      </c>
      <c r="AA7" s="5">
        <v>0.47881000000000001</v>
      </c>
      <c r="AB7" s="3">
        <f t="shared" si="2"/>
        <v>3.8981498456366537</v>
      </c>
      <c r="AC7" s="5">
        <f t="shared" si="3"/>
        <v>100</v>
      </c>
      <c r="AD7" s="3">
        <f t="shared" si="4"/>
        <v>3.897093174769068</v>
      </c>
      <c r="AE7" s="3">
        <f t="shared" si="5"/>
        <v>1.9949868858185266E-4</v>
      </c>
    </row>
    <row r="8" spans="1:31" ht="15" customHeight="1" x14ac:dyDescent="0.25">
      <c r="A8" s="4">
        <v>400</v>
      </c>
      <c r="B8" s="3">
        <v>5.51457</v>
      </c>
      <c r="C8" s="3">
        <v>1.7000000000000001E-4</v>
      </c>
      <c r="D8" s="3">
        <v>13.441739999999999</v>
      </c>
      <c r="E8" s="3">
        <v>5.1999999999999995E-4</v>
      </c>
      <c r="F8" s="3">
        <v>354.03921000000003</v>
      </c>
      <c r="G8" s="3">
        <v>2.8299999999999999E-2</v>
      </c>
      <c r="H8" s="5">
        <v>60.743020000000001</v>
      </c>
      <c r="I8" s="5">
        <v>0.49440000000000001</v>
      </c>
      <c r="J8" s="3">
        <f t="shared" si="0"/>
        <v>3.8930252627814261</v>
      </c>
      <c r="K8" s="3">
        <v>3.9255800000000001</v>
      </c>
      <c r="L8" s="3">
        <v>1.2E-4</v>
      </c>
      <c r="M8" s="3">
        <v>60.493940000000002</v>
      </c>
      <c r="N8" s="3">
        <v>5.7200000000000003E-3</v>
      </c>
      <c r="O8" s="5">
        <v>25.423380000000002</v>
      </c>
      <c r="P8" s="5">
        <v>0.41731000000000001</v>
      </c>
      <c r="Q8" s="3">
        <f t="shared" si="1"/>
        <v>3.9255800000000001</v>
      </c>
      <c r="R8" s="3">
        <v>5.5563599999999997</v>
      </c>
      <c r="S8" s="3">
        <v>4.2700000000000004E-3</v>
      </c>
      <c r="T8" s="3">
        <v>5.50427</v>
      </c>
      <c r="U8" s="3">
        <v>3.9399999999999999E-3</v>
      </c>
      <c r="V8" s="3">
        <v>7.7663399999999996</v>
      </c>
      <c r="W8" s="3">
        <v>5.11E-3</v>
      </c>
      <c r="X8" s="3">
        <v>237.52355</v>
      </c>
      <c r="Y8" s="3">
        <v>0.29447000000000001</v>
      </c>
      <c r="Z8" s="5">
        <v>13.833600000000001</v>
      </c>
      <c r="AA8" s="5">
        <v>0.47853000000000001</v>
      </c>
      <c r="AB8" s="3">
        <f t="shared" si="2"/>
        <v>3.9013558183226116</v>
      </c>
      <c r="AC8" s="5">
        <f t="shared" si="3"/>
        <v>100.00000000000001</v>
      </c>
      <c r="AD8" s="3">
        <f t="shared" si="4"/>
        <v>3.9024541930638508</v>
      </c>
      <c r="AE8" s="3">
        <f t="shared" si="5"/>
        <v>2.3230728684123236E-4</v>
      </c>
    </row>
    <row r="9" spans="1:31" ht="15" customHeight="1" x14ac:dyDescent="0.25">
      <c r="A9" s="4">
        <v>500</v>
      </c>
      <c r="B9" s="3">
        <v>5.5233299999999996</v>
      </c>
      <c r="C9" s="3">
        <v>1.8000000000000001E-4</v>
      </c>
      <c r="D9" s="3">
        <v>13.46214</v>
      </c>
      <c r="E9" s="3">
        <v>5.1000000000000004E-4</v>
      </c>
      <c r="F9" s="3">
        <v>355.70168999999999</v>
      </c>
      <c r="G9" s="3">
        <v>2.8920000000000001E-2</v>
      </c>
      <c r="H9" s="5">
        <v>60.73865</v>
      </c>
      <c r="I9" s="5">
        <v>0.51183999999999996</v>
      </c>
      <c r="J9" s="3">
        <f t="shared" si="0"/>
        <v>3.8991177572988001</v>
      </c>
      <c r="K9" s="3">
        <v>3.9307799999999999</v>
      </c>
      <c r="L9" s="3">
        <v>1.3999999999999999E-4</v>
      </c>
      <c r="M9" s="3">
        <v>60.734459999999999</v>
      </c>
      <c r="N9" s="3">
        <v>6.2599999999999999E-3</v>
      </c>
      <c r="O9" s="5">
        <v>25.82152</v>
      </c>
      <c r="P9" s="5">
        <v>0.44296999999999997</v>
      </c>
      <c r="Q9" s="3">
        <f t="shared" si="1"/>
        <v>3.9307799999999999</v>
      </c>
      <c r="R9" s="3">
        <v>5.5651000000000002</v>
      </c>
      <c r="S9" s="3">
        <v>4.3899999999999998E-3</v>
      </c>
      <c r="T9" s="3">
        <v>5.5083700000000002</v>
      </c>
      <c r="U9" s="3">
        <v>4.1099999999999999E-3</v>
      </c>
      <c r="V9" s="3">
        <v>7.7815300000000001</v>
      </c>
      <c r="W9" s="3">
        <v>5.2700000000000004E-3</v>
      </c>
      <c r="X9" s="3">
        <v>238.54001</v>
      </c>
      <c r="Y9" s="3">
        <v>0.30512</v>
      </c>
      <c r="Z9" s="5">
        <v>13.43984</v>
      </c>
      <c r="AA9" s="5">
        <v>0.48236000000000001</v>
      </c>
      <c r="AB9" s="3">
        <f t="shared" si="2"/>
        <v>3.9069130620562342</v>
      </c>
      <c r="AC9" s="5">
        <f t="shared" si="3"/>
        <v>100.00001</v>
      </c>
      <c r="AD9" s="3">
        <f t="shared" si="4"/>
        <v>3.908341105194916</v>
      </c>
      <c r="AE9" s="3">
        <f t="shared" si="5"/>
        <v>2.3446521167582877E-4</v>
      </c>
    </row>
    <row r="10" spans="1:31" ht="15" customHeight="1" x14ac:dyDescent="0.25">
      <c r="A10" s="4">
        <v>600</v>
      </c>
      <c r="B10" s="3">
        <v>5.53118</v>
      </c>
      <c r="C10" s="3">
        <v>2.0000000000000001E-4</v>
      </c>
      <c r="D10" s="3">
        <v>13.487159999999999</v>
      </c>
      <c r="E10" s="3">
        <v>5.6999999999999998E-4</v>
      </c>
      <c r="F10" s="3">
        <v>357.38634999999999</v>
      </c>
      <c r="G10" s="3">
        <v>3.1859999999999999E-2</v>
      </c>
      <c r="H10" s="5">
        <v>59.50694</v>
      </c>
      <c r="I10" s="5">
        <v>0.53274999999999995</v>
      </c>
      <c r="J10" s="3">
        <f t="shared" si="0"/>
        <v>3.9052258334095309</v>
      </c>
      <c r="K10" s="3">
        <v>3.9354100000000001</v>
      </c>
      <c r="L10" s="3">
        <v>1.7000000000000001E-4</v>
      </c>
      <c r="M10" s="3">
        <v>60.949280000000002</v>
      </c>
      <c r="N10" s="3">
        <v>7.7000000000000002E-3</v>
      </c>
      <c r="O10" s="5">
        <v>26.8706</v>
      </c>
      <c r="P10" s="5">
        <v>0.46990999999999999</v>
      </c>
      <c r="Q10" s="3">
        <f t="shared" si="1"/>
        <v>3.9354100000000001</v>
      </c>
      <c r="R10" s="3">
        <v>5.5765399999999996</v>
      </c>
      <c r="S10" s="3">
        <v>4.4299999999999999E-3</v>
      </c>
      <c r="T10" s="3">
        <v>5.5083399999999996</v>
      </c>
      <c r="U10" s="3">
        <v>4.15E-3</v>
      </c>
      <c r="V10" s="3">
        <v>7.7970300000000003</v>
      </c>
      <c r="W10" s="3">
        <v>5.4999999999999997E-3</v>
      </c>
      <c r="X10" s="3">
        <v>239.50523999999999</v>
      </c>
      <c r="Y10" s="3">
        <v>0.31180999999999998</v>
      </c>
      <c r="Z10" s="5">
        <v>13.62246</v>
      </c>
      <c r="AA10" s="5">
        <v>0.48881000000000002</v>
      </c>
      <c r="AB10" s="3">
        <f t="shared" si="2"/>
        <v>3.9121756239085945</v>
      </c>
      <c r="AC10" s="5">
        <f t="shared" si="3"/>
        <v>100</v>
      </c>
      <c r="AD10" s="3">
        <f t="shared" si="4"/>
        <v>3.9142832325082084</v>
      </c>
      <c r="AE10" s="3">
        <f t="shared" si="5"/>
        <v>2.4451468307909869E-4</v>
      </c>
    </row>
    <row r="11" spans="1:31" ht="15" customHeight="1" x14ac:dyDescent="0.25">
      <c r="A11" s="4">
        <v>700</v>
      </c>
      <c r="B11" s="3">
        <v>5.5390499999999996</v>
      </c>
      <c r="C11" s="3">
        <v>2.2000000000000001E-4</v>
      </c>
      <c r="D11" s="3">
        <v>13.51474</v>
      </c>
      <c r="E11" s="3">
        <v>7.6000000000000004E-4</v>
      </c>
      <c r="F11" s="3">
        <v>359.15802000000002</v>
      </c>
      <c r="G11" s="3">
        <v>3.7130000000000003E-2</v>
      </c>
      <c r="H11" s="5">
        <v>57.050730000000001</v>
      </c>
      <c r="I11" s="5">
        <v>0.57545999999999997</v>
      </c>
      <c r="J11" s="3">
        <f t="shared" si="0"/>
        <v>3.9115896737255311</v>
      </c>
      <c r="K11" s="3">
        <v>3.93981</v>
      </c>
      <c r="L11" s="3">
        <v>2.3000000000000001E-4</v>
      </c>
      <c r="M11" s="3">
        <v>61.154040000000002</v>
      </c>
      <c r="N11" s="3">
        <v>1.081E-2</v>
      </c>
      <c r="O11" s="5">
        <v>26.97401</v>
      </c>
      <c r="P11" s="5">
        <v>0.52505000000000002</v>
      </c>
      <c r="Q11" s="3">
        <f t="shared" si="1"/>
        <v>3.93981</v>
      </c>
      <c r="R11" s="3">
        <v>5.5814899999999996</v>
      </c>
      <c r="S11" s="3">
        <v>4.5799999999999999E-3</v>
      </c>
      <c r="T11" s="3">
        <v>5.52447</v>
      </c>
      <c r="U11" s="3">
        <v>4.28E-3</v>
      </c>
      <c r="V11" s="3">
        <v>7.8108899999999997</v>
      </c>
      <c r="W11" s="3">
        <v>5.3899999999999998E-3</v>
      </c>
      <c r="X11" s="3">
        <v>240.84709000000001</v>
      </c>
      <c r="Y11" s="3">
        <v>0.31875999999999999</v>
      </c>
      <c r="Z11" s="5">
        <v>15.97526</v>
      </c>
      <c r="AA11" s="5">
        <v>0.52444000000000002</v>
      </c>
      <c r="AB11" s="3">
        <f t="shared" si="2"/>
        <v>3.9194681290218139</v>
      </c>
      <c r="AC11" s="5">
        <f t="shared" si="3"/>
        <v>100.00000000000001</v>
      </c>
      <c r="AD11" s="3">
        <f t="shared" si="4"/>
        <v>3.9204604310744031</v>
      </c>
      <c r="AE11" s="3">
        <f t="shared" si="5"/>
        <v>2.9222475333016691E-4</v>
      </c>
    </row>
    <row r="12" spans="1:31" ht="15" customHeight="1" x14ac:dyDescent="0.25">
      <c r="A12" s="4">
        <v>800</v>
      </c>
      <c r="B12" s="3">
        <v>5.5472999999999999</v>
      </c>
      <c r="C12" s="3">
        <v>2.5000000000000001E-4</v>
      </c>
      <c r="D12" s="3">
        <v>13.541790000000001</v>
      </c>
      <c r="E12" s="3">
        <v>9.1E-4</v>
      </c>
      <c r="F12" s="3">
        <v>360.94134000000003</v>
      </c>
      <c r="G12" s="3">
        <v>4.2200000000000001E-2</v>
      </c>
      <c r="H12" s="5">
        <v>54.996160000000003</v>
      </c>
      <c r="I12" s="5">
        <v>0.78358000000000005</v>
      </c>
      <c r="J12" s="3">
        <f t="shared" si="0"/>
        <v>3.9180816484856535</v>
      </c>
      <c r="K12" s="3">
        <v>3.94204</v>
      </c>
      <c r="L12" s="3">
        <v>4.0999999999999999E-4</v>
      </c>
      <c r="M12" s="3">
        <v>61.258209999999998</v>
      </c>
      <c r="N12" s="3">
        <v>1.9199999999999998E-2</v>
      </c>
      <c r="O12" s="5">
        <v>29.223230000000001</v>
      </c>
      <c r="P12" s="5">
        <v>0.77559999999999996</v>
      </c>
      <c r="Q12" s="3">
        <f t="shared" si="1"/>
        <v>3.94204</v>
      </c>
      <c r="R12" s="3">
        <v>5.5918700000000001</v>
      </c>
      <c r="S12" s="3">
        <v>4.7299999999999998E-3</v>
      </c>
      <c r="T12" s="3">
        <v>5.5278700000000001</v>
      </c>
      <c r="U12" s="3">
        <v>4.4799999999999996E-3</v>
      </c>
      <c r="V12" s="3">
        <v>7.83223</v>
      </c>
      <c r="W12" s="3">
        <v>6.0899999999999999E-3</v>
      </c>
      <c r="X12" s="3">
        <v>242.10312999999999</v>
      </c>
      <c r="Y12" s="3">
        <v>0.34044999999999997</v>
      </c>
      <c r="Z12" s="5">
        <v>15.780620000000001</v>
      </c>
      <c r="AA12" s="5">
        <v>0.63483000000000001</v>
      </c>
      <c r="AB12" s="3">
        <f t="shared" si="2"/>
        <v>3.9262697826833644</v>
      </c>
      <c r="AC12" s="5">
        <f t="shared" si="3"/>
        <v>100.00001</v>
      </c>
      <c r="AD12" s="3">
        <f t="shared" si="4"/>
        <v>3.9263751901663766</v>
      </c>
      <c r="AE12" s="3">
        <f t="shared" si="5"/>
        <v>3.2438096108316415E-4</v>
      </c>
    </row>
    <row r="14" spans="1:31" x14ac:dyDescent="0.25">
      <c r="AD14" s="9" t="s">
        <v>68</v>
      </c>
    </row>
    <row r="15" spans="1:31" ht="15" customHeight="1" x14ac:dyDescent="0.25">
      <c r="A15" s="7" t="s">
        <v>69</v>
      </c>
      <c r="AD15">
        <f>(1000000/700)*(AD12-AD5)/AD5</f>
        <v>14.188809107838232</v>
      </c>
    </row>
    <row r="16" spans="1:31" ht="15" customHeight="1" x14ac:dyDescent="0.25">
      <c r="A16" s="13" t="s">
        <v>3</v>
      </c>
      <c r="B16" s="11">
        <f>MIN(A4:A12)</f>
        <v>24</v>
      </c>
    </row>
    <row r="17" spans="1:16" ht="15" customHeight="1" x14ac:dyDescent="0.25">
      <c r="A17" s="13" t="s">
        <v>4</v>
      </c>
      <c r="B17" s="11">
        <f>MAX(A4:A12)</f>
        <v>800</v>
      </c>
    </row>
    <row r="18" spans="1:16" ht="15" customHeight="1" x14ac:dyDescent="0.25">
      <c r="A18" s="13" t="s">
        <v>70</v>
      </c>
      <c r="B18" s="11">
        <f>INDEX(AD4:AD12,MATCH(MIN(A4:A12),A4:A12,0))</f>
        <v>3.8850641001333144</v>
      </c>
    </row>
    <row r="19" spans="1:16" ht="15" customHeight="1" x14ac:dyDescent="0.25">
      <c r="A19" s="13" t="s">
        <v>71</v>
      </c>
      <c r="B19" s="11">
        <f>INDEX(AD4:AD12,MATCH(MAX(A4:A12),A4:A12,0))</f>
        <v>3.9263751901663766</v>
      </c>
    </row>
    <row r="20" spans="1:16" ht="15" customHeight="1" x14ac:dyDescent="0.25">
      <c r="A20" s="13" t="s">
        <v>72</v>
      </c>
      <c r="B20" s="11">
        <f>SLOPE(AD4:AD12,A4:A12)</f>
        <v>5.4121995426666726E-5</v>
      </c>
    </row>
    <row r="21" spans="1:16" ht="15" customHeight="1" x14ac:dyDescent="0.25">
      <c r="A21" s="13" t="s">
        <v>73</v>
      </c>
      <c r="B21" s="14">
        <f>RSQ(AD4:AD12,A4:A12)</f>
        <v>0.99494692327555867</v>
      </c>
    </row>
    <row r="22" spans="1:16" ht="15" customHeight="1" x14ac:dyDescent="0.25">
      <c r="A22" s="13" t="s">
        <v>74</v>
      </c>
      <c r="B22" s="15">
        <f>B20/B18</f>
        <v>1.393078570436188E-5</v>
      </c>
    </row>
    <row r="23" spans="1:16" ht="15" customHeight="1" x14ac:dyDescent="0.25">
      <c r="A23" s="13" t="s">
        <v>75</v>
      </c>
      <c r="B23" s="10">
        <f>B22*1000000</f>
        <v>13.930785704361879</v>
      </c>
    </row>
    <row r="24" spans="1:16" ht="15" customHeight="1" x14ac:dyDescent="0.25">
      <c r="A24" s="13" t="s">
        <v>76</v>
      </c>
      <c r="B24" s="15">
        <f>(B19-B18)/(B18*(B17-B16))</f>
        <v>1.3702718769152011E-5</v>
      </c>
    </row>
    <row r="25" spans="1:16" ht="15" customHeight="1" x14ac:dyDescent="0.25">
      <c r="A25" s="13" t="s">
        <v>77</v>
      </c>
      <c r="B25" s="10">
        <f>B24*1000000</f>
        <v>13.70271876915201</v>
      </c>
    </row>
    <row r="27" spans="1:16" ht="60" customHeight="1" x14ac:dyDescent="0.25">
      <c r="A27" s="12" t="s">
        <v>78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</row>
  </sheetData>
  <mergeCells count="2">
    <mergeCell ref="A1:X1"/>
    <mergeCell ref="A27:P2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250EF-A700-4C8B-B8A4-78C3D5EE1D16}">
  <dimension ref="A1:AE27"/>
  <sheetViews>
    <sheetView workbookViewId="0">
      <selection activeCell="G30" sqref="G30"/>
    </sheetView>
  </sheetViews>
  <sheetFormatPr defaultColWidth="8.7109375" defaultRowHeight="15" x14ac:dyDescent="0.25"/>
  <cols>
    <col min="1" max="1" width="21.7109375" customWidth="1"/>
    <col min="2" max="31" width="11" customWidth="1"/>
  </cols>
  <sheetData>
    <row r="1" spans="1:31" ht="15.75" x14ac:dyDescent="0.25">
      <c r="A1" s="6" t="s">
        <v>84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</row>
    <row r="2" spans="1:31" ht="15" customHeight="1" x14ac:dyDescent="0.25">
      <c r="B2" s="7" t="s">
        <v>53</v>
      </c>
      <c r="K2" s="7" t="s">
        <v>54</v>
      </c>
      <c r="P2" s="7" t="s">
        <v>55</v>
      </c>
    </row>
    <row r="3" spans="1:31" ht="60" x14ac:dyDescent="0.25">
      <c r="A3" s="1" t="s">
        <v>27</v>
      </c>
      <c r="B3" s="1" t="s">
        <v>28</v>
      </c>
      <c r="C3" s="1" t="s">
        <v>29</v>
      </c>
      <c r="D3" s="1" t="s">
        <v>30</v>
      </c>
      <c r="E3" s="1" t="s">
        <v>29</v>
      </c>
      <c r="F3" s="1" t="s">
        <v>56</v>
      </c>
      <c r="G3" s="1" t="s">
        <v>29</v>
      </c>
      <c r="H3" s="1" t="s">
        <v>32</v>
      </c>
      <c r="I3" s="1" t="s">
        <v>29</v>
      </c>
      <c r="J3" s="1" t="s">
        <v>31</v>
      </c>
      <c r="K3" s="1" t="s">
        <v>33</v>
      </c>
      <c r="L3" s="1" t="s">
        <v>29</v>
      </c>
      <c r="M3" s="1" t="s">
        <v>57</v>
      </c>
      <c r="N3" s="1" t="s">
        <v>29</v>
      </c>
      <c r="O3" s="1" t="s">
        <v>34</v>
      </c>
      <c r="P3" s="1" t="s">
        <v>29</v>
      </c>
      <c r="Q3" s="1" t="s">
        <v>58</v>
      </c>
      <c r="R3" s="1" t="s">
        <v>59</v>
      </c>
      <c r="S3" s="1" t="s">
        <v>29</v>
      </c>
      <c r="T3" s="1" t="s">
        <v>60</v>
      </c>
      <c r="U3" s="1" t="s">
        <v>29</v>
      </c>
      <c r="V3" s="1" t="s">
        <v>61</v>
      </c>
      <c r="W3" s="1" t="s">
        <v>29</v>
      </c>
      <c r="X3" s="1" t="s">
        <v>62</v>
      </c>
      <c r="Y3" s="1" t="s">
        <v>29</v>
      </c>
      <c r="Z3" s="1" t="s">
        <v>63</v>
      </c>
      <c r="AA3" s="1" t="s">
        <v>29</v>
      </c>
      <c r="AB3" s="1" t="s">
        <v>64</v>
      </c>
      <c r="AC3" s="1" t="s">
        <v>65</v>
      </c>
      <c r="AD3" s="1" t="s">
        <v>66</v>
      </c>
      <c r="AE3" s="1" t="s">
        <v>67</v>
      </c>
    </row>
    <row r="4" spans="1:31" ht="15" customHeight="1" x14ac:dyDescent="0.25">
      <c r="A4" s="4">
        <v>24</v>
      </c>
      <c r="B4" s="3">
        <v>5.4873799999999999</v>
      </c>
      <c r="C4" s="3">
        <v>4.6000000000000001E-4</v>
      </c>
      <c r="D4" s="3">
        <v>13.450340000000001</v>
      </c>
      <c r="E4" s="3">
        <v>2.2000000000000001E-3</v>
      </c>
      <c r="F4" s="3">
        <v>350.66687000000002</v>
      </c>
      <c r="G4" s="3">
        <v>8.226E-2</v>
      </c>
      <c r="H4" s="5">
        <v>78.989680000000007</v>
      </c>
      <c r="I4" s="5">
        <v>1.39513</v>
      </c>
      <c r="J4" s="3">
        <f t="shared" ref="J4:J12" si="0">(2*(B4/SQRT(2))+(D4/(2*SQRT(3))))/3</f>
        <v>3.8810353092469563</v>
      </c>
      <c r="K4" s="3">
        <v>3.89697</v>
      </c>
      <c r="L4" s="3">
        <v>1.8500000000000001E-3</v>
      </c>
      <c r="M4" s="3">
        <v>59.180900000000001</v>
      </c>
      <c r="N4" s="3">
        <v>8.4419999999999995E-2</v>
      </c>
      <c r="O4" s="5">
        <v>11.03251</v>
      </c>
      <c r="P4" s="5">
        <v>1.49404</v>
      </c>
      <c r="Q4" s="3">
        <f t="shared" ref="Q4:Q12" si="1">K4</f>
        <v>3.89697</v>
      </c>
      <c r="R4" s="3">
        <v>5.4947800000000004</v>
      </c>
      <c r="S4" s="3">
        <v>3.2100000000000002E-3</v>
      </c>
      <c r="T4" s="3">
        <v>5.50528</v>
      </c>
      <c r="U4" s="3">
        <v>1.8600000000000001E-3</v>
      </c>
      <c r="V4" s="3">
        <v>7.7445000000000004</v>
      </c>
      <c r="W4" s="3">
        <v>4.2100000000000002E-3</v>
      </c>
      <c r="X4" s="3">
        <v>234.27367000000001</v>
      </c>
      <c r="Y4" s="3">
        <v>0.20297999999999999</v>
      </c>
      <c r="Z4" s="5">
        <v>9.9778099999999998</v>
      </c>
      <c r="AA4" s="5">
        <v>0.45834000000000003</v>
      </c>
      <c r="AB4" s="3">
        <f t="shared" ref="AB4:AB12" si="2">(X4/4)^(1/3)</f>
        <v>3.8834808079875698</v>
      </c>
      <c r="AC4" s="5">
        <f t="shared" ref="AC4:AC12" si="3">H4+O4+Z4</f>
        <v>100.00000000000001</v>
      </c>
      <c r="AD4" s="3">
        <f>(J4*H4+Q4*O4+AB4*Z4)/AC4</f>
        <v>3.8830373128156457</v>
      </c>
      <c r="AE4" s="3">
        <f t="shared" ref="AE4:AE12" si="4">SQRT(((H4/AC4)*C4/SQRT(2)*2/3)^2+((H4/AC4)*E4/(2*SQRT(3))*1/3)^2+((O4/AC4)*L4)^2+((Z4/AC4)*AB4/(3*X4)*Y4)^2)</f>
        <v>3.3388850675571986E-4</v>
      </c>
    </row>
    <row r="5" spans="1:31" ht="15" customHeight="1" x14ac:dyDescent="0.25">
      <c r="A5" s="4">
        <v>100</v>
      </c>
      <c r="B5" s="3">
        <v>5.4911000000000003</v>
      </c>
      <c r="C5" s="3">
        <v>4.6999999999999999E-4</v>
      </c>
      <c r="D5" s="3">
        <v>13.459149999999999</v>
      </c>
      <c r="E5" s="3">
        <v>2.2799999999999999E-3</v>
      </c>
      <c r="F5" s="3">
        <v>351.37344000000002</v>
      </c>
      <c r="G5" s="3">
        <v>8.5000000000000006E-2</v>
      </c>
      <c r="H5" s="5">
        <v>78.505769999999998</v>
      </c>
      <c r="I5" s="5">
        <v>1.58446</v>
      </c>
      <c r="J5" s="3">
        <f t="shared" si="0"/>
        <v>3.8836366767095591</v>
      </c>
      <c r="K5" s="3">
        <v>3.8982700000000001</v>
      </c>
      <c r="L5" s="3">
        <v>1.9E-3</v>
      </c>
      <c r="M5" s="3">
        <v>59.240319999999997</v>
      </c>
      <c r="N5" s="3">
        <v>8.6749999999999994E-2</v>
      </c>
      <c r="O5" s="5">
        <v>12.06718</v>
      </c>
      <c r="P5" s="5">
        <v>1.6996100000000001</v>
      </c>
      <c r="Q5" s="3">
        <f t="shared" si="1"/>
        <v>3.8982700000000001</v>
      </c>
      <c r="R5" s="3">
        <v>5.50502</v>
      </c>
      <c r="S5" s="3">
        <v>3.6800000000000001E-3</v>
      </c>
      <c r="T5" s="3">
        <v>5.50725</v>
      </c>
      <c r="U5" s="3">
        <v>2.0799999999999998E-3</v>
      </c>
      <c r="V5" s="3">
        <v>7.7517100000000001</v>
      </c>
      <c r="W5" s="3">
        <v>4.7600000000000003E-3</v>
      </c>
      <c r="X5" s="3">
        <v>235.01242999999999</v>
      </c>
      <c r="Y5" s="3">
        <v>0.23100000000000001</v>
      </c>
      <c r="Z5" s="5">
        <v>9.4270499999999995</v>
      </c>
      <c r="AA5" s="5">
        <v>0.47527000000000003</v>
      </c>
      <c r="AB5" s="3">
        <f t="shared" si="2"/>
        <v>3.887558588599469</v>
      </c>
      <c r="AC5" s="5">
        <f t="shared" si="3"/>
        <v>99.999999999999986</v>
      </c>
      <c r="AD5" s="3">
        <f t="shared" ref="AD5:AD12" si="5">(J5*H5+Q5*O5+AB5*Z5)/AC5</f>
        <v>3.885772226765817</v>
      </c>
      <c r="AE5" s="3">
        <f t="shared" si="4"/>
        <v>3.5623764188121899E-4</v>
      </c>
    </row>
    <row r="6" spans="1:31" ht="15" customHeight="1" x14ac:dyDescent="0.25">
      <c r="A6" s="4">
        <v>200</v>
      </c>
      <c r="B6" s="3">
        <v>5.49627</v>
      </c>
      <c r="C6" s="3">
        <v>4.0999999999999999E-4</v>
      </c>
      <c r="D6" s="3">
        <v>13.473839999999999</v>
      </c>
      <c r="E6" s="3">
        <v>2.0100000000000001E-3</v>
      </c>
      <c r="F6" s="3">
        <v>352.43133999999998</v>
      </c>
      <c r="G6" s="3">
        <v>7.5219999999999995E-2</v>
      </c>
      <c r="H6" s="5">
        <v>79.924809999999994</v>
      </c>
      <c r="I6" s="5">
        <v>1.68967</v>
      </c>
      <c r="J6" s="3">
        <f t="shared" si="0"/>
        <v>3.8874873839911146</v>
      </c>
      <c r="K6" s="3">
        <v>3.9028399999999999</v>
      </c>
      <c r="L6" s="3">
        <v>2.32E-3</v>
      </c>
      <c r="M6" s="3">
        <v>59.44849</v>
      </c>
      <c r="N6" s="3">
        <v>0.10612000000000001</v>
      </c>
      <c r="O6" s="5">
        <v>10.730309999999999</v>
      </c>
      <c r="P6" s="5">
        <v>1.7885500000000001</v>
      </c>
      <c r="Q6" s="3">
        <f t="shared" si="1"/>
        <v>3.9028399999999999</v>
      </c>
      <c r="R6" s="3">
        <v>5.5043699999999998</v>
      </c>
      <c r="S6" s="3">
        <v>4.15E-3</v>
      </c>
      <c r="T6" s="3">
        <v>5.5090399999999997</v>
      </c>
      <c r="U6" s="3">
        <v>2.2899999999999999E-3</v>
      </c>
      <c r="V6" s="3">
        <v>7.7783199999999999</v>
      </c>
      <c r="W6" s="3">
        <v>5.7200000000000003E-3</v>
      </c>
      <c r="X6" s="3">
        <v>235.86806999999999</v>
      </c>
      <c r="Y6" s="3">
        <v>0.26713999999999999</v>
      </c>
      <c r="Z6" s="5">
        <v>9.3448799999999999</v>
      </c>
      <c r="AA6" s="5">
        <v>0.52636000000000005</v>
      </c>
      <c r="AB6" s="3">
        <f t="shared" si="2"/>
        <v>3.8922708526633798</v>
      </c>
      <c r="AC6" s="5">
        <f t="shared" si="3"/>
        <v>100</v>
      </c>
      <c r="AD6" s="3">
        <f t="shared" si="5"/>
        <v>3.889581776689238</v>
      </c>
      <c r="AE6" s="3">
        <f t="shared" si="4"/>
        <v>3.5859133352401771E-4</v>
      </c>
    </row>
    <row r="7" spans="1:31" ht="15" customHeight="1" x14ac:dyDescent="0.25">
      <c r="A7" s="4">
        <v>300</v>
      </c>
      <c r="B7" s="3">
        <v>5.5036399999999999</v>
      </c>
      <c r="C7" s="3">
        <v>4.8999999999999998E-4</v>
      </c>
      <c r="D7" s="3">
        <v>13.491199999999999</v>
      </c>
      <c r="E7" s="3">
        <v>2.2899999999999999E-3</v>
      </c>
      <c r="F7" s="3">
        <v>353.82440000000003</v>
      </c>
      <c r="G7" s="3">
        <v>8.7550000000000003E-2</v>
      </c>
      <c r="H7" s="5">
        <v>78.246510000000001</v>
      </c>
      <c r="I7" s="5">
        <v>1.73214</v>
      </c>
      <c r="J7" s="3">
        <f t="shared" si="0"/>
        <v>3.8926321020882</v>
      </c>
      <c r="K7" s="3">
        <v>3.9055</v>
      </c>
      <c r="L7" s="3">
        <v>2.0100000000000001E-3</v>
      </c>
      <c r="M7" s="3">
        <v>59.570169999999997</v>
      </c>
      <c r="N7" s="3">
        <v>9.1770000000000004E-2</v>
      </c>
      <c r="O7" s="5">
        <v>11.954319999999999</v>
      </c>
      <c r="P7" s="5">
        <v>1.82586</v>
      </c>
      <c r="Q7" s="3">
        <f t="shared" si="1"/>
        <v>3.9055</v>
      </c>
      <c r="R7" s="3">
        <v>5.5012600000000003</v>
      </c>
      <c r="S7" s="3">
        <v>4.6699999999999997E-3</v>
      </c>
      <c r="T7" s="3">
        <v>5.5124700000000004</v>
      </c>
      <c r="U7" s="3">
        <v>2.6099999999999999E-3</v>
      </c>
      <c r="V7" s="3">
        <v>7.8330500000000001</v>
      </c>
      <c r="W7" s="3">
        <v>6.1799999999999997E-3</v>
      </c>
      <c r="X7" s="3">
        <v>237.54141999999999</v>
      </c>
      <c r="Y7" s="3">
        <v>0.29751</v>
      </c>
      <c r="Z7" s="5">
        <v>9.7991600000000005</v>
      </c>
      <c r="AA7" s="5">
        <v>0.60568999999999995</v>
      </c>
      <c r="AB7" s="3">
        <f t="shared" si="2"/>
        <v>3.9014536549092904</v>
      </c>
      <c r="AC7" s="5">
        <f t="shared" si="3"/>
        <v>99.999989999999997</v>
      </c>
      <c r="AD7" s="3">
        <f t="shared" si="5"/>
        <v>3.8950348100975445</v>
      </c>
      <c r="AE7" s="3">
        <f t="shared" si="4"/>
        <v>3.8158367572484593E-4</v>
      </c>
    </row>
    <row r="8" spans="1:31" ht="15" customHeight="1" x14ac:dyDescent="0.25">
      <c r="A8" s="4">
        <v>400</v>
      </c>
      <c r="B8" s="3">
        <v>5.51227</v>
      </c>
      <c r="C8" s="3">
        <v>5.2999999999999998E-4</v>
      </c>
      <c r="D8" s="3">
        <v>13.511609999999999</v>
      </c>
      <c r="E8" s="3">
        <v>2.5100000000000001E-3</v>
      </c>
      <c r="F8" s="3">
        <v>355.48034000000001</v>
      </c>
      <c r="G8" s="3">
        <v>9.5350000000000004E-2</v>
      </c>
      <c r="H8" s="5">
        <v>77.567070000000001</v>
      </c>
      <c r="I8" s="5">
        <v>1.6677500000000001</v>
      </c>
      <c r="J8" s="3">
        <f t="shared" si="0"/>
        <v>3.8986642762683199</v>
      </c>
      <c r="K8" s="3">
        <v>3.9104299999999999</v>
      </c>
      <c r="L8" s="3">
        <v>1.5499999999999999E-3</v>
      </c>
      <c r="M8" s="3">
        <v>59.796419999999998</v>
      </c>
      <c r="N8" s="3">
        <v>7.1150000000000005E-2</v>
      </c>
      <c r="O8" s="5">
        <v>12.313940000000001</v>
      </c>
      <c r="P8" s="5">
        <v>1.7528699999999999</v>
      </c>
      <c r="Q8" s="3">
        <f t="shared" si="1"/>
        <v>3.9104299999999999</v>
      </c>
      <c r="R8" s="3">
        <v>5.5009699999999997</v>
      </c>
      <c r="S8" s="3">
        <v>4.8500000000000001E-3</v>
      </c>
      <c r="T8" s="3">
        <v>5.5162199999999997</v>
      </c>
      <c r="U8" s="3">
        <v>2.8300000000000001E-3</v>
      </c>
      <c r="V8" s="3">
        <v>7.8770600000000002</v>
      </c>
      <c r="W8" s="3">
        <v>5.5799999999999999E-3</v>
      </c>
      <c r="X8" s="3">
        <v>239.02573000000001</v>
      </c>
      <c r="Y8" s="3">
        <v>0.29683999999999999</v>
      </c>
      <c r="Z8" s="5">
        <v>10.11899</v>
      </c>
      <c r="AA8" s="5">
        <v>0.66493000000000002</v>
      </c>
      <c r="AB8" s="3">
        <f t="shared" si="2"/>
        <v>3.9095630427250616</v>
      </c>
      <c r="AC8" s="5">
        <f t="shared" si="3"/>
        <v>100</v>
      </c>
      <c r="AD8" s="3">
        <f t="shared" si="5"/>
        <v>3.9012159455170861</v>
      </c>
      <c r="AE8" s="3">
        <f t="shared" si="4"/>
        <v>3.68651440961635E-4</v>
      </c>
    </row>
    <row r="9" spans="1:31" ht="15" customHeight="1" x14ac:dyDescent="0.25">
      <c r="A9" s="4">
        <v>500</v>
      </c>
      <c r="B9" s="3">
        <v>5.5213900000000002</v>
      </c>
      <c r="C9" s="3">
        <v>4.8999999999999998E-4</v>
      </c>
      <c r="D9" s="3">
        <v>13.535920000000001</v>
      </c>
      <c r="E9" s="3">
        <v>2.3400000000000001E-3</v>
      </c>
      <c r="F9" s="3">
        <v>357.30966000000001</v>
      </c>
      <c r="G9" s="3">
        <v>8.9569999999999997E-2</v>
      </c>
      <c r="H9" s="5">
        <v>77.80471</v>
      </c>
      <c r="I9" s="5">
        <v>1.7293799999999999</v>
      </c>
      <c r="J9" s="3">
        <f t="shared" si="0"/>
        <v>3.9053027163386012</v>
      </c>
      <c r="K9" s="3">
        <v>3.91737</v>
      </c>
      <c r="L9" s="3">
        <v>1.5200000000000001E-3</v>
      </c>
      <c r="M9" s="3">
        <v>60.114919999999998</v>
      </c>
      <c r="N9" s="3">
        <v>7.0129999999999998E-2</v>
      </c>
      <c r="O9" s="5">
        <v>12.37297</v>
      </c>
      <c r="P9" s="5">
        <v>1.7942100000000001</v>
      </c>
      <c r="Q9" s="3">
        <f t="shared" si="1"/>
        <v>3.91737</v>
      </c>
      <c r="R9" s="3">
        <v>5.5036699999999996</v>
      </c>
      <c r="S9" s="3">
        <v>5.2300000000000003E-3</v>
      </c>
      <c r="T9" s="3">
        <v>5.5215300000000003</v>
      </c>
      <c r="U9" s="3">
        <v>3.2699999999999999E-3</v>
      </c>
      <c r="V9" s="3">
        <v>7.9146000000000001</v>
      </c>
      <c r="W9" s="3">
        <v>5.3299999999999997E-3</v>
      </c>
      <c r="X9" s="3">
        <v>240.51427000000001</v>
      </c>
      <c r="Y9" s="3">
        <v>0.31411</v>
      </c>
      <c r="Z9" s="5">
        <v>9.8223199999999995</v>
      </c>
      <c r="AA9" s="5">
        <v>0.74043999999999999</v>
      </c>
      <c r="AB9" s="3">
        <f t="shared" si="2"/>
        <v>3.9176618948695672</v>
      </c>
      <c r="AC9" s="5">
        <f t="shared" si="3"/>
        <v>100</v>
      </c>
      <c r="AD9" s="3">
        <f t="shared" si="5"/>
        <v>3.9080097557905238</v>
      </c>
      <c r="AE9" s="3">
        <f t="shared" si="4"/>
        <v>3.555600799256491E-4</v>
      </c>
    </row>
    <row r="10" spans="1:31" ht="15" customHeight="1" x14ac:dyDescent="0.25">
      <c r="A10" s="4">
        <v>600</v>
      </c>
      <c r="B10" s="3">
        <v>5.5315599999999998</v>
      </c>
      <c r="C10" s="3">
        <v>4.6999999999999999E-4</v>
      </c>
      <c r="D10" s="3">
        <v>13.561170000000001</v>
      </c>
      <c r="E10" s="3">
        <v>2.2200000000000002E-3</v>
      </c>
      <c r="F10" s="3">
        <v>359.30549999999999</v>
      </c>
      <c r="G10" s="3">
        <v>8.5639999999999994E-2</v>
      </c>
      <c r="H10" s="5">
        <v>76.421059999999997</v>
      </c>
      <c r="I10" s="5">
        <v>1.7851300000000001</v>
      </c>
      <c r="J10" s="3">
        <f t="shared" si="0"/>
        <v>3.9125265826978857</v>
      </c>
      <c r="K10" s="3">
        <v>3.9241799999999998</v>
      </c>
      <c r="L10" s="3">
        <v>1.32E-3</v>
      </c>
      <c r="M10" s="3">
        <v>60.429049999999997</v>
      </c>
      <c r="N10" s="3">
        <v>6.08E-2</v>
      </c>
      <c r="O10" s="5">
        <v>12.97566</v>
      </c>
      <c r="P10" s="5">
        <v>1.84535</v>
      </c>
      <c r="Q10" s="3">
        <f t="shared" si="1"/>
        <v>3.9241799999999998</v>
      </c>
      <c r="R10" s="3">
        <v>5.5149299999999997</v>
      </c>
      <c r="S10" s="3">
        <v>5.2300000000000003E-3</v>
      </c>
      <c r="T10" s="3">
        <v>5.5293799999999997</v>
      </c>
      <c r="U10" s="3">
        <v>3.3800000000000002E-3</v>
      </c>
      <c r="V10" s="3">
        <v>7.93527</v>
      </c>
      <c r="W10" s="3">
        <v>4.9899999999999996E-3</v>
      </c>
      <c r="X10" s="3">
        <v>241.97931</v>
      </c>
      <c r="Y10" s="3">
        <v>0.31251000000000001</v>
      </c>
      <c r="Z10" s="5">
        <v>10.60328</v>
      </c>
      <c r="AA10" s="5">
        <v>0.82420000000000004</v>
      </c>
      <c r="AB10" s="3">
        <f t="shared" si="2"/>
        <v>3.9256003246908087</v>
      </c>
      <c r="AC10" s="5">
        <f t="shared" si="3"/>
        <v>100</v>
      </c>
      <c r="AD10" s="3">
        <f t="shared" si="5"/>
        <v>3.9154249359753761</v>
      </c>
      <c r="AE10" s="3">
        <f t="shared" si="4"/>
        <v>3.4170816964834662E-4</v>
      </c>
    </row>
    <row r="11" spans="1:31" ht="15" customHeight="1" x14ac:dyDescent="0.25">
      <c r="A11" s="4">
        <v>700</v>
      </c>
      <c r="B11" s="3">
        <v>5.5421300000000002</v>
      </c>
      <c r="C11" s="3">
        <v>4.2999999999999999E-4</v>
      </c>
      <c r="D11" s="3">
        <v>13.590870000000001</v>
      </c>
      <c r="E11" s="3">
        <v>2.0300000000000001E-3</v>
      </c>
      <c r="F11" s="3">
        <v>361.43428</v>
      </c>
      <c r="G11" s="3">
        <v>7.9009999999999997E-2</v>
      </c>
      <c r="H11" s="5">
        <v>76.461789999999993</v>
      </c>
      <c r="I11" s="5">
        <v>1.8535299999999999</v>
      </c>
      <c r="J11" s="3">
        <f t="shared" si="0"/>
        <v>3.9203672123151354</v>
      </c>
      <c r="K11" s="3">
        <v>3.9314300000000002</v>
      </c>
      <c r="L11" s="3">
        <v>1.25E-3</v>
      </c>
      <c r="M11" s="3">
        <v>60.764620000000001</v>
      </c>
      <c r="N11" s="3">
        <v>5.7860000000000002E-2</v>
      </c>
      <c r="O11" s="5">
        <v>13.197889999999999</v>
      </c>
      <c r="P11" s="5">
        <v>1.9229499999999999</v>
      </c>
      <c r="Q11" s="3">
        <f t="shared" si="1"/>
        <v>3.9314300000000002</v>
      </c>
      <c r="R11" s="3">
        <v>5.5303000000000004</v>
      </c>
      <c r="S11" s="3">
        <v>6.13E-3</v>
      </c>
      <c r="T11" s="3">
        <v>5.5300500000000001</v>
      </c>
      <c r="U11" s="3">
        <v>4.0299999999999997E-3</v>
      </c>
      <c r="V11" s="3">
        <v>7.9570499999999997</v>
      </c>
      <c r="W11" s="3">
        <v>5.8700000000000002E-3</v>
      </c>
      <c r="X11" s="3">
        <v>243.34926999999999</v>
      </c>
      <c r="Y11" s="3">
        <v>0.36951000000000001</v>
      </c>
      <c r="Z11" s="5">
        <v>10.34032</v>
      </c>
      <c r="AA11" s="5">
        <v>0.83460999999999996</v>
      </c>
      <c r="AB11" s="3">
        <f t="shared" si="2"/>
        <v>3.9329946183637858</v>
      </c>
      <c r="AC11" s="5">
        <f t="shared" si="3"/>
        <v>100</v>
      </c>
      <c r="AD11" s="3">
        <f t="shared" si="5"/>
        <v>3.9231329810578472</v>
      </c>
      <c r="AE11" s="3">
        <f t="shared" si="4"/>
        <v>3.4046576403097659E-4</v>
      </c>
    </row>
    <row r="12" spans="1:31" ht="15" customHeight="1" x14ac:dyDescent="0.25">
      <c r="A12" s="4">
        <v>800</v>
      </c>
      <c r="B12" s="3">
        <v>5.5531899999999998</v>
      </c>
      <c r="C12" s="3">
        <v>3.8000000000000002E-4</v>
      </c>
      <c r="D12" s="3">
        <v>13.620609999999999</v>
      </c>
      <c r="E12" s="3">
        <v>1.7799999999999999E-3</v>
      </c>
      <c r="F12" s="3">
        <v>363.69204999999999</v>
      </c>
      <c r="G12" s="3">
        <v>7.0430000000000006E-2</v>
      </c>
      <c r="H12" s="5">
        <v>77.062119999999993</v>
      </c>
      <c r="I12" s="5">
        <v>1.9629399999999999</v>
      </c>
      <c r="J12" s="3">
        <f t="shared" si="0"/>
        <v>3.928442679149367</v>
      </c>
      <c r="K12" s="3">
        <v>3.9396200000000001</v>
      </c>
      <c r="L12" s="3">
        <v>1.23E-3</v>
      </c>
      <c r="M12" s="3">
        <v>61.145470000000003</v>
      </c>
      <c r="N12" s="3">
        <v>5.713E-2</v>
      </c>
      <c r="O12" s="5">
        <v>13.185790000000001</v>
      </c>
      <c r="P12" s="5">
        <v>2.0155699999999999</v>
      </c>
      <c r="Q12" s="3">
        <f t="shared" si="1"/>
        <v>3.9396200000000001</v>
      </c>
      <c r="R12" s="3">
        <v>5.5441399999999996</v>
      </c>
      <c r="S12" s="3">
        <v>6.94E-3</v>
      </c>
      <c r="T12" s="3">
        <v>5.53531</v>
      </c>
      <c r="U12" s="3">
        <v>4.6499999999999996E-3</v>
      </c>
      <c r="V12" s="3">
        <v>7.98245</v>
      </c>
      <c r="W12" s="3">
        <v>6.4200000000000004E-3</v>
      </c>
      <c r="X12" s="3">
        <v>244.96932000000001</v>
      </c>
      <c r="Y12" s="3">
        <v>0.41850999999999999</v>
      </c>
      <c r="Z12" s="5">
        <v>9.7520900000000008</v>
      </c>
      <c r="AA12" s="5">
        <v>0.89517999999999998</v>
      </c>
      <c r="AB12" s="3">
        <f t="shared" si="2"/>
        <v>3.9417030352317735</v>
      </c>
      <c r="AC12" s="5">
        <f t="shared" si="3"/>
        <v>99.999999999999986</v>
      </c>
      <c r="AD12" s="3">
        <f t="shared" si="5"/>
        <v>3.931209659063835</v>
      </c>
      <c r="AE12" s="3">
        <f t="shared" si="4"/>
        <v>3.3271819764947889E-4</v>
      </c>
    </row>
    <row r="14" spans="1:31" x14ac:dyDescent="0.25">
      <c r="AD14" s="9" t="s">
        <v>68</v>
      </c>
    </row>
    <row r="15" spans="1:31" ht="15" customHeight="1" x14ac:dyDescent="0.25">
      <c r="A15" s="7" t="s">
        <v>69</v>
      </c>
      <c r="AD15">
        <f>(1000000/700)*(AD12-AD5)/AD5</f>
        <v>16.70468925622621</v>
      </c>
    </row>
    <row r="16" spans="1:31" ht="15" customHeight="1" x14ac:dyDescent="0.25">
      <c r="A16" s="13" t="s">
        <v>3</v>
      </c>
      <c r="B16" s="11">
        <f>MIN(A4:A12)</f>
        <v>24</v>
      </c>
    </row>
    <row r="17" spans="1:16" ht="15" customHeight="1" x14ac:dyDescent="0.25">
      <c r="A17" s="13" t="s">
        <v>4</v>
      </c>
      <c r="B17" s="11">
        <f>MAX(A4:A12)</f>
        <v>800</v>
      </c>
    </row>
    <row r="18" spans="1:16" ht="15" customHeight="1" x14ac:dyDescent="0.25">
      <c r="A18" s="13" t="s">
        <v>70</v>
      </c>
      <c r="B18" s="11">
        <f>INDEX(AD4:AD12,MATCH(MIN(A4:A12),A4:A12,0))</f>
        <v>3.8830373128156457</v>
      </c>
    </row>
    <row r="19" spans="1:16" ht="15" customHeight="1" x14ac:dyDescent="0.25">
      <c r="A19" s="13" t="s">
        <v>71</v>
      </c>
      <c r="B19" s="11">
        <f>INDEX(AD4:AD12,MATCH(MAX(A4:A12),A4:A12,0))</f>
        <v>3.931209659063835</v>
      </c>
    </row>
    <row r="20" spans="1:16" ht="15" customHeight="1" x14ac:dyDescent="0.25">
      <c r="A20" s="13" t="s">
        <v>72</v>
      </c>
      <c r="B20" s="11">
        <f>SLOPE(AD4:AD12,A4:A12)</f>
        <v>6.2702533196616305E-5</v>
      </c>
    </row>
    <row r="21" spans="1:16" ht="15" customHeight="1" x14ac:dyDescent="0.25">
      <c r="A21" s="13" t="s">
        <v>73</v>
      </c>
      <c r="B21" s="14">
        <f>RSQ(AD4:AD12,A4:A12)</f>
        <v>0.98541582889427359</v>
      </c>
    </row>
    <row r="22" spans="1:16" ht="15" customHeight="1" x14ac:dyDescent="0.25">
      <c r="A22" s="13" t="s">
        <v>74</v>
      </c>
      <c r="B22" s="15">
        <f>B20/B18</f>
        <v>1.6147805994465142E-5</v>
      </c>
    </row>
    <row r="23" spans="1:16" ht="15" customHeight="1" x14ac:dyDescent="0.25">
      <c r="A23" s="13" t="s">
        <v>75</v>
      </c>
      <c r="B23" s="10">
        <f>B22*1000000</f>
        <v>16.147805994465141</v>
      </c>
    </row>
    <row r="24" spans="1:16" ht="15" customHeight="1" x14ac:dyDescent="0.25">
      <c r="A24" s="13" t="s">
        <v>76</v>
      </c>
      <c r="B24" s="15">
        <f>(B19-B18)/(B18*(B17-B16))</f>
        <v>1.5986909417240616E-5</v>
      </c>
    </row>
    <row r="25" spans="1:16" ht="15" customHeight="1" x14ac:dyDescent="0.25">
      <c r="A25" s="13" t="s">
        <v>77</v>
      </c>
      <c r="B25" s="10">
        <f>B24*1000000</f>
        <v>15.986909417240616</v>
      </c>
    </row>
    <row r="27" spans="1:16" ht="60" customHeight="1" x14ac:dyDescent="0.25">
      <c r="A27" s="12" t="s">
        <v>78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</row>
  </sheetData>
  <mergeCells count="2">
    <mergeCell ref="A1:X1"/>
    <mergeCell ref="A27:P2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83CB8-2D4E-40B2-AAFB-5F30C2A96EED}">
  <dimension ref="A1:T27"/>
  <sheetViews>
    <sheetView workbookViewId="0">
      <selection sqref="A1:XFD1048576"/>
    </sheetView>
  </sheetViews>
  <sheetFormatPr defaultColWidth="8.7109375" defaultRowHeight="15" x14ac:dyDescent="0.25"/>
  <cols>
    <col min="1" max="1" width="9" customWidth="1"/>
    <col min="2" max="20" width="11" customWidth="1"/>
  </cols>
  <sheetData>
    <row r="1" spans="1:20" ht="15.75" x14ac:dyDescent="0.25">
      <c r="A1" s="6" t="s">
        <v>83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pans="1:20" ht="15" customHeight="1" x14ac:dyDescent="0.25">
      <c r="B2" s="7" t="s">
        <v>53</v>
      </c>
      <c r="K2" s="7" t="s">
        <v>54</v>
      </c>
    </row>
    <row r="3" spans="1:20" ht="60" x14ac:dyDescent="0.25">
      <c r="A3" s="1" t="s">
        <v>27</v>
      </c>
      <c r="B3" s="1" t="s">
        <v>28</v>
      </c>
      <c r="C3" s="1" t="s">
        <v>29</v>
      </c>
      <c r="D3" s="1" t="s">
        <v>30</v>
      </c>
      <c r="E3" s="1" t="s">
        <v>29</v>
      </c>
      <c r="F3" s="1" t="s">
        <v>56</v>
      </c>
      <c r="G3" s="1" t="s">
        <v>29</v>
      </c>
      <c r="H3" s="1" t="s">
        <v>32</v>
      </c>
      <c r="I3" s="1" t="s">
        <v>29</v>
      </c>
      <c r="J3" s="1" t="s">
        <v>31</v>
      </c>
      <c r="K3" s="1" t="s">
        <v>33</v>
      </c>
      <c r="L3" s="1" t="s">
        <v>29</v>
      </c>
      <c r="M3" s="1" t="s">
        <v>57</v>
      </c>
      <c r="N3" s="1" t="s">
        <v>29</v>
      </c>
      <c r="O3" s="1" t="s">
        <v>34</v>
      </c>
      <c r="P3" s="1" t="s">
        <v>29</v>
      </c>
      <c r="Q3" s="1" t="s">
        <v>58</v>
      </c>
      <c r="R3" s="1" t="s">
        <v>65</v>
      </c>
      <c r="S3" s="1" t="s">
        <v>66</v>
      </c>
      <c r="T3" s="1" t="s">
        <v>67</v>
      </c>
    </row>
    <row r="4" spans="1:20" ht="15" customHeight="1" x14ac:dyDescent="0.25">
      <c r="A4" s="4">
        <v>24</v>
      </c>
      <c r="B4" s="3">
        <v>5.4676999999999998</v>
      </c>
      <c r="C4" s="3">
        <v>1.67E-3</v>
      </c>
      <c r="D4" s="3">
        <v>13.40063</v>
      </c>
      <c r="E4" s="3">
        <v>7.9399999999999991E-3</v>
      </c>
      <c r="F4" s="3">
        <v>346.92988000000003</v>
      </c>
      <c r="G4" s="3">
        <v>0.29620999999999997</v>
      </c>
      <c r="H4" s="5">
        <v>58.766240000000003</v>
      </c>
      <c r="I4" s="5">
        <v>3.3360099999999999</v>
      </c>
      <c r="J4" s="3">
        <f t="shared" ref="J4:J12" si="0">(2*(B4/SQRT(2))+(D4/(2*SQRT(3))))/3</f>
        <v>3.8669747212975527</v>
      </c>
      <c r="K4" s="3">
        <v>3.8713000000000002</v>
      </c>
      <c r="L4" s="3">
        <v>4.2000000000000002E-4</v>
      </c>
      <c r="M4" s="3">
        <v>58.018979999999999</v>
      </c>
      <c r="N4" s="3">
        <v>1.8890000000000001E-2</v>
      </c>
      <c r="O4" s="5">
        <v>41.233759999999997</v>
      </c>
      <c r="P4" s="5">
        <v>3.3360099999999999</v>
      </c>
      <c r="Q4" s="3">
        <f t="shared" ref="Q4:Q12" si="1">K4</f>
        <v>3.8713000000000002</v>
      </c>
      <c r="R4" s="5">
        <f t="shared" ref="R4:R12" si="2">H4+O4</f>
        <v>100</v>
      </c>
      <c r="S4" s="3">
        <f t="shared" ref="S4:S12" si="3">(J4*H4+Q4*O4)/R4</f>
        <v>3.8687581963370508</v>
      </c>
      <c r="T4" s="3">
        <f t="shared" ref="T4:T12" si="4">SQRT(((H4/R4)*C4/SQRT(2)*2/3)^2+((H4/R4)*E4/(2*SQRT(3))*1/3)^2+((O4/R4)*L4)^2)</f>
        <v>6.6754371050854158E-4</v>
      </c>
    </row>
    <row r="5" spans="1:20" ht="15" customHeight="1" x14ac:dyDescent="0.25">
      <c r="A5" s="4">
        <v>100</v>
      </c>
      <c r="B5" s="3">
        <v>5.4726800000000004</v>
      </c>
      <c r="C5" s="3">
        <v>1.64E-3</v>
      </c>
      <c r="D5" s="3">
        <v>13.41226</v>
      </c>
      <c r="E5" s="3">
        <v>7.77E-3</v>
      </c>
      <c r="F5" s="3">
        <v>347.84109999999998</v>
      </c>
      <c r="G5" s="3">
        <v>0.29115999999999997</v>
      </c>
      <c r="H5" s="5">
        <v>57.521590000000003</v>
      </c>
      <c r="I5" s="5">
        <v>3.1104799999999999</v>
      </c>
      <c r="J5" s="3">
        <f t="shared" si="0"/>
        <v>3.8704414130828719</v>
      </c>
      <c r="K5" s="3">
        <v>3.8741699999999999</v>
      </c>
      <c r="L5" s="3">
        <v>3.5E-4</v>
      </c>
      <c r="M5" s="3">
        <v>58.148130000000002</v>
      </c>
      <c r="N5" s="3">
        <v>1.5859999999999999E-2</v>
      </c>
      <c r="O5" s="5">
        <v>42.478409999999997</v>
      </c>
      <c r="P5" s="5">
        <v>3.1104799999999999</v>
      </c>
      <c r="Q5" s="3">
        <f t="shared" si="1"/>
        <v>3.8741699999999999</v>
      </c>
      <c r="R5" s="5">
        <f t="shared" si="2"/>
        <v>100</v>
      </c>
      <c r="S5" s="3">
        <f t="shared" si="3"/>
        <v>3.8720252575207361</v>
      </c>
      <c r="T5" s="3">
        <f t="shared" si="4"/>
        <v>6.3625808537614572E-4</v>
      </c>
    </row>
    <row r="6" spans="1:20" ht="15" customHeight="1" x14ac:dyDescent="0.25">
      <c r="A6" s="4">
        <v>200</v>
      </c>
      <c r="B6" s="3">
        <v>5.4796800000000001</v>
      </c>
      <c r="C6" s="3">
        <v>1.48E-3</v>
      </c>
      <c r="D6" s="3">
        <v>13.43113</v>
      </c>
      <c r="E6" s="3">
        <v>6.9899999999999997E-3</v>
      </c>
      <c r="F6" s="3">
        <v>349.21721000000002</v>
      </c>
      <c r="G6" s="3">
        <v>0.26317000000000002</v>
      </c>
      <c r="H6" s="5">
        <v>56.848309999999998</v>
      </c>
      <c r="I6" s="5">
        <v>2.9234399999999998</v>
      </c>
      <c r="J6" s="3">
        <f t="shared" si="0"/>
        <v>3.8755570113250104</v>
      </c>
      <c r="K6" s="3">
        <v>3.8792499999999999</v>
      </c>
      <c r="L6" s="3">
        <v>3.5E-4</v>
      </c>
      <c r="M6" s="3">
        <v>58.377200000000002</v>
      </c>
      <c r="N6" s="3">
        <v>1.562E-2</v>
      </c>
      <c r="O6" s="5">
        <v>43.151690000000002</v>
      </c>
      <c r="P6" s="5">
        <v>2.9234399999999998</v>
      </c>
      <c r="Q6" s="3">
        <f t="shared" si="1"/>
        <v>3.8792499999999999</v>
      </c>
      <c r="R6" s="5">
        <f t="shared" si="2"/>
        <v>100</v>
      </c>
      <c r="S6" s="3">
        <f t="shared" si="3"/>
        <v>3.8771505983497772</v>
      </c>
      <c r="T6" s="3">
        <f t="shared" si="4"/>
        <v>5.7124669067474491E-4</v>
      </c>
    </row>
    <row r="7" spans="1:20" ht="15" customHeight="1" x14ac:dyDescent="0.25">
      <c r="A7" s="4">
        <v>300</v>
      </c>
      <c r="B7" s="3">
        <v>5.4871800000000004</v>
      </c>
      <c r="C7" s="3">
        <v>1.33E-3</v>
      </c>
      <c r="D7" s="3">
        <v>13.45171</v>
      </c>
      <c r="E7" s="3">
        <v>6.2700000000000004E-3</v>
      </c>
      <c r="F7" s="3">
        <v>350.74612000000002</v>
      </c>
      <c r="G7" s="3">
        <v>0.23705999999999999</v>
      </c>
      <c r="H7" s="5">
        <v>56.002659999999999</v>
      </c>
      <c r="I7" s="5">
        <v>2.8437999999999999</v>
      </c>
      <c r="J7" s="3">
        <f t="shared" si="0"/>
        <v>3.8810728566542636</v>
      </c>
      <c r="K7" s="3">
        <v>3.8845700000000001</v>
      </c>
      <c r="L7" s="3">
        <v>3.1E-4</v>
      </c>
      <c r="M7" s="3">
        <v>58.617730000000002</v>
      </c>
      <c r="N7" s="3">
        <v>1.4250000000000001E-2</v>
      </c>
      <c r="O7" s="5">
        <v>43.997340000000001</v>
      </c>
      <c r="P7" s="5">
        <v>2.8437999999999999</v>
      </c>
      <c r="Q7" s="3">
        <f t="shared" si="1"/>
        <v>3.8845700000000001</v>
      </c>
      <c r="R7" s="5">
        <f t="shared" si="2"/>
        <v>100</v>
      </c>
      <c r="S7" s="3">
        <f t="shared" si="3"/>
        <v>3.882611506702375</v>
      </c>
      <c r="T7" s="3">
        <f t="shared" si="4"/>
        <v>5.0601477787137956E-4</v>
      </c>
    </row>
    <row r="8" spans="1:20" ht="15" customHeight="1" x14ac:dyDescent="0.25">
      <c r="A8" s="4">
        <v>400</v>
      </c>
      <c r="B8" s="3">
        <v>5.4972000000000003</v>
      </c>
      <c r="C8" s="3">
        <v>1.34E-3</v>
      </c>
      <c r="D8" s="3">
        <v>13.47551</v>
      </c>
      <c r="E8" s="3">
        <v>6.3099999999999996E-3</v>
      </c>
      <c r="F8" s="3">
        <v>352.60253</v>
      </c>
      <c r="G8" s="3">
        <v>0.2399</v>
      </c>
      <c r="H8" s="5">
        <v>55.357599999999998</v>
      </c>
      <c r="I8" s="5">
        <v>2.8906299999999998</v>
      </c>
      <c r="J8" s="3">
        <f t="shared" si="0"/>
        <v>3.888086486020375</v>
      </c>
      <c r="K8" s="3">
        <v>3.8909500000000001</v>
      </c>
      <c r="L8" s="3">
        <v>2.7999999999999998E-4</v>
      </c>
      <c r="M8" s="3">
        <v>58.906869999999998</v>
      </c>
      <c r="N8" s="3">
        <v>1.291E-2</v>
      </c>
      <c r="O8" s="5">
        <v>44.642400000000002</v>
      </c>
      <c r="P8" s="5">
        <v>2.8906299999999998</v>
      </c>
      <c r="Q8" s="3">
        <f t="shared" si="1"/>
        <v>3.8909500000000001</v>
      </c>
      <c r="R8" s="5">
        <f t="shared" si="2"/>
        <v>100</v>
      </c>
      <c r="S8" s="3">
        <f t="shared" si="3"/>
        <v>3.8893648273852155</v>
      </c>
      <c r="T8" s="3">
        <f t="shared" si="4"/>
        <v>5.0087967685269951E-4</v>
      </c>
    </row>
    <row r="9" spans="1:20" ht="15" customHeight="1" x14ac:dyDescent="0.25">
      <c r="A9" s="4">
        <v>500</v>
      </c>
      <c r="B9" s="3">
        <v>5.5077400000000001</v>
      </c>
      <c r="C9" s="3">
        <v>1.31E-3</v>
      </c>
      <c r="D9" s="3">
        <v>13.50183</v>
      </c>
      <c r="E9" s="3">
        <v>6.1500000000000001E-3</v>
      </c>
      <c r="F9" s="3">
        <v>354.66505999999998</v>
      </c>
      <c r="G9" s="3">
        <v>0.23485</v>
      </c>
      <c r="H9" s="5">
        <v>53.808140000000002</v>
      </c>
      <c r="I9" s="5">
        <v>2.7669800000000002</v>
      </c>
      <c r="J9" s="3">
        <f t="shared" si="0"/>
        <v>3.8955877328503576</v>
      </c>
      <c r="K9" s="3">
        <v>3.8982800000000002</v>
      </c>
      <c r="L9" s="3">
        <v>2.7E-4</v>
      </c>
      <c r="M9" s="3">
        <v>59.240580000000001</v>
      </c>
      <c r="N9" s="3">
        <v>1.226E-2</v>
      </c>
      <c r="O9" s="5">
        <v>46.191859999999998</v>
      </c>
      <c r="P9" s="5">
        <v>2.7669800000000002</v>
      </c>
      <c r="Q9" s="3">
        <f t="shared" si="1"/>
        <v>3.8982800000000002</v>
      </c>
      <c r="R9" s="5">
        <f t="shared" si="2"/>
        <v>100</v>
      </c>
      <c r="S9" s="3">
        <f t="shared" si="3"/>
        <v>3.896831341122946</v>
      </c>
      <c r="T9" s="3">
        <f t="shared" si="4"/>
        <v>4.7682852595231642E-4</v>
      </c>
    </row>
    <row r="10" spans="1:20" ht="15" customHeight="1" x14ac:dyDescent="0.25">
      <c r="A10" s="4">
        <v>600</v>
      </c>
      <c r="B10" s="3">
        <v>5.5192800000000002</v>
      </c>
      <c r="C10" s="3">
        <v>1.2899999999999999E-3</v>
      </c>
      <c r="D10" s="3">
        <v>13.53064</v>
      </c>
      <c r="E10" s="3">
        <v>6.0400000000000002E-3</v>
      </c>
      <c r="F10" s="3">
        <v>356.88242000000002</v>
      </c>
      <c r="G10" s="3">
        <v>0.23230000000000001</v>
      </c>
      <c r="H10" s="5">
        <v>51.077669999999998</v>
      </c>
      <c r="I10" s="5">
        <v>2.7398400000000001</v>
      </c>
      <c r="J10" s="3">
        <f t="shared" si="0"/>
        <v>3.9037999845628448</v>
      </c>
      <c r="K10" s="3">
        <v>3.9063500000000002</v>
      </c>
      <c r="L10" s="3">
        <v>2.5000000000000001E-4</v>
      </c>
      <c r="M10" s="3">
        <v>59.609229999999997</v>
      </c>
      <c r="N10" s="3">
        <v>1.1480000000000001E-2</v>
      </c>
      <c r="O10" s="5">
        <v>48.922330000000002</v>
      </c>
      <c r="P10" s="5">
        <v>2.7398400000000001</v>
      </c>
      <c r="Q10" s="3">
        <f t="shared" si="1"/>
        <v>3.9063500000000002</v>
      </c>
      <c r="R10" s="5">
        <f t="shared" si="2"/>
        <v>100</v>
      </c>
      <c r="S10" s="3">
        <f t="shared" si="3"/>
        <v>3.9050475115300611</v>
      </c>
      <c r="T10" s="3">
        <f t="shared" si="4"/>
        <v>4.4672648671935302E-4</v>
      </c>
    </row>
    <row r="11" spans="1:20" ht="15" customHeight="1" x14ac:dyDescent="0.25">
      <c r="A11" s="4">
        <v>700</v>
      </c>
      <c r="B11" s="3">
        <v>5.5306199999999999</v>
      </c>
      <c r="C11" s="3">
        <v>1.0399999999999999E-3</v>
      </c>
      <c r="D11" s="3">
        <v>13.564769999999999</v>
      </c>
      <c r="E11" s="3">
        <v>4.81E-3</v>
      </c>
      <c r="F11" s="3">
        <v>359.27449999999999</v>
      </c>
      <c r="G11" s="3">
        <v>0.18695000000000001</v>
      </c>
      <c r="H11" s="5">
        <v>48.895690000000002</v>
      </c>
      <c r="I11" s="5">
        <v>3.0221800000000001</v>
      </c>
      <c r="J11" s="3">
        <f t="shared" si="0"/>
        <v>3.9124298726098554</v>
      </c>
      <c r="K11" s="3">
        <v>3.9151099999999999</v>
      </c>
      <c r="L11" s="3">
        <v>2.5000000000000001E-4</v>
      </c>
      <c r="M11" s="3">
        <v>60.011330000000001</v>
      </c>
      <c r="N11" s="3">
        <v>1.137E-2</v>
      </c>
      <c r="O11" s="5">
        <v>51.104309999999998</v>
      </c>
      <c r="P11" s="5">
        <v>3.0221800000000001</v>
      </c>
      <c r="Q11" s="3">
        <f t="shared" si="1"/>
        <v>3.9151099999999999</v>
      </c>
      <c r="R11" s="5">
        <f t="shared" si="2"/>
        <v>100</v>
      </c>
      <c r="S11" s="3">
        <f t="shared" si="3"/>
        <v>3.9137995332197097</v>
      </c>
      <c r="T11" s="3">
        <f t="shared" si="4"/>
        <v>3.5355758989273752E-4</v>
      </c>
    </row>
    <row r="12" spans="1:20" ht="15" customHeight="1" x14ac:dyDescent="0.25">
      <c r="A12" s="4">
        <v>800</v>
      </c>
      <c r="B12" s="3">
        <v>5.5440800000000001</v>
      </c>
      <c r="C12" s="3">
        <v>1.1000000000000001E-3</v>
      </c>
      <c r="D12" s="3">
        <v>13.59595</v>
      </c>
      <c r="E12" s="3">
        <v>5.0299999999999997E-3</v>
      </c>
      <c r="F12" s="3">
        <v>361.82902000000001</v>
      </c>
      <c r="G12" s="3">
        <v>0.19836000000000001</v>
      </c>
      <c r="H12" s="5">
        <v>44.685589999999998</v>
      </c>
      <c r="I12" s="5">
        <v>2.5447500000000001</v>
      </c>
      <c r="J12" s="3">
        <f t="shared" si="0"/>
        <v>3.9217752743585916</v>
      </c>
      <c r="K12" s="3">
        <v>3.9243399999999999</v>
      </c>
      <c r="L12" s="3">
        <v>2.3000000000000001E-4</v>
      </c>
      <c r="M12" s="3">
        <v>60.43656</v>
      </c>
      <c r="N12" s="3">
        <v>1.073E-2</v>
      </c>
      <c r="O12" s="5">
        <v>55.314410000000002</v>
      </c>
      <c r="P12" s="5">
        <v>2.5447500000000001</v>
      </c>
      <c r="Q12" s="3">
        <f t="shared" si="1"/>
        <v>3.9243399999999999</v>
      </c>
      <c r="R12" s="5">
        <f t="shared" si="2"/>
        <v>100</v>
      </c>
      <c r="S12" s="3">
        <f t="shared" si="3"/>
        <v>3.9231939372152556</v>
      </c>
      <c r="T12" s="3">
        <f t="shared" si="4"/>
        <v>3.4154957566375491E-4</v>
      </c>
    </row>
    <row r="14" spans="1:20" x14ac:dyDescent="0.25">
      <c r="S14" s="9" t="s">
        <v>68</v>
      </c>
    </row>
    <row r="15" spans="1:20" ht="15" customHeight="1" x14ac:dyDescent="0.25">
      <c r="A15" s="7" t="s">
        <v>69</v>
      </c>
      <c r="S15">
        <f>(1000000/700)*(S12-S5)/S5</f>
        <v>18.878521958846502</v>
      </c>
    </row>
    <row r="16" spans="1:20" ht="15" customHeight="1" x14ac:dyDescent="0.25">
      <c r="A16" s="13" t="s">
        <v>3</v>
      </c>
      <c r="B16" s="11">
        <f>MIN(A4:A12)</f>
        <v>24</v>
      </c>
    </row>
    <row r="17" spans="1:16" ht="15" customHeight="1" x14ac:dyDescent="0.25">
      <c r="A17" s="13" t="s">
        <v>4</v>
      </c>
      <c r="B17" s="11">
        <f>MAX(A4:A12)</f>
        <v>800</v>
      </c>
    </row>
    <row r="18" spans="1:16" ht="15" customHeight="1" x14ac:dyDescent="0.25">
      <c r="A18" s="13" t="s">
        <v>70</v>
      </c>
      <c r="B18" s="11">
        <f>INDEX(S4:S12,MATCH(MIN(A4:A12),A4:A12,0))</f>
        <v>3.8687581963370508</v>
      </c>
    </row>
    <row r="19" spans="1:16" ht="15" customHeight="1" x14ac:dyDescent="0.25">
      <c r="A19" s="13" t="s">
        <v>71</v>
      </c>
      <c r="B19" s="11">
        <f>INDEX(S4:S12,MATCH(MAX(A4:A12),A4:A12,0))</f>
        <v>3.9231939372152556</v>
      </c>
    </row>
    <row r="20" spans="1:16" ht="15" customHeight="1" x14ac:dyDescent="0.25">
      <c r="A20" s="13" t="s">
        <v>72</v>
      </c>
      <c r="B20" s="11">
        <f>SLOPE(S4:S12,A4:A12)</f>
        <v>7.009670302033238E-5</v>
      </c>
    </row>
    <row r="21" spans="1:16" ht="15" customHeight="1" x14ac:dyDescent="0.25">
      <c r="A21" s="13" t="s">
        <v>73</v>
      </c>
      <c r="B21" s="14">
        <f>RSQ(S4:S12,A4:A12)</f>
        <v>0.98610320098754034</v>
      </c>
    </row>
    <row r="22" spans="1:16" ht="15" customHeight="1" x14ac:dyDescent="0.25">
      <c r="A22" s="13" t="s">
        <v>74</v>
      </c>
      <c r="B22" s="15">
        <f>B20/B18</f>
        <v>1.8118657063318171E-5</v>
      </c>
    </row>
    <row r="23" spans="1:16" ht="15" customHeight="1" x14ac:dyDescent="0.25">
      <c r="A23" s="13" t="s">
        <v>75</v>
      </c>
      <c r="B23" s="10">
        <f>B22*1000000</f>
        <v>18.118657063318171</v>
      </c>
    </row>
    <row r="24" spans="1:16" ht="15" customHeight="1" x14ac:dyDescent="0.25">
      <c r="A24" s="13" t="s">
        <v>76</v>
      </c>
      <c r="B24" s="15">
        <f>(B19-B18)/(B18*(B17-B16))</f>
        <v>1.8132213763749999E-5</v>
      </c>
    </row>
    <row r="25" spans="1:16" ht="15" customHeight="1" x14ac:dyDescent="0.25">
      <c r="A25" s="13" t="s">
        <v>77</v>
      </c>
      <c r="B25" s="10">
        <f>B24*1000000</f>
        <v>18.132213763749998</v>
      </c>
    </row>
    <row r="27" spans="1:16" ht="60" customHeight="1" x14ac:dyDescent="0.25">
      <c r="A27" s="12" t="s">
        <v>78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</row>
  </sheetData>
  <mergeCells count="2">
    <mergeCell ref="A1:R1"/>
    <mergeCell ref="A27:P2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CF8EA-CD41-4CAB-9638-2E2E36EFAA23}">
  <dimension ref="A1:AE27"/>
  <sheetViews>
    <sheetView workbookViewId="0">
      <selection sqref="A1:XFD1048576"/>
    </sheetView>
  </sheetViews>
  <sheetFormatPr defaultColWidth="8.7109375" defaultRowHeight="15" x14ac:dyDescent="0.25"/>
  <cols>
    <col min="1" max="1" width="48.140625" customWidth="1"/>
    <col min="2" max="2" width="16.28515625" customWidth="1"/>
    <col min="3" max="31" width="11" customWidth="1"/>
  </cols>
  <sheetData>
    <row r="1" spans="1:31" ht="15.75" x14ac:dyDescent="0.25">
      <c r="A1" s="6" t="s">
        <v>80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</row>
    <row r="2" spans="1:31" ht="15" customHeight="1" x14ac:dyDescent="0.25">
      <c r="B2" s="7" t="s">
        <v>53</v>
      </c>
      <c r="K2" s="7" t="s">
        <v>54</v>
      </c>
      <c r="P2" s="7" t="s">
        <v>55</v>
      </c>
    </row>
    <row r="3" spans="1:31" ht="60" x14ac:dyDescent="0.25">
      <c r="A3" s="1" t="s">
        <v>27</v>
      </c>
      <c r="B3" s="1" t="s">
        <v>28</v>
      </c>
      <c r="C3" s="1" t="s">
        <v>29</v>
      </c>
      <c r="D3" s="1" t="s">
        <v>30</v>
      </c>
      <c r="E3" s="1" t="s">
        <v>29</v>
      </c>
      <c r="F3" s="1" t="s">
        <v>56</v>
      </c>
      <c r="G3" s="1" t="s">
        <v>29</v>
      </c>
      <c r="H3" s="1" t="s">
        <v>32</v>
      </c>
      <c r="I3" s="1" t="s">
        <v>29</v>
      </c>
      <c r="J3" s="1" t="s">
        <v>31</v>
      </c>
      <c r="K3" s="1" t="s">
        <v>33</v>
      </c>
      <c r="L3" s="1" t="s">
        <v>29</v>
      </c>
      <c r="M3" s="1" t="s">
        <v>57</v>
      </c>
      <c r="N3" s="1" t="s">
        <v>29</v>
      </c>
      <c r="O3" s="1" t="s">
        <v>34</v>
      </c>
      <c r="P3" s="1" t="s">
        <v>29</v>
      </c>
      <c r="Q3" s="1" t="s">
        <v>58</v>
      </c>
      <c r="R3" s="1" t="s">
        <v>59</v>
      </c>
      <c r="S3" s="1" t="s">
        <v>29</v>
      </c>
      <c r="T3" s="1" t="s">
        <v>60</v>
      </c>
      <c r="U3" s="1" t="s">
        <v>29</v>
      </c>
      <c r="V3" s="1" t="s">
        <v>61</v>
      </c>
      <c r="W3" s="1" t="s">
        <v>29</v>
      </c>
      <c r="X3" s="1" t="s">
        <v>62</v>
      </c>
      <c r="Y3" s="1" t="s">
        <v>29</v>
      </c>
      <c r="Z3" s="1" t="s">
        <v>63</v>
      </c>
      <c r="AA3" s="1" t="s">
        <v>29</v>
      </c>
      <c r="AB3" s="1" t="s">
        <v>64</v>
      </c>
      <c r="AC3" s="1" t="s">
        <v>65</v>
      </c>
      <c r="AD3" s="1" t="s">
        <v>66</v>
      </c>
      <c r="AE3" s="1" t="s">
        <v>67</v>
      </c>
    </row>
    <row r="4" spans="1:31" ht="15" customHeight="1" x14ac:dyDescent="0.25">
      <c r="A4" s="4">
        <v>22</v>
      </c>
      <c r="B4" s="3">
        <v>5.4584099999999998</v>
      </c>
      <c r="C4" s="3">
        <v>4.2000000000000002E-4</v>
      </c>
      <c r="D4" s="3">
        <v>13.425610000000001</v>
      </c>
      <c r="E4" s="3">
        <v>1.6900000000000001E-3</v>
      </c>
      <c r="F4" s="3">
        <v>346.45008999999999</v>
      </c>
      <c r="G4" s="3">
        <v>7.1309999999999998E-2</v>
      </c>
      <c r="H4" s="5">
        <v>57.1051</v>
      </c>
      <c r="I4" s="5">
        <v>1.6127400000000001</v>
      </c>
      <c r="J4" s="3">
        <f t="shared" ref="J4:J12" si="0">(2*(B4/SQRT(2))+(D4/(2*SQRT(3))))/3</f>
        <v>3.8649990749201302</v>
      </c>
      <c r="K4" s="3">
        <v>3.8890400000000001</v>
      </c>
      <c r="L4" s="3">
        <v>2.7399999999999998E-3</v>
      </c>
      <c r="M4" s="3">
        <v>58.820439999999998</v>
      </c>
      <c r="N4" s="3">
        <v>0.12413</v>
      </c>
      <c r="O4" s="5">
        <v>12.946249999999999</v>
      </c>
      <c r="P4" s="5">
        <v>1.88517</v>
      </c>
      <c r="Q4" s="3">
        <f t="shared" ref="Q4:Q12" si="1">K4</f>
        <v>3.8890400000000001</v>
      </c>
      <c r="R4" s="3">
        <v>5.4387800000000004</v>
      </c>
      <c r="S4" s="3">
        <v>9.3000000000000005E-4</v>
      </c>
      <c r="T4" s="3">
        <v>5.5267200000000001</v>
      </c>
      <c r="U4" s="3">
        <v>5.9000000000000003E-4</v>
      </c>
      <c r="V4" s="3">
        <v>7.7265199999999998</v>
      </c>
      <c r="W4" s="3">
        <v>1.6000000000000001E-3</v>
      </c>
      <c r="X4" s="3">
        <v>232.24859000000001</v>
      </c>
      <c r="Y4" s="3">
        <v>6.6960000000000006E-2</v>
      </c>
      <c r="Z4" s="5">
        <v>29.948650000000001</v>
      </c>
      <c r="AA4" s="5">
        <v>1.12141</v>
      </c>
      <c r="AB4" s="3">
        <f t="shared" ref="AB4:AB12" si="2">(X4/4)^(1/3)</f>
        <v>3.872258706343517</v>
      </c>
      <c r="AC4" s="5">
        <f t="shared" ref="AC4:AC12" si="3">H4+O4+Z4</f>
        <v>100</v>
      </c>
      <c r="AD4" s="3">
        <f t="shared" ref="AD4:AD12" si="4">(J4*H4+Q4*O4+AB4*Z4)/AC4</f>
        <v>3.8702856347895631</v>
      </c>
      <c r="AE4" s="3">
        <f t="shared" ref="AE4:AE12" si="5">SQRT(((H4/AC4)*C4/SQRT(2)*2/3)^2+((H4/AC4)*E4/(2*SQRT(3))*1/3)^2+((O4/AC4)*L4)^2+((Z4/AC4)*AB4/(3*X4)*Y4)^2)</f>
        <v>3.995742502698344E-4</v>
      </c>
    </row>
    <row r="5" spans="1:31" ht="15" customHeight="1" x14ac:dyDescent="0.25">
      <c r="A5" s="4">
        <v>100</v>
      </c>
      <c r="B5" s="3">
        <v>5.4631600000000002</v>
      </c>
      <c r="C5" s="3">
        <v>4.2000000000000002E-4</v>
      </c>
      <c r="D5" s="3">
        <v>13.42972</v>
      </c>
      <c r="E5" s="3">
        <v>1.8699999999999999E-3</v>
      </c>
      <c r="F5" s="3">
        <v>347.11088999999998</v>
      </c>
      <c r="G5" s="3">
        <v>7.4490000000000001E-2</v>
      </c>
      <c r="H5" s="5">
        <v>56.207529999999998</v>
      </c>
      <c r="I5" s="5">
        <v>1.64324</v>
      </c>
      <c r="J5" s="3">
        <f t="shared" si="0"/>
        <v>3.8676337313282829</v>
      </c>
      <c r="K5" s="3">
        <v>3.8902100000000002</v>
      </c>
      <c r="L5" s="3">
        <v>2.3600000000000001E-3</v>
      </c>
      <c r="M5" s="3">
        <v>58.873489999999997</v>
      </c>
      <c r="N5" s="3">
        <v>0.10704</v>
      </c>
      <c r="O5" s="5">
        <v>15.21017</v>
      </c>
      <c r="P5" s="5">
        <v>1.87632</v>
      </c>
      <c r="Q5" s="3">
        <f t="shared" si="1"/>
        <v>3.8902100000000002</v>
      </c>
      <c r="R5" s="3">
        <v>5.4422300000000003</v>
      </c>
      <c r="S5" s="3">
        <v>1E-3</v>
      </c>
      <c r="T5" s="3">
        <v>5.5285799999999998</v>
      </c>
      <c r="U5" s="3">
        <v>6.4999999999999997E-4</v>
      </c>
      <c r="V5" s="3">
        <v>7.7351200000000002</v>
      </c>
      <c r="W5" s="3">
        <v>1.8400000000000001E-3</v>
      </c>
      <c r="X5" s="3">
        <v>232.73301000000001</v>
      </c>
      <c r="Y5" s="3">
        <v>7.5009999999999993E-2</v>
      </c>
      <c r="Z5" s="5">
        <v>28.58229</v>
      </c>
      <c r="AA5" s="5">
        <v>1.1381699999999999</v>
      </c>
      <c r="AB5" s="3">
        <f t="shared" si="2"/>
        <v>3.8749490662746751</v>
      </c>
      <c r="AC5" s="5">
        <f t="shared" si="3"/>
        <v>99.999989999999997</v>
      </c>
      <c r="AD5" s="3">
        <f t="shared" si="4"/>
        <v>3.873158510974235</v>
      </c>
      <c r="AE5" s="3">
        <f t="shared" si="5"/>
        <v>4.0696955145302433E-4</v>
      </c>
    </row>
    <row r="6" spans="1:31" ht="15" customHeight="1" x14ac:dyDescent="0.25">
      <c r="A6" s="4">
        <v>200</v>
      </c>
      <c r="B6" s="3">
        <v>5.4694900000000004</v>
      </c>
      <c r="C6" s="3">
        <v>4.4999999999999999E-4</v>
      </c>
      <c r="D6" s="3">
        <v>13.441850000000001</v>
      </c>
      <c r="E6" s="3">
        <v>1.9499999999999999E-3</v>
      </c>
      <c r="F6" s="3">
        <v>348.26945000000001</v>
      </c>
      <c r="G6" s="3">
        <v>7.8409999999999994E-2</v>
      </c>
      <c r="H6" s="5">
        <v>55.873179999999998</v>
      </c>
      <c r="I6" s="5">
        <v>1.82179</v>
      </c>
      <c r="J6" s="3">
        <f t="shared" si="0"/>
        <v>3.8717849317391018</v>
      </c>
      <c r="K6" s="3">
        <v>3.8931399999999998</v>
      </c>
      <c r="L6" s="3">
        <v>2.3800000000000002E-3</v>
      </c>
      <c r="M6" s="3">
        <v>59.006410000000002</v>
      </c>
      <c r="N6" s="3">
        <v>0.10838</v>
      </c>
      <c r="O6" s="5">
        <v>17.633279999999999</v>
      </c>
      <c r="P6" s="5">
        <v>2.0824500000000001</v>
      </c>
      <c r="Q6" s="3">
        <f t="shared" si="1"/>
        <v>3.8931399999999998</v>
      </c>
      <c r="R6" s="3">
        <v>5.4464499999999996</v>
      </c>
      <c r="S6" s="3">
        <v>1.0200000000000001E-3</v>
      </c>
      <c r="T6" s="3">
        <v>5.5321100000000003</v>
      </c>
      <c r="U6" s="3">
        <v>6.6E-4</v>
      </c>
      <c r="V6" s="3">
        <v>7.7453399999999997</v>
      </c>
      <c r="W6" s="3">
        <v>1.82E-3</v>
      </c>
      <c r="X6" s="3">
        <v>233.36976000000001</v>
      </c>
      <c r="Y6" s="3">
        <v>7.5469999999999995E-2</v>
      </c>
      <c r="Z6" s="5">
        <v>26.493539999999999</v>
      </c>
      <c r="AA6" s="5">
        <v>1.1705300000000001</v>
      </c>
      <c r="AB6" s="3">
        <f t="shared" si="2"/>
        <v>3.8784797601137275</v>
      </c>
      <c r="AC6" s="5">
        <f t="shared" si="3"/>
        <v>100</v>
      </c>
      <c r="AD6" s="3">
        <f t="shared" si="4"/>
        <v>3.8773242277531001</v>
      </c>
      <c r="AE6" s="3">
        <f t="shared" si="5"/>
        <v>4.6198862012877134E-4</v>
      </c>
    </row>
    <row r="7" spans="1:31" ht="15" customHeight="1" x14ac:dyDescent="0.25">
      <c r="A7" s="4">
        <v>300</v>
      </c>
      <c r="B7" s="3">
        <v>5.4758199999999997</v>
      </c>
      <c r="C7" s="3">
        <v>4.0999999999999999E-4</v>
      </c>
      <c r="D7" s="3">
        <v>13.464259999999999</v>
      </c>
      <c r="E7" s="3">
        <v>1.6800000000000001E-3</v>
      </c>
      <c r="F7" s="3">
        <v>349.65886</v>
      </c>
      <c r="G7" s="3">
        <v>7.0220000000000005E-2</v>
      </c>
      <c r="H7" s="5">
        <v>55.116579999999999</v>
      </c>
      <c r="I7" s="5">
        <v>1.88672</v>
      </c>
      <c r="J7" s="3">
        <f t="shared" si="0"/>
        <v>3.8769253256111322</v>
      </c>
      <c r="K7" s="3">
        <v>3.8972099999999998</v>
      </c>
      <c r="L7" s="3">
        <v>2.1800000000000001E-3</v>
      </c>
      <c r="M7" s="3">
        <v>59.191699999999997</v>
      </c>
      <c r="N7" s="3">
        <v>9.9489999999999995E-2</v>
      </c>
      <c r="O7" s="5">
        <v>19.64959</v>
      </c>
      <c r="P7" s="5">
        <v>2.1405500000000002</v>
      </c>
      <c r="Q7" s="3">
        <f t="shared" si="1"/>
        <v>3.8972099999999998</v>
      </c>
      <c r="R7" s="3">
        <v>5.4558</v>
      </c>
      <c r="S7" s="3">
        <v>1.0399999999999999E-3</v>
      </c>
      <c r="T7" s="3">
        <v>5.5371899999999998</v>
      </c>
      <c r="U7" s="3">
        <v>7.2000000000000005E-4</v>
      </c>
      <c r="V7" s="3">
        <v>7.7509499999999996</v>
      </c>
      <c r="W7" s="3">
        <v>2.0400000000000001E-3</v>
      </c>
      <c r="X7" s="3">
        <v>234.15492</v>
      </c>
      <c r="Y7" s="3">
        <v>8.1879999999999994E-2</v>
      </c>
      <c r="Z7" s="5">
        <v>25.233830000000001</v>
      </c>
      <c r="AA7" s="5">
        <v>1.1905600000000001</v>
      </c>
      <c r="AB7" s="3">
        <f t="shared" si="2"/>
        <v>3.8828245366462344</v>
      </c>
      <c r="AC7" s="5">
        <f t="shared" si="3"/>
        <v>100</v>
      </c>
      <c r="AD7" s="3">
        <f t="shared" si="4"/>
        <v>3.8823997778453183</v>
      </c>
      <c r="AE7" s="3">
        <f t="shared" si="5"/>
        <v>4.6456734730139824E-4</v>
      </c>
    </row>
    <row r="8" spans="1:31" ht="15" customHeight="1" x14ac:dyDescent="0.25">
      <c r="A8" s="4">
        <v>400</v>
      </c>
      <c r="B8" s="3">
        <v>5.4840900000000001</v>
      </c>
      <c r="C8" s="3">
        <v>3.8000000000000002E-4</v>
      </c>
      <c r="D8" s="3">
        <v>13.492749999999999</v>
      </c>
      <c r="E8" s="3">
        <v>1.4599999999999999E-3</v>
      </c>
      <c r="F8" s="3">
        <v>351.48853000000003</v>
      </c>
      <c r="G8" s="3">
        <v>6.4409999999999995E-2</v>
      </c>
      <c r="H8" s="5">
        <v>54.068219999999997</v>
      </c>
      <c r="I8" s="5">
        <v>2.0493600000000001</v>
      </c>
      <c r="J8" s="3">
        <f t="shared" si="0"/>
        <v>3.883565292526276</v>
      </c>
      <c r="K8" s="3">
        <v>3.90354</v>
      </c>
      <c r="L8" s="3">
        <v>2.2399999999999998E-3</v>
      </c>
      <c r="M8" s="3">
        <v>59.480559999999997</v>
      </c>
      <c r="N8" s="3">
        <v>0.10222000000000001</v>
      </c>
      <c r="O8" s="5">
        <v>21.78389</v>
      </c>
      <c r="P8" s="5">
        <v>2.3321000000000001</v>
      </c>
      <c r="Q8" s="3">
        <f t="shared" si="1"/>
        <v>3.90354</v>
      </c>
      <c r="R8" s="3">
        <v>5.4654199999999999</v>
      </c>
      <c r="S8" s="3">
        <v>1.07E-3</v>
      </c>
      <c r="T8" s="3">
        <v>5.5451600000000001</v>
      </c>
      <c r="U8" s="3">
        <v>7.6999999999999996E-4</v>
      </c>
      <c r="V8" s="3">
        <v>7.7537599999999998</v>
      </c>
      <c r="W8" s="3">
        <v>2.1299999999999999E-3</v>
      </c>
      <c r="X8" s="3">
        <v>234.99037999999999</v>
      </c>
      <c r="Y8" s="3">
        <v>8.5680000000000006E-2</v>
      </c>
      <c r="Z8" s="5">
        <v>24.14789</v>
      </c>
      <c r="AA8" s="5">
        <v>1.2813000000000001</v>
      </c>
      <c r="AB8" s="3">
        <f t="shared" si="2"/>
        <v>3.887437001629328</v>
      </c>
      <c r="AC8" s="5">
        <f t="shared" si="3"/>
        <v>100</v>
      </c>
      <c r="AD8" s="3">
        <f t="shared" si="4"/>
        <v>3.8888514968854988</v>
      </c>
      <c r="AE8" s="3">
        <f t="shared" si="5"/>
        <v>5.1601499987033363E-4</v>
      </c>
    </row>
    <row r="9" spans="1:31" ht="15" customHeight="1" x14ac:dyDescent="0.25">
      <c r="A9" s="4">
        <v>500</v>
      </c>
      <c r="B9" s="3">
        <v>5.4928600000000003</v>
      </c>
      <c r="C9" s="3">
        <v>3.4000000000000002E-4</v>
      </c>
      <c r="D9" s="3">
        <v>13.52436</v>
      </c>
      <c r="E9" s="3">
        <v>1.3600000000000001E-3</v>
      </c>
      <c r="F9" s="3">
        <v>353.41622000000001</v>
      </c>
      <c r="G9" s="3">
        <v>5.9220000000000002E-2</v>
      </c>
      <c r="H9" s="5">
        <v>53.315240000000003</v>
      </c>
      <c r="I9" s="5">
        <v>2.1774300000000002</v>
      </c>
      <c r="J9" s="3">
        <f t="shared" si="0"/>
        <v>3.890741183841794</v>
      </c>
      <c r="K9" s="3">
        <v>3.9083800000000002</v>
      </c>
      <c r="L9" s="3">
        <v>2.0500000000000002E-3</v>
      </c>
      <c r="M9" s="3">
        <v>59.702190000000002</v>
      </c>
      <c r="N9" s="3">
        <v>9.3890000000000001E-2</v>
      </c>
      <c r="O9" s="5">
        <v>24.512429999999998</v>
      </c>
      <c r="P9" s="5">
        <v>2.4818099999999998</v>
      </c>
      <c r="Q9" s="3">
        <f t="shared" si="1"/>
        <v>3.9083800000000002</v>
      </c>
      <c r="R9" s="3">
        <v>5.47715</v>
      </c>
      <c r="S9" s="3">
        <v>1.1000000000000001E-3</v>
      </c>
      <c r="T9" s="3">
        <v>5.5503499999999999</v>
      </c>
      <c r="U9" s="3">
        <v>8.1999999999999998E-4</v>
      </c>
      <c r="V9" s="3">
        <v>7.7624399999999998</v>
      </c>
      <c r="W9" s="3">
        <v>2.1299999999999999E-3</v>
      </c>
      <c r="X9" s="3">
        <v>235.97882000000001</v>
      </c>
      <c r="Y9" s="3">
        <v>8.7389999999999995E-2</v>
      </c>
      <c r="Z9" s="5">
        <v>22.172319999999999</v>
      </c>
      <c r="AA9" s="5">
        <v>1.2758700000000001</v>
      </c>
      <c r="AB9" s="3">
        <f t="shared" si="2"/>
        <v>3.8928799524116311</v>
      </c>
      <c r="AC9" s="5">
        <f t="shared" si="3"/>
        <v>99.999989999999997</v>
      </c>
      <c r="AD9" s="3">
        <f t="shared" si="4"/>
        <v>3.8955391013965586</v>
      </c>
      <c r="AE9" s="3">
        <f t="shared" si="5"/>
        <v>5.2538939873942171E-4</v>
      </c>
    </row>
    <row r="10" spans="1:31" ht="15" customHeight="1" x14ac:dyDescent="0.25">
      <c r="A10" s="4">
        <v>600</v>
      </c>
      <c r="B10" s="3">
        <v>5.5027200000000001</v>
      </c>
      <c r="C10" s="3">
        <v>3.4000000000000002E-4</v>
      </c>
      <c r="D10" s="3">
        <v>13.549060000000001</v>
      </c>
      <c r="E10" s="3">
        <v>1.3799999999999999E-3</v>
      </c>
      <c r="F10" s="3">
        <v>355.34062</v>
      </c>
      <c r="G10" s="3">
        <v>5.9380000000000002E-2</v>
      </c>
      <c r="H10" s="5">
        <v>52.483789999999999</v>
      </c>
      <c r="I10" s="5">
        <v>2.2316600000000002</v>
      </c>
      <c r="J10" s="3">
        <f t="shared" si="0"/>
        <v>3.8977659910249578</v>
      </c>
      <c r="K10" s="3">
        <v>3.9149600000000002</v>
      </c>
      <c r="L10" s="3">
        <v>1.9E-3</v>
      </c>
      <c r="M10" s="3">
        <v>60.004069999999999</v>
      </c>
      <c r="N10" s="3">
        <v>8.7150000000000005E-2</v>
      </c>
      <c r="O10" s="5">
        <v>27.302980000000002</v>
      </c>
      <c r="P10" s="5">
        <v>2.51423</v>
      </c>
      <c r="Q10" s="3">
        <f t="shared" si="1"/>
        <v>3.9149600000000002</v>
      </c>
      <c r="R10" s="3">
        <v>5.4852999999999996</v>
      </c>
      <c r="S10" s="3">
        <v>1.23E-3</v>
      </c>
      <c r="T10" s="3">
        <v>5.5550600000000001</v>
      </c>
      <c r="U10" s="3">
        <v>9.1E-4</v>
      </c>
      <c r="V10" s="3">
        <v>7.7812299999999999</v>
      </c>
      <c r="W10" s="3">
        <v>2.3800000000000002E-3</v>
      </c>
      <c r="X10" s="3">
        <v>237.10324</v>
      </c>
      <c r="Y10" s="3">
        <v>9.8119999999999999E-2</v>
      </c>
      <c r="Z10" s="5">
        <v>20.213229999999999</v>
      </c>
      <c r="AA10" s="5">
        <v>1.3119099999999999</v>
      </c>
      <c r="AB10" s="3">
        <f t="shared" si="2"/>
        <v>3.89905324377788</v>
      </c>
      <c r="AC10" s="5">
        <f t="shared" si="3"/>
        <v>100</v>
      </c>
      <c r="AD10" s="3">
        <f t="shared" si="4"/>
        <v>3.902720663216241</v>
      </c>
      <c r="AE10" s="3">
        <f t="shared" si="5"/>
        <v>5.4116626476140165E-4</v>
      </c>
    </row>
    <row r="11" spans="1:31" ht="15" customHeight="1" x14ac:dyDescent="0.25">
      <c r="A11" s="4">
        <v>700</v>
      </c>
      <c r="B11" s="3">
        <v>5.5134600000000002</v>
      </c>
      <c r="C11" s="3">
        <v>3.2000000000000003E-4</v>
      </c>
      <c r="D11" s="3">
        <v>13.576169999999999</v>
      </c>
      <c r="E11" s="3">
        <v>1.2700000000000001E-3</v>
      </c>
      <c r="F11" s="3">
        <v>357.41003000000001</v>
      </c>
      <c r="G11" s="3">
        <v>5.6689999999999997E-2</v>
      </c>
      <c r="H11" s="5">
        <v>51.4666</v>
      </c>
      <c r="I11" s="5">
        <v>2.1172</v>
      </c>
      <c r="J11" s="3">
        <f t="shared" si="0"/>
        <v>3.9054375365445417</v>
      </c>
      <c r="K11" s="3">
        <v>3.9236900000000001</v>
      </c>
      <c r="L11" s="3">
        <v>1.8799999999999999E-3</v>
      </c>
      <c r="M11" s="3">
        <v>60.406640000000003</v>
      </c>
      <c r="N11" s="3">
        <v>8.6860000000000007E-2</v>
      </c>
      <c r="O11" s="5">
        <v>28.99513</v>
      </c>
      <c r="P11" s="5">
        <v>2.3474200000000001</v>
      </c>
      <c r="Q11" s="3">
        <f t="shared" si="1"/>
        <v>3.9236900000000001</v>
      </c>
      <c r="R11" s="3">
        <v>5.4946799999999998</v>
      </c>
      <c r="S11" s="3">
        <v>1.2600000000000001E-3</v>
      </c>
      <c r="T11" s="3">
        <v>5.5631700000000004</v>
      </c>
      <c r="U11" s="3">
        <v>9.6000000000000002E-4</v>
      </c>
      <c r="V11" s="3">
        <v>7.7906500000000003</v>
      </c>
      <c r="W11" s="3">
        <v>2.4099999999999998E-3</v>
      </c>
      <c r="X11" s="3">
        <v>238.14346</v>
      </c>
      <c r="Y11" s="3">
        <v>0.10052</v>
      </c>
      <c r="Z11" s="5">
        <v>19.538270000000001</v>
      </c>
      <c r="AA11" s="5">
        <v>1.2491300000000001</v>
      </c>
      <c r="AB11" s="3">
        <f t="shared" si="2"/>
        <v>3.9047469045744458</v>
      </c>
      <c r="AC11" s="5">
        <f t="shared" si="3"/>
        <v>100</v>
      </c>
      <c r="AD11" s="3">
        <f t="shared" si="4"/>
        <v>3.910594924512631</v>
      </c>
      <c r="AE11" s="3">
        <f t="shared" si="5"/>
        <v>5.6448998192416887E-4</v>
      </c>
    </row>
    <row r="12" spans="1:31" ht="15" customHeight="1" x14ac:dyDescent="0.25">
      <c r="A12" s="4">
        <v>800</v>
      </c>
      <c r="B12" s="3">
        <v>5.5244499999999999</v>
      </c>
      <c r="C12" s="3">
        <v>3.4000000000000002E-4</v>
      </c>
      <c r="D12" s="3">
        <v>13.60243</v>
      </c>
      <c r="E12" s="3">
        <v>1.32E-3</v>
      </c>
      <c r="F12" s="3">
        <v>359.52784000000003</v>
      </c>
      <c r="G12" s="3">
        <v>5.9080000000000001E-2</v>
      </c>
      <c r="H12" s="5">
        <v>50.252899999999997</v>
      </c>
      <c r="I12" s="5">
        <v>2.09782</v>
      </c>
      <c r="J12" s="3">
        <f t="shared" si="0"/>
        <v>3.9131451419061882</v>
      </c>
      <c r="K12" s="3">
        <v>3.9316200000000001</v>
      </c>
      <c r="L12" s="3">
        <v>1.82E-3</v>
      </c>
      <c r="M12" s="3">
        <v>60.773699999999998</v>
      </c>
      <c r="N12" s="3">
        <v>8.4250000000000005E-2</v>
      </c>
      <c r="O12" s="5">
        <v>30.825880000000002</v>
      </c>
      <c r="P12" s="5">
        <v>2.3300200000000002</v>
      </c>
      <c r="Q12" s="3">
        <f t="shared" si="1"/>
        <v>3.9316200000000001</v>
      </c>
      <c r="R12" s="3">
        <v>5.5074699999999996</v>
      </c>
      <c r="S12" s="3">
        <v>1.4300000000000001E-3</v>
      </c>
      <c r="T12" s="3">
        <v>5.5686400000000003</v>
      </c>
      <c r="U12" s="3">
        <v>1.1100000000000001E-3</v>
      </c>
      <c r="V12" s="3">
        <v>7.80619</v>
      </c>
      <c r="W12" s="3">
        <v>2.6199999999999999E-3</v>
      </c>
      <c r="X12" s="3">
        <v>239.4091</v>
      </c>
      <c r="Y12" s="3">
        <v>0.11212999999999999</v>
      </c>
      <c r="Z12" s="5">
        <v>18.921220000000002</v>
      </c>
      <c r="AA12" s="5">
        <v>1.1915800000000001</v>
      </c>
      <c r="AB12" s="3">
        <f t="shared" si="2"/>
        <v>3.9116520906148984</v>
      </c>
      <c r="AC12" s="5">
        <f t="shared" si="3"/>
        <v>100</v>
      </c>
      <c r="AD12" s="3">
        <f t="shared" si="4"/>
        <v>3.9185576759728189</v>
      </c>
      <c r="AE12" s="3">
        <f t="shared" si="5"/>
        <v>5.8195287870830279E-4</v>
      </c>
    </row>
    <row r="14" spans="1:31" x14ac:dyDescent="0.25">
      <c r="AD14" s="9" t="s">
        <v>68</v>
      </c>
    </row>
    <row r="15" spans="1:31" ht="15" customHeight="1" x14ac:dyDescent="0.25">
      <c r="A15" s="7" t="s">
        <v>69</v>
      </c>
      <c r="AD15">
        <f>(1000000/700)*(AD12-AD5)/AD5</f>
        <v>16.744976952069905</v>
      </c>
    </row>
    <row r="16" spans="1:31" ht="15" customHeight="1" x14ac:dyDescent="0.25">
      <c r="A16" s="13" t="s">
        <v>3</v>
      </c>
      <c r="B16" s="11">
        <f>MIN(A4:A12)</f>
        <v>22</v>
      </c>
    </row>
    <row r="17" spans="1:16" ht="15" customHeight="1" x14ac:dyDescent="0.25">
      <c r="A17" s="13" t="s">
        <v>4</v>
      </c>
      <c r="B17" s="11">
        <f>MAX(A4:A12)</f>
        <v>800</v>
      </c>
    </row>
    <row r="18" spans="1:16" ht="15" customHeight="1" x14ac:dyDescent="0.25">
      <c r="A18" s="13" t="s">
        <v>70</v>
      </c>
      <c r="B18" s="11">
        <f>INDEX(AD4:AD12,MATCH(MIN(A4:A12),A4:A12,0))</f>
        <v>3.8702856347895631</v>
      </c>
    </row>
    <row r="19" spans="1:16" ht="15" customHeight="1" x14ac:dyDescent="0.25">
      <c r="A19" s="13" t="s">
        <v>71</v>
      </c>
      <c r="B19" s="11">
        <f>INDEX(AD4:AD12,MATCH(MAX(A4:A12),A4:A12,0))</f>
        <v>3.9185576759728189</v>
      </c>
    </row>
    <row r="20" spans="1:16" ht="15" customHeight="1" x14ac:dyDescent="0.25">
      <c r="A20" s="13" t="s">
        <v>72</v>
      </c>
      <c r="B20" s="11">
        <f>SLOPE(AD4:AD12,A4:A12)</f>
        <v>6.2584585569779429E-5</v>
      </c>
    </row>
    <row r="21" spans="1:16" ht="15" customHeight="1" x14ac:dyDescent="0.25">
      <c r="A21" s="13" t="s">
        <v>73</v>
      </c>
      <c r="B21" s="14">
        <f>RSQ(AD4:AD12,A4:A12)</f>
        <v>0.98638651868737093</v>
      </c>
    </row>
    <row r="22" spans="1:16" ht="15" customHeight="1" x14ac:dyDescent="0.25">
      <c r="A22" s="13" t="s">
        <v>74</v>
      </c>
      <c r="B22" s="15">
        <f>B20/B18</f>
        <v>1.6170534031703918E-5</v>
      </c>
    </row>
    <row r="23" spans="1:16" ht="15" customHeight="1" x14ac:dyDescent="0.25">
      <c r="A23" s="13" t="s">
        <v>75</v>
      </c>
      <c r="B23" s="10">
        <f>B22*1000000</f>
        <v>16.170534031703919</v>
      </c>
    </row>
    <row r="24" spans="1:16" ht="15" customHeight="1" x14ac:dyDescent="0.25">
      <c r="A24" s="13" t="s">
        <v>76</v>
      </c>
      <c r="B24" s="15">
        <f>(B19-B18)/(B18*(B17-B16))</f>
        <v>1.6031458988613629E-5</v>
      </c>
    </row>
    <row r="25" spans="1:16" ht="15" customHeight="1" x14ac:dyDescent="0.25">
      <c r="A25" s="13" t="s">
        <v>77</v>
      </c>
      <c r="B25" s="10">
        <f>B24*1000000</f>
        <v>16.031458988613629</v>
      </c>
    </row>
    <row r="27" spans="1:16" ht="60" customHeight="1" x14ac:dyDescent="0.25">
      <c r="A27" s="12" t="s">
        <v>78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</row>
  </sheetData>
  <mergeCells count="2">
    <mergeCell ref="A1:X1"/>
    <mergeCell ref="A27:P2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A1D00-42E7-45A6-93A4-8CFFA31D0332}">
  <dimension ref="A1:AE27"/>
  <sheetViews>
    <sheetView workbookViewId="0">
      <selection activeCell="H19" sqref="H19"/>
    </sheetView>
  </sheetViews>
  <sheetFormatPr defaultColWidth="8.7109375" defaultRowHeight="15" x14ac:dyDescent="0.25"/>
  <cols>
    <col min="1" max="1" width="9" customWidth="1"/>
    <col min="2" max="31" width="11" customWidth="1"/>
  </cols>
  <sheetData>
    <row r="1" spans="1:31" ht="15.75" x14ac:dyDescent="0.25">
      <c r="A1" s="6" t="s">
        <v>81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</row>
    <row r="2" spans="1:31" ht="15" customHeight="1" x14ac:dyDescent="0.25">
      <c r="B2" s="7" t="s">
        <v>53</v>
      </c>
      <c r="K2" s="7" t="s">
        <v>54</v>
      </c>
      <c r="P2" s="7" t="s">
        <v>55</v>
      </c>
    </row>
    <row r="3" spans="1:31" ht="60" x14ac:dyDescent="0.25">
      <c r="A3" s="1" t="s">
        <v>27</v>
      </c>
      <c r="B3" s="1" t="s">
        <v>28</v>
      </c>
      <c r="C3" s="1" t="s">
        <v>29</v>
      </c>
      <c r="D3" s="1" t="s">
        <v>30</v>
      </c>
      <c r="E3" s="1" t="s">
        <v>29</v>
      </c>
      <c r="F3" s="1" t="s">
        <v>56</v>
      </c>
      <c r="G3" s="1" t="s">
        <v>29</v>
      </c>
      <c r="H3" s="1" t="s">
        <v>32</v>
      </c>
      <c r="I3" s="1" t="s">
        <v>29</v>
      </c>
      <c r="J3" s="1" t="s">
        <v>31</v>
      </c>
      <c r="K3" s="1" t="s">
        <v>33</v>
      </c>
      <c r="L3" s="1" t="s">
        <v>29</v>
      </c>
      <c r="M3" s="1" t="s">
        <v>57</v>
      </c>
      <c r="N3" s="1" t="s">
        <v>29</v>
      </c>
      <c r="O3" s="1" t="s">
        <v>34</v>
      </c>
      <c r="P3" s="1" t="s">
        <v>29</v>
      </c>
      <c r="Q3" s="1" t="s">
        <v>58</v>
      </c>
      <c r="R3" s="1" t="s">
        <v>59</v>
      </c>
      <c r="S3" s="1" t="s">
        <v>29</v>
      </c>
      <c r="T3" s="1" t="s">
        <v>60</v>
      </c>
      <c r="U3" s="1" t="s">
        <v>29</v>
      </c>
      <c r="V3" s="1" t="s">
        <v>61</v>
      </c>
      <c r="W3" s="1" t="s">
        <v>29</v>
      </c>
      <c r="X3" s="1" t="s">
        <v>62</v>
      </c>
      <c r="Y3" s="1" t="s">
        <v>29</v>
      </c>
      <c r="Z3" s="1" t="s">
        <v>63</v>
      </c>
      <c r="AA3" s="1" t="s">
        <v>29</v>
      </c>
      <c r="AB3" s="1" t="s">
        <v>64</v>
      </c>
      <c r="AC3" s="1" t="s">
        <v>65</v>
      </c>
      <c r="AD3" s="1" t="s">
        <v>66</v>
      </c>
      <c r="AE3" s="1" t="s">
        <v>67</v>
      </c>
    </row>
    <row r="4" spans="1:31" ht="15" customHeight="1" x14ac:dyDescent="0.25">
      <c r="A4" s="4">
        <v>26</v>
      </c>
      <c r="B4" s="3">
        <v>5.4919099999999998</v>
      </c>
      <c r="C4" s="3">
        <v>1.66E-3</v>
      </c>
      <c r="D4" s="3">
        <v>13.4605</v>
      </c>
      <c r="E4" s="3">
        <v>6.0299999999999998E-3</v>
      </c>
      <c r="F4" s="3">
        <v>350.67626000000001</v>
      </c>
      <c r="G4" s="3">
        <v>0.27056000000000002</v>
      </c>
      <c r="H4" s="5">
        <v>51.67286</v>
      </c>
      <c r="I4" s="5">
        <v>1.9317599999999999</v>
      </c>
      <c r="J4" s="3">
        <f t="shared" ref="J4:J12" si="0">(2*(B4/SQRT(2))+(D4/(2*SQRT(3))))/3</f>
        <v>3.8841484181819674</v>
      </c>
      <c r="K4" s="3">
        <v>3.8691300000000002</v>
      </c>
      <c r="L4" s="3">
        <v>2.7999999999999998E-4</v>
      </c>
      <c r="M4" s="3">
        <v>57.921599999999998</v>
      </c>
      <c r="N4" s="3">
        <v>1.26E-2</v>
      </c>
      <c r="O4" s="5">
        <v>24.926459999999999</v>
      </c>
      <c r="P4" s="5">
        <v>1.9504900000000001</v>
      </c>
      <c r="Q4" s="3">
        <f t="shared" ref="Q4:Q12" si="1">K4</f>
        <v>3.8691300000000002</v>
      </c>
      <c r="R4" s="3">
        <v>5.4813299999999998</v>
      </c>
      <c r="S4" s="3">
        <v>5.1999999999999998E-3</v>
      </c>
      <c r="T4" s="3">
        <v>5.5149100000000004</v>
      </c>
      <c r="U4" s="3">
        <v>3.0000000000000001E-3</v>
      </c>
      <c r="V4" s="3">
        <v>7.7889200000000001</v>
      </c>
      <c r="W4" s="3">
        <v>6.9499999999999996E-3</v>
      </c>
      <c r="X4" s="3">
        <v>235.45143999999999</v>
      </c>
      <c r="Y4" s="3">
        <v>0.3322</v>
      </c>
      <c r="Z4" s="5">
        <v>23.400680000000001</v>
      </c>
      <c r="AA4" s="5">
        <v>1.1699299999999999</v>
      </c>
      <c r="AB4" s="3">
        <f t="shared" ref="AB4:AB12" si="2">(X4/4)^(1/3)</f>
        <v>3.8899777733919887</v>
      </c>
      <c r="AC4" s="5">
        <f t="shared" ref="AC4:AC12" si="3">H4+O4+Z4</f>
        <v>100</v>
      </c>
      <c r="AD4" s="3">
        <f t="shared" ref="AD4:AD12" si="4">(J4*H4+Q4*O4+AB4*Z4)/AC4</f>
        <v>3.8817689669399669</v>
      </c>
      <c r="AE4" s="3">
        <f t="shared" ref="AE4:AE12" si="5">SQRT(((H4/AC4)*C4/SQRT(2)*2/3)^2+((H4/AC4)*E4/(2*SQRT(3))*1/3)^2+((O4/AC4)*L4)^2+((Z4/AC4)*AB4/(3*X4)*Y4)^2)</f>
        <v>6.6448945643597624E-4</v>
      </c>
    </row>
    <row r="5" spans="1:31" ht="15" customHeight="1" x14ac:dyDescent="0.25">
      <c r="A5" s="4">
        <v>100</v>
      </c>
      <c r="B5" s="3">
        <v>5.4950700000000001</v>
      </c>
      <c r="C5" s="3">
        <v>1.6100000000000001E-3</v>
      </c>
      <c r="D5" s="3">
        <v>13.4717</v>
      </c>
      <c r="E5" s="3">
        <v>6.0200000000000002E-3</v>
      </c>
      <c r="F5" s="3">
        <v>351.42115000000001</v>
      </c>
      <c r="G5" s="3">
        <v>0.26563999999999999</v>
      </c>
      <c r="H5" s="5">
        <v>53.270609999999998</v>
      </c>
      <c r="I5" s="5">
        <v>2.1324100000000001</v>
      </c>
      <c r="J5" s="3">
        <f t="shared" si="0"/>
        <v>3.8867157769701546</v>
      </c>
      <c r="K5" s="3">
        <v>3.8717999999999999</v>
      </c>
      <c r="L5" s="3">
        <v>2.7E-4</v>
      </c>
      <c r="M5" s="3">
        <v>58.041429999999998</v>
      </c>
      <c r="N5" s="3">
        <v>1.217E-2</v>
      </c>
      <c r="O5" s="5">
        <v>25.06278</v>
      </c>
      <c r="P5" s="5">
        <v>2.4935499999999999</v>
      </c>
      <c r="Q5" s="3">
        <f t="shared" si="1"/>
        <v>3.8717999999999999</v>
      </c>
      <c r="R5" s="3">
        <v>5.4853800000000001</v>
      </c>
      <c r="S5" s="3">
        <v>5.5500000000000002E-3</v>
      </c>
      <c r="T5" s="3">
        <v>5.5196100000000001</v>
      </c>
      <c r="U5" s="3">
        <v>3.2000000000000002E-3</v>
      </c>
      <c r="V5" s="3">
        <v>7.7962100000000003</v>
      </c>
      <c r="W5" s="3">
        <v>7.5399999999999998E-3</v>
      </c>
      <c r="X5" s="3">
        <v>236.04712000000001</v>
      </c>
      <c r="Y5" s="3">
        <v>0.35774</v>
      </c>
      <c r="Z5" s="5">
        <v>21.666599999999999</v>
      </c>
      <c r="AA5" s="5">
        <v>1.17232</v>
      </c>
      <c r="AB5" s="3">
        <f t="shared" si="2"/>
        <v>3.8932554918393594</v>
      </c>
      <c r="AC5" s="5">
        <f t="shared" si="3"/>
        <v>99.999989999999997</v>
      </c>
      <c r="AD5" s="3">
        <f t="shared" si="4"/>
        <v>3.8843944022325476</v>
      </c>
      <c r="AE5" s="3">
        <f t="shared" si="5"/>
        <v>6.6697705655214938E-4</v>
      </c>
    </row>
    <row r="6" spans="1:31" ht="15" customHeight="1" x14ac:dyDescent="0.25">
      <c r="A6" s="4">
        <v>200</v>
      </c>
      <c r="B6" s="3">
        <v>5.5001300000000004</v>
      </c>
      <c r="C6" s="3">
        <v>1.57E-3</v>
      </c>
      <c r="D6" s="3">
        <v>13.48828</v>
      </c>
      <c r="E6" s="3">
        <v>5.64E-3</v>
      </c>
      <c r="F6" s="3">
        <v>352.57125000000002</v>
      </c>
      <c r="G6" s="3">
        <v>0.25562000000000001</v>
      </c>
      <c r="H6" s="5">
        <v>54.291870000000003</v>
      </c>
      <c r="I6" s="5">
        <v>2.0139800000000001</v>
      </c>
      <c r="J6" s="3">
        <f t="shared" si="0"/>
        <v>3.8906964950892178</v>
      </c>
      <c r="K6" s="3">
        <v>3.8756900000000001</v>
      </c>
      <c r="L6" s="3">
        <v>2.5999999999999998E-4</v>
      </c>
      <c r="M6" s="3">
        <v>58.21658</v>
      </c>
      <c r="N6" s="3">
        <v>1.172E-2</v>
      </c>
      <c r="O6" s="5">
        <v>25.371749999999999</v>
      </c>
      <c r="P6" s="5">
        <v>2.0547200000000001</v>
      </c>
      <c r="Q6" s="3">
        <f t="shared" si="1"/>
        <v>3.8756900000000001</v>
      </c>
      <c r="R6" s="3">
        <v>5.4877099999999999</v>
      </c>
      <c r="S6" s="3">
        <v>5.9500000000000004E-3</v>
      </c>
      <c r="T6" s="3">
        <v>5.5270299999999999</v>
      </c>
      <c r="U6" s="3">
        <v>3.46E-3</v>
      </c>
      <c r="V6" s="3">
        <v>7.8085800000000001</v>
      </c>
      <c r="W6" s="3">
        <v>8.0700000000000008E-3</v>
      </c>
      <c r="X6" s="3">
        <v>236.84013999999999</v>
      </c>
      <c r="Y6" s="3">
        <v>0.38441999999999998</v>
      </c>
      <c r="Z6" s="5">
        <v>20.336379999999998</v>
      </c>
      <c r="AA6" s="5">
        <v>1.1200600000000001</v>
      </c>
      <c r="AB6" s="3">
        <f t="shared" si="2"/>
        <v>3.8976105240275363</v>
      </c>
      <c r="AC6" s="5">
        <f t="shared" si="3"/>
        <v>100</v>
      </c>
      <c r="AD6" s="3">
        <f t="shared" si="4"/>
        <v>3.8882951478696257</v>
      </c>
      <c r="AE6" s="3">
        <f t="shared" si="5"/>
        <v>6.6070739845676906E-4</v>
      </c>
    </row>
    <row r="7" spans="1:31" ht="15" customHeight="1" x14ac:dyDescent="0.25">
      <c r="A7" s="4">
        <v>300</v>
      </c>
      <c r="B7" s="3">
        <v>5.5079399999999996</v>
      </c>
      <c r="C7" s="3">
        <v>1.42E-3</v>
      </c>
      <c r="D7" s="3">
        <v>13.510439999999999</v>
      </c>
      <c r="E7" s="3">
        <v>4.9100000000000003E-3</v>
      </c>
      <c r="F7" s="3">
        <v>354.18178999999998</v>
      </c>
      <c r="G7" s="3">
        <v>0.22978999999999999</v>
      </c>
      <c r="H7" s="5">
        <v>55.51437</v>
      </c>
      <c r="I7" s="5">
        <v>2.5714199999999998</v>
      </c>
      <c r="J7" s="3">
        <f t="shared" si="0"/>
        <v>3.8965105113908027</v>
      </c>
      <c r="K7" s="3">
        <v>3.8813</v>
      </c>
      <c r="L7" s="3">
        <v>2.5000000000000001E-4</v>
      </c>
      <c r="M7" s="3">
        <v>58.470019999999998</v>
      </c>
      <c r="N7" s="3">
        <v>1.142E-2</v>
      </c>
      <c r="O7" s="5">
        <v>25.350819999999999</v>
      </c>
      <c r="P7" s="5">
        <v>3.0488200000000001</v>
      </c>
      <c r="Q7" s="3">
        <f t="shared" si="1"/>
        <v>3.8813</v>
      </c>
      <c r="R7" s="3">
        <v>5.4982100000000003</v>
      </c>
      <c r="S7" s="3">
        <v>6.4599999999999996E-3</v>
      </c>
      <c r="T7" s="3">
        <v>5.5350900000000003</v>
      </c>
      <c r="U7" s="3">
        <v>3.7699999999999999E-3</v>
      </c>
      <c r="V7" s="3">
        <v>7.8220599999999996</v>
      </c>
      <c r="W7" s="3">
        <v>8.77E-3</v>
      </c>
      <c r="X7" s="3">
        <v>238.04947000000001</v>
      </c>
      <c r="Y7" s="3">
        <v>0.41925000000000001</v>
      </c>
      <c r="Z7" s="5">
        <v>19.134810000000002</v>
      </c>
      <c r="AA7" s="5">
        <v>1.2105600000000001</v>
      </c>
      <c r="AB7" s="3">
        <f t="shared" si="2"/>
        <v>3.9042331309925102</v>
      </c>
      <c r="AC7" s="5">
        <f t="shared" si="3"/>
        <v>100</v>
      </c>
      <c r="AD7" s="3">
        <f t="shared" si="4"/>
        <v>3.8941322306148503</v>
      </c>
      <c r="AE7" s="3">
        <f t="shared" si="5"/>
        <v>6.350222164864844E-4</v>
      </c>
    </row>
    <row r="8" spans="1:31" ht="15" customHeight="1" x14ac:dyDescent="0.25">
      <c r="A8" s="4">
        <v>400</v>
      </c>
      <c r="B8" s="3">
        <v>5.5172299999999996</v>
      </c>
      <c r="C8" s="3">
        <v>1.33E-3</v>
      </c>
      <c r="D8" s="3">
        <v>13.535209999999999</v>
      </c>
      <c r="E8" s="3">
        <v>4.5300000000000002E-3</v>
      </c>
      <c r="F8" s="3">
        <v>356.08300000000003</v>
      </c>
      <c r="G8" s="3">
        <v>0.21489</v>
      </c>
      <c r="H8" s="5">
        <v>57.869669999999999</v>
      </c>
      <c r="I8" s="5">
        <v>1.8236399999999999</v>
      </c>
      <c r="J8" s="3">
        <f t="shared" si="0"/>
        <v>3.9032733537502557</v>
      </c>
      <c r="K8" s="3">
        <v>3.8872300000000002</v>
      </c>
      <c r="L8" s="3">
        <v>2.5000000000000001E-4</v>
      </c>
      <c r="M8" s="3">
        <v>58.738370000000003</v>
      </c>
      <c r="N8" s="3">
        <v>1.1480000000000001E-2</v>
      </c>
      <c r="O8" s="5">
        <v>24.448740000000001</v>
      </c>
      <c r="P8" s="5">
        <v>1.95916</v>
      </c>
      <c r="Q8" s="3">
        <f t="shared" si="1"/>
        <v>3.8872300000000002</v>
      </c>
      <c r="R8" s="3">
        <v>5.5072999999999999</v>
      </c>
      <c r="S8" s="3">
        <v>7.0800000000000004E-3</v>
      </c>
      <c r="T8" s="3">
        <v>5.5424600000000002</v>
      </c>
      <c r="U8" s="3">
        <v>4.1599999999999996E-3</v>
      </c>
      <c r="V8" s="3">
        <v>7.8382899999999998</v>
      </c>
      <c r="W8" s="3">
        <v>9.6500000000000006E-3</v>
      </c>
      <c r="X8" s="3">
        <v>239.25585000000001</v>
      </c>
      <c r="Y8" s="3">
        <v>0.46221000000000001</v>
      </c>
      <c r="Z8" s="5">
        <v>17.68159</v>
      </c>
      <c r="AA8" s="5">
        <v>0.99280000000000002</v>
      </c>
      <c r="AB8" s="3">
        <f t="shared" si="2"/>
        <v>3.9108172732292936</v>
      </c>
      <c r="AC8" s="5">
        <f t="shared" si="3"/>
        <v>100</v>
      </c>
      <c r="AD8" s="3">
        <f t="shared" si="4"/>
        <v>3.9006848408167887</v>
      </c>
      <c r="AE8" s="3">
        <f t="shared" si="5"/>
        <v>6.3031239126349443E-4</v>
      </c>
    </row>
    <row r="9" spans="1:31" ht="15" customHeight="1" x14ac:dyDescent="0.25">
      <c r="A9" s="4">
        <v>500</v>
      </c>
      <c r="B9" s="3">
        <v>5.5260499999999997</v>
      </c>
      <c r="C9" s="3">
        <v>1.25E-3</v>
      </c>
      <c r="D9" s="3">
        <v>13.55951</v>
      </c>
      <c r="E9" s="3">
        <v>4.1999999999999997E-3</v>
      </c>
      <c r="F9" s="3">
        <v>357.92836999999997</v>
      </c>
      <c r="G9" s="3">
        <v>0.20183999999999999</v>
      </c>
      <c r="H9" s="5">
        <v>60.349820000000001</v>
      </c>
      <c r="I9" s="5">
        <v>2.8471799999999998</v>
      </c>
      <c r="J9" s="3">
        <f t="shared" si="0"/>
        <v>3.9097694102138507</v>
      </c>
      <c r="K9" s="3">
        <v>3.8931499999999999</v>
      </c>
      <c r="L9" s="3">
        <v>2.5999999999999998E-4</v>
      </c>
      <c r="M9" s="3">
        <v>59.006869999999999</v>
      </c>
      <c r="N9" s="3">
        <v>1.2030000000000001E-2</v>
      </c>
      <c r="O9" s="5">
        <v>23.300730000000001</v>
      </c>
      <c r="P9" s="5">
        <v>3.3517399999999999</v>
      </c>
      <c r="Q9" s="3">
        <f t="shared" si="1"/>
        <v>3.8931499999999999</v>
      </c>
      <c r="R9" s="3">
        <v>5.51389</v>
      </c>
      <c r="S9" s="3">
        <v>7.8300000000000002E-3</v>
      </c>
      <c r="T9" s="3">
        <v>5.5493199999999998</v>
      </c>
      <c r="U9" s="3">
        <v>4.5999999999999999E-3</v>
      </c>
      <c r="V9" s="3">
        <v>7.8560299999999996</v>
      </c>
      <c r="W9" s="3">
        <v>1.0749999999999999E-2</v>
      </c>
      <c r="X9" s="3">
        <v>240.38150999999999</v>
      </c>
      <c r="Y9" s="3">
        <v>0.51420999999999994</v>
      </c>
      <c r="Z9" s="5">
        <v>16.349450000000001</v>
      </c>
      <c r="AA9" s="5">
        <v>1.1363700000000001</v>
      </c>
      <c r="AB9" s="3">
        <f t="shared" si="2"/>
        <v>3.9169409334622411</v>
      </c>
      <c r="AC9" s="5">
        <f t="shared" si="3"/>
        <v>100.00000000000001</v>
      </c>
      <c r="AD9" s="3">
        <f t="shared" si="4"/>
        <v>3.9070694709200624</v>
      </c>
      <c r="AE9" s="3">
        <f t="shared" si="5"/>
        <v>6.3097890547079039E-4</v>
      </c>
    </row>
    <row r="10" spans="1:31" ht="15" customHeight="1" x14ac:dyDescent="0.25">
      <c r="A10" s="4">
        <v>600</v>
      </c>
      <c r="B10" s="3">
        <v>5.5364300000000002</v>
      </c>
      <c r="C10" s="3">
        <v>1.16E-3</v>
      </c>
      <c r="D10" s="3">
        <v>13.58643</v>
      </c>
      <c r="E10" s="3">
        <v>3.7399999999999998E-3</v>
      </c>
      <c r="F10" s="3">
        <v>360.02082999999999</v>
      </c>
      <c r="G10" s="3">
        <v>0.18587000000000001</v>
      </c>
      <c r="H10" s="5">
        <v>63.011400000000002</v>
      </c>
      <c r="I10" s="5">
        <v>1.7678</v>
      </c>
      <c r="J10" s="3">
        <f t="shared" si="0"/>
        <v>3.9172529673474261</v>
      </c>
      <c r="K10" s="3">
        <v>3.9004400000000001</v>
      </c>
      <c r="L10" s="3">
        <v>2.7999999999999998E-4</v>
      </c>
      <c r="M10" s="3">
        <v>59.339260000000003</v>
      </c>
      <c r="N10" s="3">
        <v>1.2630000000000001E-2</v>
      </c>
      <c r="O10" s="5">
        <v>22.72411</v>
      </c>
      <c r="P10" s="5">
        <v>1.78948</v>
      </c>
      <c r="Q10" s="3">
        <f t="shared" si="1"/>
        <v>3.9004400000000001</v>
      </c>
      <c r="R10" s="3">
        <v>5.5177699999999996</v>
      </c>
      <c r="S10" s="3">
        <v>8.9200000000000008E-3</v>
      </c>
      <c r="T10" s="3">
        <v>5.5604100000000001</v>
      </c>
      <c r="U10" s="3">
        <v>5.3299999999999997E-3</v>
      </c>
      <c r="V10" s="3">
        <v>7.8771199999999997</v>
      </c>
      <c r="W10" s="3">
        <v>1.225E-2</v>
      </c>
      <c r="X10" s="3">
        <v>241.67851999999999</v>
      </c>
      <c r="Y10" s="3">
        <v>0.58957999999999999</v>
      </c>
      <c r="Z10" s="5">
        <v>14.26449</v>
      </c>
      <c r="AA10" s="5">
        <v>0.93145999999999995</v>
      </c>
      <c r="AB10" s="3">
        <f t="shared" si="2"/>
        <v>3.9239730906479764</v>
      </c>
      <c r="AC10" s="5">
        <f t="shared" si="3"/>
        <v>100</v>
      </c>
      <c r="AD10" s="3">
        <f t="shared" si="4"/>
        <v>3.9143909614693273</v>
      </c>
      <c r="AE10" s="3">
        <f t="shared" si="5"/>
        <v>6.1755043331967964E-4</v>
      </c>
    </row>
    <row r="11" spans="1:31" ht="15" customHeight="1" x14ac:dyDescent="0.25">
      <c r="A11" s="4">
        <v>700</v>
      </c>
      <c r="B11" s="3">
        <v>5.5444199999999997</v>
      </c>
      <c r="C11" s="3">
        <v>1.1000000000000001E-3</v>
      </c>
      <c r="D11" s="3">
        <v>13.60901</v>
      </c>
      <c r="E11" s="3">
        <v>3.13E-3</v>
      </c>
      <c r="F11" s="3">
        <v>361.74932999999999</v>
      </c>
      <c r="G11" s="3">
        <v>0.17130000000000001</v>
      </c>
      <c r="H11" s="5">
        <v>65.222189999999998</v>
      </c>
      <c r="I11" s="5">
        <v>1.92943</v>
      </c>
      <c r="J11" s="3">
        <f t="shared" si="0"/>
        <v>3.9231922509815966</v>
      </c>
      <c r="K11" s="3">
        <v>3.90808</v>
      </c>
      <c r="L11" s="3">
        <v>3.1E-4</v>
      </c>
      <c r="M11" s="3">
        <v>59.688540000000003</v>
      </c>
      <c r="N11" s="3">
        <v>1.4019999999999999E-2</v>
      </c>
      <c r="O11" s="5">
        <v>22.341149999999999</v>
      </c>
      <c r="P11" s="5">
        <v>2.01945</v>
      </c>
      <c r="Q11" s="3">
        <f t="shared" si="1"/>
        <v>3.90808</v>
      </c>
      <c r="R11" s="3">
        <v>5.5213000000000001</v>
      </c>
      <c r="S11" s="3">
        <v>1.023E-2</v>
      </c>
      <c r="T11" s="3">
        <v>5.5643700000000003</v>
      </c>
      <c r="U11" s="3">
        <v>6.28E-3</v>
      </c>
      <c r="V11" s="3">
        <v>7.90022</v>
      </c>
      <c r="W11" s="3">
        <v>1.3679999999999999E-2</v>
      </c>
      <c r="X11" s="3">
        <v>242.71518</v>
      </c>
      <c r="Y11" s="3">
        <v>0.67369000000000001</v>
      </c>
      <c r="Z11" s="5">
        <v>12.43666</v>
      </c>
      <c r="AA11" s="5">
        <v>0.88780000000000003</v>
      </c>
      <c r="AB11" s="3">
        <f t="shared" si="2"/>
        <v>3.9295756069767616</v>
      </c>
      <c r="AC11" s="5">
        <f t="shared" si="3"/>
        <v>100</v>
      </c>
      <c r="AD11" s="3">
        <f t="shared" si="4"/>
        <v>3.9206098766031299</v>
      </c>
      <c r="AE11" s="3">
        <f t="shared" si="5"/>
        <v>6.0184413656452676E-4</v>
      </c>
    </row>
    <row r="12" spans="1:31" ht="15" customHeight="1" x14ac:dyDescent="0.25">
      <c r="A12" s="4">
        <v>800</v>
      </c>
      <c r="B12" s="3">
        <v>5.5540000000000003</v>
      </c>
      <c r="C12" s="3">
        <v>1.1000000000000001E-3</v>
      </c>
      <c r="D12" s="3">
        <v>13.637119999999999</v>
      </c>
      <c r="E12" s="3">
        <v>2.7000000000000001E-3</v>
      </c>
      <c r="F12" s="3">
        <v>363.70359999999999</v>
      </c>
      <c r="G12" s="3">
        <v>0.16714999999999999</v>
      </c>
      <c r="H12" s="5">
        <v>65.565420000000003</v>
      </c>
      <c r="I12" s="5">
        <v>4.2562199999999999</v>
      </c>
      <c r="J12" s="3">
        <f t="shared" si="0"/>
        <v>3.9304131923019283</v>
      </c>
      <c r="K12" s="3">
        <v>3.9175300000000002</v>
      </c>
      <c r="L12" s="3">
        <v>3.6000000000000002E-4</v>
      </c>
      <c r="M12" s="3">
        <v>60.122540000000001</v>
      </c>
      <c r="N12" s="3">
        <v>1.669E-2</v>
      </c>
      <c r="O12" s="5">
        <v>24.535119999999999</v>
      </c>
      <c r="P12" s="5">
        <v>4.8110400000000002</v>
      </c>
      <c r="Q12" s="3">
        <f t="shared" si="1"/>
        <v>3.9175300000000002</v>
      </c>
      <c r="R12" s="3">
        <v>5.5807799999999999</v>
      </c>
      <c r="S12" s="3">
        <v>9.8899999999999995E-3</v>
      </c>
      <c r="T12" s="3">
        <v>5.5306100000000002</v>
      </c>
      <c r="U12" s="3">
        <v>6.1599999999999997E-3</v>
      </c>
      <c r="V12" s="3">
        <v>7.8981000000000003</v>
      </c>
      <c r="W12" s="3">
        <v>1.337E-2</v>
      </c>
      <c r="X12" s="3">
        <v>243.77579</v>
      </c>
      <c r="Y12" s="3">
        <v>0.65617000000000003</v>
      </c>
      <c r="Z12" s="5">
        <v>9.8994700000000009</v>
      </c>
      <c r="AA12" s="5">
        <v>1.0042</v>
      </c>
      <c r="AB12" s="3">
        <f t="shared" si="2"/>
        <v>3.935291073115029</v>
      </c>
      <c r="AC12" s="5">
        <f t="shared" si="3"/>
        <v>100.00001</v>
      </c>
      <c r="AD12" s="3">
        <f t="shared" si="4"/>
        <v>3.9277351702263497</v>
      </c>
      <c r="AE12" s="3">
        <f t="shared" si="5"/>
        <v>5.2400896911005432E-4</v>
      </c>
    </row>
    <row r="14" spans="1:31" x14ac:dyDescent="0.25">
      <c r="AD14" s="9" t="s">
        <v>68</v>
      </c>
    </row>
    <row r="15" spans="1:31" ht="15" customHeight="1" x14ac:dyDescent="0.25">
      <c r="A15" s="7" t="s">
        <v>69</v>
      </c>
      <c r="AD15">
        <f>(1000000/700)*(AD12-AD5)/AD5</f>
        <v>15.939520150863903</v>
      </c>
    </row>
    <row r="16" spans="1:31" ht="15" customHeight="1" x14ac:dyDescent="0.25">
      <c r="A16" s="13" t="s">
        <v>3</v>
      </c>
      <c r="B16" s="11">
        <f>MIN(A4:A12)</f>
        <v>26</v>
      </c>
    </row>
    <row r="17" spans="1:16" ht="15" customHeight="1" x14ac:dyDescent="0.25">
      <c r="A17" s="13" t="s">
        <v>4</v>
      </c>
      <c r="B17" s="11">
        <f>MAX(A4:A12)</f>
        <v>800</v>
      </c>
    </row>
    <row r="18" spans="1:16" ht="15" customHeight="1" x14ac:dyDescent="0.25">
      <c r="A18" s="13" t="s">
        <v>70</v>
      </c>
      <c r="B18" s="11">
        <f>INDEX(AD4:AD12,MATCH(MIN(A4:A12),A4:A12,0))</f>
        <v>3.8817689669399669</v>
      </c>
    </row>
    <row r="19" spans="1:16" ht="15" customHeight="1" x14ac:dyDescent="0.25">
      <c r="A19" s="13" t="s">
        <v>71</v>
      </c>
      <c r="B19" s="11">
        <f>INDEX(AD4:AD12,MATCH(MAX(A4:A12),A4:A12,0))</f>
        <v>3.9277351702263497</v>
      </c>
    </row>
    <row r="20" spans="1:16" ht="15" customHeight="1" x14ac:dyDescent="0.25">
      <c r="A20" s="13" t="s">
        <v>72</v>
      </c>
      <c r="B20" s="11">
        <f>SLOPE(AD4:AD12,A4:A12)</f>
        <v>6.0770656112145655E-5</v>
      </c>
    </row>
    <row r="21" spans="1:16" ht="15" customHeight="1" x14ac:dyDescent="0.25">
      <c r="A21" s="13" t="s">
        <v>73</v>
      </c>
      <c r="B21" s="14">
        <f>RSQ(AD4:AD12,A4:A12)</f>
        <v>0.99203522319638038</v>
      </c>
    </row>
    <row r="22" spans="1:16" ht="15" customHeight="1" x14ac:dyDescent="0.25">
      <c r="A22" s="13" t="s">
        <v>74</v>
      </c>
      <c r="B22" s="15">
        <f>B20/B18</f>
        <v>1.5655402634652858E-5</v>
      </c>
    </row>
    <row r="23" spans="1:16" ht="15" customHeight="1" x14ac:dyDescent="0.25">
      <c r="A23" s="13" t="s">
        <v>75</v>
      </c>
      <c r="B23" s="10">
        <f>B22*1000000</f>
        <v>15.655402634652857</v>
      </c>
    </row>
    <row r="24" spans="1:16" ht="15" customHeight="1" x14ac:dyDescent="0.25">
      <c r="A24" s="13" t="s">
        <v>76</v>
      </c>
      <c r="B24" s="15">
        <f>(B19-B18)/(B18*(B17-B16))</f>
        <v>1.5299174177783742E-5</v>
      </c>
    </row>
    <row r="25" spans="1:16" ht="15" customHeight="1" x14ac:dyDescent="0.25">
      <c r="A25" s="13" t="s">
        <v>77</v>
      </c>
      <c r="B25" s="10">
        <f>B24*1000000</f>
        <v>15.299174177783742</v>
      </c>
    </row>
    <row r="27" spans="1:16" x14ac:dyDescent="0.25">
      <c r="A27" s="12" t="s">
        <v>78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</row>
  </sheetData>
  <mergeCells count="2">
    <mergeCell ref="A1:X1"/>
    <mergeCell ref="A27:P2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94275-C43D-419D-AE16-2CB60AB350C6}">
  <dimension ref="A1:AE27"/>
  <sheetViews>
    <sheetView workbookViewId="0">
      <selection sqref="A1:XFD1048576"/>
    </sheetView>
  </sheetViews>
  <sheetFormatPr defaultColWidth="8.7109375" defaultRowHeight="15" x14ac:dyDescent="0.25"/>
  <cols>
    <col min="1" max="1" width="9" customWidth="1"/>
    <col min="2" max="31" width="11" customWidth="1"/>
  </cols>
  <sheetData>
    <row r="1" spans="1:31" ht="15.75" x14ac:dyDescent="0.25">
      <c r="A1" s="6" t="s">
        <v>82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</row>
    <row r="2" spans="1:31" ht="15" customHeight="1" x14ac:dyDescent="0.25">
      <c r="B2" s="7" t="s">
        <v>53</v>
      </c>
      <c r="K2" s="7" t="s">
        <v>54</v>
      </c>
      <c r="P2" s="7" t="s">
        <v>55</v>
      </c>
    </row>
    <row r="3" spans="1:31" ht="60" x14ac:dyDescent="0.25">
      <c r="A3" s="1" t="s">
        <v>27</v>
      </c>
      <c r="B3" s="1" t="s">
        <v>28</v>
      </c>
      <c r="C3" s="1" t="s">
        <v>29</v>
      </c>
      <c r="D3" s="1" t="s">
        <v>30</v>
      </c>
      <c r="E3" s="1" t="s">
        <v>29</v>
      </c>
      <c r="F3" s="1" t="s">
        <v>56</v>
      </c>
      <c r="G3" s="1" t="s">
        <v>29</v>
      </c>
      <c r="H3" s="1" t="s">
        <v>32</v>
      </c>
      <c r="I3" s="1" t="s">
        <v>29</v>
      </c>
      <c r="J3" s="1" t="s">
        <v>31</v>
      </c>
      <c r="K3" s="1" t="s">
        <v>33</v>
      </c>
      <c r="L3" s="1" t="s">
        <v>29</v>
      </c>
      <c r="M3" s="1" t="s">
        <v>57</v>
      </c>
      <c r="N3" s="1" t="s">
        <v>29</v>
      </c>
      <c r="O3" s="1" t="s">
        <v>34</v>
      </c>
      <c r="P3" s="1" t="s">
        <v>29</v>
      </c>
      <c r="Q3" s="1" t="s">
        <v>58</v>
      </c>
      <c r="R3" s="1" t="s">
        <v>59</v>
      </c>
      <c r="S3" s="1" t="s">
        <v>29</v>
      </c>
      <c r="T3" s="1" t="s">
        <v>60</v>
      </c>
      <c r="U3" s="1" t="s">
        <v>29</v>
      </c>
      <c r="V3" s="1" t="s">
        <v>61</v>
      </c>
      <c r="W3" s="1" t="s">
        <v>29</v>
      </c>
      <c r="X3" s="1" t="s">
        <v>62</v>
      </c>
      <c r="Y3" s="1" t="s">
        <v>29</v>
      </c>
      <c r="Z3" s="1" t="s">
        <v>63</v>
      </c>
      <c r="AA3" s="1" t="s">
        <v>29</v>
      </c>
      <c r="AB3" s="1" t="s">
        <v>64</v>
      </c>
      <c r="AC3" s="1" t="s">
        <v>65</v>
      </c>
      <c r="AD3" s="1" t="s">
        <v>66</v>
      </c>
      <c r="AE3" s="1" t="s">
        <v>67</v>
      </c>
    </row>
    <row r="4" spans="1:31" ht="15" customHeight="1" x14ac:dyDescent="0.25">
      <c r="A4" s="4">
        <v>22</v>
      </c>
      <c r="B4" s="3">
        <v>5.4599900000000003</v>
      </c>
      <c r="C4" s="3">
        <v>1.0499999999999999E-3</v>
      </c>
      <c r="D4" s="3">
        <v>13.35749</v>
      </c>
      <c r="E4" s="3">
        <v>4.7499999999999999E-3</v>
      </c>
      <c r="F4" s="3">
        <v>345.2294</v>
      </c>
      <c r="G4" s="3">
        <v>0.1845</v>
      </c>
      <c r="H4" s="5">
        <v>18.873239999999999</v>
      </c>
      <c r="I4" s="5">
        <v>1.0032099999999999</v>
      </c>
      <c r="J4" s="3">
        <f t="shared" ref="J4:J12" si="0">(2*(B4/SQRT(2))+(D4/(2*SQRT(3))))/3</f>
        <v>3.8591890440067806</v>
      </c>
      <c r="K4" s="3">
        <v>3.8581599999999998</v>
      </c>
      <c r="L4" s="3">
        <v>1.2E-4</v>
      </c>
      <c r="M4" s="3">
        <v>57.430210000000002</v>
      </c>
      <c r="N4" s="3">
        <v>5.2199999999999998E-3</v>
      </c>
      <c r="O4" s="5">
        <v>63.478160000000003</v>
      </c>
      <c r="P4" s="5">
        <v>0.98126999999999998</v>
      </c>
      <c r="Q4" s="3">
        <f t="shared" ref="Q4:Q12" si="1">K4</f>
        <v>3.8581599999999998</v>
      </c>
      <c r="R4" s="3">
        <v>5.4415500000000003</v>
      </c>
      <c r="S4" s="3">
        <v>2.5799999999999998E-3</v>
      </c>
      <c r="T4" s="3">
        <v>5.4997499999999997</v>
      </c>
      <c r="U4" s="3">
        <v>1.92E-3</v>
      </c>
      <c r="V4" s="3">
        <v>7.6384600000000002</v>
      </c>
      <c r="W4" s="3">
        <v>3.46E-3</v>
      </c>
      <c r="X4" s="3">
        <v>228.59728000000001</v>
      </c>
      <c r="Y4" s="3">
        <v>0.16991999999999999</v>
      </c>
      <c r="Z4" s="5">
        <v>17.648589999999999</v>
      </c>
      <c r="AA4" s="5">
        <v>0.61065999999999998</v>
      </c>
      <c r="AB4" s="3">
        <f t="shared" ref="AB4:AB12" si="2">(X4/4)^(1/3)</f>
        <v>3.8518587752359301</v>
      </c>
      <c r="AC4" s="5">
        <f t="shared" ref="AC4:AC12" si="3">H4+O4+Z4</f>
        <v>99.999989999999997</v>
      </c>
      <c r="AD4" s="3">
        <f t="shared" ref="AD4:AD12" si="4">(J4*H4+Q4*O4+AB4*Z4)/AC4</f>
        <v>3.85724213652973</v>
      </c>
      <c r="AE4" s="3">
        <f t="shared" ref="AE4:AE12" si="5">SQRT(((H4/AC4)*C4/SQRT(2)*2/3)^2+((H4/AC4)*E4/(2*SQRT(3))*1/3)^2+((O4/AC4)*L4)^2+((Z4/AC4)*AB4/(3*X4)*Y4)^2)</f>
        <v>2.2436832189856755E-4</v>
      </c>
    </row>
    <row r="5" spans="1:31" ht="15" customHeight="1" x14ac:dyDescent="0.25">
      <c r="A5" s="4">
        <v>100</v>
      </c>
      <c r="B5" s="3">
        <v>5.4641599999999997</v>
      </c>
      <c r="C5" s="3">
        <v>1.1999999999999999E-3</v>
      </c>
      <c r="D5" s="3">
        <v>13.369149999999999</v>
      </c>
      <c r="E5" s="3">
        <v>5.5100000000000001E-3</v>
      </c>
      <c r="F5" s="3">
        <v>345.96915999999999</v>
      </c>
      <c r="G5" s="3">
        <v>0.21131</v>
      </c>
      <c r="H5" s="5">
        <v>18.810939999999999</v>
      </c>
      <c r="I5" s="5">
        <v>1.04016</v>
      </c>
      <c r="J5" s="3">
        <f t="shared" si="0"/>
        <v>3.8622767848816042</v>
      </c>
      <c r="K5" s="3">
        <v>3.8614299999999999</v>
      </c>
      <c r="L5" s="3">
        <v>1.1E-4</v>
      </c>
      <c r="M5" s="3">
        <v>57.576369999999997</v>
      </c>
      <c r="N5" s="3">
        <v>5.13E-3</v>
      </c>
      <c r="O5" s="5">
        <v>64.725819999999999</v>
      </c>
      <c r="P5" s="5">
        <v>1.05067</v>
      </c>
      <c r="Q5" s="3">
        <f t="shared" si="1"/>
        <v>3.8614299999999999</v>
      </c>
      <c r="R5" s="3">
        <v>5.4461899999999996</v>
      </c>
      <c r="S5" s="3">
        <v>2.7000000000000001E-3</v>
      </c>
      <c r="T5" s="3">
        <v>5.5026299999999999</v>
      </c>
      <c r="U5" s="3">
        <v>1.98E-3</v>
      </c>
      <c r="V5" s="3">
        <v>7.6411800000000003</v>
      </c>
      <c r="W5" s="3">
        <v>3.5500000000000002E-3</v>
      </c>
      <c r="X5" s="3">
        <v>228.99386999999999</v>
      </c>
      <c r="Y5" s="3">
        <v>0.17618</v>
      </c>
      <c r="Z5" s="5">
        <v>16.463239999999999</v>
      </c>
      <c r="AA5" s="5">
        <v>0.61594000000000004</v>
      </c>
      <c r="AB5" s="3">
        <f t="shared" si="2"/>
        <v>3.8540849990324455</v>
      </c>
      <c r="AC5" s="5">
        <f t="shared" si="3"/>
        <v>100</v>
      </c>
      <c r="AD5" s="3">
        <f t="shared" si="4"/>
        <v>3.8603800630587166</v>
      </c>
      <c r="AE5" s="3">
        <f t="shared" si="5"/>
        <v>2.2982236813081223E-4</v>
      </c>
    </row>
    <row r="6" spans="1:31" ht="15" customHeight="1" x14ac:dyDescent="0.25">
      <c r="A6" s="4">
        <v>200</v>
      </c>
      <c r="B6" s="3">
        <v>5.4700300000000004</v>
      </c>
      <c r="C6" s="3">
        <v>1.06E-3</v>
      </c>
      <c r="D6" s="3">
        <v>13.38391</v>
      </c>
      <c r="E6" s="3">
        <v>4.8199999999999996E-3</v>
      </c>
      <c r="F6" s="3">
        <v>347.14886000000001</v>
      </c>
      <c r="G6" s="3">
        <v>0.18698999999999999</v>
      </c>
      <c r="H6" s="5">
        <v>19.01277</v>
      </c>
      <c r="I6" s="5">
        <v>1.02495</v>
      </c>
      <c r="J6" s="3">
        <f t="shared" si="0"/>
        <v>3.8664642110808547</v>
      </c>
      <c r="K6" s="3">
        <v>3.86625</v>
      </c>
      <c r="L6" s="3">
        <v>1.1E-4</v>
      </c>
      <c r="M6" s="3">
        <v>57.79213</v>
      </c>
      <c r="N6" s="3">
        <v>4.8999999999999998E-3</v>
      </c>
      <c r="O6" s="5">
        <v>65.225499999999997</v>
      </c>
      <c r="P6" s="5">
        <v>1.0417099999999999</v>
      </c>
      <c r="Q6" s="3">
        <f t="shared" si="1"/>
        <v>3.86625</v>
      </c>
      <c r="R6" s="3">
        <v>5.4496900000000004</v>
      </c>
      <c r="S6" s="3">
        <v>2.81E-3</v>
      </c>
      <c r="T6" s="3">
        <v>5.50908</v>
      </c>
      <c r="U6" s="3">
        <v>2.0799999999999998E-3</v>
      </c>
      <c r="V6" s="3">
        <v>7.6487800000000004</v>
      </c>
      <c r="W6" s="3">
        <v>3.7299999999999998E-3</v>
      </c>
      <c r="X6" s="3">
        <v>229.63741999999999</v>
      </c>
      <c r="Y6" s="3">
        <v>0.18448999999999999</v>
      </c>
      <c r="Z6" s="5">
        <v>15.76173</v>
      </c>
      <c r="AA6" s="5">
        <v>0.59838999999999998</v>
      </c>
      <c r="AB6" s="3">
        <f t="shared" si="2"/>
        <v>3.8576920483277348</v>
      </c>
      <c r="AC6" s="5">
        <f t="shared" si="3"/>
        <v>100</v>
      </c>
      <c r="AD6" s="3">
        <f t="shared" si="4"/>
        <v>3.8649418462240046</v>
      </c>
      <c r="AE6" s="3">
        <f t="shared" si="5"/>
        <v>2.2014561651656191E-4</v>
      </c>
    </row>
    <row r="7" spans="1:31" ht="15" customHeight="1" x14ac:dyDescent="0.25">
      <c r="A7" s="4">
        <v>300</v>
      </c>
      <c r="B7" s="3">
        <v>5.4774799999999999</v>
      </c>
      <c r="C7" s="3">
        <v>9.6000000000000002E-4</v>
      </c>
      <c r="D7" s="3">
        <v>13.398239999999999</v>
      </c>
      <c r="E7" s="3">
        <v>4.2199999999999998E-3</v>
      </c>
      <c r="F7" s="3">
        <v>348.45719000000003</v>
      </c>
      <c r="G7" s="3">
        <v>0.16696</v>
      </c>
      <c r="H7" s="5">
        <v>18.877089999999999</v>
      </c>
      <c r="I7" s="5">
        <v>1.01034</v>
      </c>
      <c r="J7" s="3">
        <f t="shared" si="0"/>
        <v>3.8713550796536622</v>
      </c>
      <c r="K7" s="3">
        <v>3.8711000000000002</v>
      </c>
      <c r="L7" s="3">
        <v>1.1E-4</v>
      </c>
      <c r="M7" s="3">
        <v>58.010120000000001</v>
      </c>
      <c r="N7" s="3">
        <v>4.8500000000000001E-3</v>
      </c>
      <c r="O7" s="5">
        <v>67.020880000000005</v>
      </c>
      <c r="P7" s="5">
        <v>1.0745400000000001</v>
      </c>
      <c r="Q7" s="3">
        <f t="shared" si="1"/>
        <v>3.8711000000000002</v>
      </c>
      <c r="R7" s="3">
        <v>5.4556100000000001</v>
      </c>
      <c r="S7" s="3">
        <v>2.9199999999999999E-3</v>
      </c>
      <c r="T7" s="3">
        <v>5.5147000000000004</v>
      </c>
      <c r="U7" s="3">
        <v>2.15E-3</v>
      </c>
      <c r="V7" s="3">
        <v>7.6572899999999997</v>
      </c>
      <c r="W7" s="3">
        <v>3.8400000000000001E-3</v>
      </c>
      <c r="X7" s="3">
        <v>230.37780000000001</v>
      </c>
      <c r="Y7" s="3">
        <v>0.19137000000000001</v>
      </c>
      <c r="Z7" s="5">
        <v>14.102029999999999</v>
      </c>
      <c r="AA7" s="5">
        <v>0.58645000000000003</v>
      </c>
      <c r="AB7" s="3">
        <f t="shared" si="2"/>
        <v>3.8618334958716551</v>
      </c>
      <c r="AC7" s="5">
        <f t="shared" si="3"/>
        <v>100</v>
      </c>
      <c r="AD7" s="3">
        <f t="shared" si="4"/>
        <v>3.8698413864236629</v>
      </c>
      <c r="AE7" s="3">
        <f t="shared" si="5"/>
        <v>2.0334213425814293E-4</v>
      </c>
    </row>
    <row r="8" spans="1:31" ht="15" customHeight="1" x14ac:dyDescent="0.25">
      <c r="A8" s="4">
        <v>400</v>
      </c>
      <c r="B8" s="3">
        <v>5.4868800000000002</v>
      </c>
      <c r="C8" s="3">
        <v>9.8999999999999999E-4</v>
      </c>
      <c r="D8" s="3">
        <v>13.425610000000001</v>
      </c>
      <c r="E8" s="3">
        <v>4.5199999999999997E-3</v>
      </c>
      <c r="F8" s="3">
        <v>350.33438999999998</v>
      </c>
      <c r="G8" s="3">
        <v>0.17573</v>
      </c>
      <c r="H8" s="5">
        <v>18.288499999999999</v>
      </c>
      <c r="I8" s="5">
        <v>0.90217000000000003</v>
      </c>
      <c r="J8" s="3">
        <f t="shared" si="0"/>
        <v>3.8784199616270509</v>
      </c>
      <c r="K8" s="3">
        <v>3.8777300000000001</v>
      </c>
      <c r="L8" s="3">
        <v>1E-4</v>
      </c>
      <c r="M8" s="3">
        <v>58.308630000000001</v>
      </c>
      <c r="N8" s="3">
        <v>4.5999999999999999E-3</v>
      </c>
      <c r="O8" s="5">
        <v>68.593720000000005</v>
      </c>
      <c r="P8" s="5">
        <v>0.91786999999999996</v>
      </c>
      <c r="Q8" s="3">
        <f t="shared" si="1"/>
        <v>3.8777300000000001</v>
      </c>
      <c r="R8" s="3">
        <v>5.4607799999999997</v>
      </c>
      <c r="S8" s="3">
        <v>3.14E-3</v>
      </c>
      <c r="T8" s="3">
        <v>5.5179900000000002</v>
      </c>
      <c r="U8" s="3">
        <v>2.32E-3</v>
      </c>
      <c r="V8" s="3">
        <v>7.6699599999999997</v>
      </c>
      <c r="W8" s="3">
        <v>4.1900000000000001E-3</v>
      </c>
      <c r="X8" s="3">
        <v>231.11553000000001</v>
      </c>
      <c r="Y8" s="3">
        <v>0.20755000000000001</v>
      </c>
      <c r="Z8" s="5">
        <v>13.11778</v>
      </c>
      <c r="AA8" s="5">
        <v>0.52707000000000004</v>
      </c>
      <c r="AB8" s="3">
        <f t="shared" si="2"/>
        <v>3.8659513040293927</v>
      </c>
      <c r="AC8" s="5">
        <f t="shared" si="3"/>
        <v>100</v>
      </c>
      <c r="AD8" s="3">
        <f t="shared" si="4"/>
        <v>3.8763110802078704</v>
      </c>
      <c r="AE8" s="3">
        <f t="shared" si="5"/>
        <v>2.0337669864279565E-4</v>
      </c>
    </row>
    <row r="9" spans="1:31" ht="15" customHeight="1" x14ac:dyDescent="0.25">
      <c r="A9" s="4">
        <v>500</v>
      </c>
      <c r="B9" s="3">
        <v>5.4978400000000001</v>
      </c>
      <c r="C9" s="3">
        <v>8.8000000000000003E-4</v>
      </c>
      <c r="D9" s="3">
        <v>13.449730000000001</v>
      </c>
      <c r="E9" s="3">
        <v>3.9500000000000004E-3</v>
      </c>
      <c r="F9" s="3">
        <v>352.33915000000002</v>
      </c>
      <c r="G9" s="3">
        <v>0.15551000000000001</v>
      </c>
      <c r="H9" s="5">
        <v>17.47813</v>
      </c>
      <c r="I9" s="5">
        <v>0.87243000000000004</v>
      </c>
      <c r="J9" s="3">
        <f t="shared" si="0"/>
        <v>3.8859075032570636</v>
      </c>
      <c r="K9" s="3">
        <v>3.8843999999999999</v>
      </c>
      <c r="L9" s="3">
        <v>1E-4</v>
      </c>
      <c r="M9" s="3">
        <v>58.609900000000003</v>
      </c>
      <c r="N9" s="3">
        <v>4.5599999999999998E-3</v>
      </c>
      <c r="O9" s="5">
        <v>69.647829999999999</v>
      </c>
      <c r="P9" s="5">
        <v>0.92891999999999997</v>
      </c>
      <c r="Q9" s="3">
        <f t="shared" si="1"/>
        <v>3.8843999999999999</v>
      </c>
      <c r="R9" s="3">
        <v>5.4664999999999999</v>
      </c>
      <c r="S9" s="3">
        <v>3.2599999999999999E-3</v>
      </c>
      <c r="T9" s="3">
        <v>5.5274700000000001</v>
      </c>
      <c r="U9" s="3">
        <v>2.4299999999999999E-3</v>
      </c>
      <c r="V9" s="3">
        <v>7.6835500000000003</v>
      </c>
      <c r="W9" s="3">
        <v>4.4000000000000003E-3</v>
      </c>
      <c r="X9" s="3">
        <v>232.16544999999999</v>
      </c>
      <c r="Y9" s="3">
        <v>0.21743000000000001</v>
      </c>
      <c r="Z9" s="5">
        <v>12.874040000000001</v>
      </c>
      <c r="AA9" s="5">
        <v>0.53620999999999996</v>
      </c>
      <c r="AB9" s="3">
        <f t="shared" si="2"/>
        <v>3.8717965894191426</v>
      </c>
      <c r="AC9" s="5">
        <f t="shared" si="3"/>
        <v>100</v>
      </c>
      <c r="AD9" s="3">
        <f t="shared" si="4"/>
        <v>3.8830409152594796</v>
      </c>
      <c r="AE9" s="3">
        <f t="shared" si="5"/>
        <v>1.9681097570261688E-4</v>
      </c>
    </row>
    <row r="10" spans="1:31" ht="15" customHeight="1" x14ac:dyDescent="0.25">
      <c r="A10" s="4">
        <v>600</v>
      </c>
      <c r="B10" s="3">
        <v>5.5079599999999997</v>
      </c>
      <c r="C10" s="3">
        <v>9.7000000000000005E-4</v>
      </c>
      <c r="D10" s="3">
        <v>13.47753</v>
      </c>
      <c r="E10" s="3">
        <v>4.4600000000000004E-3</v>
      </c>
      <c r="F10" s="3">
        <v>354.31612000000001</v>
      </c>
      <c r="G10" s="3">
        <v>0.17319999999999999</v>
      </c>
      <c r="H10" s="5">
        <v>17.09835</v>
      </c>
      <c r="I10" s="5">
        <v>0.85423000000000004</v>
      </c>
      <c r="J10" s="3">
        <f t="shared" si="0"/>
        <v>3.8933531732547135</v>
      </c>
      <c r="K10" s="3">
        <v>3.8915999999999999</v>
      </c>
      <c r="L10" s="3">
        <v>1E-4</v>
      </c>
      <c r="M10" s="3">
        <v>58.936320000000002</v>
      </c>
      <c r="N10" s="3">
        <v>4.4900000000000001E-3</v>
      </c>
      <c r="O10" s="5">
        <v>71.594700000000003</v>
      </c>
      <c r="P10" s="5">
        <v>0.91030999999999995</v>
      </c>
      <c r="Q10" s="3">
        <f t="shared" si="1"/>
        <v>3.8915999999999999</v>
      </c>
      <c r="R10" s="3">
        <v>5.4693500000000004</v>
      </c>
      <c r="S10" s="3">
        <v>3.3899999999999998E-3</v>
      </c>
      <c r="T10" s="3">
        <v>5.5353199999999996</v>
      </c>
      <c r="U10" s="3">
        <v>2.5500000000000002E-3</v>
      </c>
      <c r="V10" s="3">
        <v>7.6981400000000004</v>
      </c>
      <c r="W10" s="3">
        <v>4.7099999999999998E-3</v>
      </c>
      <c r="X10" s="3">
        <v>233.05789999999999</v>
      </c>
      <c r="Y10" s="3">
        <v>0.22969000000000001</v>
      </c>
      <c r="Z10" s="5">
        <v>11.306950000000001</v>
      </c>
      <c r="AA10" s="5">
        <v>0.50458999999999998</v>
      </c>
      <c r="AB10" s="3">
        <f t="shared" si="2"/>
        <v>3.876751341540583</v>
      </c>
      <c r="AC10" s="5">
        <f t="shared" si="3"/>
        <v>100</v>
      </c>
      <c r="AD10" s="3">
        <f t="shared" si="4"/>
        <v>3.8902208333115205</v>
      </c>
      <c r="AE10" s="3">
        <f t="shared" si="5"/>
        <v>1.9328724242848023E-4</v>
      </c>
    </row>
    <row r="11" spans="1:31" ht="15" customHeight="1" x14ac:dyDescent="0.25">
      <c r="A11" s="4">
        <v>700</v>
      </c>
      <c r="B11" s="3">
        <v>5.5195400000000001</v>
      </c>
      <c r="C11" s="3">
        <v>6.3000000000000003E-4</v>
      </c>
      <c r="D11" s="3">
        <v>13.497059999999999</v>
      </c>
      <c r="E11" s="3">
        <v>2.66E-3</v>
      </c>
      <c r="F11" s="3">
        <v>356.41592000000003</v>
      </c>
      <c r="G11" s="3">
        <v>0.11082</v>
      </c>
      <c r="H11" s="5">
        <v>14.81193</v>
      </c>
      <c r="I11" s="5">
        <v>0.81093999999999999</v>
      </c>
      <c r="J11" s="3">
        <f t="shared" si="0"/>
        <v>3.900691312731686</v>
      </c>
      <c r="K11" s="3">
        <v>3.8992900000000001</v>
      </c>
      <c r="L11" s="3">
        <v>9.0000000000000006E-5</v>
      </c>
      <c r="M11" s="3">
        <v>59.286769999999997</v>
      </c>
      <c r="N11" s="3">
        <v>3.96E-3</v>
      </c>
      <c r="O11" s="5">
        <v>75.120159999999998</v>
      </c>
      <c r="P11" s="5">
        <v>0.86848000000000003</v>
      </c>
      <c r="Q11" s="3">
        <f t="shared" si="1"/>
        <v>3.8992900000000001</v>
      </c>
      <c r="R11" s="3">
        <v>5.4752400000000003</v>
      </c>
      <c r="S11" s="3">
        <v>3.62E-3</v>
      </c>
      <c r="T11" s="3">
        <v>5.5380900000000004</v>
      </c>
      <c r="U11" s="3">
        <v>2.6900000000000001E-3</v>
      </c>
      <c r="V11" s="3">
        <v>7.7108100000000004</v>
      </c>
      <c r="W11" s="3">
        <v>5.0499999999999998E-3</v>
      </c>
      <c r="X11" s="3">
        <v>233.81034</v>
      </c>
      <c r="Y11" s="3">
        <v>0.24543000000000001</v>
      </c>
      <c r="Z11" s="5">
        <v>10.067909999999999</v>
      </c>
      <c r="AA11" s="5">
        <v>0.46739000000000003</v>
      </c>
      <c r="AB11" s="3">
        <f t="shared" si="2"/>
        <v>3.8809189598919467</v>
      </c>
      <c r="AC11" s="5">
        <f t="shared" si="3"/>
        <v>100</v>
      </c>
      <c r="AD11" s="3">
        <f t="shared" si="4"/>
        <v>3.8976479816767564</v>
      </c>
      <c r="AE11" s="3">
        <f t="shared" si="5"/>
        <v>1.6320014502176568E-4</v>
      </c>
    </row>
    <row r="12" spans="1:31" ht="15" customHeight="1" x14ac:dyDescent="0.25">
      <c r="A12" s="4">
        <v>800</v>
      </c>
      <c r="B12" s="3">
        <v>5.5313400000000001</v>
      </c>
      <c r="C12" s="3">
        <v>5.2999999999999998E-4</v>
      </c>
      <c r="D12" s="3">
        <v>13.52281</v>
      </c>
      <c r="E12" s="3">
        <v>2.1800000000000001E-3</v>
      </c>
      <c r="F12" s="3">
        <v>358.60059000000001</v>
      </c>
      <c r="G12" s="3">
        <v>9.3229999999999993E-2</v>
      </c>
      <c r="H12" s="5">
        <v>14.161149999999999</v>
      </c>
      <c r="I12" s="5">
        <v>0.75194000000000005</v>
      </c>
      <c r="J12" s="3">
        <f t="shared" si="0"/>
        <v>3.9087316809822923</v>
      </c>
      <c r="K12" s="3">
        <v>3.9071500000000001</v>
      </c>
      <c r="L12" s="3">
        <v>8.0000000000000007E-5</v>
      </c>
      <c r="M12" s="3">
        <v>59.645769999999999</v>
      </c>
      <c r="N12" s="3">
        <v>3.7100000000000002E-3</v>
      </c>
      <c r="O12" s="5">
        <v>76.542100000000005</v>
      </c>
      <c r="P12" s="5">
        <v>0.81437000000000004</v>
      </c>
      <c r="Q12" s="3">
        <f t="shared" si="1"/>
        <v>3.9071500000000001</v>
      </c>
      <c r="R12" s="3">
        <v>5.4797599999999997</v>
      </c>
      <c r="S12" s="3">
        <v>3.4399999999999999E-3</v>
      </c>
      <c r="T12" s="3">
        <v>5.5465799999999996</v>
      </c>
      <c r="U12" s="3">
        <v>2.5799999999999998E-3</v>
      </c>
      <c r="V12" s="3">
        <v>7.7248400000000004</v>
      </c>
      <c r="W12" s="3">
        <v>4.9300000000000004E-3</v>
      </c>
      <c r="X12" s="3">
        <v>234.78809000000001</v>
      </c>
      <c r="Y12" s="3">
        <v>0.23688000000000001</v>
      </c>
      <c r="Z12" s="5">
        <v>9.2967499999999994</v>
      </c>
      <c r="AA12" s="5">
        <v>0.43357000000000001</v>
      </c>
      <c r="AB12" s="3">
        <f t="shared" si="2"/>
        <v>3.8863211894389091</v>
      </c>
      <c r="AC12" s="5">
        <f t="shared" si="3"/>
        <v>100</v>
      </c>
      <c r="AD12" s="3">
        <f t="shared" si="4"/>
        <v>3.905437581770586</v>
      </c>
      <c r="AE12" s="3">
        <f t="shared" si="5"/>
        <v>1.4369319717535059E-4</v>
      </c>
    </row>
    <row r="14" spans="1:31" x14ac:dyDescent="0.25">
      <c r="AD14" s="9" t="s">
        <v>68</v>
      </c>
    </row>
    <row r="15" spans="1:31" ht="15" customHeight="1" x14ac:dyDescent="0.25">
      <c r="A15" s="7" t="s">
        <v>69</v>
      </c>
      <c r="AD15">
        <f>(1000000/700)*(AD12-AD5)/AD5</f>
        <v>16.673975832083777</v>
      </c>
    </row>
    <row r="16" spans="1:31" ht="15" customHeight="1" x14ac:dyDescent="0.25">
      <c r="A16" s="13" t="s">
        <v>3</v>
      </c>
      <c r="B16" s="11">
        <f>MIN(A4:A12)</f>
        <v>22</v>
      </c>
    </row>
    <row r="17" spans="1:16" ht="15" customHeight="1" x14ac:dyDescent="0.25">
      <c r="A17" s="13" t="s">
        <v>4</v>
      </c>
      <c r="B17" s="11">
        <f>MAX(A4:A12)</f>
        <v>800</v>
      </c>
    </row>
    <row r="18" spans="1:16" ht="15" customHeight="1" x14ac:dyDescent="0.25">
      <c r="A18" s="13" t="s">
        <v>70</v>
      </c>
      <c r="B18" s="11">
        <f>INDEX(AD4:AD12,MATCH(MIN(A4:A12),A4:A12,0))</f>
        <v>3.85724213652973</v>
      </c>
    </row>
    <row r="19" spans="1:16" ht="15" customHeight="1" x14ac:dyDescent="0.25">
      <c r="A19" s="13" t="s">
        <v>71</v>
      </c>
      <c r="B19" s="11">
        <f>INDEX(AD4:AD12,MATCH(MAX(A4:A12),A4:A12,0))</f>
        <v>3.905437581770586</v>
      </c>
    </row>
    <row r="20" spans="1:16" ht="15" customHeight="1" x14ac:dyDescent="0.25">
      <c r="A20" s="13" t="s">
        <v>72</v>
      </c>
      <c r="B20" s="11">
        <f>SLOPE(AD4:AD12,A4:A12)</f>
        <v>6.2402635023171935E-5</v>
      </c>
    </row>
    <row r="21" spans="1:16" ht="15" customHeight="1" x14ac:dyDescent="0.25">
      <c r="A21" s="13" t="s">
        <v>73</v>
      </c>
      <c r="B21" s="14">
        <f>RSQ(AD4:AD12,A4:A12)</f>
        <v>0.98941964786783043</v>
      </c>
    </row>
    <row r="22" spans="1:16" ht="15" customHeight="1" x14ac:dyDescent="0.25">
      <c r="A22" s="13" t="s">
        <v>74</v>
      </c>
      <c r="B22" s="15">
        <f>B20/B18</f>
        <v>1.6178044523622809E-5</v>
      </c>
    </row>
    <row r="23" spans="1:16" ht="15" customHeight="1" x14ac:dyDescent="0.25">
      <c r="A23" s="13" t="s">
        <v>75</v>
      </c>
      <c r="B23" s="10">
        <f>B22*1000000</f>
        <v>16.178044523622809</v>
      </c>
    </row>
    <row r="24" spans="1:16" ht="15" customHeight="1" x14ac:dyDescent="0.25">
      <c r="A24" s="13" t="s">
        <v>76</v>
      </c>
      <c r="B24" s="15">
        <f>(B19-B18)/(B18*(B17-B16))</f>
        <v>1.606014630856418E-5</v>
      </c>
    </row>
    <row r="25" spans="1:16" ht="15" customHeight="1" x14ac:dyDescent="0.25">
      <c r="A25" s="13" t="s">
        <v>77</v>
      </c>
      <c r="B25" s="10">
        <f>B24*1000000</f>
        <v>16.060146308564182</v>
      </c>
    </row>
    <row r="27" spans="1:16" ht="60" customHeight="1" x14ac:dyDescent="0.25">
      <c r="A27" s="12" t="s">
        <v>78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</row>
  </sheetData>
  <mergeCells count="2">
    <mergeCell ref="A1:X1"/>
    <mergeCell ref="A27:P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Summary</vt:lpstr>
      <vt:lpstr>LE-1</vt:lpstr>
      <vt:lpstr>LE-2</vt:lpstr>
      <vt:lpstr>LE-3</vt:lpstr>
      <vt:lpstr>HE-1</vt:lpstr>
      <vt:lpstr>HE-2</vt:lpstr>
      <vt:lpstr>HE-3</vt:lpstr>
      <vt:lpstr>HE-4</vt:lpstr>
      <vt:lpstr>HE-5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Potter</dc:creator>
  <cp:lastModifiedBy>Adam Wallace Potter</cp:lastModifiedBy>
  <dcterms:created xsi:type="dcterms:W3CDTF">2015-06-05T18:17:20Z</dcterms:created>
  <dcterms:modified xsi:type="dcterms:W3CDTF">2026-09-18T22:37:07Z</dcterms:modified>
</cp:coreProperties>
</file>