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2 - Content" sheetId="1" r:id="rId4"/>
    <sheet state="visible" name="S2.1 - EU Accounting" sheetId="2" r:id="rId5"/>
    <sheet state="visible" name="S2.2 - EU Static" sheetId="3" r:id="rId6"/>
    <sheet state="visible" name="S2.3 - Aviation baseline" sheetId="4" r:id="rId7"/>
    <sheet state="visible" name="S2.4 - Trade 2019 - 2024" sheetId="5" r:id="rId8"/>
  </sheets>
  <definedNames/>
  <calcPr/>
  <extLst>
    <ext uri="GoogleSheetsCustomDataVersion2">
      <go:sheetsCustomData xmlns:go="http://customooxmlschemas.google.com/" r:id="rId9" roundtripDataChecksum="Odbf3T9+7hzf7jj8CGtMQa4Ji63+nnA/M2U/KEBB7S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34">
      <text>
        <t xml:space="preserve">Note: JRC p25 says "civil aerospace is 67% of titanium metal consumption which sums to a total of 29,7 kt" where such percetage is exactly 19,9 kt
	-Stefano Ghirlandi
======</t>
      </text>
    </comment>
  </commentList>
</comments>
</file>

<file path=xl/sharedStrings.xml><?xml version="1.0" encoding="utf-8"?>
<sst xmlns="http://schemas.openxmlformats.org/spreadsheetml/2006/main" count="592" uniqueCount="206">
  <si>
    <t>Baseline 2019 - Civil aviation in the EU</t>
  </si>
  <si>
    <t xml:space="preserve">Static MFA of Titanium metal in the European Union in 2019 </t>
  </si>
  <si>
    <t>Accounting MFA of Titanium in the European Union</t>
  </si>
  <si>
    <t>Import and export of titanium products in the EU in 2019</t>
  </si>
  <si>
    <t>Titanium (kt)</t>
  </si>
  <si>
    <t>Baseline 2040 - Civil aviation in the EU</t>
  </si>
  <si>
    <t>Data to be filled newly for each scenario</t>
  </si>
  <si>
    <t>Imports</t>
  </si>
  <si>
    <t>References</t>
  </si>
  <si>
    <r>
      <rPr>
        <rFont val="Arial"/>
        <color rgb="FF000000"/>
        <sz val="14.0"/>
      </rPr>
      <t xml:space="preserve">           </t>
    </r>
    <r>
      <rPr>
        <rFont val="Arial Rounded MT Bold"/>
        <color rgb="FF000000"/>
        <sz val="10.0"/>
      </rPr>
      <t>SUPPORTING INFORMATION FOR:</t>
    </r>
  </si>
  <si>
    <t>Source: UN COMTRADE</t>
  </si>
  <si>
    <t>From literature review, No ore beneficiation nor refining for titanium metal production in the EU</t>
  </si>
  <si>
    <t>Number</t>
  </si>
  <si>
    <t>Import</t>
  </si>
  <si>
    <r>
      <rPr>
        <rFont val="Arial"/>
        <color rgb="FF000000"/>
        <sz val="14.0"/>
      </rPr>
      <t xml:space="preserve">Ghirlandi, S., Hoff, T., Böcher, C., Sprecher, B., Pohya, A. &amp; Peck, D. Material Flow Analysis of Titanium Metal in European Aviation: Circular Economy Strategies for reduced import dependence. </t>
    </r>
    <r>
      <rPr>
        <rFont val="Arial"/>
        <i/>
        <color rgb="FF000000"/>
        <sz val="14.0"/>
      </rPr>
      <t xml:space="preserve">Journal of Industrial Ecology. </t>
    </r>
  </si>
  <si>
    <t>Source name</t>
  </si>
  <si>
    <t>TC to be changed in each scenario</t>
  </si>
  <si>
    <t>Phase</t>
  </si>
  <si>
    <t>JRC - Titanium</t>
  </si>
  <si>
    <t>Export</t>
  </si>
  <si>
    <t>Type</t>
  </si>
  <si>
    <t>This supporting information provides a spreadsheet with background data and calculations on for the static MFA of titanium flowing in the EU economy as baseline scenario and trade data from UN Comtrade 2019 and 2024</t>
  </si>
  <si>
    <t>TC</t>
  </si>
  <si>
    <t>Flows (kt)</t>
  </si>
  <si>
    <t>Sources/Assumptions</t>
  </si>
  <si>
    <t>Use-phase inflow</t>
  </si>
  <si>
    <t>Ti Sponge</t>
  </si>
  <si>
    <t>Primary melting (sponge -&gt; ingot)</t>
  </si>
  <si>
    <t>Table of content</t>
  </si>
  <si>
    <t>Ti Ingot</t>
  </si>
  <si>
    <t>Reprocessing</t>
  </si>
  <si>
    <t>S2.1. EU accounting</t>
  </si>
  <si>
    <t xml:space="preserve">This sheet contains the accounting MFA for titanium in the EU economy in 2019. </t>
  </si>
  <si>
    <t>S2.2. EU static</t>
  </si>
  <si>
    <t>This sheet contains the mass balanced static MFA for titanium in the EU in 2019.</t>
  </si>
  <si>
    <t>Domestic sponge production</t>
  </si>
  <si>
    <t>S2.3. Aviation baseline</t>
  </si>
  <si>
    <t>This sheet contains the baseline sMFA of aviation grade titanium in the EU in 2019</t>
  </si>
  <si>
    <t>Inflow</t>
  </si>
  <si>
    <t>S2.4. Trade 2019 - 2024</t>
  </si>
  <si>
    <t>This sheet contains the trade data of titanium wrought, unwrought, scrap import/export from 2019 and 2024</t>
  </si>
  <si>
    <t>Sources</t>
  </si>
  <si>
    <t>Scrreen2 - Titanium</t>
  </si>
  <si>
    <t>Percentage</t>
  </si>
  <si>
    <r>
      <rPr>
        <rFont val="Calibri"/>
        <color theme="1"/>
        <sz val="11.0"/>
      </rPr>
      <t xml:space="preserve">Buesa, A., Georgitzikis, A., Jakimów, K., Piñero, M., Maury, P., Latunussa, T., Pedauga, C., Samokhalov, L., Baldassarre, V., Mathieux, B., Rueda-Cantuche, F., Manuel Stijepic, J., Reys, D., Bilous, A., Notom, A., &amp; Tercero, P. (2025). </t>
    </r>
    <r>
      <rPr>
        <rFont val="Times New Roman"/>
        <i/>
        <color rgb="FF000000"/>
        <sz val="12.0"/>
      </rPr>
      <t>Titanium metal in the EU: Strategic relevance and circularity potential</t>
    </r>
    <r>
      <rPr>
        <rFont val="Times New Roman"/>
        <color rgb="FF000000"/>
        <sz val="12.0"/>
      </rPr>
      <t>. https://doi.org/10.2760/5871804</t>
    </r>
  </si>
  <si>
    <t>Value</t>
  </si>
  <si>
    <t>SCRREEN2. (2020). Titanium supply chain in the EU. https://scrreen.eu/wp-content/uploads/2024/01/SCRREEN2_factsheets_TITANIUM_V1.pdf</t>
  </si>
  <si>
    <t>UN Comtrade. (2019). Titanium international trade.https://comtradeplus.un.org/TradeFlow</t>
  </si>
  <si>
    <t>USGS. (2023). TITANIUM AND TITANIUM DIOXIDE.
https://pubs.usgs.gov/periodicals/mcs2023/mcs2023-titanium.pdf</t>
  </si>
  <si>
    <t>Reprocessing (recycling)</t>
  </si>
  <si>
    <t>Oko-Institut e.V. (2020). Update of the 2015 Material System Analyses Final report.
https://op.europa.eu/en/publication-detail/-/publication/69212057-e737-11ee-
9ea8-01aa75ed71a1/language-en</t>
  </si>
  <si>
    <t>EUROSTAT. (2025). Titanium wrought - PRODVAL &amp; PRODQNT. PRODCOM.
https://ec.europa.eu/eurostat/databrowser/view/ds-
056120/legacyMultiFreq/table?lang=en&amp;category=prom</t>
  </si>
  <si>
    <t>JRC. (2025). RMIS - Critical and strategic materials. European Commission.
https://rmis.jrc.ec.europa.eu/eu-critical-raw-materials?utm_source=chatgpt.com</t>
  </si>
  <si>
    <t>USA</t>
  </si>
  <si>
    <t>Import sponge</t>
  </si>
  <si>
    <t>RMIS - Titanium</t>
  </si>
  <si>
    <t>Import scrap</t>
  </si>
  <si>
    <t>Reprocessed scrap</t>
  </si>
  <si>
    <t>Alpha</t>
  </si>
  <si>
    <t>Japan</t>
  </si>
  <si>
    <t>USGS - Titanium factsheet</t>
  </si>
  <si>
    <t>Domestic ingot production</t>
  </si>
  <si>
    <t>Outflow</t>
  </si>
  <si>
    <t>Baseline Phi</t>
  </si>
  <si>
    <t>China</t>
  </si>
  <si>
    <t>Export of ingots</t>
  </si>
  <si>
    <t>MSA - Titanium</t>
  </si>
  <si>
    <t>Russian Federation</t>
  </si>
  <si>
    <t xml:space="preserve">  ∆Phi</t>
  </si>
  <si>
    <t>UN - comtrade</t>
  </si>
  <si>
    <t>RoW</t>
  </si>
  <si>
    <t>Ti content in Ferrotitanium</t>
  </si>
  <si>
    <t>Wang &amp; Wu, 2023</t>
  </si>
  <si>
    <t>Powders</t>
  </si>
  <si>
    <t>Ti ingot</t>
  </si>
  <si>
    <t>Ingot Scrap export</t>
  </si>
  <si>
    <t>20% of high quality scrap</t>
  </si>
  <si>
    <t>Inflow/Outflow</t>
  </si>
  <si>
    <t>Eurostat - Prodcom</t>
  </si>
  <si>
    <t>Semi-finished Fabrication (ingot -&gt; milled product)</t>
  </si>
  <si>
    <t>Ti milled product</t>
  </si>
  <si>
    <t>Ti milled products</t>
  </si>
  <si>
    <t>From [8], in 2019 EU produced 36 kt of ferrotitanium. Ferrotitanium has between 0,3 and 0,7 content of titanium, accounting for scraps i assume that the overall demand for titanium is 50% of 36 kt</t>
  </si>
  <si>
    <t>Import of ingots</t>
  </si>
  <si>
    <t>Balanced</t>
  </si>
  <si>
    <t>Ti ingot scrap</t>
  </si>
  <si>
    <t>Remaining scrap</t>
  </si>
  <si>
    <t xml:space="preserve">Domestic titanium milled products </t>
  </si>
  <si>
    <t>Mining</t>
  </si>
  <si>
    <t>Export of titanium milled products</t>
  </si>
  <si>
    <t>KiloTonnes</t>
  </si>
  <si>
    <t>Source(s)</t>
  </si>
  <si>
    <t>Year</t>
  </si>
  <si>
    <t>Assumptions</t>
  </si>
  <si>
    <t>Milled product Scrap export</t>
  </si>
  <si>
    <t>Global titanium ores</t>
  </si>
  <si>
    <t>Stock</t>
  </si>
  <si>
    <t>4 - 2</t>
  </si>
  <si>
    <t>0,5 as stochiometric ilmenite and rutile for rock mass taken from Screen</t>
  </si>
  <si>
    <t>Ti Scrap</t>
  </si>
  <si>
    <t>Global titanium ores extraction</t>
  </si>
  <si>
    <t>Ti milled scrap</t>
  </si>
  <si>
    <t>Component manufacturing (milled product -&gt; mechanical parts)</t>
  </si>
  <si>
    <t>The TiO2 production in rock mass</t>
  </si>
  <si>
    <t>Domestic Titanium milled products</t>
  </si>
  <si>
    <t>Global TiO2 production</t>
  </si>
  <si>
    <t>In TiO2</t>
  </si>
  <si>
    <t>Import titanium milled products</t>
  </si>
  <si>
    <t>EU titanium ores</t>
  </si>
  <si>
    <t>Titanium in products</t>
  </si>
  <si>
    <t>According to [2] it's 70.000 but irrealistic compared to [4]. Given value result with a stohiometric share of 0,5 for both ores.</t>
  </si>
  <si>
    <t>Scrap production</t>
  </si>
  <si>
    <t>Titanium ore extraction</t>
  </si>
  <si>
    <t>5 - 1</t>
  </si>
  <si>
    <t>0% self sufficiency rate</t>
  </si>
  <si>
    <t>Component scrap export</t>
  </si>
  <si>
    <t>Reprocessed</t>
  </si>
  <si>
    <t>Domestic TiO2 production</t>
  </si>
  <si>
    <t>Ti swarf</t>
  </si>
  <si>
    <t>80% of [4] value</t>
  </si>
  <si>
    <t>Processing</t>
  </si>
  <si>
    <t>Import of TiO2</t>
  </si>
  <si>
    <t>Estimate</t>
  </si>
  <si>
    <t>As verified by [1]</t>
  </si>
  <si>
    <t>SCRAP - import</t>
  </si>
  <si>
    <t>Use</t>
  </si>
  <si>
    <r>
      <rPr>
        <rFont val="Arial"/>
        <color theme="1"/>
        <sz val="11.0"/>
      </rPr>
      <t xml:space="preserve">Sponge </t>
    </r>
    <r>
      <rPr>
        <rFont val="Arial"/>
        <b/>
        <color theme="1"/>
        <sz val="11.0"/>
      </rPr>
      <t>production</t>
    </r>
    <r>
      <rPr>
        <rFont val="Arial"/>
        <color theme="1"/>
        <sz val="11.0"/>
      </rPr>
      <t xml:space="preserve"> </t>
    </r>
  </si>
  <si>
    <t>UNWROUGHT - import</t>
  </si>
  <si>
    <t>Final products</t>
  </si>
  <si>
    <t>No sponge capacity</t>
  </si>
  <si>
    <t>WROUGHT - import</t>
  </si>
  <si>
    <r>
      <rPr>
        <rFont val="Arial"/>
        <color theme="1"/>
        <sz val="11.0"/>
      </rPr>
      <t xml:space="preserve">Pigment </t>
    </r>
    <r>
      <rPr>
        <rFont val="Arial"/>
        <b/>
        <color theme="1"/>
        <sz val="11.0"/>
      </rPr>
      <t>production</t>
    </r>
  </si>
  <si>
    <t>Germany + estimate others</t>
  </si>
  <si>
    <t>NAS</t>
  </si>
  <si>
    <t>Ti metal products in use</t>
  </si>
  <si>
    <t>Country</t>
  </si>
  <si>
    <t>Fabrication</t>
  </si>
  <si>
    <t>kton</t>
  </si>
  <si>
    <t>Products waste</t>
  </si>
  <si>
    <t>EoL Management</t>
  </si>
  <si>
    <t>In use stock</t>
  </si>
  <si>
    <t>With code 8108.20 identifying all unwrought (sponge, ingot and powder) 23,5 kt. I assume 80% is sponge.</t>
  </si>
  <si>
    <t>EoL management</t>
  </si>
  <si>
    <t>TOTAL</t>
  </si>
  <si>
    <t>Old scrap</t>
  </si>
  <si>
    <t>Collection rate from [5]</t>
  </si>
  <si>
    <t>Non functional scrap</t>
  </si>
  <si>
    <t>Storage</t>
  </si>
  <si>
    <t>In global capacity, EU is 3% of 511 kt, therefore 15 kt of production (check global sheet). Assume 90% use of capacity</t>
  </si>
  <si>
    <t>from dMFA: The sum of outflows from use since 2000 is 5,387 kt</t>
  </si>
  <si>
    <t>Landfill</t>
  </si>
  <si>
    <t>Ferrotitanium</t>
  </si>
  <si>
    <t>Assume 5% of titanium ingot prod</t>
  </si>
  <si>
    <t>Assume 15% of titanium ingot as (Estimated Titanium Powder Production / Estimated Unwrought Titanium Production) × 100 = (50,000 tons / 320,000 tons) × 100 = 15.6%​</t>
  </si>
  <si>
    <t>New scrap production</t>
  </si>
  <si>
    <t>How much is direct recycling rate??</t>
  </si>
  <si>
    <t>Manufacturing</t>
  </si>
  <si>
    <t>Old ti scrap</t>
  </si>
  <si>
    <t>Collection rate from "MSA titanium"</t>
  </si>
  <si>
    <t>Import of other milled products</t>
  </si>
  <si>
    <t>See import of sponge</t>
  </si>
  <si>
    <t xml:space="preserve">Domestic titanium metal products </t>
  </si>
  <si>
    <t>In global capacity, EU is 5% of 188 kt, therefore 7,5 kt of production (check global sheet). Assume 90% use of capacity</t>
  </si>
  <si>
    <t>Export of titanium metal products</t>
  </si>
  <si>
    <t>New production scrap - Export</t>
  </si>
  <si>
    <t>Kazakhstan</t>
  </si>
  <si>
    <t>from dMFA: The sum of outflows from use since 2000 is 8,397 kt</t>
  </si>
  <si>
    <t>Use - Sector</t>
  </si>
  <si>
    <t>from dMFA: The sum of outflows from use since 2000 is 24,7kt</t>
  </si>
  <si>
    <t>Domestic titanium metal products</t>
  </si>
  <si>
    <t>Import of titanium metal products</t>
  </si>
  <si>
    <t>JRC assumes 30 kt of use in EU in 2019 but my data balace to 40 kt</t>
  </si>
  <si>
    <t>Switzerland</t>
  </si>
  <si>
    <r>
      <rPr>
        <rFont val="Arial"/>
        <b/>
        <color theme="1"/>
        <sz val="11.0"/>
      </rPr>
      <t>EU</t>
    </r>
    <r>
      <rPr>
        <rFont val="Arial"/>
        <color theme="1"/>
        <sz val="11.0"/>
      </rPr>
      <t xml:space="preserve"> mill products production by use</t>
    </r>
  </si>
  <si>
    <t>Sum of inflows</t>
  </si>
  <si>
    <t>Civil aerospace</t>
  </si>
  <si>
    <t>Türkiye</t>
  </si>
  <si>
    <t>Industrial equipment</t>
  </si>
  <si>
    <t>United Kingdom</t>
  </si>
  <si>
    <t>Military applications</t>
  </si>
  <si>
    <t>Saudi Arabia</t>
  </si>
  <si>
    <t>Consumer goods</t>
  </si>
  <si>
    <t>Stock over 10 years</t>
  </si>
  <si>
    <t>Dismantling</t>
  </si>
  <si>
    <t>Ukraine</t>
  </si>
  <si>
    <t>Rep. of Korea</t>
  </si>
  <si>
    <t xml:space="preserve"> </t>
  </si>
  <si>
    <t>Recycling</t>
  </si>
  <si>
    <t>EoL Scrap - Exported</t>
  </si>
  <si>
    <t>To landfill</t>
  </si>
  <si>
    <t>Recycled scrap</t>
  </si>
  <si>
    <t>Scrap</t>
  </si>
  <si>
    <t>Export of scrap</t>
  </si>
  <si>
    <t>Other industries</t>
  </si>
  <si>
    <t>Fabrication Scrap</t>
  </si>
  <si>
    <t>Manufacturing Scrap</t>
  </si>
  <si>
    <t>SCRAP - Export</t>
  </si>
  <si>
    <t>Import of scrap</t>
  </si>
  <si>
    <t>% scrap downcycled to FeTi</t>
  </si>
  <si>
    <t>Stock calculation</t>
  </si>
  <si>
    <t>In 2019</t>
  </si>
  <si>
    <t>kt</t>
  </si>
  <si>
    <t>Growth rate from 2009</t>
  </si>
  <si>
    <t>[7]</t>
  </si>
  <si>
    <t>India</t>
  </si>
  <si>
    <t>Brazil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</si>
</sst>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"/>
    <numFmt numFmtId="165" formatCode="0.000"/>
    <numFmt numFmtId="166" formatCode="0.0000"/>
    <numFmt numFmtId="167" formatCode="#,##0.0"/>
  </numFmts>
  <fonts count="31">
    <font>
      <sz val="12.0"/>
      <color theme="1"/>
      <name val="Aptos Narrow"/>
      <scheme val="minor"/>
    </font>
    <font>
      <b/>
      <sz val="15.0"/>
      <color theme="1"/>
      <name val="Arial"/>
    </font>
    <font>
      <b/>
      <sz val="16.0"/>
      <color theme="1"/>
      <name val="Aptos Narrow"/>
    </font>
    <font/>
    <font>
      <sz val="12.0"/>
      <color theme="1"/>
      <name val="Aptos Narrow"/>
    </font>
    <font>
      <u/>
      <sz val="12.0"/>
      <color theme="10"/>
      <name val="Aptos Narrow"/>
    </font>
    <font>
      <sz val="10.0"/>
      <color theme="1"/>
      <name val="Aptos Narrow"/>
    </font>
    <font>
      <u/>
      <sz val="10.0"/>
      <color theme="1"/>
      <name val="Arial"/>
    </font>
    <font>
      <sz val="10.0"/>
      <color theme="1"/>
      <name val="Arial"/>
    </font>
    <font>
      <b/>
      <sz val="14.0"/>
      <color theme="1"/>
      <name val="Aptos Narrow"/>
    </font>
    <font>
      <sz val="14.0"/>
      <color rgb="FF000000"/>
      <name val="Arial"/>
    </font>
    <font>
      <color theme="1"/>
      <name val="Aptos Narrow"/>
      <scheme val="minor"/>
    </font>
    <font>
      <b/>
      <sz val="12.0"/>
      <color theme="1"/>
      <name val="Aptos Narrow"/>
    </font>
    <font>
      <b/>
      <sz val="10.0"/>
      <color theme="1"/>
      <name val="Arial"/>
    </font>
    <font>
      <sz val="11.0"/>
      <color rgb="FF000000"/>
      <name val="Arial"/>
    </font>
    <font>
      <b/>
      <sz val="12.0"/>
      <color theme="1"/>
      <name val="Arial"/>
    </font>
    <font>
      <u/>
      <sz val="12.0"/>
      <color theme="10"/>
      <name val="Aptos Narrow"/>
    </font>
    <font>
      <b/>
      <sz val="11.0"/>
      <color theme="1"/>
      <name val="Aptos Narrow"/>
    </font>
    <font>
      <sz val="11.0"/>
      <color theme="1"/>
      <name val="Calibri"/>
    </font>
    <font>
      <sz val="12.0"/>
      <color rgb="FF000000"/>
      <name val="Helvetica Neue"/>
    </font>
    <font>
      <b/>
      <sz val="11.0"/>
      <color rgb="FF000000"/>
      <name val="Calibri"/>
    </font>
    <font>
      <sz val="12.0"/>
      <color rgb="FF000000"/>
      <name val="Calibri"/>
    </font>
    <font>
      <b/>
      <sz val="14.0"/>
      <color rgb="FF000000"/>
      <name val="Arial"/>
    </font>
    <font>
      <b/>
      <sz val="11.0"/>
      <color rgb="FF000000"/>
      <name val="Arial"/>
    </font>
    <font>
      <sz val="10.0"/>
      <color rgb="FF000000"/>
      <name val="Arial"/>
    </font>
    <font>
      <sz val="11.0"/>
      <color theme="1"/>
      <name val="Aptos Narrow"/>
    </font>
    <font>
      <sz val="11.0"/>
      <color rgb="FF000000"/>
      <name val="Aptos Narrow"/>
    </font>
    <font>
      <b/>
      <sz val="10.0"/>
      <color rgb="FF000000"/>
      <name val="Arial"/>
    </font>
    <font>
      <i/>
      <sz val="12.0"/>
      <color theme="1"/>
      <name val="Aptos Narrow"/>
    </font>
    <font>
      <b/>
      <sz val="14.0"/>
      <color theme="1"/>
      <name val="Play"/>
    </font>
    <font>
      <sz val="11.0"/>
      <color theme="1"/>
      <name val="Arial"/>
    </font>
  </fonts>
  <fills count="20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FBBC04"/>
        <bgColor rgb="FFFBBC04"/>
      </patternFill>
    </fill>
    <fill>
      <patternFill patternType="solid">
        <fgColor rgb="FF00FFFF"/>
        <bgColor rgb="FF00FFFF"/>
      </patternFill>
    </fill>
    <fill>
      <patternFill patternType="solid">
        <fgColor rgb="FFC1F0C8"/>
        <bgColor rgb="FFC1F0C8"/>
      </patternFill>
    </fill>
    <fill>
      <patternFill patternType="solid">
        <fgColor rgb="FFFFFF00"/>
        <bgColor rgb="FFFFFF00"/>
      </patternFill>
    </fill>
    <fill>
      <patternFill patternType="solid">
        <fgColor rgb="FF93C47D"/>
        <bgColor rgb="FF93C47D"/>
      </patternFill>
    </fill>
    <fill>
      <patternFill patternType="solid">
        <fgColor rgb="FFE69138"/>
        <bgColor rgb="FFE69138"/>
      </patternFill>
    </fill>
    <fill>
      <patternFill patternType="solid">
        <fgColor rgb="FFCFE2F3"/>
        <bgColor rgb="FFCFE2F3"/>
      </patternFill>
    </fill>
    <fill>
      <patternFill patternType="solid">
        <fgColor rgb="FFFFD966"/>
        <bgColor rgb="FFFFD966"/>
      </patternFill>
    </fill>
    <fill>
      <patternFill patternType="solid">
        <fgColor rgb="FFD5E8AC"/>
        <bgColor rgb="FFD5E8AC"/>
      </patternFill>
    </fill>
    <fill>
      <patternFill patternType="solid">
        <fgColor rgb="FFF9CB9C"/>
        <bgColor rgb="FFF9CB9C"/>
      </patternFill>
    </fill>
    <fill>
      <patternFill patternType="solid">
        <fgColor rgb="FFC9DAF8"/>
        <bgColor rgb="FFC9DAF8"/>
      </patternFill>
    </fill>
    <fill>
      <patternFill patternType="solid">
        <fgColor rgb="FFF6B26B"/>
        <bgColor rgb="FFF6B26B"/>
      </patternFill>
    </fill>
    <fill>
      <patternFill patternType="solid">
        <fgColor rgb="FFEAD1DC"/>
        <bgColor rgb="FFEAD1DC"/>
      </patternFill>
    </fill>
    <fill>
      <patternFill patternType="solid">
        <fgColor rgb="FFF1C232"/>
        <bgColor rgb="FFF1C232"/>
      </patternFill>
    </fill>
    <fill>
      <patternFill patternType="solid">
        <fgColor rgb="FFB6D7A8"/>
        <bgColor rgb="FFB6D7A8"/>
      </patternFill>
    </fill>
  </fills>
  <borders count="17">
    <border/>
    <border>
      <left/>
      <top/>
    </border>
    <border>
      <top/>
    </border>
    <border>
      <right/>
      <top/>
    </border>
    <border>
      <left/>
      <right/>
      <top/>
      <bottom/>
    </border>
    <border>
      <left/>
    </border>
    <border>
      <left/>
      <bottom/>
    </border>
    <border>
      <bottom/>
    </border>
    <border>
      <right/>
    </border>
    <border>
      <right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right/>
      <top/>
      <bottom/>
    </border>
    <border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3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vertical="center"/>
    </xf>
    <xf borderId="1" fillId="4" fontId="2" numFmtId="0" xfId="0" applyAlignment="1" applyBorder="1" applyFill="1" applyFont="1">
      <alignment horizontal="center" vertical="center"/>
    </xf>
    <xf borderId="1" fillId="5" fontId="1" numFmtId="0" xfId="0" applyAlignment="1" applyBorder="1" applyFill="1" applyFont="1">
      <alignment horizontal="center" vertical="center"/>
    </xf>
    <xf borderId="0" fillId="0" fontId="5" numFmtId="0" xfId="0" applyAlignment="1" applyFont="1">
      <alignment vertical="center"/>
    </xf>
    <xf borderId="4" fillId="6" fontId="6" numFmtId="0" xfId="0" applyBorder="1" applyFill="1" applyFont="1"/>
    <xf borderId="5" fillId="0" fontId="3" numFmtId="0" xfId="0" applyBorder="1" applyFont="1"/>
    <xf borderId="0" fillId="0" fontId="6" numFmtId="0" xfId="0" applyFont="1"/>
    <xf borderId="0" fillId="0" fontId="7" numFmtId="0" xfId="0" applyAlignment="1" applyFont="1">
      <alignment vertical="center"/>
    </xf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0" fillId="0" fontId="8" numFmtId="0" xfId="0" applyFont="1"/>
    <xf borderId="10" fillId="7" fontId="9" numFmtId="0" xfId="0" applyAlignment="1" applyBorder="1" applyFill="1" applyFont="1">
      <alignment horizontal="center"/>
    </xf>
    <xf borderId="11" fillId="0" fontId="3" numFmtId="0" xfId="0" applyBorder="1" applyFont="1"/>
    <xf borderId="0" fillId="0" fontId="10" numFmtId="0" xfId="0" applyAlignment="1" applyFont="1">
      <alignment vertical="center"/>
    </xf>
    <xf borderId="0" fillId="0" fontId="4" numFmtId="0" xfId="0" applyAlignment="1" applyFont="1">
      <alignment horizontal="center"/>
    </xf>
    <xf borderId="0" fillId="0" fontId="11" numFmtId="0" xfId="0" applyFont="1"/>
    <xf borderId="0" fillId="0" fontId="4" numFmtId="2" xfId="0" applyAlignment="1" applyFont="1" applyNumberFormat="1">
      <alignment vertical="center"/>
    </xf>
    <xf borderId="12" fillId="0" fontId="12" numFmtId="0" xfId="0" applyBorder="1" applyFont="1"/>
    <xf borderId="0" fillId="0" fontId="10" numFmtId="0" xfId="0" applyAlignment="1" applyFont="1">
      <alignment horizontal="left" readingOrder="0" shrinkToFit="0" vertical="center" wrapText="1"/>
    </xf>
    <xf borderId="4" fillId="8" fontId="6" numFmtId="0" xfId="0" applyBorder="1" applyFill="1" applyFont="1"/>
    <xf borderId="13" fillId="9" fontId="12" numFmtId="0" xfId="0" applyAlignment="1" applyBorder="1" applyFill="1" applyFont="1">
      <alignment horizontal="center"/>
    </xf>
    <xf borderId="12" fillId="0" fontId="4" numFmtId="0" xfId="0" applyAlignment="1" applyBorder="1" applyFont="1">
      <alignment horizontal="center"/>
    </xf>
    <xf borderId="14" fillId="0" fontId="3" numFmtId="0" xfId="0" applyBorder="1" applyFont="1"/>
    <xf borderId="0" fillId="0" fontId="13" numFmtId="0" xfId="0" applyFont="1"/>
    <xf borderId="13" fillId="10" fontId="12" numFmtId="0" xfId="0" applyAlignment="1" applyBorder="1" applyFill="1" applyFont="1">
      <alignment horizontal="center"/>
    </xf>
    <xf borderId="0" fillId="0" fontId="14" numFmtId="0" xfId="0" applyAlignment="1" applyFont="1">
      <alignment horizontal="left" readingOrder="0" shrinkToFit="0" vertical="top" wrapText="1"/>
    </xf>
    <xf borderId="0" fillId="0" fontId="14" numFmtId="0" xfId="0" applyAlignment="1" applyFont="1">
      <alignment shrinkToFit="0" vertical="top" wrapText="1"/>
    </xf>
    <xf borderId="0" fillId="0" fontId="4" numFmtId="164" xfId="0" applyFont="1" applyNumberFormat="1"/>
    <xf borderId="4" fillId="11" fontId="6" numFmtId="0" xfId="0" applyAlignment="1" applyBorder="1" applyFill="1" applyFont="1">
      <alignment horizontal="center"/>
    </xf>
    <xf borderId="4" fillId="11" fontId="6" numFmtId="0" xfId="0" applyBorder="1" applyFont="1"/>
    <xf borderId="13" fillId="12" fontId="15" numFmtId="0" xfId="0" applyAlignment="1" applyBorder="1" applyFill="1" applyFont="1">
      <alignment horizontal="center"/>
    </xf>
    <xf borderId="12" fillId="0" fontId="16" numFmtId="0" xfId="0" applyBorder="1" applyFont="1"/>
    <xf borderId="15" fillId="0" fontId="3" numFmtId="0" xfId="0" applyBorder="1" applyFont="1"/>
    <xf borderId="0" fillId="0" fontId="17" numFmtId="0" xfId="0" applyFont="1"/>
    <xf borderId="0" fillId="0" fontId="13" numFmtId="0" xfId="0" applyAlignment="1" applyFont="1">
      <alignment horizontal="center" vertical="center"/>
    </xf>
    <xf borderId="0" fillId="0" fontId="8" numFmtId="10" xfId="0" applyAlignment="1" applyFont="1" applyNumberFormat="1">
      <alignment horizontal="right"/>
    </xf>
    <xf borderId="0" fillId="0" fontId="18" numFmtId="0" xfId="0" applyAlignment="1" applyFont="1">
      <alignment vertical="center"/>
    </xf>
    <xf borderId="0" fillId="0" fontId="8" numFmtId="164" xfId="0" applyAlignment="1" applyFont="1" applyNumberFormat="1">
      <alignment horizontal="right"/>
    </xf>
    <xf borderId="0" fillId="0" fontId="8" numFmtId="10" xfId="0" applyFont="1" applyNumberFormat="1"/>
    <xf borderId="0" fillId="0" fontId="19" numFmtId="0" xfId="0" applyFont="1"/>
    <xf borderId="16" fillId="0" fontId="20" numFmtId="0" xfId="0" applyAlignment="1" applyBorder="1" applyFont="1">
      <alignment horizontal="center" shrinkToFit="0" vertical="top" wrapText="1"/>
    </xf>
    <xf borderId="0" fillId="0" fontId="21" numFmtId="9" xfId="0" applyAlignment="1" applyFont="1" applyNumberFormat="1">
      <alignment horizontal="right"/>
    </xf>
    <xf borderId="13" fillId="12" fontId="22" numFmtId="0" xfId="0" applyAlignment="1" applyBorder="1" applyFont="1">
      <alignment horizontal="center"/>
    </xf>
    <xf borderId="4" fillId="8" fontId="8" numFmtId="10" xfId="0" applyAlignment="1" applyBorder="1" applyFont="1" applyNumberFormat="1">
      <alignment horizontal="right"/>
    </xf>
    <xf borderId="0" fillId="0" fontId="8" numFmtId="0" xfId="0" applyAlignment="1" applyFont="1">
      <alignment horizontal="right"/>
    </xf>
    <xf borderId="0" fillId="0" fontId="6" numFmtId="164" xfId="0" applyFont="1" applyNumberFormat="1"/>
    <xf borderId="0" fillId="0" fontId="8" numFmtId="2" xfId="0" applyAlignment="1" applyFont="1" applyNumberFormat="1">
      <alignment horizontal="right"/>
    </xf>
    <xf borderId="0" fillId="0" fontId="14" numFmtId="0" xfId="0" applyFont="1"/>
    <xf borderId="0" fillId="0" fontId="14" numFmtId="0" xfId="0" applyAlignment="1" applyFont="1">
      <alignment horizontal="center" vertical="center"/>
    </xf>
    <xf borderId="0" fillId="0" fontId="14" numFmtId="10" xfId="0" applyAlignment="1" applyFont="1" applyNumberFormat="1">
      <alignment horizontal="center" vertical="center"/>
    </xf>
    <xf borderId="0" fillId="0" fontId="14" numFmtId="2" xfId="0" applyAlignment="1" applyFont="1" applyNumberFormat="1">
      <alignment horizontal="center" vertical="center"/>
    </xf>
    <xf borderId="0" fillId="0" fontId="14" numFmtId="10" xfId="0" applyAlignment="1" applyFont="1" applyNumberFormat="1">
      <alignment horizontal="center" shrinkToFit="0" vertical="center" wrapText="1"/>
    </xf>
    <xf borderId="0" fillId="0" fontId="13" numFmtId="164" xfId="0" applyAlignment="1" applyFont="1" applyNumberFormat="1">
      <alignment horizontal="right"/>
    </xf>
    <xf borderId="0" fillId="0" fontId="4" numFmtId="9" xfId="0" applyFont="1" applyNumberFormat="1"/>
    <xf borderId="0" fillId="0" fontId="23" numFmtId="2" xfId="0" applyAlignment="1" applyFont="1" applyNumberFormat="1">
      <alignment horizontal="center" vertical="center"/>
    </xf>
    <xf borderId="0" fillId="0" fontId="14" numFmtId="0" xfId="0" applyAlignment="1" applyFont="1">
      <alignment horizontal="center" shrinkToFit="0" vertical="center" wrapText="1"/>
    </xf>
    <xf borderId="4" fillId="11" fontId="6" numFmtId="0" xfId="0" applyAlignment="1" applyBorder="1" applyFont="1">
      <alignment horizontal="center" shrinkToFit="0" wrapText="1"/>
    </xf>
    <xf borderId="4" fillId="11" fontId="6" numFmtId="164" xfId="0" applyBorder="1" applyFont="1" applyNumberFormat="1"/>
    <xf borderId="0" fillId="0" fontId="23" numFmtId="0" xfId="0" applyFont="1"/>
    <xf borderId="0" fillId="0" fontId="4" numFmtId="0" xfId="0" applyAlignment="1" applyFont="1">
      <alignment shrinkToFit="0" wrapText="1"/>
    </xf>
    <xf borderId="12" fillId="0" fontId="4" numFmtId="0" xfId="0" applyBorder="1" applyFont="1"/>
    <xf borderId="4" fillId="13" fontId="8" numFmtId="0" xfId="0" applyBorder="1" applyFill="1" applyFont="1"/>
    <xf borderId="0" fillId="0" fontId="23" numFmtId="165" xfId="0" applyAlignment="1" applyFont="1" applyNumberFormat="1">
      <alignment horizontal="center" vertical="center"/>
    </xf>
    <xf borderId="4" fillId="13" fontId="8" numFmtId="164" xfId="0" applyAlignment="1" applyBorder="1" applyFont="1" applyNumberFormat="1">
      <alignment horizontal="right"/>
    </xf>
    <xf borderId="13" fillId="9" fontId="15" numFmtId="0" xfId="0" applyAlignment="1" applyBorder="1" applyFont="1">
      <alignment horizontal="center"/>
    </xf>
    <xf borderId="0" fillId="0" fontId="14" numFmtId="165" xfId="0" applyAlignment="1" applyFont="1" applyNumberFormat="1">
      <alignment horizontal="center" vertical="center"/>
    </xf>
    <xf borderId="4" fillId="4" fontId="8" numFmtId="164" xfId="0" applyAlignment="1" applyBorder="1" applyFont="1" applyNumberFormat="1">
      <alignment horizontal="right"/>
    </xf>
    <xf borderId="0" fillId="0" fontId="14" numFmtId="4" xfId="0" applyAlignment="1" applyFont="1" applyNumberFormat="1">
      <alignment horizontal="center" vertical="center"/>
    </xf>
    <xf borderId="0" fillId="0" fontId="24" numFmtId="0" xfId="0" applyFont="1"/>
    <xf borderId="0" fillId="0" fontId="24" numFmtId="10" xfId="0" applyFont="1" applyNumberFormat="1"/>
    <xf borderId="13" fillId="14" fontId="9" numFmtId="0" xfId="0" applyAlignment="1" applyBorder="1" applyFill="1" applyFont="1">
      <alignment horizontal="center"/>
    </xf>
    <xf borderId="4" fillId="13" fontId="24" numFmtId="0" xfId="0" applyBorder="1" applyFont="1"/>
    <xf borderId="4" fillId="13" fontId="24" numFmtId="166" xfId="0" applyAlignment="1" applyBorder="1" applyFont="1" applyNumberFormat="1">
      <alignment horizontal="right"/>
    </xf>
    <xf borderId="0" fillId="0" fontId="17" numFmtId="0" xfId="0" applyAlignment="1" applyFont="1">
      <alignment shrinkToFit="0" wrapText="1"/>
    </xf>
    <xf borderId="13" fillId="9" fontId="22" numFmtId="0" xfId="0" applyAlignment="1" applyBorder="1" applyFont="1">
      <alignment horizontal="center"/>
    </xf>
    <xf borderId="0" fillId="0" fontId="25" numFmtId="0" xfId="0" applyAlignment="1" applyFont="1">
      <alignment horizontal="left" vertical="center"/>
    </xf>
    <xf borderId="0" fillId="0" fontId="25" numFmtId="0" xfId="0" applyAlignment="1" applyFont="1">
      <alignment horizontal="center" vertical="center"/>
    </xf>
    <xf borderId="0" fillId="0" fontId="25" numFmtId="3" xfId="0" applyAlignment="1" applyFont="1" applyNumberFormat="1">
      <alignment horizontal="center" vertical="center"/>
    </xf>
    <xf borderId="0" fillId="0" fontId="25" numFmtId="0" xfId="0" applyAlignment="1" applyFont="1">
      <alignment horizontal="center" shrinkToFit="0" vertical="center" wrapText="1"/>
    </xf>
    <xf borderId="13" fillId="15" fontId="15" numFmtId="0" xfId="0" applyAlignment="1" applyBorder="1" applyFill="1" applyFont="1">
      <alignment horizontal="center"/>
    </xf>
    <xf borderId="13" fillId="15" fontId="22" numFmtId="0" xfId="0" applyAlignment="1" applyBorder="1" applyFont="1">
      <alignment horizontal="center"/>
    </xf>
    <xf borderId="4" fillId="4" fontId="8" numFmtId="2" xfId="0" applyAlignment="1" applyBorder="1" applyFont="1" applyNumberFormat="1">
      <alignment horizontal="right"/>
    </xf>
    <xf borderId="0" fillId="0" fontId="23" numFmtId="0" xfId="0" applyAlignment="1" applyFont="1">
      <alignment horizontal="center" vertical="center"/>
    </xf>
    <xf borderId="0" fillId="0" fontId="26" numFmtId="0" xfId="0" applyAlignment="1" applyFont="1">
      <alignment horizontal="center" readingOrder="1" shrinkToFit="0" vertical="center" wrapText="1"/>
    </xf>
    <xf borderId="0" fillId="0" fontId="8" numFmtId="9" xfId="0" applyFont="1" applyNumberFormat="1"/>
    <xf borderId="0" fillId="0" fontId="8" numFmtId="4" xfId="0" applyAlignment="1" applyFont="1" applyNumberFormat="1">
      <alignment horizontal="right"/>
    </xf>
    <xf borderId="0" fillId="0" fontId="6" numFmtId="0" xfId="0" applyAlignment="1" applyFont="1">
      <alignment horizontal="center" vertical="center"/>
    </xf>
    <xf borderId="0" fillId="0" fontId="14" numFmtId="9" xfId="0" applyAlignment="1" applyFont="1" applyNumberFormat="1">
      <alignment horizontal="center" vertical="center"/>
    </xf>
    <xf borderId="0" fillId="0" fontId="6" numFmtId="3" xfId="0" applyAlignment="1" applyFont="1" applyNumberFormat="1">
      <alignment horizontal="center" vertical="center"/>
    </xf>
    <xf borderId="0" fillId="0" fontId="6" numFmtId="0" xfId="0" applyAlignment="1" applyFont="1">
      <alignment horizontal="center" shrinkToFit="0" vertical="center" wrapText="1"/>
    </xf>
    <xf borderId="0" fillId="0" fontId="8" numFmtId="167" xfId="0" applyAlignment="1" applyFont="1" applyNumberFormat="1">
      <alignment horizontal="right"/>
    </xf>
    <xf borderId="13" fillId="12" fontId="9" numFmtId="0" xfId="0" applyAlignment="1" applyBorder="1" applyFont="1">
      <alignment horizontal="center"/>
    </xf>
    <xf borderId="0" fillId="0" fontId="25" numFmtId="0" xfId="0" applyFont="1"/>
    <xf borderId="0" fillId="0" fontId="8" numFmtId="9" xfId="0" applyAlignment="1" applyFont="1" applyNumberFormat="1">
      <alignment horizontal="right"/>
    </xf>
    <xf borderId="4" fillId="13" fontId="27" numFmtId="0" xfId="0" applyAlignment="1" applyBorder="1" applyFont="1">
      <alignment horizontal="right"/>
    </xf>
    <xf borderId="0" fillId="0" fontId="24" numFmtId="0" xfId="0" applyAlignment="1" applyFont="1">
      <alignment horizontal="center"/>
    </xf>
    <xf borderId="13" fillId="3" fontId="4" numFmtId="0" xfId="0" applyAlignment="1" applyBorder="1" applyFont="1">
      <alignment horizontal="center"/>
    </xf>
    <xf borderId="13" fillId="16" fontId="22" numFmtId="0" xfId="0" applyAlignment="1" applyBorder="1" applyFill="1" applyFont="1">
      <alignment horizontal="center"/>
    </xf>
    <xf borderId="0" fillId="0" fontId="14" numFmtId="0" xfId="0" applyAlignment="1" applyFont="1">
      <alignment horizontal="center"/>
    </xf>
    <xf borderId="0" fillId="0" fontId="14" numFmtId="10" xfId="0" applyAlignment="1" applyFont="1" applyNumberFormat="1">
      <alignment horizontal="center"/>
    </xf>
    <xf borderId="4" fillId="6" fontId="13" numFmtId="164" xfId="0" applyAlignment="1" applyBorder="1" applyFont="1" applyNumberFormat="1">
      <alignment horizontal="right"/>
    </xf>
    <xf borderId="4" fillId="6" fontId="23" numFmtId="0" xfId="0" applyAlignment="1" applyBorder="1" applyFont="1">
      <alignment horizontal="center"/>
    </xf>
    <xf borderId="0" fillId="0" fontId="8" numFmtId="2" xfId="0" applyFont="1" applyNumberFormat="1"/>
    <xf borderId="0" fillId="0" fontId="6" numFmtId="0" xfId="0" applyAlignment="1" applyFont="1">
      <alignment shrinkToFit="0" wrapText="1"/>
    </xf>
    <xf borderId="4" fillId="6" fontId="14" numFmtId="0" xfId="0" applyAlignment="1" applyBorder="1" applyFont="1">
      <alignment horizontal="center"/>
    </xf>
    <xf borderId="13" fillId="16" fontId="15" numFmtId="0" xfId="0" applyAlignment="1" applyBorder="1" applyFont="1">
      <alignment horizontal="center"/>
    </xf>
    <xf borderId="13" fillId="9" fontId="9" numFmtId="0" xfId="0" applyAlignment="1" applyBorder="1" applyFont="1">
      <alignment horizontal="center"/>
    </xf>
    <xf borderId="0" fillId="0" fontId="17" numFmtId="0" xfId="0" applyAlignment="1" applyFont="1">
      <alignment horizontal="center" vertical="center"/>
    </xf>
    <xf borderId="0" fillId="0" fontId="17" numFmtId="0" xfId="0" applyAlignment="1" applyFont="1">
      <alignment horizontal="center" shrinkToFit="0" vertical="center" wrapText="1"/>
    </xf>
    <xf borderId="4" fillId="6" fontId="13" numFmtId="2" xfId="0" applyAlignment="1" applyBorder="1" applyFont="1" applyNumberFormat="1">
      <alignment horizontal="right"/>
    </xf>
    <xf borderId="4" fillId="13" fontId="24" numFmtId="0" xfId="0" applyAlignment="1" applyBorder="1" applyFont="1">
      <alignment horizontal="right"/>
    </xf>
    <xf borderId="4" fillId="6" fontId="8" numFmtId="164" xfId="0" applyAlignment="1" applyBorder="1" applyFont="1" applyNumberFormat="1">
      <alignment horizontal="right"/>
    </xf>
    <xf borderId="13" fillId="17" fontId="22" numFmtId="0" xfId="0" applyAlignment="1" applyBorder="1" applyFill="1" applyFont="1">
      <alignment horizontal="center"/>
    </xf>
    <xf borderId="4" fillId="6" fontId="8" numFmtId="164" xfId="0" applyBorder="1" applyFont="1" applyNumberFormat="1"/>
    <xf borderId="0" fillId="0" fontId="14" numFmtId="2" xfId="0" applyAlignment="1" applyFont="1" applyNumberFormat="1">
      <alignment horizontal="center"/>
    </xf>
    <xf borderId="0" fillId="0" fontId="14" numFmtId="4" xfId="0" applyAlignment="1" applyFont="1" applyNumberFormat="1">
      <alignment horizontal="center"/>
    </xf>
    <xf borderId="0" fillId="0" fontId="4" numFmtId="0" xfId="0" applyAlignment="1" applyFont="1">
      <alignment horizontal="right"/>
    </xf>
    <xf borderId="0" fillId="0" fontId="14" numFmtId="9" xfId="0" applyAlignment="1" applyFont="1" applyNumberFormat="1">
      <alignment horizontal="center"/>
    </xf>
    <xf borderId="4" fillId="3" fontId="4" numFmtId="2" xfId="0" applyBorder="1" applyFont="1" applyNumberFormat="1"/>
    <xf borderId="0" fillId="0" fontId="14" numFmtId="4" xfId="0" applyAlignment="1" applyFont="1" applyNumberFormat="1">
      <alignment horizontal="center" shrinkToFit="0" wrapText="1"/>
    </xf>
    <xf borderId="13" fillId="17" fontId="15" numFmtId="0" xfId="0" applyAlignment="1" applyBorder="1" applyFont="1">
      <alignment horizontal="center"/>
    </xf>
    <xf borderId="4" fillId="13" fontId="24" numFmtId="2" xfId="0" applyAlignment="1" applyBorder="1" applyFont="1" applyNumberFormat="1">
      <alignment horizontal="right"/>
    </xf>
    <xf borderId="0" fillId="0" fontId="8" numFmtId="4" xfId="0" applyAlignment="1" applyFont="1" applyNumberFormat="1">
      <alignment shrinkToFit="0" wrapText="1"/>
    </xf>
    <xf borderId="0" fillId="0" fontId="8" numFmtId="4" xfId="0" applyFont="1" applyNumberFormat="1"/>
    <xf borderId="0" fillId="0" fontId="4" numFmtId="2" xfId="0" applyFont="1" applyNumberFormat="1"/>
    <xf borderId="13" fillId="15" fontId="9" numFmtId="0" xfId="0" applyAlignment="1" applyBorder="1" applyFont="1">
      <alignment horizontal="center"/>
    </xf>
    <xf borderId="0" fillId="0" fontId="28" numFmtId="9" xfId="0" applyAlignment="1" applyFont="1" applyNumberFormat="1">
      <alignment horizontal="left"/>
    </xf>
    <xf borderId="4" fillId="18" fontId="25" numFmtId="0" xfId="0" applyAlignment="1" applyBorder="1" applyFill="1" applyFont="1">
      <alignment horizontal="center" vertical="center"/>
    </xf>
    <xf borderId="13" fillId="16" fontId="29" numFmtId="0" xfId="0" applyAlignment="1" applyBorder="1" applyFont="1">
      <alignment horizontal="center"/>
    </xf>
    <xf borderId="0" fillId="0" fontId="25" numFmtId="164" xfId="0" applyAlignment="1" applyFont="1" applyNumberFormat="1">
      <alignment horizontal="center" vertical="center"/>
    </xf>
    <xf borderId="0" fillId="0" fontId="30" numFmtId="0" xfId="0" applyAlignment="1" applyFont="1">
      <alignment horizontal="center" vertical="center"/>
    </xf>
    <xf borderId="0" fillId="0" fontId="30" numFmtId="0" xfId="0" applyAlignment="1" applyFont="1">
      <alignment horizontal="center" shrinkToFit="0" vertical="center" wrapText="1"/>
    </xf>
    <xf borderId="0" fillId="0" fontId="25" numFmtId="167" xfId="0" applyAlignment="1" applyFont="1" applyNumberFormat="1">
      <alignment horizontal="center" vertical="center"/>
    </xf>
    <xf borderId="13" fillId="13" fontId="15" numFmtId="0" xfId="0" applyAlignment="1" applyBorder="1" applyFont="1">
      <alignment horizontal="center"/>
    </xf>
    <xf borderId="0" fillId="0" fontId="25" numFmtId="9" xfId="0" applyAlignment="1" applyFont="1" applyNumberFormat="1">
      <alignment horizontal="center" vertical="center"/>
    </xf>
    <xf borderId="0" fillId="0" fontId="8" numFmtId="164" xfId="0" applyFont="1" applyNumberFormat="1"/>
    <xf borderId="13" fillId="19" fontId="15" numFmtId="0" xfId="0" applyAlignment="1" applyBorder="1" applyFill="1" applyFont="1">
      <alignment horizontal="center"/>
    </xf>
    <xf borderId="0" fillId="0" fontId="28" numFmtId="2" xfId="0" applyAlignment="1" applyFont="1" applyNumberFormat="1">
      <alignment horizontal="left"/>
    </xf>
    <xf borderId="0" fillId="0" fontId="28" numFmtId="0" xfId="0" applyAlignment="1" applyFont="1">
      <alignment horizontal="left"/>
    </xf>
    <xf borderId="0" fillId="0" fontId="30" numFmtId="0" xfId="0" applyAlignment="1" applyFont="1">
      <alignment horizontal="left" vertical="center"/>
    </xf>
    <xf borderId="0" fillId="0" fontId="28" numFmtId="0" xfId="0" applyFont="1"/>
    <xf borderId="0" fillId="0" fontId="28" numFmtId="164" xfId="0" applyFont="1" applyNumberFormat="1"/>
    <xf borderId="0" fillId="0" fontId="4" numFmtId="0" xfId="0" applyAlignment="1" applyFont="1">
      <alignment horizontal="left"/>
    </xf>
    <xf borderId="4" fillId="13" fontId="8" numFmtId="2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57150</xdr:rowOff>
    </xdr:from>
    <xdr:ext cx="6781800" cy="514350"/>
    <xdr:pic>
      <xdr:nvPicPr>
        <xdr:cNvPr descr="esupp new graphic"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1733550</xdr:colOff>
      <xdr:row>9</xdr:row>
      <xdr:rowOff>0</xdr:rowOff>
    </xdr:from>
    <xdr:ext cx="4257675" cy="2667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523875</xdr:colOff>
      <xdr:row>5</xdr:row>
      <xdr:rowOff>133350</xdr:rowOff>
    </xdr:from>
    <xdr:ext cx="11782425" cy="247650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oi.org/10.2760/5871804" TargetMode="External"/><Relationship Id="rId2" Type="http://schemas.openxmlformats.org/officeDocument/2006/relationships/hyperlink" Target="https://scrreen.eu/wp-content/uploads/2024/01/SCRREEN2_factsheets_TITANIUM_V1.pdf" TargetMode="External"/><Relationship Id="rId3" Type="http://schemas.openxmlformats.org/officeDocument/2006/relationships/hyperlink" Target="https://rmis.jrc.ec.europa.eu/rmp/Titanium%20metal" TargetMode="External"/><Relationship Id="rId4" Type="http://schemas.openxmlformats.org/officeDocument/2006/relationships/hyperlink" Target="https://pubs.usgs.gov/periodicals/mcs2023/mcs2023-titanium.pdf" TargetMode="External"/><Relationship Id="rId5" Type="http://schemas.openxmlformats.org/officeDocument/2006/relationships/hyperlink" Target="https://op.europa.eu/en/publication-detail/-/publication/69212057-e737-11ee-9ea8-01aa75ed71a1/language-en" TargetMode="External"/><Relationship Id="rId6" Type="http://schemas.openxmlformats.org/officeDocument/2006/relationships/hyperlink" Target="https://comtradeplus.un.org/TradeFlow" TargetMode="External"/><Relationship Id="rId7" Type="http://schemas.openxmlformats.org/officeDocument/2006/relationships/hyperlink" Target="https://pmc.ncbi.nlm.nih.gov/articles/PMC10325961/" TargetMode="External"/><Relationship Id="rId8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doi.org/10.2760/5871804" TargetMode="External"/><Relationship Id="rId2" Type="http://schemas.openxmlformats.org/officeDocument/2006/relationships/hyperlink" Target="https://scrreen.eu/wp-content/uploads/2024/01/SCRREEN2_factsheets_TITANIUM_V1.pdf" TargetMode="External"/><Relationship Id="rId3" Type="http://schemas.openxmlformats.org/officeDocument/2006/relationships/hyperlink" Target="https://rmis.jrc.ec.europa.eu/rmp/Titanium%20metal" TargetMode="External"/><Relationship Id="rId4" Type="http://schemas.openxmlformats.org/officeDocument/2006/relationships/hyperlink" Target="https://pubs.usgs.gov/periodicals/mcs2023/mcs2023-titanium.pdf" TargetMode="External"/><Relationship Id="rId9" Type="http://schemas.openxmlformats.org/officeDocument/2006/relationships/drawing" Target="../drawings/drawing3.xml"/><Relationship Id="rId5" Type="http://schemas.openxmlformats.org/officeDocument/2006/relationships/hyperlink" Target="https://op.europa.eu/en/publication-detail/-/publication/69212057-e737-11ee-9ea8-01aa75ed71a1/language-en" TargetMode="External"/><Relationship Id="rId6" Type="http://schemas.openxmlformats.org/officeDocument/2006/relationships/hyperlink" Target="https://comtradeplus.un.org/TradeFlow" TargetMode="External"/><Relationship Id="rId7" Type="http://schemas.openxmlformats.org/officeDocument/2006/relationships/hyperlink" Target="https://pmc.ncbi.nlm.nih.gov/articles/PMC10325961/" TargetMode="External"/><Relationship Id="rId8" Type="http://schemas.openxmlformats.org/officeDocument/2006/relationships/hyperlink" Target="https://ec.europa.eu/eurostat/databrowser/view/ds-059358/legacyMultiFreq/table?lang=en&amp;category=prom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1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2.0"/>
    <col customWidth="1" min="2" max="2" width="28.33"/>
    <col customWidth="1" min="3" max="3" width="25.44"/>
    <col customWidth="1" min="4" max="26" width="8.78"/>
  </cols>
  <sheetData>
    <row r="1" ht="15.75" customHeight="1">
      <c r="A1" s="8"/>
      <c r="B1" s="12"/>
      <c r="C1" s="12"/>
      <c r="D1" s="12"/>
      <c r="E1" s="12"/>
      <c r="F1" s="12"/>
      <c r="G1" s="12"/>
      <c r="H1" s="17"/>
      <c r="I1" s="17"/>
    </row>
    <row r="2" ht="15.75" customHeight="1">
      <c r="A2" s="17"/>
      <c r="B2" s="17"/>
      <c r="C2" s="17"/>
      <c r="D2" s="17"/>
      <c r="E2" s="17"/>
      <c r="F2" s="17"/>
      <c r="G2" s="17"/>
      <c r="H2" s="17"/>
      <c r="I2" s="17"/>
    </row>
    <row r="3" ht="15.75" customHeight="1">
      <c r="A3" s="20" t="s">
        <v>9</v>
      </c>
      <c r="B3" s="17"/>
      <c r="C3" s="17"/>
      <c r="D3" s="17"/>
      <c r="E3" s="17"/>
      <c r="F3" s="17"/>
      <c r="G3" s="17"/>
      <c r="H3" s="17"/>
      <c r="I3" s="17"/>
    </row>
    <row r="4" ht="15.75" customHeight="1">
      <c r="A4" s="20"/>
      <c r="B4" s="17"/>
      <c r="C4" s="17"/>
      <c r="D4" s="17"/>
      <c r="E4" s="17"/>
      <c r="F4" s="17"/>
      <c r="G4" s="17"/>
      <c r="H4" s="17"/>
      <c r="I4" s="17"/>
    </row>
    <row r="5" ht="17.25" customHeight="1">
      <c r="A5" s="25" t="s">
        <v>14</v>
      </c>
    </row>
    <row r="6" ht="18.0" customHeight="1"/>
    <row r="7" ht="15.75" customHeight="1">
      <c r="A7" s="17"/>
      <c r="B7" s="17"/>
      <c r="C7" s="17"/>
      <c r="D7" s="17"/>
      <c r="E7" s="17"/>
      <c r="F7" s="17"/>
      <c r="G7" s="17"/>
      <c r="H7" s="17"/>
      <c r="I7" s="17"/>
    </row>
    <row r="8" ht="15.75" customHeight="1">
      <c r="A8" s="32" t="s">
        <v>21</v>
      </c>
      <c r="I8" s="33"/>
    </row>
    <row r="9" ht="15.75" customHeight="1">
      <c r="I9" s="33"/>
    </row>
    <row r="10" ht="15.75" customHeight="1">
      <c r="A10" s="33"/>
      <c r="B10" s="33"/>
      <c r="C10" s="33"/>
      <c r="D10" s="33"/>
      <c r="E10" s="33"/>
      <c r="F10" s="33"/>
      <c r="G10" s="33"/>
      <c r="H10" s="33"/>
      <c r="I10" s="33"/>
    </row>
    <row r="11" ht="15.75" customHeight="1">
      <c r="A11" s="33"/>
      <c r="B11" s="33"/>
      <c r="C11" s="33"/>
      <c r="D11" s="33"/>
      <c r="E11" s="33"/>
      <c r="F11" s="33"/>
      <c r="G11" s="33"/>
      <c r="H11" s="33"/>
      <c r="I11" s="33"/>
    </row>
    <row r="12" ht="15.75" customHeight="1"/>
    <row r="13" ht="15.75" customHeight="1">
      <c r="A13" s="40" t="s">
        <v>28</v>
      </c>
    </row>
    <row r="14" ht="15.75" customHeight="1">
      <c r="A14" s="22" t="s">
        <v>31</v>
      </c>
      <c r="B14" s="22" t="s">
        <v>32</v>
      </c>
    </row>
    <row r="15" ht="15.75" customHeight="1">
      <c r="A15" s="22" t="s">
        <v>33</v>
      </c>
      <c r="B15" s="22" t="s">
        <v>34</v>
      </c>
    </row>
    <row r="16" ht="15.75" customHeight="1">
      <c r="A16" s="22" t="s">
        <v>36</v>
      </c>
      <c r="B16" s="22" t="s">
        <v>37</v>
      </c>
    </row>
    <row r="17" ht="15.75" customHeight="1">
      <c r="A17" s="22" t="s">
        <v>39</v>
      </c>
      <c r="B17" s="22" t="s">
        <v>40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>
      <c r="A24" s="40" t="s">
        <v>8</v>
      </c>
    </row>
    <row r="25" ht="15.75" customHeight="1">
      <c r="A25" s="43" t="s">
        <v>44</v>
      </c>
    </row>
    <row r="26" ht="15.75" customHeight="1">
      <c r="A26" s="43" t="s">
        <v>46</v>
      </c>
    </row>
    <row r="27" ht="15.75" customHeight="1">
      <c r="A27" s="43" t="s">
        <v>47</v>
      </c>
    </row>
    <row r="28" ht="15.75" customHeight="1">
      <c r="A28" s="43" t="s">
        <v>48</v>
      </c>
    </row>
    <row r="29" ht="15.75" customHeight="1">
      <c r="A29" s="43" t="s">
        <v>50</v>
      </c>
    </row>
    <row r="30" ht="15.75" customHeight="1">
      <c r="A30" s="43" t="s">
        <v>51</v>
      </c>
    </row>
    <row r="31" ht="15.75" customHeight="1">
      <c r="A31" s="43" t="s">
        <v>52</v>
      </c>
    </row>
    <row r="32" ht="15.75" customHeight="1">
      <c r="A32" s="46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5:I6"/>
    <mergeCell ref="A8:H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29.67"/>
    <col customWidth="1" min="3" max="6" width="10.56"/>
    <col customWidth="1" min="7" max="7" width="45.33"/>
    <col customWidth="1" min="8" max="10" width="10.56"/>
    <col customWidth="1" min="11" max="11" width="20.11"/>
    <col customWidth="1" min="12" max="26" width="10.56"/>
  </cols>
  <sheetData>
    <row r="1" ht="15.75" customHeight="1"/>
    <row r="2" ht="15.75" customHeight="1">
      <c r="B2" s="2" t="s">
        <v>2</v>
      </c>
      <c r="C2" s="3"/>
      <c r="D2" s="3"/>
      <c r="E2" s="3"/>
      <c r="F2" s="3"/>
      <c r="G2" s="4"/>
      <c r="N2" s="6" t="s">
        <v>3</v>
      </c>
      <c r="O2" s="3"/>
      <c r="P2" s="3"/>
      <c r="Q2" s="3"/>
      <c r="R2" s="3"/>
      <c r="S2" s="3"/>
      <c r="T2" s="3"/>
      <c r="U2" s="4"/>
    </row>
    <row r="3" ht="15.75" customHeight="1">
      <c r="B3" s="10"/>
      <c r="G3" s="15"/>
      <c r="N3" s="10"/>
      <c r="U3" s="15"/>
    </row>
    <row r="4" ht="15.75" customHeight="1">
      <c r="B4" s="13"/>
      <c r="C4" s="14"/>
      <c r="D4" s="14"/>
      <c r="E4" s="14"/>
      <c r="F4" s="14"/>
      <c r="G4" s="16"/>
      <c r="N4" s="13"/>
      <c r="O4" s="14"/>
      <c r="P4" s="14"/>
      <c r="Q4" s="14"/>
      <c r="R4" s="14"/>
      <c r="S4" s="14"/>
      <c r="T4" s="14"/>
      <c r="U4" s="16"/>
    </row>
    <row r="5" ht="15.75" customHeight="1">
      <c r="P5" s="21" t="s">
        <v>10</v>
      </c>
    </row>
    <row r="6" ht="15.75" customHeight="1"/>
    <row r="7" ht="15.75" customHeight="1">
      <c r="J7" s="18" t="s">
        <v>8</v>
      </c>
      <c r="K7" s="19"/>
      <c r="O7" s="27" t="s">
        <v>13</v>
      </c>
      <c r="P7" s="29"/>
      <c r="S7" s="31" t="s">
        <v>19</v>
      </c>
      <c r="T7" s="29"/>
    </row>
    <row r="8" ht="15.75" customHeight="1">
      <c r="J8" s="24" t="s">
        <v>12</v>
      </c>
      <c r="K8" s="24" t="s">
        <v>15</v>
      </c>
      <c r="N8" s="35"/>
      <c r="O8" s="36" t="s">
        <v>26</v>
      </c>
      <c r="P8" s="36">
        <v>21.5</v>
      </c>
      <c r="R8" s="35"/>
      <c r="S8" s="36" t="s">
        <v>29</v>
      </c>
      <c r="T8" s="36">
        <v>1.7</v>
      </c>
    </row>
    <row r="9" ht="15.75" customHeight="1">
      <c r="J9" s="28">
        <v>1.0</v>
      </c>
      <c r="K9" s="38" t="s">
        <v>18</v>
      </c>
      <c r="O9" s="11" t="s">
        <v>43</v>
      </c>
      <c r="P9" s="11" t="s">
        <v>45</v>
      </c>
      <c r="S9" s="11" t="s">
        <v>43</v>
      </c>
      <c r="T9" s="11" t="s">
        <v>45</v>
      </c>
    </row>
    <row r="10" ht="15.75" customHeight="1">
      <c r="J10" s="28">
        <v>2.0</v>
      </c>
      <c r="K10" s="38" t="s">
        <v>42</v>
      </c>
      <c r="N10" s="47" t="s">
        <v>53</v>
      </c>
      <c r="O10" s="48">
        <v>0.34</v>
      </c>
      <c r="P10" s="52">
        <f t="shared" ref="P10:P14" si="1">O10*P$8</f>
        <v>7.31</v>
      </c>
      <c r="R10" s="47" t="s">
        <v>53</v>
      </c>
      <c r="S10" s="48">
        <v>0.2</v>
      </c>
      <c r="T10" s="52">
        <f t="shared" ref="T10:T14" si="2">S10*T$8</f>
        <v>0.34</v>
      </c>
    </row>
    <row r="11" ht="15.75" customHeight="1">
      <c r="J11" s="28">
        <v>3.0</v>
      </c>
      <c r="K11" s="38" t="s">
        <v>55</v>
      </c>
      <c r="N11" s="47" t="s">
        <v>59</v>
      </c>
      <c r="O11" s="48">
        <v>0.24</v>
      </c>
      <c r="P11" s="52">
        <f t="shared" si="1"/>
        <v>5.16</v>
      </c>
      <c r="R11" s="47" t="s">
        <v>59</v>
      </c>
      <c r="S11" s="48">
        <v>0.0</v>
      </c>
      <c r="T11" s="52">
        <f t="shared" si="2"/>
        <v>0</v>
      </c>
    </row>
    <row r="12" ht="15.75" customHeight="1">
      <c r="J12" s="28">
        <v>4.0</v>
      </c>
      <c r="K12" s="38" t="s">
        <v>60</v>
      </c>
      <c r="N12" s="47" t="s">
        <v>64</v>
      </c>
      <c r="O12" s="48">
        <v>0.06</v>
      </c>
      <c r="P12" s="52">
        <f t="shared" si="1"/>
        <v>1.29</v>
      </c>
      <c r="R12" s="47" t="s">
        <v>64</v>
      </c>
      <c r="S12" s="48">
        <v>0.01</v>
      </c>
      <c r="T12" s="52">
        <f t="shared" si="2"/>
        <v>0.017</v>
      </c>
    </row>
    <row r="13" ht="15.75" customHeight="1">
      <c r="J13" s="28">
        <v>5.0</v>
      </c>
      <c r="K13" s="38" t="s">
        <v>66</v>
      </c>
      <c r="N13" s="47" t="s">
        <v>67</v>
      </c>
      <c r="O13" s="48">
        <v>0.11</v>
      </c>
      <c r="P13" s="52">
        <f t="shared" si="1"/>
        <v>2.365</v>
      </c>
      <c r="R13" s="47" t="s">
        <v>67</v>
      </c>
      <c r="S13" s="48">
        <v>0.02</v>
      </c>
      <c r="T13" s="52">
        <f t="shared" si="2"/>
        <v>0.034</v>
      </c>
    </row>
    <row r="14" ht="15.75" customHeight="1">
      <c r="J14" s="28">
        <v>6.0</v>
      </c>
      <c r="K14" s="38" t="s">
        <v>69</v>
      </c>
      <c r="N14" s="47" t="s">
        <v>70</v>
      </c>
      <c r="O14" s="48">
        <v>0.26</v>
      </c>
      <c r="P14" s="52">
        <f t="shared" si="1"/>
        <v>5.59</v>
      </c>
      <c r="R14" s="47" t="s">
        <v>70</v>
      </c>
      <c r="S14" s="48">
        <v>0.77</v>
      </c>
      <c r="T14" s="52">
        <f t="shared" si="2"/>
        <v>1.309</v>
      </c>
    </row>
    <row r="15" ht="15.75" customHeight="1">
      <c r="J15" s="28">
        <v>7.0</v>
      </c>
      <c r="K15" s="38" t="s">
        <v>72</v>
      </c>
      <c r="N15" s="63"/>
      <c r="O15" s="36" t="s">
        <v>74</v>
      </c>
      <c r="P15" s="64">
        <v>9.0</v>
      </c>
      <c r="R15" s="66"/>
      <c r="S15" s="35" t="s">
        <v>74</v>
      </c>
      <c r="T15" s="36">
        <v>0.0</v>
      </c>
    </row>
    <row r="16" ht="15.75" customHeight="1">
      <c r="J16" s="67"/>
      <c r="K16" s="67"/>
      <c r="N16" s="47" t="s">
        <v>53</v>
      </c>
      <c r="O16" s="48">
        <v>0.36796536796536794</v>
      </c>
      <c r="P16" s="52">
        <f t="shared" ref="P16:P20" si="3">O16*P$15</f>
        <v>3.311688312</v>
      </c>
      <c r="R16" s="47" t="s">
        <v>53</v>
      </c>
      <c r="S16" s="48">
        <v>0.1984732824427481</v>
      </c>
      <c r="T16" s="11">
        <f t="shared" ref="T16:T20" si="4">S16*T$15</f>
        <v>0</v>
      </c>
    </row>
    <row r="17" ht="15.75" customHeight="1">
      <c r="J17" s="67"/>
      <c r="K17" s="67"/>
      <c r="N17" s="47" t="s">
        <v>59</v>
      </c>
      <c r="O17" s="48">
        <v>0.15584415584415584</v>
      </c>
      <c r="P17" s="52">
        <f t="shared" si="3"/>
        <v>1.402597403</v>
      </c>
      <c r="R17" s="47" t="s">
        <v>59</v>
      </c>
      <c r="S17" s="48">
        <v>0.007633587786259542</v>
      </c>
      <c r="T17" s="11">
        <f t="shared" si="4"/>
        <v>0</v>
      </c>
    </row>
    <row r="18" ht="15.75" customHeight="1">
      <c r="J18" s="67"/>
      <c r="K18" s="67"/>
      <c r="N18" s="47" t="s">
        <v>64</v>
      </c>
      <c r="O18" s="48">
        <v>0.17748917748917747</v>
      </c>
      <c r="P18" s="52">
        <f t="shared" si="3"/>
        <v>1.597402597</v>
      </c>
      <c r="R18" s="47" t="s">
        <v>64</v>
      </c>
      <c r="S18" s="48">
        <v>0.06870229007633587</v>
      </c>
      <c r="T18" s="11">
        <f t="shared" si="4"/>
        <v>0</v>
      </c>
    </row>
    <row r="19" ht="15.75" customHeight="1">
      <c r="N19" s="47" t="s">
        <v>67</v>
      </c>
      <c r="O19" s="48">
        <v>0.2510822510822511</v>
      </c>
      <c r="P19" s="52">
        <f t="shared" si="3"/>
        <v>2.25974026</v>
      </c>
      <c r="R19" s="47" t="s">
        <v>67</v>
      </c>
      <c r="S19" s="48">
        <v>0.003816793893129771</v>
      </c>
      <c r="T19" s="11">
        <f t="shared" si="4"/>
        <v>0</v>
      </c>
    </row>
    <row r="20" ht="15.75" customHeight="1">
      <c r="N20" s="47" t="s">
        <v>70</v>
      </c>
      <c r="O20" s="48">
        <v>0.04761904761904762</v>
      </c>
      <c r="P20" s="52">
        <f t="shared" si="3"/>
        <v>0.4285714286</v>
      </c>
      <c r="R20" s="47" t="s">
        <v>70</v>
      </c>
      <c r="S20" s="48">
        <v>0.7213740458015266</v>
      </c>
      <c r="T20" s="11">
        <f t="shared" si="4"/>
        <v>0</v>
      </c>
    </row>
    <row r="21" ht="15.75" customHeight="1">
      <c r="N21" s="63"/>
      <c r="O21" s="36" t="s">
        <v>80</v>
      </c>
      <c r="P21" s="64">
        <v>23.2</v>
      </c>
      <c r="R21" s="66"/>
      <c r="S21" s="35" t="s">
        <v>81</v>
      </c>
      <c r="T21" s="36">
        <v>6.8</v>
      </c>
    </row>
    <row r="22" ht="15.75" customHeight="1">
      <c r="N22" s="47" t="s">
        <v>53</v>
      </c>
      <c r="O22" s="48">
        <v>0.36796536796536794</v>
      </c>
      <c r="P22" s="52">
        <f t="shared" ref="P22:P26" si="5">O22*P$21</f>
        <v>8.536796537</v>
      </c>
      <c r="R22" s="47" t="s">
        <v>53</v>
      </c>
      <c r="S22" s="48">
        <v>0.1984732824427481</v>
      </c>
      <c r="T22" s="52">
        <f t="shared" ref="T22:T26" si="6">S22*T$21</f>
        <v>1.349618321</v>
      </c>
    </row>
    <row r="23" ht="15.75" customHeight="1">
      <c r="N23" s="47" t="s">
        <v>59</v>
      </c>
      <c r="O23" s="48">
        <v>0.15584415584415584</v>
      </c>
      <c r="P23" s="52">
        <f t="shared" si="5"/>
        <v>3.615584416</v>
      </c>
      <c r="R23" s="47" t="s">
        <v>59</v>
      </c>
      <c r="S23" s="48">
        <v>0.007633587786259542</v>
      </c>
      <c r="T23" s="52">
        <f t="shared" si="6"/>
        <v>0.05190839695</v>
      </c>
    </row>
    <row r="24" ht="15.75" customHeight="1">
      <c r="N24" s="47" t="s">
        <v>64</v>
      </c>
      <c r="O24" s="48">
        <v>0.17748917748917747</v>
      </c>
      <c r="P24" s="52">
        <f t="shared" si="5"/>
        <v>4.117748918</v>
      </c>
      <c r="R24" s="47" t="s">
        <v>64</v>
      </c>
      <c r="S24" s="48">
        <v>0.06870229007633587</v>
      </c>
      <c r="T24" s="52">
        <f t="shared" si="6"/>
        <v>0.4671755725</v>
      </c>
    </row>
    <row r="25" ht="18.75" customHeight="1">
      <c r="B25" s="77" t="s">
        <v>88</v>
      </c>
      <c r="C25" s="39"/>
      <c r="D25" s="39"/>
      <c r="E25" s="39"/>
      <c r="F25" s="39"/>
      <c r="G25" s="29"/>
      <c r="N25" s="47" t="s">
        <v>67</v>
      </c>
      <c r="O25" s="48">
        <v>0.2510822510822511</v>
      </c>
      <c r="P25" s="52">
        <f t="shared" si="5"/>
        <v>5.825108225</v>
      </c>
      <c r="R25" s="47" t="s">
        <v>67</v>
      </c>
      <c r="S25" s="48">
        <v>0.003816793893129771</v>
      </c>
      <c r="T25" s="52">
        <f t="shared" si="6"/>
        <v>0.02595419847</v>
      </c>
    </row>
    <row r="26" ht="15.75" customHeight="1">
      <c r="B26" s="40" t="s">
        <v>17</v>
      </c>
      <c r="C26" s="40" t="s">
        <v>20</v>
      </c>
      <c r="D26" s="40" t="s">
        <v>90</v>
      </c>
      <c r="E26" s="80" t="s">
        <v>91</v>
      </c>
      <c r="F26" s="40" t="s">
        <v>92</v>
      </c>
      <c r="G26" s="40" t="s">
        <v>93</v>
      </c>
      <c r="N26" s="47" t="s">
        <v>70</v>
      </c>
      <c r="O26" s="48">
        <v>0.04761904761904762</v>
      </c>
      <c r="P26" s="52">
        <f t="shared" si="5"/>
        <v>1.104761905</v>
      </c>
      <c r="R26" s="47" t="s">
        <v>70</v>
      </c>
      <c r="S26" s="48">
        <v>0.7213740458015266</v>
      </c>
      <c r="T26" s="52">
        <f t="shared" si="6"/>
        <v>4.905343511</v>
      </c>
    </row>
    <row r="27" ht="15.75" customHeight="1">
      <c r="B27" s="82" t="s">
        <v>95</v>
      </c>
      <c r="C27" s="83" t="s">
        <v>96</v>
      </c>
      <c r="D27" s="84">
        <f>560000/0.5</f>
        <v>1120000</v>
      </c>
      <c r="E27" s="85" t="s">
        <v>97</v>
      </c>
      <c r="F27" s="83">
        <v>2024.0</v>
      </c>
      <c r="G27" s="85" t="s">
        <v>98</v>
      </c>
      <c r="N27" s="63"/>
      <c r="O27" s="36" t="s">
        <v>99</v>
      </c>
      <c r="P27" s="64">
        <v>11.0</v>
      </c>
      <c r="R27" s="66"/>
      <c r="S27" s="35" t="s">
        <v>99</v>
      </c>
      <c r="T27" s="36">
        <v>25.0</v>
      </c>
    </row>
    <row r="28" ht="15.75" customHeight="1">
      <c r="B28" s="82" t="s">
        <v>100</v>
      </c>
      <c r="C28" s="83" t="s">
        <v>38</v>
      </c>
      <c r="D28" s="84">
        <f>D29/0.5</f>
        <v>18800</v>
      </c>
      <c r="E28" s="85">
        <v>4.0</v>
      </c>
      <c r="F28" s="83"/>
      <c r="G28" s="85" t="s">
        <v>103</v>
      </c>
      <c r="N28" s="47" t="s">
        <v>53</v>
      </c>
      <c r="O28" s="48">
        <v>0.49</v>
      </c>
      <c r="P28" s="52">
        <f t="shared" ref="P28:P32" si="7">O28*P$27</f>
        <v>5.39</v>
      </c>
      <c r="R28" s="47" t="s">
        <v>53</v>
      </c>
      <c r="S28" s="48">
        <v>0.59589041</v>
      </c>
      <c r="T28" s="52">
        <f t="shared" ref="T28:T32" si="8">S28*T$27</f>
        <v>14.89726025</v>
      </c>
    </row>
    <row r="29" ht="15.75" customHeight="1">
      <c r="B29" s="82" t="s">
        <v>105</v>
      </c>
      <c r="C29" s="83" t="s">
        <v>62</v>
      </c>
      <c r="D29" s="84">
        <v>9400.0</v>
      </c>
      <c r="E29" s="85">
        <v>4.0</v>
      </c>
      <c r="F29" s="83">
        <v>2024.0</v>
      </c>
      <c r="G29" s="85" t="s">
        <v>106</v>
      </c>
      <c r="N29" s="47" t="s">
        <v>59</v>
      </c>
      <c r="O29" s="48">
        <v>0.2</v>
      </c>
      <c r="P29" s="52">
        <f t="shared" si="7"/>
        <v>2.2</v>
      </c>
      <c r="R29" s="47" t="s">
        <v>59</v>
      </c>
      <c r="S29" s="48">
        <v>0.01125245</v>
      </c>
      <c r="T29" s="52">
        <f t="shared" si="8"/>
        <v>0.28131125</v>
      </c>
    </row>
    <row r="30" ht="15.75" customHeight="1">
      <c r="B30" s="82"/>
      <c r="C30" s="83"/>
      <c r="D30" s="84"/>
      <c r="E30" s="85"/>
      <c r="F30" s="83"/>
      <c r="G30" s="85"/>
      <c r="N30" s="47" t="s">
        <v>64</v>
      </c>
      <c r="O30" s="48">
        <v>0.01</v>
      </c>
      <c r="P30" s="52">
        <f t="shared" si="7"/>
        <v>0.11</v>
      </c>
      <c r="R30" s="47" t="s">
        <v>64</v>
      </c>
      <c r="S30" s="48">
        <v>0.0</v>
      </c>
      <c r="T30" s="52">
        <f t="shared" si="8"/>
        <v>0</v>
      </c>
    </row>
    <row r="31" ht="15.75" customHeight="1">
      <c r="B31" s="82" t="s">
        <v>108</v>
      </c>
      <c r="C31" s="83" t="s">
        <v>96</v>
      </c>
      <c r="D31" s="84">
        <f>40000</f>
        <v>40000</v>
      </c>
      <c r="E31" s="85"/>
      <c r="F31" s="83"/>
      <c r="G31" s="90" t="s">
        <v>110</v>
      </c>
      <c r="N31" s="47" t="s">
        <v>67</v>
      </c>
      <c r="O31" s="48">
        <v>0.03</v>
      </c>
      <c r="P31" s="52">
        <f t="shared" si="7"/>
        <v>0.33</v>
      </c>
      <c r="R31" s="47" t="s">
        <v>67</v>
      </c>
      <c r="S31" s="48">
        <v>0.11594912</v>
      </c>
      <c r="T31" s="52">
        <f t="shared" si="8"/>
        <v>2.898728</v>
      </c>
    </row>
    <row r="32" ht="15.75" customHeight="1">
      <c r="B32" s="82" t="s">
        <v>112</v>
      </c>
      <c r="C32" s="83" t="s">
        <v>38</v>
      </c>
      <c r="D32" s="84">
        <v>0.0</v>
      </c>
      <c r="E32" s="85" t="s">
        <v>113</v>
      </c>
      <c r="F32" s="83">
        <v>2023.0</v>
      </c>
      <c r="G32" s="85" t="s">
        <v>114</v>
      </c>
      <c r="N32" s="47" t="s">
        <v>70</v>
      </c>
      <c r="O32" s="48">
        <v>0.27</v>
      </c>
      <c r="P32" s="52">
        <f t="shared" si="7"/>
        <v>2.97</v>
      </c>
      <c r="R32" s="47" t="s">
        <v>70</v>
      </c>
      <c r="S32" s="48">
        <v>0.27690802</v>
      </c>
      <c r="T32" s="52">
        <f t="shared" si="8"/>
        <v>6.9227005</v>
      </c>
    </row>
    <row r="33" ht="15.75" customHeight="1">
      <c r="B33" s="82" t="s">
        <v>117</v>
      </c>
      <c r="C33" s="83" t="s">
        <v>62</v>
      </c>
      <c r="D33" s="84">
        <v>0.0</v>
      </c>
      <c r="E33" s="85" t="s">
        <v>113</v>
      </c>
      <c r="F33" s="83">
        <v>2023.0</v>
      </c>
      <c r="G33" s="85"/>
      <c r="N33" s="66"/>
      <c r="P33" s="11"/>
    </row>
    <row r="34" ht="15.75" customHeight="1">
      <c r="B34" s="93"/>
      <c r="C34" s="93"/>
      <c r="D34" s="95"/>
      <c r="E34" s="96"/>
      <c r="F34" s="93"/>
      <c r="G34" s="96"/>
      <c r="P34" s="11"/>
    </row>
    <row r="35" ht="15.75" customHeight="1">
      <c r="B35" s="98" t="s">
        <v>120</v>
      </c>
      <c r="C35" s="39"/>
      <c r="D35" s="39"/>
      <c r="E35" s="39"/>
      <c r="F35" s="39"/>
      <c r="G35" s="29"/>
      <c r="P35" s="11"/>
    </row>
    <row r="36" ht="15.75" customHeight="1">
      <c r="B36" s="99" t="s">
        <v>121</v>
      </c>
      <c r="C36" s="83" t="s">
        <v>38</v>
      </c>
      <c r="D36" s="84">
        <v>400.0</v>
      </c>
      <c r="E36" s="85"/>
      <c r="F36" s="83"/>
      <c r="G36" s="85" t="s">
        <v>122</v>
      </c>
      <c r="P36" s="11"/>
    </row>
    <row r="37" ht="15.75" customHeight="1">
      <c r="B37" s="99" t="s">
        <v>117</v>
      </c>
      <c r="C37" s="83" t="s">
        <v>38</v>
      </c>
      <c r="D37" s="83">
        <v>0.0</v>
      </c>
      <c r="E37" s="85" t="s">
        <v>113</v>
      </c>
      <c r="F37" s="83">
        <v>2023.0</v>
      </c>
      <c r="G37" s="85"/>
      <c r="P37" s="11"/>
    </row>
    <row r="38" ht="15.75" customHeight="1">
      <c r="B38" s="99" t="s">
        <v>126</v>
      </c>
      <c r="C38" s="83" t="s">
        <v>62</v>
      </c>
      <c r="D38" s="83">
        <v>0.0</v>
      </c>
      <c r="E38" s="83">
        <v>4.0</v>
      </c>
      <c r="F38" s="83">
        <v>2024.0</v>
      </c>
      <c r="G38" s="85" t="s">
        <v>129</v>
      </c>
      <c r="P38" s="11"/>
    </row>
    <row r="39" ht="15.75" customHeight="1">
      <c r="B39" s="99" t="s">
        <v>131</v>
      </c>
      <c r="C39" s="83" t="s">
        <v>62</v>
      </c>
      <c r="D39" s="83">
        <v>400.0</v>
      </c>
      <c r="E39" s="83">
        <v>4.0</v>
      </c>
      <c r="F39" s="83">
        <v>2024.0</v>
      </c>
      <c r="G39" s="85" t="s">
        <v>132</v>
      </c>
      <c r="P39" s="11"/>
    </row>
    <row r="40" ht="15.75" customHeight="1">
      <c r="G40" s="110"/>
      <c r="P40" s="11"/>
    </row>
    <row r="41" ht="15.75" customHeight="1">
      <c r="G41" s="110"/>
      <c r="P41" s="11"/>
    </row>
    <row r="42" ht="15.75" customHeight="1">
      <c r="B42" s="113" t="s">
        <v>136</v>
      </c>
      <c r="C42" s="39"/>
      <c r="D42" s="39"/>
      <c r="E42" s="39"/>
      <c r="F42" s="39"/>
      <c r="G42" s="29"/>
      <c r="P42" s="11"/>
    </row>
    <row r="43" ht="15.75" customHeight="1">
      <c r="B43" s="114" t="s">
        <v>17</v>
      </c>
      <c r="C43" s="114" t="s">
        <v>20</v>
      </c>
      <c r="D43" s="114" t="s">
        <v>90</v>
      </c>
      <c r="E43" s="115" t="s">
        <v>91</v>
      </c>
      <c r="F43" s="114" t="s">
        <v>92</v>
      </c>
      <c r="G43" s="114" t="s">
        <v>93</v>
      </c>
      <c r="P43" s="11"/>
    </row>
    <row r="44" ht="15.75" customHeight="1">
      <c r="B44" s="82" t="s">
        <v>35</v>
      </c>
      <c r="C44" s="83" t="s">
        <v>38</v>
      </c>
      <c r="D44" s="83">
        <v>0.0</v>
      </c>
      <c r="E44" s="83">
        <v>4.0</v>
      </c>
      <c r="F44" s="83">
        <v>2024.0</v>
      </c>
      <c r="G44" s="85" t="s">
        <v>129</v>
      </c>
      <c r="P44" s="11"/>
    </row>
    <row r="45" ht="15.75" customHeight="1">
      <c r="B45" s="82" t="s">
        <v>54</v>
      </c>
      <c r="C45" s="83" t="s">
        <v>38</v>
      </c>
      <c r="D45" s="83">
        <v>21.5</v>
      </c>
      <c r="E45" s="83">
        <v>6.0</v>
      </c>
      <c r="F45" s="83">
        <v>2019.0</v>
      </c>
      <c r="G45" s="85" t="s">
        <v>141</v>
      </c>
      <c r="P45" s="11"/>
    </row>
    <row r="46" ht="15.75" customHeight="1">
      <c r="B46" s="82" t="s">
        <v>56</v>
      </c>
      <c r="C46" s="83" t="s">
        <v>38</v>
      </c>
      <c r="D46" s="83">
        <v>11.0</v>
      </c>
      <c r="E46" s="83"/>
      <c r="F46" s="83"/>
      <c r="G46" s="85"/>
      <c r="P46" s="11"/>
    </row>
    <row r="47" ht="15.75" customHeight="1">
      <c r="B47" s="82" t="s">
        <v>61</v>
      </c>
      <c r="C47" s="83" t="s">
        <v>62</v>
      </c>
      <c r="D47" s="83">
        <f>15*0.9</f>
        <v>13.5</v>
      </c>
      <c r="E47" s="83">
        <v>1.0</v>
      </c>
      <c r="F47" s="83">
        <v>2019.0</v>
      </c>
      <c r="G47" s="85" t="s">
        <v>148</v>
      </c>
      <c r="P47" s="11"/>
    </row>
    <row r="48" ht="15.75" customHeight="1">
      <c r="B48" s="82" t="s">
        <v>65</v>
      </c>
      <c r="C48" s="83" t="s">
        <v>62</v>
      </c>
      <c r="D48" s="83">
        <v>1.7</v>
      </c>
      <c r="E48" s="83"/>
      <c r="F48" s="83"/>
      <c r="G48" s="85"/>
      <c r="P48" s="11"/>
    </row>
    <row r="49" ht="15.75" customHeight="1">
      <c r="B49" s="82" t="s">
        <v>151</v>
      </c>
      <c r="C49" s="83" t="s">
        <v>62</v>
      </c>
      <c r="D49" s="83">
        <f>D45*0.05+(D46*0.27)</f>
        <v>4.045</v>
      </c>
      <c r="E49" s="83"/>
      <c r="F49" s="83"/>
      <c r="G49" s="85" t="s">
        <v>152</v>
      </c>
      <c r="P49" s="11"/>
    </row>
    <row r="50" ht="15.75" customHeight="1">
      <c r="B50" s="82" t="s">
        <v>73</v>
      </c>
      <c r="C50" s="83" t="s">
        <v>62</v>
      </c>
      <c r="D50" s="83">
        <f>(D45)*0.15</f>
        <v>3.225</v>
      </c>
      <c r="E50" s="83">
        <v>6.0</v>
      </c>
      <c r="F50" s="83">
        <v>2019.0</v>
      </c>
      <c r="G50" s="85" t="s">
        <v>153</v>
      </c>
      <c r="P50" s="11"/>
    </row>
    <row r="51" ht="15.75" customHeight="1">
      <c r="B51" s="82" t="s">
        <v>154</v>
      </c>
      <c r="C51" s="83" t="s">
        <v>62</v>
      </c>
      <c r="D51" s="84">
        <v>10.0</v>
      </c>
      <c r="E51" s="85">
        <v>7.0</v>
      </c>
      <c r="F51" s="83">
        <v>2023.0</v>
      </c>
      <c r="G51" s="83" t="s">
        <v>155</v>
      </c>
      <c r="P51" s="11"/>
    </row>
    <row r="52" ht="15.75" customHeight="1">
      <c r="B52" s="82" t="s">
        <v>150</v>
      </c>
      <c r="C52" s="83" t="s">
        <v>62</v>
      </c>
      <c r="D52" s="84"/>
      <c r="E52" s="85"/>
      <c r="F52" s="83"/>
      <c r="G52" s="85"/>
      <c r="P52" s="11"/>
    </row>
    <row r="53" ht="15.75" customHeight="1">
      <c r="B53" s="82"/>
      <c r="C53" s="83"/>
      <c r="D53" s="83"/>
      <c r="E53" s="83"/>
      <c r="F53" s="83"/>
      <c r="G53" s="85"/>
      <c r="P53" s="11"/>
    </row>
    <row r="54" ht="15.75" customHeight="1">
      <c r="B54" s="132" t="s">
        <v>156</v>
      </c>
      <c r="C54" s="39"/>
      <c r="D54" s="39"/>
      <c r="E54" s="39"/>
      <c r="F54" s="39"/>
      <c r="G54" s="29"/>
      <c r="P54" s="11"/>
    </row>
    <row r="55" ht="15.75" customHeight="1">
      <c r="B55" s="82" t="s">
        <v>61</v>
      </c>
      <c r="C55" s="83" t="s">
        <v>38</v>
      </c>
      <c r="D55" s="83">
        <f>D47</f>
        <v>13.5</v>
      </c>
      <c r="E55" s="85">
        <v>1.0</v>
      </c>
      <c r="F55" s="83">
        <v>2019.0</v>
      </c>
      <c r="G55" s="85"/>
      <c r="P55" s="11"/>
    </row>
    <row r="56" ht="15.75" customHeight="1">
      <c r="B56" s="82" t="s">
        <v>159</v>
      </c>
      <c r="C56" s="83" t="s">
        <v>38</v>
      </c>
      <c r="D56" s="83">
        <v>7.0</v>
      </c>
      <c r="E56" s="85"/>
      <c r="F56" s="83"/>
      <c r="G56" s="85"/>
      <c r="P56" s="11"/>
    </row>
    <row r="57" ht="15.75" customHeight="1">
      <c r="B57" s="82" t="s">
        <v>83</v>
      </c>
      <c r="C57" s="83" t="s">
        <v>38</v>
      </c>
      <c r="D57" s="83">
        <v>2.0</v>
      </c>
      <c r="E57" s="85">
        <v>6.0</v>
      </c>
      <c r="F57" s="83">
        <v>2019.0</v>
      </c>
      <c r="G57" s="85" t="s">
        <v>160</v>
      </c>
      <c r="P57" s="11"/>
    </row>
    <row r="58" ht="15.75" customHeight="1">
      <c r="B58" s="82" t="s">
        <v>161</v>
      </c>
      <c r="C58" s="83" t="s">
        <v>62</v>
      </c>
      <c r="D58" s="83">
        <f>7.5*0.9</f>
        <v>6.75</v>
      </c>
      <c r="E58" s="85">
        <v>1.0</v>
      </c>
      <c r="F58" s="83">
        <v>2019.0</v>
      </c>
      <c r="G58" s="85" t="s">
        <v>162</v>
      </c>
      <c r="P58" s="11"/>
    </row>
    <row r="59" ht="15.75" customHeight="1">
      <c r="B59" s="82" t="s">
        <v>163</v>
      </c>
      <c r="C59" s="83" t="s">
        <v>62</v>
      </c>
      <c r="D59" s="83">
        <v>6.8</v>
      </c>
      <c r="E59" s="85">
        <v>6.0</v>
      </c>
      <c r="F59" s="83">
        <v>2019.0</v>
      </c>
      <c r="G59" s="85"/>
      <c r="P59" s="11"/>
    </row>
    <row r="60" ht="15.75" customHeight="1">
      <c r="B60" s="82" t="s">
        <v>164</v>
      </c>
      <c r="C60" s="83" t="s">
        <v>62</v>
      </c>
      <c r="D60" s="83">
        <v>9.0</v>
      </c>
      <c r="E60" s="85"/>
      <c r="F60" s="83"/>
      <c r="G60" s="134" t="s">
        <v>155</v>
      </c>
      <c r="P60" s="11"/>
    </row>
    <row r="61" ht="15.75" customHeight="1">
      <c r="B61" s="11"/>
      <c r="D61" s="11"/>
      <c r="E61" s="85"/>
      <c r="F61" s="11"/>
      <c r="G61" s="110"/>
      <c r="P61" s="11"/>
    </row>
    <row r="62" ht="15.75" customHeight="1">
      <c r="B62" s="135" t="s">
        <v>167</v>
      </c>
      <c r="C62" s="39"/>
      <c r="D62" s="39"/>
      <c r="E62" s="39"/>
      <c r="F62" s="39"/>
      <c r="G62" s="29"/>
      <c r="P62" s="11"/>
    </row>
    <row r="63" ht="15.75" customHeight="1">
      <c r="B63" s="114" t="s">
        <v>17</v>
      </c>
      <c r="C63" s="114" t="s">
        <v>20</v>
      </c>
      <c r="D63" s="114" t="s">
        <v>90</v>
      </c>
      <c r="E63" s="115" t="s">
        <v>91</v>
      </c>
      <c r="F63" s="114" t="s">
        <v>92</v>
      </c>
      <c r="G63" s="114" t="s">
        <v>93</v>
      </c>
      <c r="P63" s="11"/>
    </row>
    <row r="64" ht="15.75" customHeight="1">
      <c r="B64" s="82" t="s">
        <v>169</v>
      </c>
      <c r="C64" s="83" t="s">
        <v>38</v>
      </c>
      <c r="D64" s="136">
        <f>D58</f>
        <v>6.75</v>
      </c>
      <c r="E64" s="85">
        <v>1.0</v>
      </c>
      <c r="F64" s="83"/>
      <c r="G64" s="137"/>
      <c r="P64" s="11"/>
    </row>
    <row r="65" ht="15.75" customHeight="1">
      <c r="B65" s="82" t="s">
        <v>170</v>
      </c>
      <c r="C65" s="83" t="s">
        <v>38</v>
      </c>
      <c r="D65" s="136">
        <v>23.2</v>
      </c>
      <c r="E65" s="85">
        <v>6.0</v>
      </c>
      <c r="F65" s="83">
        <v>2019.0</v>
      </c>
      <c r="G65" s="138" t="s">
        <v>171</v>
      </c>
      <c r="P65" s="11"/>
    </row>
    <row r="66" ht="15.75" customHeight="1">
      <c r="B66" s="82" t="s">
        <v>173</v>
      </c>
      <c r="C66" s="83" t="s">
        <v>62</v>
      </c>
      <c r="D66" s="139">
        <f>SUM(D64:D65)</f>
        <v>29.95</v>
      </c>
      <c r="E66" s="85">
        <v>1.0</v>
      </c>
      <c r="F66" s="83"/>
      <c r="G66" s="137" t="s">
        <v>174</v>
      </c>
      <c r="P66" s="11"/>
    </row>
    <row r="67" ht="15.75" customHeight="1">
      <c r="B67" s="82" t="s">
        <v>175</v>
      </c>
      <c r="C67" s="141">
        <v>0.67</v>
      </c>
      <c r="D67" s="83">
        <f t="shared" ref="D67:D70" si="9">$D$66*C67</f>
        <v>20.0665</v>
      </c>
      <c r="E67" s="85"/>
      <c r="F67" s="83"/>
      <c r="G67" s="137"/>
      <c r="P67" s="11"/>
    </row>
    <row r="68" ht="15.75" customHeight="1">
      <c r="B68" s="82" t="s">
        <v>177</v>
      </c>
      <c r="C68" s="141">
        <v>0.29</v>
      </c>
      <c r="D68" s="83">
        <f t="shared" si="9"/>
        <v>8.6855</v>
      </c>
      <c r="E68" s="85"/>
      <c r="F68" s="83"/>
      <c r="G68" s="137"/>
      <c r="P68" s="11"/>
    </row>
    <row r="69" ht="15.75" customHeight="1">
      <c r="B69" s="82" t="s">
        <v>179</v>
      </c>
      <c r="C69" s="141">
        <v>0.02</v>
      </c>
      <c r="D69" s="83">
        <f t="shared" si="9"/>
        <v>0.599</v>
      </c>
      <c r="E69" s="85"/>
      <c r="F69" s="83"/>
      <c r="G69" s="137"/>
      <c r="P69" s="11"/>
    </row>
    <row r="70" ht="15.75" customHeight="1">
      <c r="B70" s="82" t="s">
        <v>181</v>
      </c>
      <c r="C70" s="141">
        <v>0.02</v>
      </c>
      <c r="D70" s="83">
        <f t="shared" si="9"/>
        <v>0.599</v>
      </c>
      <c r="E70" s="85"/>
      <c r="F70" s="83"/>
      <c r="G70" s="137"/>
      <c r="P70" s="11"/>
    </row>
    <row r="71" ht="15.75" customHeight="1">
      <c r="B71" s="82"/>
      <c r="C71" s="83"/>
      <c r="D71" s="141"/>
      <c r="E71" s="85"/>
      <c r="F71" s="83"/>
      <c r="G71" s="137"/>
      <c r="P71" s="11"/>
    </row>
    <row r="72" ht="15.75" customHeight="1">
      <c r="B72" s="82" t="s">
        <v>182</v>
      </c>
      <c r="C72" s="83" t="s">
        <v>96</v>
      </c>
      <c r="D72" s="84">
        <f>SUM(C97:C106)+D66</f>
        <v>225.0859833</v>
      </c>
      <c r="E72" s="85"/>
      <c r="F72" s="83"/>
      <c r="G72" s="85"/>
      <c r="P72" s="11"/>
    </row>
    <row r="73" ht="15.75" customHeight="1">
      <c r="B73" s="82" t="s">
        <v>142</v>
      </c>
      <c r="C73" s="83" t="s">
        <v>62</v>
      </c>
      <c r="D73" s="139">
        <v>7.5</v>
      </c>
      <c r="E73" s="85" t="s">
        <v>93</v>
      </c>
      <c r="F73" s="83">
        <v>2019.0</v>
      </c>
      <c r="G73" s="85"/>
      <c r="P73" s="11"/>
    </row>
    <row r="74" ht="15.75" customHeight="1">
      <c r="B74" s="137"/>
      <c r="C74" s="83"/>
      <c r="D74" s="139"/>
      <c r="E74" s="85"/>
      <c r="F74" s="83"/>
      <c r="G74" s="85"/>
      <c r="P74" s="11"/>
    </row>
    <row r="75" ht="15.75" customHeight="1">
      <c r="B75" s="135" t="s">
        <v>139</v>
      </c>
      <c r="C75" s="39"/>
      <c r="D75" s="39"/>
      <c r="E75" s="39"/>
      <c r="F75" s="39"/>
      <c r="G75" s="29"/>
      <c r="P75" s="11"/>
    </row>
    <row r="76" ht="15.75" customHeight="1">
      <c r="B76" s="114" t="s">
        <v>17</v>
      </c>
      <c r="C76" s="114" t="s">
        <v>20</v>
      </c>
      <c r="D76" s="114" t="s">
        <v>90</v>
      </c>
      <c r="E76" s="115" t="s">
        <v>91</v>
      </c>
      <c r="F76" s="114" t="s">
        <v>92</v>
      </c>
      <c r="G76" s="114" t="s">
        <v>93</v>
      </c>
      <c r="P76" s="11"/>
    </row>
    <row r="77" ht="15.75" customHeight="1">
      <c r="B77" s="82" t="s">
        <v>142</v>
      </c>
      <c r="C77" s="82" t="s">
        <v>38</v>
      </c>
      <c r="D77" s="139">
        <v>7.5</v>
      </c>
      <c r="E77" s="85" t="s">
        <v>93</v>
      </c>
      <c r="F77" s="83">
        <v>2019.0</v>
      </c>
      <c r="G77" s="83"/>
      <c r="P77" s="11"/>
    </row>
    <row r="78" ht="15.75" customHeight="1">
      <c r="B78" s="82" t="s">
        <v>188</v>
      </c>
      <c r="C78" s="82" t="s">
        <v>62</v>
      </c>
      <c r="D78" s="139">
        <f>D77*M11</f>
        <v>0</v>
      </c>
      <c r="E78" s="85">
        <v>5.0</v>
      </c>
      <c r="F78" s="83">
        <v>2023.0</v>
      </c>
      <c r="G78" s="83"/>
      <c r="P78" s="11"/>
    </row>
    <row r="79" ht="15.75" customHeight="1">
      <c r="B79" s="82" t="s">
        <v>189</v>
      </c>
      <c r="C79" s="82" t="s">
        <v>62</v>
      </c>
      <c r="D79" s="139">
        <f>D77-D78</f>
        <v>7.5</v>
      </c>
      <c r="E79" s="85"/>
      <c r="F79" s="138">
        <v>2019.0</v>
      </c>
      <c r="G79" s="83"/>
      <c r="P79" s="11"/>
    </row>
    <row r="80" ht="15.75" customHeight="1">
      <c r="B80" s="146"/>
      <c r="C80" s="83"/>
      <c r="D80" s="139"/>
      <c r="E80" s="85"/>
      <c r="F80" s="138"/>
      <c r="G80" s="83"/>
      <c r="P80" s="11"/>
    </row>
    <row r="81" ht="18.75" customHeight="1">
      <c r="B81" s="135" t="s">
        <v>191</v>
      </c>
      <c r="C81" s="39"/>
      <c r="D81" s="39"/>
      <c r="E81" s="39"/>
      <c r="F81" s="39"/>
      <c r="G81" s="29"/>
      <c r="P81" s="11"/>
    </row>
    <row r="82" ht="15.75" customHeight="1">
      <c r="B82" s="82" t="s">
        <v>192</v>
      </c>
      <c r="C82" s="82" t="s">
        <v>62</v>
      </c>
      <c r="D82" s="84">
        <v>25.0</v>
      </c>
      <c r="E82" s="84">
        <v>4.0</v>
      </c>
      <c r="F82" s="83">
        <v>2019.0</v>
      </c>
      <c r="P82" s="11"/>
    </row>
    <row r="83" ht="15.75" customHeight="1">
      <c r="B83" s="82" t="s">
        <v>188</v>
      </c>
      <c r="C83" s="82" t="s">
        <v>62</v>
      </c>
      <c r="D83" s="84">
        <v>6.2</v>
      </c>
      <c r="E83" s="84">
        <v>5.0</v>
      </c>
      <c r="F83" s="83">
        <v>2023.0</v>
      </c>
      <c r="P83" s="11"/>
    </row>
    <row r="84" ht="15.75" customHeight="1">
      <c r="B84" s="82" t="s">
        <v>194</v>
      </c>
      <c r="C84" s="82" t="s">
        <v>62</v>
      </c>
      <c r="D84" s="84">
        <v>10.0</v>
      </c>
      <c r="E84" s="84">
        <v>1.0</v>
      </c>
      <c r="F84" s="83">
        <v>2019.0</v>
      </c>
      <c r="P84" s="11"/>
    </row>
    <row r="85" ht="15.75" customHeight="1">
      <c r="B85" s="82" t="s">
        <v>195</v>
      </c>
      <c r="C85" s="82" t="s">
        <v>62</v>
      </c>
      <c r="D85" s="84">
        <f>D82-SUM(D83:D84)</f>
        <v>8.8</v>
      </c>
      <c r="E85" s="84">
        <v>4.0</v>
      </c>
      <c r="F85" s="83">
        <v>2019.0</v>
      </c>
      <c r="P85" s="11"/>
    </row>
    <row r="86" ht="15.75" customHeight="1">
      <c r="B86" s="82"/>
      <c r="C86" s="82"/>
      <c r="D86" s="84"/>
      <c r="E86" s="84"/>
      <c r="F86" s="83"/>
      <c r="P86" s="11"/>
    </row>
    <row r="87" ht="15.75" customHeight="1">
      <c r="B87" s="82" t="s">
        <v>197</v>
      </c>
      <c r="C87" s="82" t="s">
        <v>38</v>
      </c>
      <c r="D87" s="84">
        <v>11.0</v>
      </c>
      <c r="E87" s="84"/>
      <c r="F87" s="83"/>
      <c r="P87" s="11"/>
    </row>
    <row r="88" ht="15.75" customHeight="1">
      <c r="B88" s="82" t="s">
        <v>198</v>
      </c>
      <c r="C88" s="82">
        <v>0.27</v>
      </c>
      <c r="D88" s="84"/>
      <c r="E88" s="84"/>
      <c r="F88" s="83"/>
      <c r="P88" s="11"/>
    </row>
    <row r="89" ht="15.75" customHeight="1">
      <c r="P89" s="11"/>
    </row>
    <row r="90" ht="15.75" customHeight="1">
      <c r="P90" s="11"/>
    </row>
    <row r="91" ht="15.75" customHeight="1">
      <c r="P91" s="11"/>
    </row>
    <row r="92" ht="15.75" customHeight="1">
      <c r="P92" s="11"/>
    </row>
    <row r="93" ht="15.75" customHeight="1">
      <c r="P93" s="11"/>
    </row>
    <row r="94" ht="15.75" customHeight="1">
      <c r="B94" s="114" t="s">
        <v>199</v>
      </c>
      <c r="P94" s="11"/>
    </row>
    <row r="95" ht="15.75" customHeight="1">
      <c r="B95" s="82" t="s">
        <v>200</v>
      </c>
      <c r="C95" s="82">
        <v>30.0</v>
      </c>
      <c r="D95" s="82" t="s">
        <v>201</v>
      </c>
      <c r="P95" s="11"/>
    </row>
    <row r="96" ht="15.75" customHeight="1">
      <c r="B96" s="82" t="s">
        <v>202</v>
      </c>
      <c r="C96" s="82">
        <v>0.08</v>
      </c>
      <c r="D96" s="82" t="s">
        <v>203</v>
      </c>
      <c r="P96" s="11"/>
    </row>
    <row r="97" ht="15.75" customHeight="1">
      <c r="B97" s="139">
        <v>2018.0</v>
      </c>
      <c r="C97" s="139">
        <f>C95-(C95*$C$96)</f>
        <v>27.6</v>
      </c>
      <c r="D97" s="139"/>
      <c r="E97" s="139"/>
      <c r="F97" s="139"/>
      <c r="P97" s="11"/>
    </row>
    <row r="98" ht="15.75" customHeight="1">
      <c r="B98" s="139">
        <v>2017.0</v>
      </c>
      <c r="C98" s="139">
        <f t="shared" ref="C98:C106" si="10">C97-(C97*$C$96)</f>
        <v>25.392</v>
      </c>
      <c r="D98" s="139"/>
      <c r="E98" s="139"/>
      <c r="F98" s="139"/>
      <c r="P98" s="11"/>
    </row>
    <row r="99" ht="15.75" customHeight="1">
      <c r="B99" s="139">
        <v>2016.0</v>
      </c>
      <c r="C99" s="139">
        <f t="shared" si="10"/>
        <v>23.36064</v>
      </c>
      <c r="D99" s="139"/>
      <c r="E99" s="139"/>
      <c r="F99" s="139"/>
      <c r="P99" s="11"/>
    </row>
    <row r="100" ht="15.75" customHeight="1">
      <c r="B100" s="139">
        <v>2015.0</v>
      </c>
      <c r="C100" s="139">
        <f t="shared" si="10"/>
        <v>21.4917888</v>
      </c>
      <c r="D100" s="139"/>
      <c r="E100" s="139"/>
      <c r="F100" s="139"/>
      <c r="P100" s="11"/>
    </row>
    <row r="101" ht="15.75" customHeight="1">
      <c r="B101" s="139">
        <v>2014.0</v>
      </c>
      <c r="C101" s="139">
        <f t="shared" si="10"/>
        <v>19.7724457</v>
      </c>
      <c r="D101" s="139"/>
      <c r="E101" s="139"/>
      <c r="F101" s="139"/>
      <c r="P101" s="11"/>
    </row>
    <row r="102" ht="15.75" customHeight="1">
      <c r="B102" s="139">
        <v>2013.0</v>
      </c>
      <c r="C102" s="139">
        <f t="shared" si="10"/>
        <v>18.19065004</v>
      </c>
      <c r="D102" s="139"/>
      <c r="E102" s="139"/>
      <c r="F102" s="139"/>
      <c r="P102" s="11"/>
    </row>
    <row r="103" ht="15.75" customHeight="1">
      <c r="B103" s="139">
        <v>2012.0</v>
      </c>
      <c r="C103" s="139">
        <f t="shared" si="10"/>
        <v>16.73539804</v>
      </c>
      <c r="D103" s="139"/>
      <c r="E103" s="139"/>
      <c r="F103" s="139"/>
      <c r="P103" s="11"/>
    </row>
    <row r="104" ht="15.75" customHeight="1">
      <c r="B104" s="139">
        <v>2011.0</v>
      </c>
      <c r="C104" s="139">
        <f t="shared" si="10"/>
        <v>15.39656619</v>
      </c>
      <c r="D104" s="139"/>
      <c r="E104" s="139"/>
      <c r="F104" s="139"/>
      <c r="P104" s="11"/>
    </row>
    <row r="105" ht="15.75" customHeight="1">
      <c r="B105" s="139">
        <v>2010.0</v>
      </c>
      <c r="C105" s="139">
        <f t="shared" si="10"/>
        <v>14.1648409</v>
      </c>
      <c r="D105" s="139"/>
      <c r="E105" s="139"/>
      <c r="F105" s="139"/>
      <c r="P105" s="11"/>
    </row>
    <row r="106" ht="15.75" customHeight="1">
      <c r="B106" s="139">
        <v>2009.0</v>
      </c>
      <c r="C106" s="139">
        <f t="shared" si="10"/>
        <v>13.03165363</v>
      </c>
      <c r="D106" s="139"/>
      <c r="E106" s="139"/>
      <c r="F106" s="139"/>
      <c r="P106" s="11"/>
    </row>
    <row r="107" ht="15.75" customHeight="1">
      <c r="B107" s="139"/>
      <c r="C107" s="139"/>
      <c r="D107" s="139"/>
      <c r="E107" s="139"/>
      <c r="F107" s="139"/>
      <c r="P107" s="11"/>
    </row>
    <row r="108" ht="15.75" customHeight="1">
      <c r="B108" s="139"/>
      <c r="C108" s="139"/>
      <c r="D108" s="139"/>
      <c r="E108" s="139"/>
      <c r="F108" s="139"/>
    </row>
    <row r="109" ht="15.75" customHeight="1">
      <c r="B109" s="139"/>
      <c r="C109" s="139"/>
      <c r="D109" s="139"/>
      <c r="E109" s="139"/>
      <c r="F109" s="139"/>
    </row>
    <row r="110" ht="15.75" customHeight="1">
      <c r="B110" s="139"/>
      <c r="C110" s="139"/>
      <c r="D110" s="139"/>
      <c r="E110" s="139"/>
      <c r="F110" s="139"/>
    </row>
    <row r="111" ht="15.75" customHeight="1">
      <c r="B111" s="139"/>
      <c r="C111" s="139"/>
      <c r="D111" s="139"/>
      <c r="E111" s="139"/>
      <c r="F111" s="139"/>
    </row>
    <row r="112" ht="15.75" customHeight="1">
      <c r="B112" s="139"/>
      <c r="C112" s="139"/>
      <c r="D112" s="139"/>
      <c r="E112" s="139"/>
      <c r="F112" s="139"/>
    </row>
    <row r="113" ht="15.75" customHeight="1">
      <c r="B113" s="139"/>
      <c r="C113" s="139"/>
      <c r="D113" s="139"/>
      <c r="E113" s="139"/>
      <c r="F113" s="139"/>
    </row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35:G35"/>
    <mergeCell ref="B42:G42"/>
    <mergeCell ref="B54:G54"/>
    <mergeCell ref="B62:G62"/>
    <mergeCell ref="B75:G75"/>
    <mergeCell ref="B81:G81"/>
    <mergeCell ref="B94:D94"/>
    <mergeCell ref="B2:G4"/>
    <mergeCell ref="N2:U4"/>
    <mergeCell ref="P5:R5"/>
    <mergeCell ref="J7:K7"/>
    <mergeCell ref="O7:P7"/>
    <mergeCell ref="S7:T7"/>
    <mergeCell ref="B25:G25"/>
  </mergeCells>
  <dataValidations>
    <dataValidation type="list" allowBlank="1" showErrorMessage="1" sqref="C27:C29 C31:C34 C36:C39 C44:C52 C55:C60 C64:C66 C72:C74 C77:C80 C82:C87">
      <formula1>"Stock,Inflow,Outflow,Capacity"</formula1>
    </dataValidation>
  </dataValidations>
  <hyperlinks>
    <hyperlink r:id="rId1" ref="K9"/>
    <hyperlink r:id="rId2" ref="K10"/>
    <hyperlink r:id="rId3" ref="K11"/>
    <hyperlink r:id="rId4" ref="K12"/>
    <hyperlink r:id="rId5" ref="K13"/>
    <hyperlink r:id="rId6" ref="K14"/>
    <hyperlink r:id="rId7" location=":~:text=The%20machining%20processes%20of%20titanium,2." ref="K15"/>
  </hyperlinks>
  <printOptions/>
  <pageMargins bottom="0.75" footer="0.0" header="0.0" left="0.7" right="0.7" top="0.75"/>
  <pageSetup orientation="landscape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29.67"/>
    <col customWidth="1" min="3" max="5" width="10.56"/>
    <col customWidth="1" min="6" max="6" width="49.67"/>
    <col customWidth="1" min="7" max="7" width="15.11"/>
    <col customWidth="1" min="8" max="10" width="10.56"/>
    <col customWidth="1" min="11" max="11" width="20.11"/>
    <col customWidth="1" min="12" max="26" width="10.56"/>
  </cols>
  <sheetData>
    <row r="1" ht="15.75" customHeight="1"/>
    <row r="2" ht="15.75" customHeight="1">
      <c r="B2" s="6" t="s">
        <v>1</v>
      </c>
      <c r="C2" s="3"/>
      <c r="D2" s="3"/>
      <c r="E2" s="3"/>
      <c r="F2" s="3"/>
      <c r="G2" s="4"/>
    </row>
    <row r="3" ht="15.75" customHeight="1">
      <c r="B3" s="10"/>
      <c r="G3" s="15"/>
    </row>
    <row r="4" ht="15.75" customHeight="1">
      <c r="B4" s="13"/>
      <c r="C4" s="14"/>
      <c r="D4" s="14"/>
      <c r="E4" s="14"/>
      <c r="F4" s="14"/>
      <c r="G4" s="16"/>
    </row>
    <row r="5" ht="15.75" customHeight="1"/>
    <row r="6" ht="15.75" customHeight="1"/>
    <row r="7" ht="15.75" customHeight="1">
      <c r="J7" s="18" t="s">
        <v>8</v>
      </c>
      <c r="K7" s="19"/>
    </row>
    <row r="8" ht="15.75" customHeight="1">
      <c r="B8" s="22" t="s">
        <v>11</v>
      </c>
      <c r="J8" s="24" t="s">
        <v>12</v>
      </c>
      <c r="K8" s="24" t="s">
        <v>15</v>
      </c>
    </row>
    <row r="9" ht="15.75" customHeight="1">
      <c r="J9" s="28">
        <v>1.0</v>
      </c>
      <c r="K9" s="38" t="s">
        <v>18</v>
      </c>
    </row>
    <row r="10" ht="15.75" customHeight="1">
      <c r="B10" s="41" t="s">
        <v>17</v>
      </c>
      <c r="C10" s="41" t="s">
        <v>20</v>
      </c>
      <c r="D10" s="41" t="s">
        <v>22</v>
      </c>
      <c r="E10" s="41" t="s">
        <v>23</v>
      </c>
      <c r="F10" s="41" t="s">
        <v>41</v>
      </c>
      <c r="J10" s="28">
        <v>2.0</v>
      </c>
      <c r="K10" s="38" t="s">
        <v>42</v>
      </c>
    </row>
    <row r="11" ht="15.75" customHeight="1">
      <c r="B11" s="49" t="s">
        <v>27</v>
      </c>
      <c r="C11" s="39"/>
      <c r="D11" s="39"/>
      <c r="E11" s="39"/>
      <c r="F11" s="29"/>
      <c r="J11" s="28">
        <v>3.0</v>
      </c>
      <c r="K11" s="38" t="s">
        <v>55</v>
      </c>
    </row>
    <row r="12" ht="15.75" customHeight="1">
      <c r="B12" s="54" t="s">
        <v>35</v>
      </c>
      <c r="C12" s="55" t="s">
        <v>38</v>
      </c>
      <c r="D12" s="56">
        <v>0.0</v>
      </c>
      <c r="E12" s="57">
        <v>0.0</v>
      </c>
      <c r="F12" s="58"/>
      <c r="J12" s="28">
        <v>4.0</v>
      </c>
      <c r="K12" s="38" t="s">
        <v>60</v>
      </c>
    </row>
    <row r="13" ht="15.75" customHeight="1">
      <c r="B13" s="54" t="s">
        <v>54</v>
      </c>
      <c r="C13" s="55" t="s">
        <v>38</v>
      </c>
      <c r="D13" s="56">
        <v>0.5931261056355825</v>
      </c>
      <c r="E13" s="61">
        <v>23.47</v>
      </c>
      <c r="F13" s="62">
        <v>4.0</v>
      </c>
      <c r="J13" s="28">
        <v>5.0</v>
      </c>
      <c r="K13" s="38" t="s">
        <v>66</v>
      </c>
    </row>
    <row r="14" ht="15.75" customHeight="1">
      <c r="B14" s="54" t="s">
        <v>56</v>
      </c>
      <c r="C14" s="55" t="s">
        <v>38</v>
      </c>
      <c r="D14" s="56">
        <v>0.28556987616881485</v>
      </c>
      <c r="E14" s="61">
        <v>11.3</v>
      </c>
      <c r="F14" s="62">
        <v>4.0</v>
      </c>
      <c r="J14" s="28">
        <v>6.0</v>
      </c>
      <c r="K14" s="38" t="s">
        <v>69</v>
      </c>
    </row>
    <row r="15" ht="15.75" customHeight="1">
      <c r="B15" s="65" t="s">
        <v>57</v>
      </c>
      <c r="C15" s="55" t="s">
        <v>38</v>
      </c>
      <c r="D15" s="56">
        <v>0.12130401819560267</v>
      </c>
      <c r="E15" s="57">
        <v>4.799999999999997</v>
      </c>
      <c r="F15" s="62" t="s">
        <v>76</v>
      </c>
      <c r="J15" s="28">
        <v>7.0</v>
      </c>
      <c r="K15" s="38" t="s">
        <v>72</v>
      </c>
    </row>
    <row r="16" ht="15.75" customHeight="1">
      <c r="B16" s="54" t="s">
        <v>61</v>
      </c>
      <c r="C16" s="55" t="s">
        <v>62</v>
      </c>
      <c r="D16" s="56">
        <v>0.1263583522870862</v>
      </c>
      <c r="E16" s="69">
        <v>5.0</v>
      </c>
      <c r="F16" s="62">
        <v>1.0</v>
      </c>
      <c r="J16" s="28">
        <v>8.0</v>
      </c>
      <c r="K16" s="38" t="s">
        <v>78</v>
      </c>
    </row>
    <row r="17" ht="15.75" customHeight="1">
      <c r="B17" s="54" t="s">
        <v>65</v>
      </c>
      <c r="C17" s="55" t="s">
        <v>62</v>
      </c>
      <c r="D17" s="56">
        <v>0.040434672731867585</v>
      </c>
      <c r="E17" s="69">
        <v>1.6</v>
      </c>
      <c r="F17" s="62">
        <v>4.0</v>
      </c>
      <c r="J17" s="67"/>
      <c r="K17" s="67"/>
    </row>
    <row r="18" ht="15.75" customHeight="1">
      <c r="B18" s="54" t="s">
        <v>71</v>
      </c>
      <c r="C18" s="55" t="s">
        <v>62</v>
      </c>
      <c r="D18" s="56">
        <v>0.4927975739196362</v>
      </c>
      <c r="E18" s="72">
        <v>19.5</v>
      </c>
      <c r="F18" s="62" t="s">
        <v>82</v>
      </c>
      <c r="J18" s="67"/>
      <c r="K18" s="67"/>
    </row>
    <row r="19" ht="15.75" customHeight="1">
      <c r="B19" s="54" t="s">
        <v>73</v>
      </c>
      <c r="C19" s="55" t="s">
        <v>62</v>
      </c>
      <c r="D19" s="56">
        <v>0.1877685114986099</v>
      </c>
      <c r="E19" s="72">
        <v>7.429999999999993</v>
      </c>
      <c r="F19" s="62" t="s">
        <v>84</v>
      </c>
      <c r="P19" s="11"/>
    </row>
    <row r="20" ht="15.75" customHeight="1">
      <c r="B20" s="54" t="s">
        <v>85</v>
      </c>
      <c r="C20" s="55" t="s">
        <v>62</v>
      </c>
      <c r="D20" s="56">
        <v>0.15264088956280011</v>
      </c>
      <c r="E20" s="74">
        <v>6.039999999999999</v>
      </c>
      <c r="F20" s="62" t="s">
        <v>86</v>
      </c>
      <c r="P20" s="11"/>
    </row>
    <row r="21" ht="15.75" customHeight="1">
      <c r="B21" s="75"/>
      <c r="C21" s="75"/>
      <c r="D21" s="75"/>
      <c r="E21" s="75"/>
      <c r="F21" s="76"/>
      <c r="P21" s="11"/>
    </row>
    <row r="22" ht="15.75" customHeight="1">
      <c r="B22" s="75"/>
      <c r="C22" s="75"/>
      <c r="D22" s="75"/>
      <c r="E22" s="75"/>
      <c r="F22" s="75"/>
      <c r="P22" s="11"/>
    </row>
    <row r="23" ht="15.75" customHeight="1">
      <c r="B23" s="75"/>
      <c r="C23" s="78" t="s">
        <v>77</v>
      </c>
      <c r="D23" s="79">
        <v>39.56999999999999</v>
      </c>
      <c r="E23" s="75"/>
      <c r="F23" s="75"/>
      <c r="P23" s="11"/>
    </row>
    <row r="24" ht="15.75" customHeight="1">
      <c r="B24" s="81" t="s">
        <v>79</v>
      </c>
      <c r="C24" s="39"/>
      <c r="D24" s="39"/>
      <c r="E24" s="39"/>
      <c r="F24" s="29"/>
      <c r="P24" s="11"/>
    </row>
    <row r="25" ht="15.75" customHeight="1">
      <c r="B25" s="54" t="s">
        <v>61</v>
      </c>
      <c r="C25" s="55" t="s">
        <v>38</v>
      </c>
      <c r="D25" s="56">
        <v>0.3001200480192077</v>
      </c>
      <c r="E25" s="69">
        <v>5.0</v>
      </c>
      <c r="F25" s="55">
        <v>1.0</v>
      </c>
    </row>
    <row r="26" ht="15.75" customHeight="1">
      <c r="B26" s="54" t="s">
        <v>83</v>
      </c>
      <c r="C26" s="55" t="s">
        <v>38</v>
      </c>
      <c r="D26" s="56">
        <v>0.6998799519807922</v>
      </c>
      <c r="E26" s="72">
        <v>11.659999999999997</v>
      </c>
      <c r="F26" s="55"/>
    </row>
    <row r="27" ht="15.75" customHeight="1">
      <c r="B27" s="54" t="s">
        <v>87</v>
      </c>
      <c r="C27" s="55" t="s">
        <v>62</v>
      </c>
      <c r="D27" s="56">
        <v>0.4801920768307324</v>
      </c>
      <c r="E27" s="69">
        <v>8.0</v>
      </c>
      <c r="F27" s="55">
        <v>1.0</v>
      </c>
    </row>
    <row r="28" ht="15.75" customHeight="1">
      <c r="B28" s="54" t="s">
        <v>89</v>
      </c>
      <c r="C28" s="55" t="s">
        <v>62</v>
      </c>
      <c r="D28" s="56">
        <v>0.4021608643457384</v>
      </c>
      <c r="E28" s="69">
        <v>6.7</v>
      </c>
      <c r="F28" s="55">
        <v>4.0</v>
      </c>
    </row>
    <row r="29" ht="15.75" customHeight="1">
      <c r="B29" s="54" t="s">
        <v>101</v>
      </c>
      <c r="C29" s="55" t="s">
        <v>62</v>
      </c>
      <c r="D29" s="56">
        <v>0.11764705882352927</v>
      </c>
      <c r="E29" s="72">
        <v>1.9599999999999973</v>
      </c>
      <c r="F29" s="55"/>
    </row>
    <row r="30" ht="15.75" customHeight="1">
      <c r="B30" s="54"/>
      <c r="C30" s="55"/>
      <c r="D30" s="55"/>
      <c r="E30" s="55"/>
      <c r="F30" s="55"/>
    </row>
    <row r="31" ht="15.75" customHeight="1">
      <c r="B31" s="75"/>
      <c r="C31" s="78" t="s">
        <v>77</v>
      </c>
      <c r="D31" s="79">
        <v>16.659999999999997</v>
      </c>
      <c r="E31" s="75"/>
      <c r="F31" s="75"/>
    </row>
    <row r="32" ht="15.75" customHeight="1">
      <c r="B32" s="87" t="s">
        <v>102</v>
      </c>
      <c r="C32" s="39"/>
      <c r="D32" s="39"/>
      <c r="E32" s="39"/>
      <c r="F32" s="29"/>
    </row>
    <row r="33" ht="15.75" customHeight="1">
      <c r="B33" s="54" t="s">
        <v>104</v>
      </c>
      <c r="C33" s="55" t="s">
        <v>38</v>
      </c>
      <c r="D33" s="56">
        <v>0.26666666666666666</v>
      </c>
      <c r="E33" s="89">
        <v>8.0</v>
      </c>
      <c r="F33" s="55">
        <v>1.0</v>
      </c>
    </row>
    <row r="34" ht="15.75" customHeight="1">
      <c r="B34" s="54" t="s">
        <v>107</v>
      </c>
      <c r="C34" s="55" t="s">
        <v>38</v>
      </c>
      <c r="D34" s="56">
        <v>0.7333333333333333</v>
      </c>
      <c r="E34" s="55">
        <v>22.0</v>
      </c>
      <c r="F34" s="55" t="s">
        <v>84</v>
      </c>
    </row>
    <row r="35" ht="15.75" customHeight="1">
      <c r="B35" s="54" t="s">
        <v>111</v>
      </c>
      <c r="C35" s="55" t="s">
        <v>62</v>
      </c>
      <c r="D35" s="55">
        <f>E35/D40</f>
        <v>0.8</v>
      </c>
      <c r="E35" s="55">
        <v>24.0</v>
      </c>
      <c r="F35" s="55"/>
    </row>
    <row r="36" ht="15.75" customHeight="1">
      <c r="B36" s="54"/>
      <c r="C36" s="55" t="s">
        <v>116</v>
      </c>
      <c r="D36" s="55"/>
      <c r="E36" s="55">
        <v>4.799999999999997</v>
      </c>
      <c r="F36" s="55" t="s">
        <v>84</v>
      </c>
    </row>
    <row r="37" ht="15.75" customHeight="1">
      <c r="B37" s="54"/>
      <c r="C37" s="55" t="s">
        <v>118</v>
      </c>
      <c r="D37" s="94"/>
      <c r="E37" s="89">
        <v>19.200000000000003</v>
      </c>
      <c r="F37" s="55" t="s">
        <v>119</v>
      </c>
    </row>
    <row r="38" ht="15.75" customHeight="1">
      <c r="B38" s="54" t="s">
        <v>109</v>
      </c>
      <c r="C38" s="55" t="s">
        <v>62</v>
      </c>
      <c r="D38" s="55">
        <f>E38/D40</f>
        <v>0.2</v>
      </c>
      <c r="E38" s="55">
        <v>6.0</v>
      </c>
      <c r="F38" s="55"/>
    </row>
    <row r="39" ht="15.75" customHeight="1">
      <c r="B39" s="75"/>
      <c r="C39" s="75"/>
      <c r="D39" s="75"/>
      <c r="E39" s="75"/>
      <c r="F39" s="75"/>
    </row>
    <row r="40" ht="15.75" customHeight="1">
      <c r="B40" s="75"/>
      <c r="C40" s="78" t="s">
        <v>77</v>
      </c>
      <c r="D40" s="101">
        <v>30.0</v>
      </c>
      <c r="F40" s="102" t="s">
        <v>123</v>
      </c>
    </row>
    <row r="41" ht="15.75" customHeight="1">
      <c r="B41" s="104" t="s">
        <v>125</v>
      </c>
      <c r="C41" s="39"/>
      <c r="D41" s="39"/>
      <c r="E41" s="39"/>
      <c r="F41" s="29"/>
    </row>
    <row r="42" ht="15.75" customHeight="1">
      <c r="B42" s="54" t="s">
        <v>128</v>
      </c>
      <c r="C42" s="105" t="s">
        <v>38</v>
      </c>
      <c r="D42" s="106"/>
      <c r="E42" s="108">
        <v>6.0</v>
      </c>
      <c r="F42" s="105"/>
    </row>
    <row r="43" ht="15.75" customHeight="1">
      <c r="B43" s="54" t="s">
        <v>133</v>
      </c>
      <c r="C43" s="105" t="s">
        <v>62</v>
      </c>
      <c r="D43" s="106">
        <v>0.75</v>
      </c>
      <c r="E43" s="111">
        <v>4.5</v>
      </c>
      <c r="F43" s="105"/>
    </row>
    <row r="44" ht="15.75" customHeight="1">
      <c r="B44" s="54" t="s">
        <v>134</v>
      </c>
      <c r="C44" s="105" t="s">
        <v>96</v>
      </c>
      <c r="D44" s="106"/>
      <c r="E44" s="111">
        <v>67.0</v>
      </c>
      <c r="F44" s="105"/>
    </row>
    <row r="45" ht="15.75" customHeight="1">
      <c r="B45" s="54" t="s">
        <v>138</v>
      </c>
      <c r="C45" s="105" t="s">
        <v>62</v>
      </c>
      <c r="D45" s="106">
        <v>0.24</v>
      </c>
      <c r="E45" s="111">
        <v>1.44</v>
      </c>
      <c r="F45" s="105"/>
    </row>
    <row r="46" ht="15.75" customHeight="1">
      <c r="B46" s="75"/>
      <c r="C46" s="75"/>
      <c r="D46" s="75"/>
      <c r="E46" s="75"/>
      <c r="F46" s="75"/>
    </row>
    <row r="47" ht="15.75" customHeight="1">
      <c r="B47" s="75"/>
      <c r="C47" s="78" t="s">
        <v>77</v>
      </c>
      <c r="D47" s="117">
        <v>6.0</v>
      </c>
      <c r="E47" s="75"/>
      <c r="F47" s="75"/>
    </row>
    <row r="48" ht="15.75" customHeight="1">
      <c r="B48" s="75"/>
      <c r="C48" s="75"/>
      <c r="D48" s="75"/>
      <c r="E48" s="75"/>
      <c r="F48" s="75"/>
    </row>
    <row r="49" ht="15.75" customHeight="1">
      <c r="B49" s="119" t="s">
        <v>139</v>
      </c>
      <c r="C49" s="39"/>
      <c r="D49" s="39"/>
      <c r="E49" s="39"/>
      <c r="F49" s="29"/>
    </row>
    <row r="50" ht="15.75" customHeight="1">
      <c r="B50" s="54" t="s">
        <v>138</v>
      </c>
      <c r="C50" s="105" t="s">
        <v>38</v>
      </c>
      <c r="D50" s="105">
        <v>1.0</v>
      </c>
      <c r="E50" s="121">
        <v>1.44</v>
      </c>
      <c r="F50" s="122"/>
    </row>
    <row r="51" ht="15.75" customHeight="1">
      <c r="B51" s="54" t="s">
        <v>144</v>
      </c>
      <c r="C51" s="105" t="s">
        <v>62</v>
      </c>
      <c r="D51" s="124">
        <v>0.83</v>
      </c>
      <c r="E51" s="121">
        <v>1.1951999999999998</v>
      </c>
      <c r="F51" s="122" t="s">
        <v>145</v>
      </c>
    </row>
    <row r="52" ht="15.75" customHeight="1">
      <c r="B52" s="54" t="s">
        <v>146</v>
      </c>
      <c r="C52" s="105" t="s">
        <v>62</v>
      </c>
      <c r="D52" s="124">
        <v>0.17000000000000004</v>
      </c>
      <c r="E52" s="121">
        <v>0.24480000000000005</v>
      </c>
      <c r="F52" s="122"/>
    </row>
    <row r="53" ht="15.75" customHeight="1">
      <c r="B53" s="54" t="s">
        <v>147</v>
      </c>
      <c r="C53" s="105" t="s">
        <v>96</v>
      </c>
      <c r="D53" s="105"/>
      <c r="E53" s="105">
        <v>13.413629999999998</v>
      </c>
      <c r="F53" s="126" t="s">
        <v>149</v>
      </c>
    </row>
    <row r="54" ht="15.75" customHeight="1">
      <c r="B54" s="54" t="s">
        <v>150</v>
      </c>
      <c r="C54" s="105" t="s">
        <v>96</v>
      </c>
      <c r="D54" s="105"/>
      <c r="E54" s="105">
        <v>2.74737</v>
      </c>
      <c r="F54" s="122"/>
    </row>
    <row r="55" ht="15.75" customHeight="1">
      <c r="B55" s="75"/>
      <c r="C55" s="75"/>
      <c r="D55" s="75"/>
      <c r="E55" s="75"/>
      <c r="F55" s="75"/>
    </row>
    <row r="56" ht="15.75" customHeight="1">
      <c r="B56" s="75"/>
      <c r="C56" s="78" t="s">
        <v>77</v>
      </c>
      <c r="D56" s="128">
        <v>1.44</v>
      </c>
      <c r="E56" s="75"/>
      <c r="F56" s="75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2:G4"/>
    <mergeCell ref="J7:K7"/>
    <mergeCell ref="B11:F11"/>
    <mergeCell ref="B24:F24"/>
    <mergeCell ref="B32:F32"/>
    <mergeCell ref="B41:F41"/>
    <mergeCell ref="B49:F49"/>
  </mergeCells>
  <dataValidations>
    <dataValidation type="list" allowBlank="1" showErrorMessage="1" sqref="C12:C20 C25:C29 C33:C35 C38 C42:C45 C50:C54">
      <formula1>"Stock,Inflow,Outflow,Capacity"</formula1>
    </dataValidation>
  </dataValidations>
  <hyperlinks>
    <hyperlink r:id="rId1" ref="K9"/>
    <hyperlink r:id="rId2" ref="K10"/>
    <hyperlink r:id="rId3" ref="K11"/>
    <hyperlink r:id="rId4" ref="K12"/>
    <hyperlink r:id="rId5" ref="K13"/>
    <hyperlink r:id="rId6" ref="K14"/>
    <hyperlink r:id="rId7" location=":~:text=The%20machining%20processes%20of%20titanium,2." ref="K15"/>
    <hyperlink r:id="rId8" ref="K16"/>
  </hyperlinks>
  <printOptions/>
  <pageMargins bottom="0.75" footer="0.0" header="0.0" left="0.7" right="0.7" top="0.75"/>
  <pageSetup orientation="landscape"/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28.78"/>
    <col customWidth="1" min="3" max="5" width="10.56"/>
    <col customWidth="1" min="6" max="6" width="28.78"/>
    <col customWidth="1" min="7" max="7" width="17.33"/>
    <col customWidth="1" min="8" max="8" width="14.33"/>
    <col customWidth="1" min="9" max="10" width="10.56"/>
    <col customWidth="1" min="11" max="11" width="28.67"/>
    <col customWidth="1" min="12" max="14" width="10.56"/>
    <col customWidth="1" min="15" max="15" width="25.11"/>
    <col customWidth="1" min="16" max="26" width="10.56"/>
  </cols>
  <sheetData>
    <row r="1" ht="15.75" customHeight="1"/>
    <row r="2" ht="15.75" customHeight="1">
      <c r="B2" s="1" t="s">
        <v>0</v>
      </c>
      <c r="C2" s="3"/>
      <c r="D2" s="3"/>
      <c r="E2" s="3"/>
      <c r="F2" s="4"/>
      <c r="G2" s="5"/>
      <c r="H2" s="5"/>
      <c r="I2" s="5" t="s">
        <v>4</v>
      </c>
      <c r="J2" s="5"/>
      <c r="K2" s="7" t="s">
        <v>5</v>
      </c>
      <c r="L2" s="3"/>
      <c r="M2" s="3"/>
      <c r="N2" s="3"/>
      <c r="O2" s="4"/>
      <c r="R2" s="9"/>
      <c r="S2" s="11" t="s">
        <v>6</v>
      </c>
    </row>
    <row r="3" ht="15.75" customHeight="1">
      <c r="B3" s="13"/>
      <c r="C3" s="14"/>
      <c r="D3" s="14"/>
      <c r="E3" s="14"/>
      <c r="F3" s="16"/>
      <c r="G3" s="5"/>
      <c r="H3" s="5" t="s">
        <v>7</v>
      </c>
      <c r="I3" s="23">
        <f>E7+E8+E20+E28</f>
        <v>36.661825</v>
      </c>
      <c r="J3" s="5"/>
      <c r="K3" s="13"/>
      <c r="L3" s="14"/>
      <c r="M3" s="14"/>
      <c r="N3" s="14"/>
      <c r="O3" s="16"/>
      <c r="R3" s="26"/>
      <c r="S3" s="11" t="s">
        <v>16</v>
      </c>
    </row>
    <row r="4" ht="15.75" customHeight="1">
      <c r="B4" s="30" t="s">
        <v>17</v>
      </c>
      <c r="C4" s="30" t="s">
        <v>20</v>
      </c>
      <c r="D4" s="30" t="s">
        <v>22</v>
      </c>
      <c r="E4" s="30" t="s">
        <v>23</v>
      </c>
      <c r="F4" s="30" t="s">
        <v>24</v>
      </c>
      <c r="G4" s="30"/>
      <c r="H4" s="30" t="s">
        <v>25</v>
      </c>
      <c r="I4" s="34">
        <v>1.57</v>
      </c>
      <c r="K4" s="30" t="s">
        <v>17</v>
      </c>
      <c r="L4" s="30" t="s">
        <v>20</v>
      </c>
      <c r="M4" s="30" t="s">
        <v>22</v>
      </c>
      <c r="N4" s="30" t="s">
        <v>23</v>
      </c>
      <c r="O4" s="30" t="s">
        <v>24</v>
      </c>
    </row>
    <row r="5" ht="15.75" customHeight="1">
      <c r="B5" s="37" t="s">
        <v>27</v>
      </c>
      <c r="C5" s="39"/>
      <c r="D5" s="39"/>
      <c r="E5" s="39"/>
      <c r="F5" s="29"/>
      <c r="H5" s="30" t="s">
        <v>30</v>
      </c>
      <c r="I5" s="34">
        <v>2.5</v>
      </c>
      <c r="K5" s="37" t="s">
        <v>27</v>
      </c>
      <c r="L5" s="39"/>
      <c r="M5" s="39"/>
      <c r="N5" s="39"/>
      <c r="O5" s="29"/>
    </row>
    <row r="6" ht="15.75" customHeight="1">
      <c r="B6" s="17" t="s">
        <v>35</v>
      </c>
      <c r="C6" s="17" t="s">
        <v>38</v>
      </c>
      <c r="D6" s="42">
        <v>0.0</v>
      </c>
      <c r="E6" s="44">
        <f t="shared" ref="E6:E9" si="1">D$17*D6</f>
        <v>0</v>
      </c>
      <c r="F6" s="45"/>
      <c r="G6" s="45"/>
      <c r="H6" s="45" t="s">
        <v>49</v>
      </c>
      <c r="I6" s="22">
        <v>8.5</v>
      </c>
      <c r="K6" s="17" t="s">
        <v>35</v>
      </c>
      <c r="L6" s="17" t="s">
        <v>38</v>
      </c>
      <c r="M6" s="42">
        <v>0.0</v>
      </c>
      <c r="N6" s="44">
        <f t="shared" ref="N6:N9" si="2">M$17*M6</f>
        <v>0</v>
      </c>
      <c r="O6" s="45"/>
    </row>
    <row r="7" ht="15.75" customHeight="1">
      <c r="B7" s="17" t="s">
        <v>54</v>
      </c>
      <c r="C7" s="17" t="s">
        <v>38</v>
      </c>
      <c r="D7" s="50">
        <v>0.6</v>
      </c>
      <c r="E7" s="44">
        <f t="shared" si="1"/>
        <v>12.46455</v>
      </c>
      <c r="F7" s="51"/>
      <c r="G7" s="51"/>
      <c r="K7" s="17" t="s">
        <v>54</v>
      </c>
      <c r="L7" s="17" t="s">
        <v>38</v>
      </c>
      <c r="M7" s="50">
        <v>0.6</v>
      </c>
      <c r="N7" s="53">
        <f t="shared" si="2"/>
        <v>18.07893945</v>
      </c>
      <c r="O7" s="51"/>
    </row>
    <row r="8" ht="15.75" customHeight="1">
      <c r="B8" s="17" t="s">
        <v>56</v>
      </c>
      <c r="C8" s="17" t="s">
        <v>38</v>
      </c>
      <c r="D8" s="50">
        <v>0.3</v>
      </c>
      <c r="E8" s="44">
        <f t="shared" si="1"/>
        <v>6.232275</v>
      </c>
      <c r="F8" s="51"/>
      <c r="G8" s="51"/>
      <c r="K8" s="17" t="s">
        <v>56</v>
      </c>
      <c r="L8" s="17" t="s">
        <v>38</v>
      </c>
      <c r="M8" s="50">
        <v>0.3</v>
      </c>
      <c r="N8" s="53">
        <f t="shared" si="2"/>
        <v>9.039469725</v>
      </c>
      <c r="O8" s="51"/>
    </row>
    <row r="9" ht="15.75" customHeight="1">
      <c r="B9" s="30" t="s">
        <v>57</v>
      </c>
      <c r="C9" s="17" t="s">
        <v>38</v>
      </c>
      <c r="D9" s="50">
        <v>0.1</v>
      </c>
      <c r="E9" s="44">
        <f t="shared" si="1"/>
        <v>2.077425</v>
      </c>
      <c r="F9" s="17"/>
      <c r="G9" s="17"/>
      <c r="H9" s="51" t="s">
        <v>58</v>
      </c>
      <c r="I9" s="22">
        <f>I3/I4</f>
        <v>23.35148089</v>
      </c>
      <c r="K9" s="30" t="s">
        <v>57</v>
      </c>
      <c r="L9" s="17" t="s">
        <v>38</v>
      </c>
      <c r="M9" s="50">
        <v>0.1</v>
      </c>
      <c r="N9" s="53">
        <f t="shared" si="2"/>
        <v>3.013156575</v>
      </c>
      <c r="O9" s="17"/>
    </row>
    <row r="10" ht="15.75" customHeight="1">
      <c r="B10" s="17" t="s">
        <v>61</v>
      </c>
      <c r="C10" s="17" t="s">
        <v>62</v>
      </c>
      <c r="D10" s="42">
        <v>0.1263583522870862</v>
      </c>
      <c r="E10" s="59">
        <f>E19</f>
        <v>2.625</v>
      </c>
      <c r="F10" s="51"/>
      <c r="G10" s="51"/>
      <c r="H10" s="51" t="s">
        <v>63</v>
      </c>
      <c r="I10" s="60">
        <f>I5/I3</f>
        <v>0.06819082247</v>
      </c>
      <c r="K10" s="17" t="s">
        <v>61</v>
      </c>
      <c r="L10" s="17" t="s">
        <v>62</v>
      </c>
      <c r="M10" s="42">
        <v>0.1263583522870862</v>
      </c>
      <c r="N10" s="53">
        <f>N19</f>
        <v>3.807375</v>
      </c>
      <c r="O10" s="51"/>
    </row>
    <row r="11" ht="15.75" customHeight="1">
      <c r="B11" s="17" t="s">
        <v>65</v>
      </c>
      <c r="C11" s="17" t="s">
        <v>62</v>
      </c>
      <c r="D11" s="42">
        <v>0.040434672731867585</v>
      </c>
      <c r="E11" s="59">
        <f t="shared" ref="E11:E14" si="3">(E$10/D$10)*D11</f>
        <v>0.84</v>
      </c>
      <c r="F11" s="51"/>
      <c r="G11" s="51"/>
      <c r="H11" s="51" t="s">
        <v>68</v>
      </c>
      <c r="I11" s="60">
        <f>(I6-I5)/I3</f>
        <v>0.1636579739</v>
      </c>
      <c r="K11" s="17" t="s">
        <v>65</v>
      </c>
      <c r="L11" s="17" t="s">
        <v>62</v>
      </c>
      <c r="M11" s="42">
        <v>0.040434672731867585</v>
      </c>
      <c r="N11" s="53">
        <f t="shared" ref="N11:N14" si="4">(N$10/M$10)*M11</f>
        <v>1.21836</v>
      </c>
      <c r="O11" s="51"/>
    </row>
    <row r="12" ht="15.75" customHeight="1">
      <c r="B12" s="17" t="s">
        <v>71</v>
      </c>
      <c r="C12" s="17" t="s">
        <v>62</v>
      </c>
      <c r="D12" s="42">
        <v>0.4927975739196362</v>
      </c>
      <c r="E12" s="59">
        <f t="shared" si="3"/>
        <v>10.2375</v>
      </c>
      <c r="F12" s="17"/>
      <c r="G12" s="17"/>
      <c r="H12" s="17"/>
      <c r="K12" s="17" t="s">
        <v>71</v>
      </c>
      <c r="L12" s="17" t="s">
        <v>62</v>
      </c>
      <c r="M12" s="42">
        <v>0.4927975739196362</v>
      </c>
      <c r="N12" s="53">
        <f t="shared" si="4"/>
        <v>14.8487625</v>
      </c>
      <c r="O12" s="17"/>
    </row>
    <row r="13" ht="15.75" customHeight="1">
      <c r="B13" s="17" t="s">
        <v>73</v>
      </c>
      <c r="C13" s="17" t="s">
        <v>62</v>
      </c>
      <c r="D13" s="42">
        <v>0.1877685114986099</v>
      </c>
      <c r="E13" s="59">
        <f t="shared" si="3"/>
        <v>3.90075</v>
      </c>
      <c r="F13" s="51"/>
      <c r="G13" s="51"/>
      <c r="H13" s="51"/>
      <c r="K13" s="17" t="s">
        <v>73</v>
      </c>
      <c r="L13" s="17" t="s">
        <v>62</v>
      </c>
      <c r="M13" s="42">
        <v>0.1877685114986099</v>
      </c>
      <c r="N13" s="53">
        <f t="shared" si="4"/>
        <v>5.65775925</v>
      </c>
      <c r="O13" s="51"/>
    </row>
    <row r="14" ht="15.75" customHeight="1">
      <c r="B14" s="17" t="s">
        <v>75</v>
      </c>
      <c r="C14" s="17" t="s">
        <v>62</v>
      </c>
      <c r="D14" s="42">
        <v>0.15264088956280011</v>
      </c>
      <c r="E14" s="59">
        <f t="shared" si="3"/>
        <v>3.171</v>
      </c>
      <c r="F14" s="17"/>
      <c r="G14" s="17"/>
      <c r="H14" s="17"/>
      <c r="K14" s="17" t="s">
        <v>75</v>
      </c>
      <c r="L14" s="17" t="s">
        <v>62</v>
      </c>
      <c r="M14" s="42">
        <v>0.15264088956280011</v>
      </c>
      <c r="N14" s="53">
        <f t="shared" si="4"/>
        <v>4.599309</v>
      </c>
      <c r="O14" s="17"/>
    </row>
    <row r="15" ht="15.75" customHeight="1">
      <c r="B15" s="17"/>
      <c r="C15" s="17"/>
      <c r="D15" s="17"/>
      <c r="E15" s="17"/>
      <c r="F15" s="45"/>
      <c r="G15" s="45"/>
      <c r="H15" s="45"/>
      <c r="K15" s="17"/>
      <c r="L15" s="17"/>
      <c r="M15" s="17"/>
      <c r="N15" s="17"/>
      <c r="O15" s="45"/>
    </row>
    <row r="16" ht="15.75" customHeight="1">
      <c r="B16" s="17"/>
      <c r="C16" s="17"/>
      <c r="D16" s="17"/>
      <c r="E16" s="17"/>
      <c r="F16" s="17"/>
      <c r="G16" s="17"/>
      <c r="H16" s="17"/>
      <c r="K16" s="17"/>
      <c r="L16" s="17"/>
      <c r="M16" s="17"/>
      <c r="N16" s="17"/>
      <c r="O16" s="17"/>
    </row>
    <row r="17" ht="15.75" customHeight="1">
      <c r="B17" s="17"/>
      <c r="C17" s="68" t="s">
        <v>77</v>
      </c>
      <c r="D17" s="70">
        <f>SUM(E10:E14)</f>
        <v>20.77425</v>
      </c>
      <c r="E17" s="17"/>
      <c r="F17" s="17"/>
      <c r="G17" s="17"/>
      <c r="H17" s="17"/>
      <c r="K17" s="17"/>
      <c r="L17" s="68" t="s">
        <v>77</v>
      </c>
      <c r="M17" s="70">
        <f>SUM(N10:N14)</f>
        <v>30.13156575</v>
      </c>
      <c r="N17" s="17"/>
      <c r="O17" s="17"/>
    </row>
    <row r="18" ht="15.75" customHeight="1">
      <c r="B18" s="71" t="s">
        <v>79</v>
      </c>
      <c r="C18" s="39"/>
      <c r="D18" s="39"/>
      <c r="E18" s="39"/>
      <c r="F18" s="29"/>
      <c r="K18" s="71" t="s">
        <v>79</v>
      </c>
      <c r="L18" s="39"/>
      <c r="M18" s="39"/>
      <c r="N18" s="39"/>
      <c r="O18" s="29"/>
    </row>
    <row r="19" ht="15.75" customHeight="1">
      <c r="B19" s="17" t="s">
        <v>61</v>
      </c>
      <c r="C19" s="17" t="s">
        <v>38</v>
      </c>
      <c r="D19" s="42">
        <v>0.3</v>
      </c>
      <c r="E19" s="53">
        <f t="shared" ref="E19:E20" si="5">D$25*D19</f>
        <v>2.625</v>
      </c>
      <c r="F19" s="17"/>
      <c r="G19" s="17"/>
      <c r="H19" s="17"/>
      <c r="K19" s="17" t="s">
        <v>61</v>
      </c>
      <c r="L19" s="17" t="s">
        <v>38</v>
      </c>
      <c r="M19" s="42">
        <v>0.3</v>
      </c>
      <c r="N19" s="73">
        <f t="shared" ref="N19:N20" si="6">M$25*M19</f>
        <v>3.807375</v>
      </c>
      <c r="O19" s="17"/>
    </row>
    <row r="20" ht="15.75" customHeight="1">
      <c r="B20" s="17" t="s">
        <v>83</v>
      </c>
      <c r="C20" s="17" t="s">
        <v>38</v>
      </c>
      <c r="D20" s="42">
        <v>0.7</v>
      </c>
      <c r="E20" s="53">
        <f t="shared" si="5"/>
        <v>6.125</v>
      </c>
      <c r="F20" s="17"/>
      <c r="G20" s="17"/>
      <c r="H20" s="17"/>
      <c r="K20" s="17" t="s">
        <v>83</v>
      </c>
      <c r="L20" s="17" t="s">
        <v>38</v>
      </c>
      <c r="M20" s="42">
        <v>0.7</v>
      </c>
      <c r="N20" s="44">
        <f t="shared" si="6"/>
        <v>8.883875</v>
      </c>
      <c r="O20" s="17"/>
    </row>
    <row r="21" ht="15.75" customHeight="1">
      <c r="B21" s="17" t="s">
        <v>87</v>
      </c>
      <c r="C21" s="17" t="s">
        <v>62</v>
      </c>
      <c r="D21" s="42">
        <v>0.48</v>
      </c>
      <c r="E21" s="53">
        <v>4.2</v>
      </c>
      <c r="F21" s="17"/>
      <c r="G21" s="17"/>
      <c r="H21" s="17"/>
      <c r="K21" s="17" t="s">
        <v>87</v>
      </c>
      <c r="L21" s="17" t="s">
        <v>62</v>
      </c>
      <c r="M21" s="42">
        <v>0.48</v>
      </c>
      <c r="N21" s="44">
        <f>N27</f>
        <v>6.0918</v>
      </c>
      <c r="O21" s="17"/>
    </row>
    <row r="22" ht="15.75" customHeight="1">
      <c r="B22" s="17" t="s">
        <v>89</v>
      </c>
      <c r="C22" s="17" t="s">
        <v>62</v>
      </c>
      <c r="D22" s="42">
        <v>0.4</v>
      </c>
      <c r="E22" s="53">
        <f t="shared" ref="E22:E23" si="7">(E$21/D$21)*D22</f>
        <v>3.5</v>
      </c>
      <c r="F22" s="17"/>
      <c r="G22" s="17"/>
      <c r="H22" s="17"/>
      <c r="K22" s="17" t="s">
        <v>89</v>
      </c>
      <c r="L22" s="17" t="s">
        <v>62</v>
      </c>
      <c r="M22" s="42">
        <v>0.4</v>
      </c>
      <c r="N22" s="44">
        <f t="shared" ref="N22:N23" si="8">(N$21/M$21)*M22</f>
        <v>5.0765</v>
      </c>
      <c r="O22" s="17"/>
    </row>
    <row r="23" ht="15.75" customHeight="1">
      <c r="B23" s="17" t="s">
        <v>94</v>
      </c>
      <c r="C23" s="17" t="s">
        <v>62</v>
      </c>
      <c r="D23" s="42">
        <v>0.12</v>
      </c>
      <c r="E23" s="53">
        <f t="shared" si="7"/>
        <v>1.05</v>
      </c>
      <c r="F23" s="17"/>
      <c r="G23" s="17"/>
      <c r="H23" s="17"/>
      <c r="K23" s="17" t="s">
        <v>94</v>
      </c>
      <c r="L23" s="17" t="s">
        <v>62</v>
      </c>
      <c r="M23" s="42">
        <v>0.12</v>
      </c>
      <c r="N23" s="44">
        <f t="shared" si="8"/>
        <v>1.52295</v>
      </c>
      <c r="O23" s="17"/>
    </row>
    <row r="24" ht="15.75" customHeight="1">
      <c r="B24" s="17"/>
      <c r="C24" s="17"/>
      <c r="D24" s="17"/>
      <c r="E24" s="17"/>
      <c r="F24" s="17"/>
      <c r="G24" s="17"/>
      <c r="H24" s="17"/>
      <c r="K24" s="17"/>
      <c r="L24" s="17"/>
      <c r="M24" s="17"/>
      <c r="N24" s="17"/>
      <c r="O24" s="17"/>
    </row>
    <row r="25" ht="15.75" customHeight="1">
      <c r="B25" s="17"/>
      <c r="C25" s="68" t="s">
        <v>77</v>
      </c>
      <c r="D25" s="70">
        <f>SUM(E21:E23)</f>
        <v>8.75</v>
      </c>
      <c r="E25" s="17"/>
      <c r="F25" s="17"/>
      <c r="G25" s="17"/>
      <c r="H25" s="17"/>
      <c r="K25" s="17"/>
      <c r="L25" s="68" t="s">
        <v>77</v>
      </c>
      <c r="M25" s="70">
        <f>SUM(N21:N23)</f>
        <v>12.69125</v>
      </c>
      <c r="N25" s="17"/>
      <c r="O25" s="17"/>
    </row>
    <row r="26" ht="15.75" customHeight="1">
      <c r="B26" s="86" t="s">
        <v>102</v>
      </c>
      <c r="C26" s="39"/>
      <c r="D26" s="39"/>
      <c r="E26" s="39"/>
      <c r="F26" s="29"/>
      <c r="K26" s="86" t="s">
        <v>102</v>
      </c>
      <c r="L26" s="39"/>
      <c r="M26" s="39"/>
      <c r="N26" s="39"/>
      <c r="O26" s="29"/>
    </row>
    <row r="27" ht="15.75" customHeight="1">
      <c r="B27" s="17" t="s">
        <v>104</v>
      </c>
      <c r="C27" s="17" t="s">
        <v>38</v>
      </c>
      <c r="D27" s="42">
        <v>0.26</v>
      </c>
      <c r="E27" s="44">
        <f t="shared" ref="E27:E28" si="9">D$34*D27</f>
        <v>4.16</v>
      </c>
      <c r="F27" s="17"/>
      <c r="G27" s="17"/>
      <c r="H27" s="17"/>
      <c r="K27" s="17" t="s">
        <v>104</v>
      </c>
      <c r="L27" s="17" t="s">
        <v>38</v>
      </c>
      <c r="M27" s="42">
        <v>0.26</v>
      </c>
      <c r="N27" s="88">
        <f t="shared" ref="N27:N28" si="10">M$34*M27</f>
        <v>6.0918</v>
      </c>
      <c r="O27" s="17"/>
    </row>
    <row r="28" ht="15.75" customHeight="1">
      <c r="B28" s="17" t="s">
        <v>107</v>
      </c>
      <c r="C28" s="17" t="s">
        <v>38</v>
      </c>
      <c r="D28" s="42">
        <v>0.74</v>
      </c>
      <c r="E28" s="44">
        <f t="shared" si="9"/>
        <v>11.84</v>
      </c>
      <c r="F28" s="17"/>
      <c r="G28" s="17"/>
      <c r="H28" s="17"/>
      <c r="K28" s="17" t="s">
        <v>107</v>
      </c>
      <c r="L28" s="17" t="s">
        <v>38</v>
      </c>
      <c r="M28" s="42">
        <v>0.74</v>
      </c>
      <c r="N28" s="44">
        <f t="shared" si="10"/>
        <v>17.3382</v>
      </c>
      <c r="O28" s="17"/>
    </row>
    <row r="29" ht="15.75" customHeight="1">
      <c r="B29" s="17" t="s">
        <v>109</v>
      </c>
      <c r="C29" s="17" t="s">
        <v>62</v>
      </c>
      <c r="D29" s="45">
        <v>0.1</v>
      </c>
      <c r="E29" s="53">
        <f>D34*D29</f>
        <v>1.6</v>
      </c>
      <c r="F29" s="17"/>
      <c r="G29" s="17"/>
      <c r="H29" s="17"/>
      <c r="K29" s="17" t="s">
        <v>109</v>
      </c>
      <c r="L29" s="17" t="s">
        <v>62</v>
      </c>
      <c r="M29" s="45">
        <v>0.1</v>
      </c>
      <c r="N29" s="53">
        <f>N36</f>
        <v>2.343</v>
      </c>
      <c r="O29" s="17"/>
    </row>
    <row r="30" ht="15.75" customHeight="1">
      <c r="B30" s="17" t="s">
        <v>115</v>
      </c>
      <c r="C30" s="17" t="s">
        <v>62</v>
      </c>
      <c r="D30" s="91">
        <f>1-D31-D29</f>
        <v>0.77</v>
      </c>
      <c r="E30" s="92">
        <f>D34*D30</f>
        <v>12.32</v>
      </c>
      <c r="F30" s="17"/>
      <c r="G30" s="17"/>
      <c r="H30" s="17"/>
      <c r="K30" s="17" t="s">
        <v>115</v>
      </c>
      <c r="L30" s="17" t="s">
        <v>62</v>
      </c>
      <c r="M30" s="91">
        <f>1-M31-M29</f>
        <v>0.77</v>
      </c>
      <c r="N30" s="97">
        <f t="shared" ref="N30:N31" si="11">(N$29/M$29)*M30</f>
        <v>18.0411</v>
      </c>
      <c r="O30" s="17"/>
      <c r="P30" s="22">
        <f>M30*0.4</f>
        <v>0.308</v>
      </c>
      <c r="Q30" s="22">
        <f>N30*P30</f>
        <v>5.5566588</v>
      </c>
    </row>
    <row r="31" ht="15.75" customHeight="1">
      <c r="B31" s="17" t="s">
        <v>57</v>
      </c>
      <c r="C31" s="17" t="s">
        <v>62</v>
      </c>
      <c r="D31" s="100">
        <v>0.13</v>
      </c>
      <c r="E31" s="59">
        <f>D31*D34</f>
        <v>2.08</v>
      </c>
      <c r="F31" s="17"/>
      <c r="G31" s="17"/>
      <c r="H31" s="17"/>
      <c r="K31" s="17" t="s">
        <v>57</v>
      </c>
      <c r="L31" s="17" t="s">
        <v>62</v>
      </c>
      <c r="M31" s="100">
        <v>0.13</v>
      </c>
      <c r="N31" s="97">
        <f t="shared" si="11"/>
        <v>3.0459</v>
      </c>
      <c r="O31" s="17"/>
    </row>
    <row r="32" ht="15.75" customHeight="1">
      <c r="F32" s="17"/>
      <c r="G32" s="17"/>
      <c r="H32" s="17"/>
      <c r="O32" s="17"/>
    </row>
    <row r="33" ht="15.75" customHeight="1">
      <c r="B33" s="17"/>
      <c r="C33" s="17"/>
      <c r="D33" s="17"/>
      <c r="E33" s="17"/>
      <c r="F33" s="17"/>
      <c r="G33" s="17"/>
      <c r="H33" s="17"/>
      <c r="K33" s="17"/>
      <c r="L33" s="17"/>
      <c r="M33" s="17"/>
      <c r="N33" s="17"/>
      <c r="O33" s="17"/>
    </row>
    <row r="34" ht="15.75" customHeight="1">
      <c r="B34" s="17"/>
      <c r="C34" s="68" t="s">
        <v>77</v>
      </c>
      <c r="D34" s="107">
        <v>16.0</v>
      </c>
      <c r="E34" s="17"/>
      <c r="F34" s="109"/>
      <c r="G34" s="109"/>
      <c r="H34" s="109"/>
      <c r="K34" s="17"/>
      <c r="L34" s="68" t="s">
        <v>77</v>
      </c>
      <c r="M34" s="44">
        <f>SUM(N29:N31)</f>
        <v>23.43</v>
      </c>
      <c r="N34" s="17"/>
      <c r="O34" s="109"/>
    </row>
    <row r="35" ht="15.75" customHeight="1">
      <c r="B35" s="112" t="s">
        <v>125</v>
      </c>
      <c r="C35" s="39"/>
      <c r="D35" s="39"/>
      <c r="E35" s="39"/>
      <c r="F35" s="29"/>
      <c r="K35" s="112" t="s">
        <v>125</v>
      </c>
      <c r="L35" s="39"/>
      <c r="M35" s="39"/>
      <c r="N35" s="39"/>
      <c r="O35" s="29"/>
    </row>
    <row r="36" ht="15.75" customHeight="1">
      <c r="B36" s="17" t="s">
        <v>109</v>
      </c>
      <c r="C36" s="17" t="s">
        <v>38</v>
      </c>
      <c r="D36" s="45"/>
      <c r="E36" s="107">
        <v>1.598</v>
      </c>
      <c r="F36" s="17"/>
      <c r="G36" s="17"/>
      <c r="H36" s="17"/>
      <c r="K36" s="17" t="s">
        <v>109</v>
      </c>
      <c r="L36" s="17" t="s">
        <v>38</v>
      </c>
      <c r="M36" s="45"/>
      <c r="N36" s="116">
        <v>2.343</v>
      </c>
      <c r="O36" s="17"/>
    </row>
    <row r="37" ht="15.75" customHeight="1">
      <c r="B37" s="17" t="s">
        <v>133</v>
      </c>
      <c r="C37" s="17" t="s">
        <v>62</v>
      </c>
      <c r="D37" s="42">
        <v>0.75</v>
      </c>
      <c r="E37" s="118">
        <f>D37*D41</f>
        <v>1.1985</v>
      </c>
      <c r="F37" s="17"/>
      <c r="G37" s="17"/>
      <c r="H37" s="17"/>
      <c r="K37" s="17" t="s">
        <v>133</v>
      </c>
      <c r="L37" s="17" t="s">
        <v>62</v>
      </c>
      <c r="M37" s="42">
        <f>N37/M41</f>
        <v>0.5629534784</v>
      </c>
      <c r="N37" s="118">
        <v>1.319</v>
      </c>
      <c r="O37" s="17"/>
    </row>
    <row r="38" ht="15.75" customHeight="1">
      <c r="B38" s="17" t="s">
        <v>140</v>
      </c>
      <c r="C38" s="17" t="s">
        <v>96</v>
      </c>
      <c r="D38" s="45"/>
      <c r="E38" s="120">
        <v>22.4</v>
      </c>
      <c r="F38" s="17"/>
      <c r="G38" s="17"/>
      <c r="H38" s="17"/>
      <c r="K38" s="17" t="s">
        <v>134</v>
      </c>
      <c r="L38" s="17" t="s">
        <v>96</v>
      </c>
      <c r="M38" s="45"/>
      <c r="N38" s="120">
        <v>38.227</v>
      </c>
      <c r="O38" s="17"/>
    </row>
    <row r="39" ht="15.75" customHeight="1">
      <c r="B39" s="17" t="s">
        <v>142</v>
      </c>
      <c r="C39" s="17" t="s">
        <v>62</v>
      </c>
      <c r="D39" s="42">
        <v>0.24</v>
      </c>
      <c r="E39" s="118">
        <f>D39*D41</f>
        <v>0.38352</v>
      </c>
      <c r="F39" s="17"/>
      <c r="G39" s="17"/>
      <c r="H39" s="17"/>
      <c r="K39" s="17" t="s">
        <v>142</v>
      </c>
      <c r="L39" s="17" t="s">
        <v>62</v>
      </c>
      <c r="M39" s="42">
        <f>N39/M41</f>
        <v>0.4404609475</v>
      </c>
      <c r="N39" s="118">
        <v>1.032</v>
      </c>
      <c r="O39" s="17"/>
    </row>
    <row r="40" ht="15.75" customHeight="1">
      <c r="B40" s="17"/>
      <c r="C40" s="17"/>
      <c r="D40" s="17"/>
      <c r="E40" s="17"/>
      <c r="F40" s="17"/>
      <c r="G40" s="17"/>
      <c r="H40" s="17"/>
      <c r="K40" s="17"/>
      <c r="L40" s="17"/>
      <c r="M40" s="17"/>
      <c r="N40" s="17"/>
      <c r="O40" s="17"/>
    </row>
    <row r="41" ht="15.75" customHeight="1">
      <c r="B41" s="17"/>
      <c r="C41" s="68" t="s">
        <v>77</v>
      </c>
      <c r="D41" s="70">
        <f>E36</f>
        <v>1.598</v>
      </c>
      <c r="E41" s="17"/>
      <c r="F41" s="17"/>
      <c r="G41" s="17"/>
      <c r="H41" s="17"/>
      <c r="K41" s="17"/>
      <c r="L41" s="68" t="s">
        <v>77</v>
      </c>
      <c r="M41" s="70">
        <f>N36</f>
        <v>2.343</v>
      </c>
      <c r="N41" s="17"/>
      <c r="O41" s="17"/>
    </row>
    <row r="42" ht="15.75" customHeight="1">
      <c r="B42" s="17"/>
      <c r="C42" s="17"/>
      <c r="D42" s="17"/>
      <c r="E42" s="17"/>
      <c r="F42" s="17"/>
      <c r="G42" s="17"/>
      <c r="H42" s="17"/>
      <c r="K42" s="17"/>
      <c r="L42" s="17"/>
      <c r="M42" s="17"/>
      <c r="N42" s="17"/>
      <c r="O42" s="17"/>
    </row>
    <row r="43" ht="15.75" customHeight="1">
      <c r="B43" s="127" t="s">
        <v>139</v>
      </c>
      <c r="C43" s="39"/>
      <c r="D43" s="39"/>
      <c r="E43" s="39"/>
      <c r="F43" s="29"/>
      <c r="K43" s="127" t="s">
        <v>139</v>
      </c>
      <c r="L43" s="39"/>
      <c r="M43" s="39"/>
      <c r="N43" s="39"/>
      <c r="O43" s="29"/>
    </row>
    <row r="44" ht="15.75" customHeight="1">
      <c r="B44" s="17" t="s">
        <v>142</v>
      </c>
      <c r="C44" s="17" t="s">
        <v>38</v>
      </c>
      <c r="D44" s="51">
        <v>1.0</v>
      </c>
      <c r="E44" s="44">
        <f>E39</f>
        <v>0.38352</v>
      </c>
      <c r="F44" s="129"/>
      <c r="G44" s="129"/>
      <c r="H44" s="129"/>
      <c r="K44" s="17" t="s">
        <v>142</v>
      </c>
      <c r="L44" s="17" t="s">
        <v>38</v>
      </c>
      <c r="M44" s="51">
        <v>1.0</v>
      </c>
      <c r="N44" s="44">
        <f>N39</f>
        <v>1.032</v>
      </c>
      <c r="O44" s="130"/>
    </row>
    <row r="45" ht="15.75" customHeight="1">
      <c r="B45" s="17" t="s">
        <v>157</v>
      </c>
      <c r="C45" s="17" t="s">
        <v>62</v>
      </c>
      <c r="D45" s="100">
        <v>0.83</v>
      </c>
      <c r="E45" s="44">
        <f>D50*D45</f>
        <v>0.3183216</v>
      </c>
      <c r="F45" s="129" t="s">
        <v>158</v>
      </c>
      <c r="G45" s="129"/>
      <c r="H45" s="129"/>
      <c r="K45" s="17" t="s">
        <v>157</v>
      </c>
      <c r="L45" s="17" t="s">
        <v>62</v>
      </c>
      <c r="M45" s="100">
        <v>0.83</v>
      </c>
      <c r="N45" s="44">
        <f>M50*M45</f>
        <v>0.85656</v>
      </c>
      <c r="O45" s="129" t="s">
        <v>158</v>
      </c>
    </row>
    <row r="46" ht="15.75" customHeight="1">
      <c r="B46" s="17" t="s">
        <v>146</v>
      </c>
      <c r="C46" s="17" t="s">
        <v>62</v>
      </c>
      <c r="D46" s="100">
        <f>1-D45</f>
        <v>0.17</v>
      </c>
      <c r="E46" s="44">
        <f>D46*D50</f>
        <v>0.0651984</v>
      </c>
      <c r="F46" s="129"/>
      <c r="G46" s="129"/>
      <c r="H46" s="129"/>
      <c r="K46" s="17" t="s">
        <v>146</v>
      </c>
      <c r="L46" s="17" t="s">
        <v>62</v>
      </c>
      <c r="M46" s="100">
        <f>1-M45</f>
        <v>0.17</v>
      </c>
      <c r="N46" s="44">
        <f>M46*M50</f>
        <v>0.17544</v>
      </c>
      <c r="O46" s="129"/>
    </row>
    <row r="47" ht="15.75" customHeight="1">
      <c r="B47" s="17" t="s">
        <v>147</v>
      </c>
      <c r="C47" s="17" t="s">
        <v>96</v>
      </c>
      <c r="D47" s="17"/>
      <c r="E47" s="118">
        <f t="shared" ref="E47:E48" si="12">8.397*D45</f>
        <v>6.96951</v>
      </c>
      <c r="F47" s="129" t="s">
        <v>166</v>
      </c>
      <c r="G47" s="129"/>
      <c r="H47" s="129"/>
      <c r="K47" s="17" t="s">
        <v>147</v>
      </c>
      <c r="L47" s="17" t="s">
        <v>96</v>
      </c>
      <c r="M47" s="17"/>
      <c r="N47" s="118">
        <f t="shared" ref="N47:N48" si="13">24.7*M45</f>
        <v>20.501</v>
      </c>
      <c r="O47" s="110" t="s">
        <v>168</v>
      </c>
    </row>
    <row r="48" ht="15.75" customHeight="1">
      <c r="B48" s="17" t="s">
        <v>150</v>
      </c>
      <c r="C48" s="17" t="s">
        <v>96</v>
      </c>
      <c r="D48" s="17"/>
      <c r="E48" s="118">
        <f t="shared" si="12"/>
        <v>1.42749</v>
      </c>
      <c r="F48" s="129"/>
      <c r="G48" s="129"/>
      <c r="H48" s="129"/>
      <c r="K48" s="17" t="s">
        <v>150</v>
      </c>
      <c r="L48" s="17" t="s">
        <v>96</v>
      </c>
      <c r="M48" s="17"/>
      <c r="N48" s="118">
        <f t="shared" si="13"/>
        <v>4.199</v>
      </c>
      <c r="O48" s="130"/>
    </row>
    <row r="49" ht="15.75" customHeight="1">
      <c r="B49" s="17"/>
      <c r="C49" s="17"/>
      <c r="D49" s="17"/>
      <c r="E49" s="17"/>
      <c r="F49" s="17"/>
      <c r="G49" s="17"/>
      <c r="H49" s="17"/>
      <c r="K49" s="17"/>
      <c r="L49" s="17"/>
      <c r="M49" s="17"/>
      <c r="N49" s="17"/>
      <c r="O49" s="17"/>
    </row>
    <row r="50" ht="15.75" customHeight="1">
      <c r="B50" s="17"/>
      <c r="C50" s="68" t="s">
        <v>77</v>
      </c>
      <c r="D50" s="70">
        <f>E44</f>
        <v>0.38352</v>
      </c>
      <c r="E50" s="17"/>
      <c r="F50" s="17"/>
      <c r="G50" s="17"/>
      <c r="H50" s="17"/>
      <c r="K50" s="17"/>
      <c r="L50" s="68" t="s">
        <v>77</v>
      </c>
      <c r="M50" s="70">
        <f>N44</f>
        <v>1.032</v>
      </c>
      <c r="N50" s="17"/>
      <c r="O50" s="17"/>
    </row>
    <row r="51" ht="15.75" customHeight="1"/>
    <row r="52" ht="15.75" customHeight="1">
      <c r="B52" s="140" t="s">
        <v>147</v>
      </c>
      <c r="C52" s="39"/>
      <c r="D52" s="39"/>
      <c r="E52" s="39"/>
      <c r="F52" s="29"/>
      <c r="K52" s="140" t="s">
        <v>147</v>
      </c>
      <c r="L52" s="39"/>
      <c r="M52" s="39"/>
      <c r="N52" s="39"/>
      <c r="O52" s="29"/>
    </row>
    <row r="53" ht="15.75" customHeight="1">
      <c r="B53" s="17" t="s">
        <v>144</v>
      </c>
      <c r="C53" s="17" t="s">
        <v>38</v>
      </c>
      <c r="D53" s="42">
        <v>1.0</v>
      </c>
      <c r="E53" s="44">
        <v>0.41</v>
      </c>
      <c r="F53" s="17"/>
      <c r="G53" s="17"/>
      <c r="H53" s="17"/>
      <c r="K53" s="17" t="s">
        <v>144</v>
      </c>
      <c r="L53" s="17" t="s">
        <v>38</v>
      </c>
      <c r="M53" s="42">
        <v>1.0</v>
      </c>
      <c r="N53" s="44">
        <f>N45</f>
        <v>0.85656</v>
      </c>
      <c r="O53" s="17"/>
    </row>
    <row r="54" ht="15.75" customHeight="1">
      <c r="B54" s="17" t="s">
        <v>147</v>
      </c>
      <c r="C54" s="17" t="s">
        <v>96</v>
      </c>
      <c r="D54" s="45"/>
      <c r="E54" s="142">
        <f>E47</f>
        <v>6.96951</v>
      </c>
      <c r="F54" s="130"/>
      <c r="G54" s="130"/>
      <c r="H54" s="130"/>
      <c r="K54" s="17" t="s">
        <v>147</v>
      </c>
      <c r="L54" s="17" t="s">
        <v>96</v>
      </c>
      <c r="M54" s="45"/>
      <c r="N54" s="142">
        <f>N47</f>
        <v>20.501</v>
      </c>
      <c r="O54" s="130"/>
    </row>
    <row r="55" ht="15.75" customHeight="1">
      <c r="B55" s="17" t="s">
        <v>183</v>
      </c>
      <c r="C55" s="17" t="s">
        <v>62</v>
      </c>
      <c r="D55" s="50">
        <v>0.0</v>
      </c>
      <c r="E55" s="44">
        <v>0.0</v>
      </c>
      <c r="F55" s="130"/>
      <c r="G55" s="130"/>
      <c r="H55" s="130"/>
      <c r="K55" s="17" t="s">
        <v>183</v>
      </c>
      <c r="L55" s="17" t="s">
        <v>62</v>
      </c>
      <c r="M55" s="50">
        <v>0.0</v>
      </c>
      <c r="N55" s="44">
        <v>0.0</v>
      </c>
      <c r="O55" s="130"/>
    </row>
    <row r="56" ht="15.75" customHeight="1">
      <c r="B56" s="17"/>
      <c r="C56" s="17"/>
      <c r="D56" s="17"/>
      <c r="E56" s="17"/>
      <c r="F56" s="130"/>
      <c r="G56" s="130"/>
      <c r="H56" s="130"/>
      <c r="K56" s="17"/>
      <c r="L56" s="17"/>
      <c r="M56" s="17"/>
      <c r="N56" s="17"/>
      <c r="O56" s="130"/>
    </row>
    <row r="57" ht="15.75" customHeight="1">
      <c r="B57" s="17"/>
      <c r="C57" s="68" t="s">
        <v>77</v>
      </c>
      <c r="D57" s="70">
        <f>E53</f>
        <v>0.41</v>
      </c>
      <c r="E57" s="17"/>
      <c r="F57" s="130"/>
      <c r="G57" s="130"/>
      <c r="H57" s="130"/>
      <c r="K57" s="17"/>
      <c r="L57" s="68" t="s">
        <v>77</v>
      </c>
      <c r="M57" s="70">
        <f>N53</f>
        <v>0.85656</v>
      </c>
      <c r="N57" s="17"/>
      <c r="O57" s="130"/>
    </row>
    <row r="58" ht="15.75" customHeight="1">
      <c r="B58" s="143" t="s">
        <v>187</v>
      </c>
      <c r="C58" s="39"/>
      <c r="D58" s="39"/>
      <c r="E58" s="39"/>
      <c r="F58" s="29"/>
      <c r="K58" s="143" t="s">
        <v>187</v>
      </c>
      <c r="L58" s="39"/>
      <c r="M58" s="39"/>
      <c r="N58" s="39"/>
      <c r="O58" s="29"/>
    </row>
    <row r="59" ht="15.75" customHeight="1">
      <c r="B59" s="17" t="s">
        <v>183</v>
      </c>
      <c r="C59" s="17" t="s">
        <v>38</v>
      </c>
      <c r="D59" s="50">
        <v>0.0</v>
      </c>
      <c r="E59" s="53">
        <f>E55</f>
        <v>0</v>
      </c>
      <c r="F59" s="130"/>
      <c r="G59" s="130"/>
      <c r="H59" s="130"/>
      <c r="K59" s="17" t="s">
        <v>183</v>
      </c>
      <c r="L59" s="17" t="s">
        <v>38</v>
      </c>
      <c r="M59" s="50">
        <v>0.0</v>
      </c>
      <c r="N59" s="53">
        <v>0.0</v>
      </c>
      <c r="O59" s="130"/>
    </row>
    <row r="60" ht="15.75" customHeight="1">
      <c r="B60" s="17" t="s">
        <v>190</v>
      </c>
      <c r="C60" s="17" t="s">
        <v>62</v>
      </c>
      <c r="D60" s="50">
        <v>0.0</v>
      </c>
      <c r="E60" s="53">
        <f t="shared" ref="E60:E61" si="14">D$63*D60</f>
        <v>0</v>
      </c>
      <c r="F60" s="130"/>
      <c r="G60" s="130"/>
      <c r="H60" s="130"/>
      <c r="K60" s="17" t="s">
        <v>190</v>
      </c>
      <c r="L60" s="17" t="s">
        <v>62</v>
      </c>
      <c r="M60" s="50">
        <v>0.0</v>
      </c>
      <c r="N60" s="53">
        <f t="shared" ref="N60:N61" si="15">M60*M$63</f>
        <v>0</v>
      </c>
      <c r="O60" s="130"/>
    </row>
    <row r="61" ht="15.75" customHeight="1">
      <c r="B61" s="17" t="s">
        <v>193</v>
      </c>
      <c r="C61" s="17" t="s">
        <v>62</v>
      </c>
      <c r="D61" s="50">
        <v>0.0</v>
      </c>
      <c r="E61" s="53">
        <f t="shared" si="14"/>
        <v>0</v>
      </c>
      <c r="F61" s="130"/>
      <c r="G61" s="130"/>
      <c r="H61" s="130"/>
      <c r="K61" s="17" t="s">
        <v>193</v>
      </c>
      <c r="L61" s="17" t="s">
        <v>62</v>
      </c>
      <c r="M61" s="50">
        <v>0.0</v>
      </c>
      <c r="N61" s="53">
        <f t="shared" si="15"/>
        <v>0</v>
      </c>
      <c r="O61" s="130"/>
    </row>
    <row r="62" ht="15.75" customHeight="1">
      <c r="B62" s="17"/>
      <c r="C62" s="17"/>
      <c r="D62" s="17"/>
      <c r="E62" s="17"/>
      <c r="F62" s="17"/>
      <c r="G62" s="17"/>
      <c r="H62" s="17"/>
      <c r="K62" s="17"/>
      <c r="L62" s="17"/>
      <c r="M62" s="17"/>
      <c r="N62" s="17"/>
      <c r="O62" s="17"/>
    </row>
    <row r="63" ht="15.75" customHeight="1">
      <c r="B63" s="17"/>
      <c r="C63" s="68" t="s">
        <v>77</v>
      </c>
      <c r="D63" s="150">
        <f>E59</f>
        <v>0</v>
      </c>
      <c r="E63" s="17"/>
      <c r="F63" s="17"/>
      <c r="G63" s="17"/>
      <c r="H63" s="17"/>
      <c r="K63" s="17"/>
      <c r="L63" s="68" t="s">
        <v>77</v>
      </c>
      <c r="M63" s="150">
        <f>N59</f>
        <v>0</v>
      </c>
      <c r="N63" s="17"/>
      <c r="O63" s="17"/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2:F3"/>
    <mergeCell ref="K2:O3"/>
    <mergeCell ref="B5:F5"/>
    <mergeCell ref="K5:O5"/>
    <mergeCell ref="B18:F18"/>
    <mergeCell ref="K18:O18"/>
    <mergeCell ref="K26:O26"/>
    <mergeCell ref="B58:F58"/>
    <mergeCell ref="K58:O58"/>
    <mergeCell ref="B26:F26"/>
    <mergeCell ref="B35:F35"/>
    <mergeCell ref="K35:O35"/>
    <mergeCell ref="B43:F43"/>
    <mergeCell ref="K43:O43"/>
    <mergeCell ref="B52:F52"/>
    <mergeCell ref="K52:O52"/>
  </mergeCells>
  <dataValidations>
    <dataValidation type="list" allowBlank="1" showErrorMessage="1" sqref="C6:C14 L6:L14 C19:C23 L19:L23 C27:C31 L27:L31 C36:C39 L36:L39 C44:C48 L44:L48 C53:C55 L53:L55 C59:C61 L59:L61">
      <formula1>"Stock,Inflow,Outflow,Capacity"</formula1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/>
    <row r="2" ht="15.75" customHeight="1"/>
    <row r="3" ht="15.75" customHeight="1">
      <c r="B3" s="103" t="s">
        <v>124</v>
      </c>
      <c r="C3" s="39"/>
      <c r="D3" s="39"/>
      <c r="E3" s="29"/>
      <c r="I3" s="103" t="s">
        <v>127</v>
      </c>
      <c r="J3" s="39"/>
      <c r="K3" s="39"/>
      <c r="L3" s="39"/>
      <c r="M3" s="29"/>
      <c r="Q3" s="103" t="s">
        <v>130</v>
      </c>
      <c r="R3" s="39"/>
      <c r="S3" s="39"/>
      <c r="T3" s="39"/>
      <c r="U3" s="29"/>
    </row>
    <row r="4" ht="15.75" customHeight="1">
      <c r="B4" s="22">
        <v>2019.0</v>
      </c>
      <c r="D4" s="22">
        <v>2024.0</v>
      </c>
      <c r="F4" s="21"/>
      <c r="I4" s="22">
        <v>2019.0</v>
      </c>
      <c r="L4" s="22">
        <v>2024.0</v>
      </c>
      <c r="Q4" s="22">
        <v>2019.0</v>
      </c>
      <c r="T4" s="22">
        <v>2024.0</v>
      </c>
    </row>
    <row r="5" ht="15.75" customHeight="1">
      <c r="B5" s="21" t="s">
        <v>135</v>
      </c>
      <c r="C5" s="21" t="s">
        <v>137</v>
      </c>
      <c r="E5" s="21" t="s">
        <v>135</v>
      </c>
      <c r="F5" s="21" t="s">
        <v>137</v>
      </c>
      <c r="G5" s="60">
        <f>(F6-C6)/C6</f>
        <v>-0.1515244256</v>
      </c>
      <c r="H5" s="21"/>
      <c r="I5" s="21" t="s">
        <v>135</v>
      </c>
      <c r="J5" s="21" t="s">
        <v>137</v>
      </c>
      <c r="K5" s="21"/>
      <c r="L5" s="21" t="s">
        <v>135</v>
      </c>
      <c r="M5" s="21" t="s">
        <v>137</v>
      </c>
      <c r="N5" s="60">
        <f>(M6-J6)/J6</f>
        <v>-0.2192839552</v>
      </c>
      <c r="Q5" s="21" t="s">
        <v>135</v>
      </c>
      <c r="R5" s="21" t="s">
        <v>137</v>
      </c>
      <c r="S5" s="21"/>
      <c r="T5" s="21" t="s">
        <v>135</v>
      </c>
      <c r="U5" s="21" t="s">
        <v>137</v>
      </c>
      <c r="V5" s="60">
        <f>(U6-R6)/R6</f>
        <v>-0.05831616717</v>
      </c>
    </row>
    <row r="6" ht="15.75" customHeight="1">
      <c r="B6" s="123" t="s">
        <v>143</v>
      </c>
      <c r="C6" s="125">
        <f>SUM(C7:C12)</f>
        <v>11.424912</v>
      </c>
      <c r="E6" s="123" t="s">
        <v>143</v>
      </c>
      <c r="F6" s="125">
        <f>SUM(F7:F16)</f>
        <v>9.693758772</v>
      </c>
      <c r="I6" s="123" t="s">
        <v>143</v>
      </c>
      <c r="J6" s="125">
        <f>SUM(J7:J15)</f>
        <v>23.47017769</v>
      </c>
      <c r="K6" s="60"/>
      <c r="L6" s="123" t="s">
        <v>143</v>
      </c>
      <c r="M6" s="125">
        <f>SUM(M7:M15)</f>
        <v>18.32354429</v>
      </c>
      <c r="Q6" s="123" t="s">
        <v>143</v>
      </c>
      <c r="R6" s="125">
        <f>SUM(R7:R15)</f>
        <v>33.65845391</v>
      </c>
      <c r="S6" s="60"/>
      <c r="T6" s="123" t="s">
        <v>143</v>
      </c>
      <c r="U6" s="125">
        <f>SUM(U7:U15)</f>
        <v>31.69562189</v>
      </c>
    </row>
    <row r="7" ht="15.75" customHeight="1">
      <c r="B7" s="22" t="s">
        <v>53</v>
      </c>
      <c r="C7" s="131">
        <v>5.7</v>
      </c>
      <c r="D7" s="133">
        <f t="shared" ref="D7:D15" si="1">C7/C$6</f>
        <v>0.4989097509</v>
      </c>
      <c r="E7" s="22" t="s">
        <v>53</v>
      </c>
      <c r="F7" s="131">
        <v>2.739992</v>
      </c>
      <c r="G7" s="133">
        <f t="shared" ref="G7:G15" si="2">F7/F$6</f>
        <v>0.2826552697</v>
      </c>
      <c r="I7" s="22" t="s">
        <v>53</v>
      </c>
      <c r="J7" s="131">
        <v>7.912046031999999</v>
      </c>
      <c r="K7" s="133">
        <f t="shared" ref="K7:K13" si="3">J7/J$6</f>
        <v>0.3371106149</v>
      </c>
      <c r="L7" s="22" t="s">
        <v>165</v>
      </c>
      <c r="M7" s="131">
        <v>6.81066</v>
      </c>
      <c r="N7" s="133">
        <f t="shared" ref="N7:N13" si="4">M7/M$6</f>
        <v>0.3716890079</v>
      </c>
      <c r="Q7" s="22" t="s">
        <v>53</v>
      </c>
      <c r="R7" s="131">
        <v>12.378471148</v>
      </c>
      <c r="S7" s="133">
        <f t="shared" ref="S7:S11" si="5">R7/R$6</f>
        <v>0.3677670751</v>
      </c>
      <c r="T7" s="22" t="s">
        <v>53</v>
      </c>
      <c r="U7" s="131">
        <v>10.657677512</v>
      </c>
      <c r="V7" s="133">
        <f t="shared" ref="V7:V12" si="6">U7/U$6</f>
        <v>0.3362507778</v>
      </c>
    </row>
    <row r="8" ht="15.75" customHeight="1">
      <c r="B8" s="22" t="s">
        <v>59</v>
      </c>
      <c r="C8" s="131">
        <v>2.256998</v>
      </c>
      <c r="D8" s="133">
        <f t="shared" si="1"/>
        <v>0.1975505807</v>
      </c>
      <c r="E8" s="22" t="s">
        <v>67</v>
      </c>
      <c r="F8" s="131">
        <v>1.251282</v>
      </c>
      <c r="G8" s="133">
        <f t="shared" si="2"/>
        <v>0.1290811985</v>
      </c>
      <c r="I8" s="22" t="s">
        <v>59</v>
      </c>
      <c r="J8" s="131">
        <v>5.530021</v>
      </c>
      <c r="K8" s="133">
        <f t="shared" si="3"/>
        <v>0.2356190513</v>
      </c>
      <c r="L8" s="22" t="s">
        <v>59</v>
      </c>
      <c r="M8" s="131">
        <v>3.258783</v>
      </c>
      <c r="N8" s="133">
        <f t="shared" si="4"/>
        <v>0.1778467609</v>
      </c>
      <c r="Q8" s="22" t="s">
        <v>67</v>
      </c>
      <c r="R8" s="131">
        <v>8.481182822000001</v>
      </c>
      <c r="S8" s="133">
        <f t="shared" si="5"/>
        <v>0.2519777897</v>
      </c>
      <c r="T8" s="22" t="s">
        <v>64</v>
      </c>
      <c r="U8" s="131">
        <v>7.342398</v>
      </c>
      <c r="V8" s="133">
        <f t="shared" si="6"/>
        <v>0.2316533818</v>
      </c>
    </row>
    <row r="9" ht="15.75" customHeight="1">
      <c r="B9" s="22" t="s">
        <v>172</v>
      </c>
      <c r="C9" s="131">
        <v>1.177505</v>
      </c>
      <c r="D9" s="133">
        <f t="shared" si="1"/>
        <v>0.1030646888</v>
      </c>
      <c r="E9" s="22" t="s">
        <v>172</v>
      </c>
      <c r="F9" s="131">
        <v>1.13679</v>
      </c>
      <c r="G9" s="133">
        <f t="shared" si="2"/>
        <v>0.1172703001</v>
      </c>
      <c r="I9" s="22" t="s">
        <v>165</v>
      </c>
      <c r="J9" s="131">
        <v>3.8439959999999997</v>
      </c>
      <c r="K9" s="133">
        <f t="shared" si="3"/>
        <v>0.1637821431</v>
      </c>
      <c r="L9" s="22" t="s">
        <v>53</v>
      </c>
      <c r="M9" s="131">
        <v>2.6214701970000003</v>
      </c>
      <c r="N9" s="133">
        <f t="shared" si="4"/>
        <v>0.1430656731</v>
      </c>
      <c r="Q9" s="22" t="s">
        <v>64</v>
      </c>
      <c r="R9" s="131">
        <v>5.981636631</v>
      </c>
      <c r="S9" s="133">
        <f t="shared" si="5"/>
        <v>0.1777157277</v>
      </c>
      <c r="T9" s="22" t="s">
        <v>67</v>
      </c>
      <c r="U9" s="131">
        <v>4.643922366</v>
      </c>
      <c r="V9" s="133">
        <f t="shared" si="6"/>
        <v>0.1465162092</v>
      </c>
    </row>
    <row r="10" ht="15.75" customHeight="1">
      <c r="B10" s="22" t="s">
        <v>176</v>
      </c>
      <c r="C10" s="131">
        <v>0.434598</v>
      </c>
      <c r="D10" s="133">
        <f t="shared" si="1"/>
        <v>0.03803950525</v>
      </c>
      <c r="E10" s="22" t="s">
        <v>178</v>
      </c>
      <c r="F10" s="131">
        <v>1.1174159410000002</v>
      </c>
      <c r="G10" s="133">
        <f t="shared" si="2"/>
        <v>0.1152716884</v>
      </c>
      <c r="I10" s="22" t="s">
        <v>67</v>
      </c>
      <c r="J10" s="131">
        <v>2.545328</v>
      </c>
      <c r="K10" s="133">
        <f t="shared" si="3"/>
        <v>0.1084494559</v>
      </c>
      <c r="L10" s="22" t="s">
        <v>180</v>
      </c>
      <c r="M10" s="131">
        <v>2.452169</v>
      </c>
      <c r="N10" s="133">
        <f t="shared" si="4"/>
        <v>0.1338261289</v>
      </c>
      <c r="Q10" s="22" t="s">
        <v>59</v>
      </c>
      <c r="R10" s="131">
        <v>5.2715347580000005</v>
      </c>
      <c r="S10" s="133">
        <f t="shared" si="5"/>
        <v>0.1566184463</v>
      </c>
      <c r="T10" s="22" t="s">
        <v>178</v>
      </c>
      <c r="U10" s="131">
        <v>4.1887658960000005</v>
      </c>
      <c r="V10" s="133">
        <f t="shared" si="6"/>
        <v>0.1321559776</v>
      </c>
    </row>
    <row r="11" ht="15.75" customHeight="1">
      <c r="B11" s="22" t="s">
        <v>67</v>
      </c>
      <c r="C11" s="131">
        <v>0.371996</v>
      </c>
      <c r="D11" s="133">
        <f t="shared" si="1"/>
        <v>0.03256007574</v>
      </c>
      <c r="E11" s="22" t="s">
        <v>59</v>
      </c>
      <c r="F11" s="131">
        <v>0.850812</v>
      </c>
      <c r="G11" s="133">
        <f t="shared" si="2"/>
        <v>0.08776905017</v>
      </c>
      <c r="I11" s="22" t="s">
        <v>184</v>
      </c>
      <c r="J11" s="131">
        <v>1.870947</v>
      </c>
      <c r="K11" s="133">
        <f t="shared" si="3"/>
        <v>0.07971592823</v>
      </c>
      <c r="L11" s="22" t="s">
        <v>64</v>
      </c>
      <c r="M11" s="131">
        <v>2.010319</v>
      </c>
      <c r="N11" s="133">
        <f t="shared" si="4"/>
        <v>0.1097123443</v>
      </c>
      <c r="Q11" s="22" t="s">
        <v>70</v>
      </c>
      <c r="R11" s="131">
        <v>1.545628554999999</v>
      </c>
      <c r="S11" s="133">
        <f t="shared" si="5"/>
        <v>0.04592096116</v>
      </c>
      <c r="T11" s="22" t="s">
        <v>59</v>
      </c>
      <c r="U11" s="131">
        <v>3.902520079</v>
      </c>
      <c r="V11" s="133">
        <f t="shared" si="6"/>
        <v>0.1231248938</v>
      </c>
    </row>
    <row r="12" ht="15.75" customHeight="1">
      <c r="B12" s="22" t="s">
        <v>70</v>
      </c>
      <c r="C12" s="131">
        <v>1.4838149999999997</v>
      </c>
      <c r="D12" s="133">
        <f t="shared" si="1"/>
        <v>0.1298753986</v>
      </c>
      <c r="E12" s="22" t="s">
        <v>185</v>
      </c>
      <c r="F12" s="131">
        <v>0.6708287879999999</v>
      </c>
      <c r="G12" s="133">
        <f t="shared" si="2"/>
        <v>0.06920213343</v>
      </c>
      <c r="I12" s="22" t="s">
        <v>64</v>
      </c>
      <c r="J12" s="131">
        <v>1.483176584</v>
      </c>
      <c r="K12" s="133">
        <f t="shared" si="3"/>
        <v>0.06319409269</v>
      </c>
      <c r="L12" s="22" t="s">
        <v>67</v>
      </c>
      <c r="M12" s="131">
        <v>0.706693</v>
      </c>
      <c r="N12" s="133">
        <f t="shared" si="4"/>
        <v>0.03856748393</v>
      </c>
      <c r="Q12" s="22" t="s">
        <v>186</v>
      </c>
      <c r="R12" s="131"/>
      <c r="S12" s="133"/>
      <c r="T12" s="22" t="s">
        <v>70</v>
      </c>
      <c r="U12" s="131">
        <v>0.9603380359999998</v>
      </c>
      <c r="V12" s="133">
        <f t="shared" si="6"/>
        <v>0.03029875985</v>
      </c>
    </row>
    <row r="13" ht="15.75" customHeight="1">
      <c r="D13" s="133">
        <f t="shared" si="1"/>
        <v>0</v>
      </c>
      <c r="E13" s="22" t="s">
        <v>176</v>
      </c>
      <c r="F13" s="131">
        <v>0.485737</v>
      </c>
      <c r="G13" s="133">
        <f t="shared" si="2"/>
        <v>0.05010822029</v>
      </c>
      <c r="I13" s="22" t="s">
        <v>70</v>
      </c>
      <c r="J13" s="131">
        <v>0.2846630689999999</v>
      </c>
      <c r="K13" s="133">
        <f t="shared" si="3"/>
        <v>0.01212871384</v>
      </c>
      <c r="L13" s="22" t="s">
        <v>70</v>
      </c>
      <c r="M13" s="131">
        <v>0.46345009499999995</v>
      </c>
      <c r="N13" s="133">
        <f t="shared" si="4"/>
        <v>0.02529260102</v>
      </c>
      <c r="R13" s="131"/>
      <c r="S13" s="144"/>
      <c r="U13" s="131"/>
      <c r="V13" s="145"/>
    </row>
    <row r="14" ht="15.75" customHeight="1">
      <c r="D14" s="133">
        <f t="shared" si="1"/>
        <v>0</v>
      </c>
      <c r="E14" s="22" t="s">
        <v>165</v>
      </c>
      <c r="F14" s="131">
        <v>0.339277</v>
      </c>
      <c r="G14" s="133">
        <f t="shared" si="2"/>
        <v>0.0349995299</v>
      </c>
      <c r="K14" s="145"/>
      <c r="M14" s="131"/>
      <c r="N14" s="145"/>
      <c r="S14" s="145"/>
      <c r="V14" s="145"/>
    </row>
    <row r="15" ht="15.75" customHeight="1">
      <c r="D15" s="133">
        <f t="shared" si="1"/>
        <v>0</v>
      </c>
      <c r="E15" s="22" t="s">
        <v>70</v>
      </c>
      <c r="F15" s="131">
        <v>1.1016240430000002</v>
      </c>
      <c r="G15" s="133">
        <f t="shared" si="2"/>
        <v>0.1136426095</v>
      </c>
      <c r="K15" s="147"/>
      <c r="N15" s="145"/>
      <c r="S15" s="145"/>
      <c r="V15" s="147"/>
    </row>
    <row r="16" ht="15.75" customHeight="1">
      <c r="D16" s="147"/>
      <c r="E16" s="131"/>
      <c r="G16" s="148"/>
      <c r="K16" s="147"/>
      <c r="N16" s="149"/>
      <c r="S16" s="145"/>
    </row>
    <row r="17" ht="15.75" customHeight="1">
      <c r="D17" s="147"/>
      <c r="G17" s="147"/>
      <c r="N17" s="149"/>
      <c r="S17" s="145"/>
    </row>
    <row r="18" ht="15.75" customHeight="1">
      <c r="D18" s="147"/>
      <c r="G18" s="147"/>
      <c r="S18" s="149"/>
    </row>
    <row r="19" ht="15.75" customHeight="1">
      <c r="S19" s="149"/>
    </row>
    <row r="20" ht="15.75" customHeight="1"/>
    <row r="21" ht="15.75" customHeight="1"/>
    <row r="22" ht="15.75" customHeight="1">
      <c r="B22" s="103" t="s">
        <v>196</v>
      </c>
      <c r="C22" s="39"/>
      <c r="D22" s="39"/>
      <c r="E22" s="29"/>
    </row>
    <row r="23" ht="15.75" customHeight="1">
      <c r="B23" s="22">
        <v>2019.0</v>
      </c>
      <c r="E23" s="22">
        <v>2024.0</v>
      </c>
    </row>
    <row r="24" ht="15.75" customHeight="1">
      <c r="B24" s="21" t="s">
        <v>135</v>
      </c>
      <c r="C24" s="21" t="s">
        <v>137</v>
      </c>
      <c r="E24" s="21" t="s">
        <v>135</v>
      </c>
      <c r="F24" s="21" t="s">
        <v>137</v>
      </c>
    </row>
    <row r="25" ht="15.75" customHeight="1">
      <c r="B25" s="123" t="s">
        <v>143</v>
      </c>
      <c r="C25" s="131">
        <f>SUM(C26:C35)</f>
        <v>27.228044</v>
      </c>
      <c r="E25" s="123" t="s">
        <v>143</v>
      </c>
      <c r="F25" s="131">
        <f>SUM(F26:F35)</f>
        <v>12.18798511</v>
      </c>
      <c r="G25" s="60">
        <f>(F25-C25)/C25</f>
        <v>-0.5523738277</v>
      </c>
    </row>
    <row r="26" ht="15.75" customHeight="1">
      <c r="B26" s="22" t="s">
        <v>53</v>
      </c>
      <c r="C26" s="34">
        <v>18.012399</v>
      </c>
      <c r="D26" s="60">
        <f t="shared" ref="D26:D30" si="7">C26/C$25</f>
        <v>0.6615384858</v>
      </c>
      <c r="E26" s="22" t="s">
        <v>53</v>
      </c>
      <c r="F26" s="131">
        <v>6.711453</v>
      </c>
      <c r="G26" s="60">
        <f t="shared" ref="G26:G30" si="8">F26/F$25</f>
        <v>0.5506614044</v>
      </c>
    </row>
    <row r="27" ht="15.75" customHeight="1">
      <c r="B27" s="22" t="s">
        <v>67</v>
      </c>
      <c r="C27" s="34">
        <v>3.2880849999999997</v>
      </c>
      <c r="D27" s="60">
        <f t="shared" si="7"/>
        <v>0.1207609698</v>
      </c>
      <c r="E27" s="22" t="s">
        <v>178</v>
      </c>
      <c r="F27" s="131">
        <v>2.630967</v>
      </c>
      <c r="G27" s="60">
        <f t="shared" si="8"/>
        <v>0.215865623</v>
      </c>
    </row>
    <row r="28" ht="15.75" customHeight="1">
      <c r="B28" s="22" t="s">
        <v>184</v>
      </c>
      <c r="C28" s="34">
        <v>3.141066</v>
      </c>
      <c r="D28" s="60">
        <f t="shared" si="7"/>
        <v>0.1153614266</v>
      </c>
      <c r="E28" s="22" t="s">
        <v>184</v>
      </c>
      <c r="F28" s="131">
        <v>1.71251</v>
      </c>
      <c r="G28" s="60">
        <f t="shared" si="8"/>
        <v>0.1405080482</v>
      </c>
    </row>
    <row r="29" ht="15.75" customHeight="1">
      <c r="B29" s="22" t="s">
        <v>204</v>
      </c>
      <c r="C29" s="34">
        <v>0.7864939999999999</v>
      </c>
      <c r="D29" s="60">
        <f t="shared" si="7"/>
        <v>0.02888543885</v>
      </c>
      <c r="E29" s="22" t="s">
        <v>205</v>
      </c>
      <c r="F29" s="131">
        <v>0.636781</v>
      </c>
      <c r="G29" s="60">
        <f t="shared" si="8"/>
        <v>0.0522466178</v>
      </c>
    </row>
    <row r="30" ht="15.75" customHeight="1">
      <c r="B30" s="22" t="s">
        <v>70</v>
      </c>
      <c r="C30" s="34">
        <v>2.0</v>
      </c>
      <c r="D30" s="60">
        <f t="shared" si="7"/>
        <v>0.07345367886</v>
      </c>
      <c r="E30" s="22" t="s">
        <v>70</v>
      </c>
      <c r="F30" s="131">
        <v>0.496274114</v>
      </c>
      <c r="G30" s="60">
        <f t="shared" si="8"/>
        <v>0.04071830654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>
      <c r="N38" s="34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E3"/>
    <mergeCell ref="I3:M3"/>
    <mergeCell ref="Q3:U3"/>
    <mergeCell ref="F4:H4"/>
    <mergeCell ref="B22:E2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2025-10-24T09:12:02Z</dcterms:created>
  <dc:creator>Ghirlandi, S. (Stefano)</dc:creator>
</cp:coreProperties>
</file>