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xr:revisionPtr revIDLastSave="0" documentId="8_{552E8A07-A443-4929-A924-FA842939D5F1}" xr6:coauthVersionLast="47" xr6:coauthVersionMax="47" xr10:uidLastSave="{00000000-0000-0000-0000-000000000000}"/>
  <bookViews>
    <workbookView xWindow="-120" yWindow="-120" windowWidth="20730" windowHeight="11160" tabRatio="500" firstSheet="4" activeTab="6" xr2:uid="{00000000-000D-0000-FFFF-FFFF00000000}"/>
  </bookViews>
  <sheets>
    <sheet name="Read_Me" sheetId="1" r:id="rId1"/>
    <sheet name="Assumptions" sheetId="2" r:id="rId2"/>
    <sheet name="Tourist_Survey_Data" sheetId="3" r:id="rId3"/>
    <sheet name="Ecological_Footprint_Components" sheetId="4" r:id="rId4"/>
    <sheet name="GIS_Site_Data" sheetId="5" r:id="rId5"/>
    <sheet name="Site_Sustainability_Summary" sheetId="6" r:id="rId6"/>
    <sheet name="Statistical_Summary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2" i="6" l="1"/>
  <c r="C12" i="6"/>
  <c r="B12" i="6"/>
  <c r="A12" i="6"/>
  <c r="D11" i="6"/>
  <c r="C11" i="6"/>
  <c r="B11" i="6"/>
  <c r="A11" i="6"/>
  <c r="D10" i="6"/>
  <c r="C10" i="6"/>
  <c r="B10" i="6"/>
  <c r="A10" i="6"/>
  <c r="D9" i="6"/>
  <c r="C9" i="6"/>
  <c r="B9" i="6"/>
  <c r="A9" i="6"/>
  <c r="D8" i="6"/>
  <c r="C8" i="6"/>
  <c r="B8" i="6"/>
  <c r="A8" i="6"/>
  <c r="D7" i="6"/>
  <c r="C7" i="6"/>
  <c r="B7" i="6"/>
  <c r="A7" i="6"/>
  <c r="D6" i="6"/>
  <c r="C6" i="6"/>
  <c r="B6" i="6"/>
  <c r="A6" i="6"/>
  <c r="D5" i="6"/>
  <c r="C5" i="6"/>
  <c r="B5" i="6"/>
  <c r="A5" i="6"/>
  <c r="D4" i="6"/>
  <c r="C4" i="6"/>
  <c r="B4" i="6"/>
  <c r="A4" i="6"/>
  <c r="D3" i="6"/>
  <c r="C3" i="6"/>
  <c r="B3" i="6"/>
  <c r="A3" i="6"/>
  <c r="J12" i="5"/>
  <c r="E12" i="6" s="1"/>
  <c r="G12" i="5"/>
  <c r="G11" i="5"/>
  <c r="J11" i="5" s="1"/>
  <c r="E11" i="6" s="1"/>
  <c r="J10" i="5"/>
  <c r="E10" i="6" s="1"/>
  <c r="G10" i="5"/>
  <c r="G9" i="5"/>
  <c r="J9" i="5" s="1"/>
  <c r="E9" i="6" s="1"/>
  <c r="J8" i="5"/>
  <c r="E8" i="6" s="1"/>
  <c r="G8" i="5"/>
  <c r="G7" i="5"/>
  <c r="J7" i="5" s="1"/>
  <c r="E7" i="6" s="1"/>
  <c r="J6" i="5"/>
  <c r="E6" i="6" s="1"/>
  <c r="G6" i="5"/>
  <c r="G5" i="5"/>
  <c r="J5" i="5" s="1"/>
  <c r="E5" i="6" s="1"/>
  <c r="J4" i="5"/>
  <c r="E4" i="6" s="1"/>
  <c r="G4" i="5"/>
  <c r="G3" i="5"/>
  <c r="J3" i="5" s="1"/>
  <c r="E3" i="6" s="1"/>
  <c r="I102" i="4"/>
  <c r="H102" i="4"/>
  <c r="G102" i="4"/>
  <c r="F102" i="4"/>
  <c r="E102" i="4"/>
  <c r="J102" i="4" s="1"/>
  <c r="K102" i="4" s="1"/>
  <c r="D102" i="4"/>
  <c r="C102" i="4"/>
  <c r="B102" i="4"/>
  <c r="A102" i="4"/>
  <c r="I101" i="4"/>
  <c r="H101" i="4"/>
  <c r="G101" i="4"/>
  <c r="F101" i="4"/>
  <c r="E101" i="4"/>
  <c r="J101" i="4" s="1"/>
  <c r="K101" i="4" s="1"/>
  <c r="D101" i="4"/>
  <c r="C101" i="4"/>
  <c r="B101" i="4"/>
  <c r="A101" i="4"/>
  <c r="I100" i="4"/>
  <c r="H100" i="4"/>
  <c r="G100" i="4"/>
  <c r="F100" i="4"/>
  <c r="E100" i="4"/>
  <c r="J100" i="4" s="1"/>
  <c r="K100" i="4" s="1"/>
  <c r="D100" i="4"/>
  <c r="C100" i="4"/>
  <c r="B100" i="4"/>
  <c r="A100" i="4"/>
  <c r="I99" i="4"/>
  <c r="H99" i="4"/>
  <c r="G99" i="4"/>
  <c r="F99" i="4"/>
  <c r="E99" i="4"/>
  <c r="J99" i="4" s="1"/>
  <c r="K99" i="4" s="1"/>
  <c r="D99" i="4"/>
  <c r="C99" i="4"/>
  <c r="B99" i="4"/>
  <c r="A99" i="4"/>
  <c r="I98" i="4"/>
  <c r="H98" i="4"/>
  <c r="G98" i="4"/>
  <c r="F98" i="4"/>
  <c r="E98" i="4"/>
  <c r="J98" i="4" s="1"/>
  <c r="K98" i="4" s="1"/>
  <c r="D98" i="4"/>
  <c r="C98" i="4"/>
  <c r="B98" i="4"/>
  <c r="A98" i="4"/>
  <c r="I97" i="4"/>
  <c r="H97" i="4"/>
  <c r="G97" i="4"/>
  <c r="F97" i="4"/>
  <c r="E97" i="4"/>
  <c r="J97" i="4" s="1"/>
  <c r="K97" i="4" s="1"/>
  <c r="D97" i="4"/>
  <c r="C97" i="4"/>
  <c r="B97" i="4"/>
  <c r="A97" i="4"/>
  <c r="I96" i="4"/>
  <c r="H96" i="4"/>
  <c r="G96" i="4"/>
  <c r="F96" i="4"/>
  <c r="E96" i="4"/>
  <c r="J96" i="4" s="1"/>
  <c r="K96" i="4" s="1"/>
  <c r="D96" i="4"/>
  <c r="C96" i="4"/>
  <c r="B96" i="4"/>
  <c r="A96" i="4"/>
  <c r="I95" i="4"/>
  <c r="H95" i="4"/>
  <c r="G95" i="4"/>
  <c r="J95" i="4" s="1"/>
  <c r="K95" i="4" s="1"/>
  <c r="F95" i="4"/>
  <c r="E95" i="4"/>
  <c r="D95" i="4"/>
  <c r="C95" i="4"/>
  <c r="B95" i="4"/>
  <c r="A95" i="4"/>
  <c r="I94" i="4"/>
  <c r="H94" i="4"/>
  <c r="G94" i="4"/>
  <c r="F94" i="4"/>
  <c r="E94" i="4"/>
  <c r="J94" i="4" s="1"/>
  <c r="K94" i="4" s="1"/>
  <c r="D94" i="4"/>
  <c r="C94" i="4"/>
  <c r="B94" i="4"/>
  <c r="A94" i="4"/>
  <c r="J93" i="4"/>
  <c r="K93" i="4" s="1"/>
  <c r="I93" i="4"/>
  <c r="H93" i="4"/>
  <c r="G93" i="4"/>
  <c r="F93" i="4"/>
  <c r="E93" i="4"/>
  <c r="D93" i="4"/>
  <c r="C93" i="4"/>
  <c r="B93" i="4"/>
  <c r="A93" i="4"/>
  <c r="I92" i="4"/>
  <c r="H92" i="4"/>
  <c r="G92" i="4"/>
  <c r="F92" i="4"/>
  <c r="E92" i="4"/>
  <c r="J92" i="4" s="1"/>
  <c r="K92" i="4" s="1"/>
  <c r="D92" i="4"/>
  <c r="C92" i="4"/>
  <c r="B92" i="4"/>
  <c r="A92" i="4"/>
  <c r="I91" i="4"/>
  <c r="H91" i="4"/>
  <c r="G91" i="4"/>
  <c r="F91" i="4"/>
  <c r="E91" i="4"/>
  <c r="J91" i="4" s="1"/>
  <c r="K91" i="4" s="1"/>
  <c r="D91" i="4"/>
  <c r="C91" i="4"/>
  <c r="B91" i="4"/>
  <c r="A91" i="4"/>
  <c r="I90" i="4"/>
  <c r="H90" i="4"/>
  <c r="G90" i="4"/>
  <c r="F90" i="4"/>
  <c r="E90" i="4"/>
  <c r="J90" i="4" s="1"/>
  <c r="K90" i="4" s="1"/>
  <c r="D90" i="4"/>
  <c r="C90" i="4"/>
  <c r="B90" i="4"/>
  <c r="A90" i="4"/>
  <c r="I89" i="4"/>
  <c r="H89" i="4"/>
  <c r="G89" i="4"/>
  <c r="F89" i="4"/>
  <c r="E89" i="4"/>
  <c r="J89" i="4" s="1"/>
  <c r="K89" i="4" s="1"/>
  <c r="D89" i="4"/>
  <c r="C89" i="4"/>
  <c r="B89" i="4"/>
  <c r="A89" i="4"/>
  <c r="I88" i="4"/>
  <c r="H88" i="4"/>
  <c r="G88" i="4"/>
  <c r="F88" i="4"/>
  <c r="E88" i="4"/>
  <c r="J88" i="4" s="1"/>
  <c r="K88" i="4" s="1"/>
  <c r="D88" i="4"/>
  <c r="C88" i="4"/>
  <c r="B88" i="4"/>
  <c r="A88" i="4"/>
  <c r="I87" i="4"/>
  <c r="H87" i="4"/>
  <c r="G87" i="4"/>
  <c r="J87" i="4" s="1"/>
  <c r="K87" i="4" s="1"/>
  <c r="F87" i="4"/>
  <c r="E87" i="4"/>
  <c r="D87" i="4"/>
  <c r="C87" i="4"/>
  <c r="B87" i="4"/>
  <c r="A87" i="4"/>
  <c r="I86" i="4"/>
  <c r="H86" i="4"/>
  <c r="G86" i="4"/>
  <c r="F86" i="4"/>
  <c r="E86" i="4"/>
  <c r="J86" i="4" s="1"/>
  <c r="K86" i="4" s="1"/>
  <c r="D86" i="4"/>
  <c r="C86" i="4"/>
  <c r="B86" i="4"/>
  <c r="A86" i="4"/>
  <c r="J85" i="4"/>
  <c r="K85" i="4" s="1"/>
  <c r="I85" i="4"/>
  <c r="H85" i="4"/>
  <c r="G85" i="4"/>
  <c r="F85" i="4"/>
  <c r="E85" i="4"/>
  <c r="D85" i="4"/>
  <c r="C85" i="4"/>
  <c r="B85" i="4"/>
  <c r="A85" i="4"/>
  <c r="I84" i="4"/>
  <c r="H84" i="4"/>
  <c r="G84" i="4"/>
  <c r="F84" i="4"/>
  <c r="E84" i="4"/>
  <c r="J84" i="4" s="1"/>
  <c r="K84" i="4" s="1"/>
  <c r="D84" i="4"/>
  <c r="C84" i="4"/>
  <c r="B84" i="4"/>
  <c r="A84" i="4"/>
  <c r="I83" i="4"/>
  <c r="H83" i="4"/>
  <c r="G83" i="4"/>
  <c r="F83" i="4"/>
  <c r="E83" i="4"/>
  <c r="J83" i="4" s="1"/>
  <c r="K83" i="4" s="1"/>
  <c r="D83" i="4"/>
  <c r="C83" i="4"/>
  <c r="B83" i="4"/>
  <c r="A83" i="4"/>
  <c r="I82" i="4"/>
  <c r="H82" i="4"/>
  <c r="G82" i="4"/>
  <c r="F82" i="4"/>
  <c r="E82" i="4"/>
  <c r="J82" i="4" s="1"/>
  <c r="K82" i="4" s="1"/>
  <c r="D82" i="4"/>
  <c r="C82" i="4"/>
  <c r="B82" i="4"/>
  <c r="A82" i="4"/>
  <c r="I81" i="4"/>
  <c r="H81" i="4"/>
  <c r="G81" i="4"/>
  <c r="F81" i="4"/>
  <c r="E81" i="4"/>
  <c r="J81" i="4" s="1"/>
  <c r="K81" i="4" s="1"/>
  <c r="D81" i="4"/>
  <c r="C81" i="4"/>
  <c r="B81" i="4"/>
  <c r="A81" i="4"/>
  <c r="I80" i="4"/>
  <c r="H80" i="4"/>
  <c r="G80" i="4"/>
  <c r="F80" i="4"/>
  <c r="E80" i="4"/>
  <c r="J80" i="4" s="1"/>
  <c r="K80" i="4" s="1"/>
  <c r="D80" i="4"/>
  <c r="C80" i="4"/>
  <c r="B80" i="4"/>
  <c r="A80" i="4"/>
  <c r="I79" i="4"/>
  <c r="H79" i="4"/>
  <c r="G79" i="4"/>
  <c r="J79" i="4" s="1"/>
  <c r="K79" i="4" s="1"/>
  <c r="F79" i="4"/>
  <c r="E79" i="4"/>
  <c r="D79" i="4"/>
  <c r="C79" i="4"/>
  <c r="B79" i="4"/>
  <c r="A79" i="4"/>
  <c r="I78" i="4"/>
  <c r="H78" i="4"/>
  <c r="G78" i="4"/>
  <c r="F78" i="4"/>
  <c r="E78" i="4"/>
  <c r="J78" i="4" s="1"/>
  <c r="K78" i="4" s="1"/>
  <c r="D78" i="4"/>
  <c r="C78" i="4"/>
  <c r="B78" i="4"/>
  <c r="A78" i="4"/>
  <c r="J77" i="4"/>
  <c r="K77" i="4" s="1"/>
  <c r="I77" i="4"/>
  <c r="H77" i="4"/>
  <c r="G77" i="4"/>
  <c r="F77" i="4"/>
  <c r="E77" i="4"/>
  <c r="D77" i="4"/>
  <c r="C77" i="4"/>
  <c r="B77" i="4"/>
  <c r="A77" i="4"/>
  <c r="I76" i="4"/>
  <c r="H76" i="4"/>
  <c r="G76" i="4"/>
  <c r="F76" i="4"/>
  <c r="E76" i="4"/>
  <c r="J76" i="4" s="1"/>
  <c r="K76" i="4" s="1"/>
  <c r="D76" i="4"/>
  <c r="C76" i="4"/>
  <c r="B76" i="4"/>
  <c r="A76" i="4"/>
  <c r="I75" i="4"/>
  <c r="H75" i="4"/>
  <c r="G75" i="4"/>
  <c r="F75" i="4"/>
  <c r="E75" i="4"/>
  <c r="J75" i="4" s="1"/>
  <c r="K75" i="4" s="1"/>
  <c r="D75" i="4"/>
  <c r="C75" i="4"/>
  <c r="B75" i="4"/>
  <c r="A75" i="4"/>
  <c r="I74" i="4"/>
  <c r="H74" i="4"/>
  <c r="G74" i="4"/>
  <c r="F74" i="4"/>
  <c r="E74" i="4"/>
  <c r="J74" i="4" s="1"/>
  <c r="K74" i="4" s="1"/>
  <c r="D74" i="4"/>
  <c r="C74" i="4"/>
  <c r="B74" i="4"/>
  <c r="A74" i="4"/>
  <c r="I73" i="4"/>
  <c r="H73" i="4"/>
  <c r="G73" i="4"/>
  <c r="F73" i="4"/>
  <c r="E73" i="4"/>
  <c r="J73" i="4" s="1"/>
  <c r="K73" i="4" s="1"/>
  <c r="D73" i="4"/>
  <c r="C73" i="4"/>
  <c r="B73" i="4"/>
  <c r="A73" i="4"/>
  <c r="I72" i="4"/>
  <c r="H72" i="4"/>
  <c r="G72" i="4"/>
  <c r="F72" i="4"/>
  <c r="E72" i="4"/>
  <c r="J72" i="4" s="1"/>
  <c r="K72" i="4" s="1"/>
  <c r="D72" i="4"/>
  <c r="C72" i="4"/>
  <c r="B72" i="4"/>
  <c r="A72" i="4"/>
  <c r="I71" i="4"/>
  <c r="H71" i="4"/>
  <c r="G71" i="4"/>
  <c r="J71" i="4" s="1"/>
  <c r="K71" i="4" s="1"/>
  <c r="F71" i="4"/>
  <c r="E71" i="4"/>
  <c r="D71" i="4"/>
  <c r="C71" i="4"/>
  <c r="B71" i="4"/>
  <c r="A71" i="4"/>
  <c r="I70" i="4"/>
  <c r="H70" i="4"/>
  <c r="G70" i="4"/>
  <c r="F70" i="4"/>
  <c r="E70" i="4"/>
  <c r="J70" i="4" s="1"/>
  <c r="K70" i="4" s="1"/>
  <c r="D70" i="4"/>
  <c r="C70" i="4"/>
  <c r="B70" i="4"/>
  <c r="A70" i="4"/>
  <c r="J69" i="4"/>
  <c r="K69" i="4" s="1"/>
  <c r="I69" i="4"/>
  <c r="H69" i="4"/>
  <c r="G69" i="4"/>
  <c r="F69" i="4"/>
  <c r="E69" i="4"/>
  <c r="D69" i="4"/>
  <c r="C69" i="4"/>
  <c r="B69" i="4"/>
  <c r="A69" i="4"/>
  <c r="I68" i="4"/>
  <c r="H68" i="4"/>
  <c r="G68" i="4"/>
  <c r="F68" i="4"/>
  <c r="E68" i="4"/>
  <c r="J68" i="4" s="1"/>
  <c r="K68" i="4" s="1"/>
  <c r="D68" i="4"/>
  <c r="C68" i="4"/>
  <c r="B68" i="4"/>
  <c r="A68" i="4"/>
  <c r="I67" i="4"/>
  <c r="H67" i="4"/>
  <c r="G67" i="4"/>
  <c r="F67" i="4"/>
  <c r="E67" i="4"/>
  <c r="J67" i="4" s="1"/>
  <c r="K67" i="4" s="1"/>
  <c r="D67" i="4"/>
  <c r="C67" i="4"/>
  <c r="B67" i="4"/>
  <c r="A67" i="4"/>
  <c r="I66" i="4"/>
  <c r="H66" i="4"/>
  <c r="G66" i="4"/>
  <c r="F66" i="4"/>
  <c r="E66" i="4"/>
  <c r="J66" i="4" s="1"/>
  <c r="K66" i="4" s="1"/>
  <c r="D66" i="4"/>
  <c r="C66" i="4"/>
  <c r="B66" i="4"/>
  <c r="A66" i="4"/>
  <c r="I65" i="4"/>
  <c r="H65" i="4"/>
  <c r="G65" i="4"/>
  <c r="F65" i="4"/>
  <c r="E65" i="4"/>
  <c r="J65" i="4" s="1"/>
  <c r="K65" i="4" s="1"/>
  <c r="D65" i="4"/>
  <c r="C65" i="4"/>
  <c r="B65" i="4"/>
  <c r="A65" i="4"/>
  <c r="I64" i="4"/>
  <c r="H64" i="4"/>
  <c r="G64" i="4"/>
  <c r="F64" i="4"/>
  <c r="E64" i="4"/>
  <c r="J64" i="4" s="1"/>
  <c r="K64" i="4" s="1"/>
  <c r="D64" i="4"/>
  <c r="C64" i="4"/>
  <c r="B64" i="4"/>
  <c r="A64" i="4"/>
  <c r="I63" i="4"/>
  <c r="H63" i="4"/>
  <c r="G63" i="4"/>
  <c r="J63" i="4" s="1"/>
  <c r="K63" i="4" s="1"/>
  <c r="F63" i="4"/>
  <c r="E63" i="4"/>
  <c r="D63" i="4"/>
  <c r="C63" i="4"/>
  <c r="B63" i="4"/>
  <c r="A63" i="4"/>
  <c r="I62" i="4"/>
  <c r="H62" i="4"/>
  <c r="G62" i="4"/>
  <c r="F62" i="4"/>
  <c r="E62" i="4"/>
  <c r="J62" i="4" s="1"/>
  <c r="K62" i="4" s="1"/>
  <c r="D62" i="4"/>
  <c r="C62" i="4"/>
  <c r="B62" i="4"/>
  <c r="A62" i="4"/>
  <c r="J61" i="4"/>
  <c r="K61" i="4" s="1"/>
  <c r="I61" i="4"/>
  <c r="H61" i="4"/>
  <c r="G61" i="4"/>
  <c r="F61" i="4"/>
  <c r="E61" i="4"/>
  <c r="D61" i="4"/>
  <c r="C61" i="4"/>
  <c r="B61" i="4"/>
  <c r="A61" i="4"/>
  <c r="I60" i="4"/>
  <c r="H60" i="4"/>
  <c r="G60" i="4"/>
  <c r="F60" i="4"/>
  <c r="E60" i="4"/>
  <c r="J60" i="4" s="1"/>
  <c r="K60" i="4" s="1"/>
  <c r="D60" i="4"/>
  <c r="C60" i="4"/>
  <c r="B60" i="4"/>
  <c r="A60" i="4"/>
  <c r="I59" i="4"/>
  <c r="H59" i="4"/>
  <c r="G59" i="4"/>
  <c r="F59" i="4"/>
  <c r="E59" i="4"/>
  <c r="J59" i="4" s="1"/>
  <c r="K59" i="4" s="1"/>
  <c r="D59" i="4"/>
  <c r="C59" i="4"/>
  <c r="B59" i="4"/>
  <c r="A59" i="4"/>
  <c r="I58" i="4"/>
  <c r="H58" i="4"/>
  <c r="G58" i="4"/>
  <c r="F58" i="4"/>
  <c r="E58" i="4"/>
  <c r="J58" i="4" s="1"/>
  <c r="K58" i="4" s="1"/>
  <c r="D58" i="4"/>
  <c r="C58" i="4"/>
  <c r="B58" i="4"/>
  <c r="A58" i="4"/>
  <c r="I57" i="4"/>
  <c r="H57" i="4"/>
  <c r="G57" i="4"/>
  <c r="F57" i="4"/>
  <c r="E57" i="4"/>
  <c r="J57" i="4" s="1"/>
  <c r="K57" i="4" s="1"/>
  <c r="D57" i="4"/>
  <c r="C57" i="4"/>
  <c r="B57" i="4"/>
  <c r="A57" i="4"/>
  <c r="I56" i="4"/>
  <c r="H56" i="4"/>
  <c r="G56" i="4"/>
  <c r="F56" i="4"/>
  <c r="E56" i="4"/>
  <c r="J56" i="4" s="1"/>
  <c r="K56" i="4" s="1"/>
  <c r="D56" i="4"/>
  <c r="C56" i="4"/>
  <c r="B56" i="4"/>
  <c r="A56" i="4"/>
  <c r="I55" i="4"/>
  <c r="H55" i="4"/>
  <c r="G55" i="4"/>
  <c r="J55" i="4" s="1"/>
  <c r="K55" i="4" s="1"/>
  <c r="F55" i="4"/>
  <c r="E55" i="4"/>
  <c r="D55" i="4"/>
  <c r="C55" i="4"/>
  <c r="B55" i="4"/>
  <c r="A55" i="4"/>
  <c r="I54" i="4"/>
  <c r="H54" i="4"/>
  <c r="G54" i="4"/>
  <c r="F54" i="4"/>
  <c r="E54" i="4"/>
  <c r="J54" i="4" s="1"/>
  <c r="K54" i="4" s="1"/>
  <c r="D54" i="4"/>
  <c r="C54" i="4"/>
  <c r="B54" i="4"/>
  <c r="A54" i="4"/>
  <c r="J53" i="4"/>
  <c r="K53" i="4" s="1"/>
  <c r="I53" i="4"/>
  <c r="H53" i="4"/>
  <c r="G53" i="4"/>
  <c r="F53" i="4"/>
  <c r="E53" i="4"/>
  <c r="D53" i="4"/>
  <c r="C53" i="4"/>
  <c r="B53" i="4"/>
  <c r="A53" i="4"/>
  <c r="I52" i="4"/>
  <c r="H52" i="4"/>
  <c r="G52" i="4"/>
  <c r="F52" i="4"/>
  <c r="E52" i="4"/>
  <c r="J52" i="4" s="1"/>
  <c r="K52" i="4" s="1"/>
  <c r="D52" i="4"/>
  <c r="C52" i="4"/>
  <c r="B52" i="4"/>
  <c r="A52" i="4"/>
  <c r="I51" i="4"/>
  <c r="H51" i="4"/>
  <c r="G51" i="4"/>
  <c r="F51" i="4"/>
  <c r="E51" i="4"/>
  <c r="J51" i="4" s="1"/>
  <c r="K51" i="4" s="1"/>
  <c r="D51" i="4"/>
  <c r="C51" i="4"/>
  <c r="B51" i="4"/>
  <c r="A51" i="4"/>
  <c r="I50" i="4"/>
  <c r="H50" i="4"/>
  <c r="G50" i="4"/>
  <c r="F50" i="4"/>
  <c r="E50" i="4"/>
  <c r="J50" i="4" s="1"/>
  <c r="K50" i="4" s="1"/>
  <c r="D50" i="4"/>
  <c r="C50" i="4"/>
  <c r="B50" i="4"/>
  <c r="A50" i="4"/>
  <c r="I49" i="4"/>
  <c r="H49" i="4"/>
  <c r="G49" i="4"/>
  <c r="F49" i="4"/>
  <c r="E49" i="4"/>
  <c r="J49" i="4" s="1"/>
  <c r="K49" i="4" s="1"/>
  <c r="D49" i="4"/>
  <c r="C49" i="4"/>
  <c r="B49" i="4"/>
  <c r="A49" i="4"/>
  <c r="I48" i="4"/>
  <c r="H48" i="4"/>
  <c r="G48" i="4"/>
  <c r="F48" i="4"/>
  <c r="E48" i="4"/>
  <c r="J48" i="4" s="1"/>
  <c r="K48" i="4" s="1"/>
  <c r="D48" i="4"/>
  <c r="C48" i="4"/>
  <c r="B48" i="4"/>
  <c r="A48" i="4"/>
  <c r="I47" i="4"/>
  <c r="H47" i="4"/>
  <c r="G47" i="4"/>
  <c r="J47" i="4" s="1"/>
  <c r="K47" i="4" s="1"/>
  <c r="F47" i="4"/>
  <c r="E47" i="4"/>
  <c r="D47" i="4"/>
  <c r="C47" i="4"/>
  <c r="B47" i="4"/>
  <c r="A47" i="4"/>
  <c r="I46" i="4"/>
  <c r="H46" i="4"/>
  <c r="G46" i="4"/>
  <c r="F46" i="4"/>
  <c r="E46" i="4"/>
  <c r="J46" i="4" s="1"/>
  <c r="K46" i="4" s="1"/>
  <c r="D46" i="4"/>
  <c r="C46" i="4"/>
  <c r="B46" i="4"/>
  <c r="A46" i="4"/>
  <c r="J45" i="4"/>
  <c r="K45" i="4" s="1"/>
  <c r="I45" i="4"/>
  <c r="H45" i="4"/>
  <c r="G45" i="4"/>
  <c r="F45" i="4"/>
  <c r="E45" i="4"/>
  <c r="D45" i="4"/>
  <c r="C45" i="4"/>
  <c r="B45" i="4"/>
  <c r="A45" i="4"/>
  <c r="I44" i="4"/>
  <c r="H44" i="4"/>
  <c r="G44" i="4"/>
  <c r="F44" i="4"/>
  <c r="E44" i="4"/>
  <c r="J44" i="4" s="1"/>
  <c r="K44" i="4" s="1"/>
  <c r="D44" i="4"/>
  <c r="C44" i="4"/>
  <c r="B44" i="4"/>
  <c r="A44" i="4"/>
  <c r="I43" i="4"/>
  <c r="H43" i="4"/>
  <c r="G43" i="4"/>
  <c r="F43" i="4"/>
  <c r="E43" i="4"/>
  <c r="J43" i="4" s="1"/>
  <c r="K43" i="4" s="1"/>
  <c r="D43" i="4"/>
  <c r="C43" i="4"/>
  <c r="B43" i="4"/>
  <c r="A43" i="4"/>
  <c r="I42" i="4"/>
  <c r="H42" i="4"/>
  <c r="G42" i="4"/>
  <c r="F42" i="4"/>
  <c r="E42" i="4"/>
  <c r="J42" i="4" s="1"/>
  <c r="K42" i="4" s="1"/>
  <c r="D42" i="4"/>
  <c r="C42" i="4"/>
  <c r="B42" i="4"/>
  <c r="A42" i="4"/>
  <c r="I41" i="4"/>
  <c r="H41" i="4"/>
  <c r="G41" i="4"/>
  <c r="F41" i="4"/>
  <c r="E41" i="4"/>
  <c r="J41" i="4" s="1"/>
  <c r="K41" i="4" s="1"/>
  <c r="D41" i="4"/>
  <c r="C41" i="4"/>
  <c r="B41" i="4"/>
  <c r="A41" i="4"/>
  <c r="I40" i="4"/>
  <c r="H40" i="4"/>
  <c r="G40" i="4"/>
  <c r="F40" i="4"/>
  <c r="E40" i="4"/>
  <c r="J40" i="4" s="1"/>
  <c r="K40" i="4" s="1"/>
  <c r="D40" i="4"/>
  <c r="C40" i="4"/>
  <c r="B40" i="4"/>
  <c r="A40" i="4"/>
  <c r="I39" i="4"/>
  <c r="H39" i="4"/>
  <c r="G39" i="4"/>
  <c r="J39" i="4" s="1"/>
  <c r="K39" i="4" s="1"/>
  <c r="F39" i="4"/>
  <c r="E39" i="4"/>
  <c r="D39" i="4"/>
  <c r="C39" i="4"/>
  <c r="B39" i="4"/>
  <c r="A39" i="4"/>
  <c r="I38" i="4"/>
  <c r="H38" i="4"/>
  <c r="G38" i="4"/>
  <c r="J38" i="4" s="1"/>
  <c r="K38" i="4" s="1"/>
  <c r="F38" i="4"/>
  <c r="E38" i="4"/>
  <c r="D38" i="4"/>
  <c r="C38" i="4"/>
  <c r="B38" i="4"/>
  <c r="A38" i="4"/>
  <c r="J37" i="4"/>
  <c r="K37" i="4" s="1"/>
  <c r="I37" i="4"/>
  <c r="H37" i="4"/>
  <c r="G37" i="4"/>
  <c r="F37" i="4"/>
  <c r="E37" i="4"/>
  <c r="D37" i="4"/>
  <c r="C37" i="4"/>
  <c r="B37" i="4"/>
  <c r="A37" i="4"/>
  <c r="I36" i="4"/>
  <c r="H36" i="4"/>
  <c r="G36" i="4"/>
  <c r="F36" i="4"/>
  <c r="E36" i="4"/>
  <c r="J36" i="4" s="1"/>
  <c r="K36" i="4" s="1"/>
  <c r="D36" i="4"/>
  <c r="C36" i="4"/>
  <c r="B36" i="4"/>
  <c r="A36" i="4"/>
  <c r="I35" i="4"/>
  <c r="H35" i="4"/>
  <c r="G35" i="4"/>
  <c r="F35" i="4"/>
  <c r="E35" i="4"/>
  <c r="J35" i="4" s="1"/>
  <c r="K35" i="4" s="1"/>
  <c r="D35" i="4"/>
  <c r="C35" i="4"/>
  <c r="B35" i="4"/>
  <c r="A35" i="4"/>
  <c r="I34" i="4"/>
  <c r="H34" i="4"/>
  <c r="G34" i="4"/>
  <c r="F34" i="4"/>
  <c r="E34" i="4"/>
  <c r="J34" i="4" s="1"/>
  <c r="K34" i="4" s="1"/>
  <c r="D34" i="4"/>
  <c r="C34" i="4"/>
  <c r="B34" i="4"/>
  <c r="A34" i="4"/>
  <c r="I33" i="4"/>
  <c r="H33" i="4"/>
  <c r="G33" i="4"/>
  <c r="F33" i="4"/>
  <c r="E33" i="4"/>
  <c r="J33" i="4" s="1"/>
  <c r="K33" i="4" s="1"/>
  <c r="D33" i="4"/>
  <c r="C33" i="4"/>
  <c r="B33" i="4"/>
  <c r="A33" i="4"/>
  <c r="I32" i="4"/>
  <c r="H32" i="4"/>
  <c r="G32" i="4"/>
  <c r="F32" i="4"/>
  <c r="E32" i="4"/>
  <c r="J32" i="4" s="1"/>
  <c r="K32" i="4" s="1"/>
  <c r="D32" i="4"/>
  <c r="C32" i="4"/>
  <c r="B32" i="4"/>
  <c r="A32" i="4"/>
  <c r="I31" i="4"/>
  <c r="H31" i="4"/>
  <c r="G31" i="4"/>
  <c r="J31" i="4" s="1"/>
  <c r="K31" i="4" s="1"/>
  <c r="F31" i="4"/>
  <c r="E31" i="4"/>
  <c r="D31" i="4"/>
  <c r="C31" i="4"/>
  <c r="B31" i="4"/>
  <c r="A31" i="4"/>
  <c r="I30" i="4"/>
  <c r="H30" i="4"/>
  <c r="G30" i="4"/>
  <c r="J30" i="4" s="1"/>
  <c r="K30" i="4" s="1"/>
  <c r="F30" i="4"/>
  <c r="E30" i="4"/>
  <c r="D30" i="4"/>
  <c r="C30" i="4"/>
  <c r="B30" i="4"/>
  <c r="A30" i="4"/>
  <c r="J29" i="4"/>
  <c r="K29" i="4" s="1"/>
  <c r="I29" i="4"/>
  <c r="H29" i="4"/>
  <c r="G29" i="4"/>
  <c r="F29" i="4"/>
  <c r="E29" i="4"/>
  <c r="D29" i="4"/>
  <c r="C29" i="4"/>
  <c r="B29" i="4"/>
  <c r="A29" i="4"/>
  <c r="I28" i="4"/>
  <c r="H28" i="4"/>
  <c r="G28" i="4"/>
  <c r="F28" i="4"/>
  <c r="E28" i="4"/>
  <c r="J28" i="4" s="1"/>
  <c r="K28" i="4" s="1"/>
  <c r="D28" i="4"/>
  <c r="C28" i="4"/>
  <c r="B28" i="4"/>
  <c r="A28" i="4"/>
  <c r="I27" i="4"/>
  <c r="H27" i="4"/>
  <c r="G27" i="4"/>
  <c r="F27" i="4"/>
  <c r="E27" i="4"/>
  <c r="J27" i="4" s="1"/>
  <c r="K27" i="4" s="1"/>
  <c r="D27" i="4"/>
  <c r="C27" i="4"/>
  <c r="B27" i="4"/>
  <c r="A27" i="4"/>
  <c r="I26" i="4"/>
  <c r="H26" i="4"/>
  <c r="G26" i="4"/>
  <c r="F26" i="4"/>
  <c r="E26" i="4"/>
  <c r="J26" i="4" s="1"/>
  <c r="K26" i="4" s="1"/>
  <c r="D26" i="4"/>
  <c r="C26" i="4"/>
  <c r="B26" i="4"/>
  <c r="A26" i="4"/>
  <c r="I25" i="4"/>
  <c r="H25" i="4"/>
  <c r="G25" i="4"/>
  <c r="F25" i="4"/>
  <c r="J25" i="4" s="1"/>
  <c r="K25" i="4" s="1"/>
  <c r="E25" i="4"/>
  <c r="D25" i="4"/>
  <c r="C25" i="4"/>
  <c r="B25" i="4"/>
  <c r="A25" i="4"/>
  <c r="I24" i="4"/>
  <c r="H24" i="4"/>
  <c r="G24" i="4"/>
  <c r="F24" i="4"/>
  <c r="E24" i="4"/>
  <c r="J24" i="4" s="1"/>
  <c r="K24" i="4" s="1"/>
  <c r="D24" i="4"/>
  <c r="C24" i="4"/>
  <c r="B24" i="4"/>
  <c r="A24" i="4"/>
  <c r="I23" i="4"/>
  <c r="H23" i="4"/>
  <c r="G23" i="4"/>
  <c r="J23" i="4" s="1"/>
  <c r="K23" i="4" s="1"/>
  <c r="F23" i="4"/>
  <c r="E23" i="4"/>
  <c r="D23" i="4"/>
  <c r="C23" i="4"/>
  <c r="B23" i="4"/>
  <c r="A23" i="4"/>
  <c r="I22" i="4"/>
  <c r="H22" i="4"/>
  <c r="G22" i="4"/>
  <c r="J22" i="4" s="1"/>
  <c r="K22" i="4" s="1"/>
  <c r="F22" i="4"/>
  <c r="E22" i="4"/>
  <c r="D22" i="4"/>
  <c r="C22" i="4"/>
  <c r="B22" i="4"/>
  <c r="A22" i="4"/>
  <c r="J21" i="4"/>
  <c r="K21" i="4" s="1"/>
  <c r="I21" i="4"/>
  <c r="H21" i="4"/>
  <c r="G21" i="4"/>
  <c r="F21" i="4"/>
  <c r="E21" i="4"/>
  <c r="D21" i="4"/>
  <c r="C21" i="4"/>
  <c r="B21" i="4"/>
  <c r="A21" i="4"/>
  <c r="I20" i="4"/>
  <c r="H20" i="4"/>
  <c r="G20" i="4"/>
  <c r="F20" i="4"/>
  <c r="E20" i="4"/>
  <c r="J20" i="4" s="1"/>
  <c r="K20" i="4" s="1"/>
  <c r="D20" i="4"/>
  <c r="C20" i="4"/>
  <c r="B20" i="4"/>
  <c r="A20" i="4"/>
  <c r="I19" i="4"/>
  <c r="H19" i="4"/>
  <c r="G19" i="4"/>
  <c r="F19" i="4"/>
  <c r="E19" i="4"/>
  <c r="J19" i="4" s="1"/>
  <c r="K19" i="4" s="1"/>
  <c r="D19" i="4"/>
  <c r="C19" i="4"/>
  <c r="B19" i="4"/>
  <c r="A19" i="4"/>
  <c r="I18" i="4"/>
  <c r="H18" i="4"/>
  <c r="G18" i="4"/>
  <c r="F18" i="4"/>
  <c r="E18" i="4"/>
  <c r="J18" i="4" s="1"/>
  <c r="K18" i="4" s="1"/>
  <c r="D18" i="4"/>
  <c r="C18" i="4"/>
  <c r="B18" i="4"/>
  <c r="A18" i="4"/>
  <c r="I17" i="4"/>
  <c r="H17" i="4"/>
  <c r="G17" i="4"/>
  <c r="F17" i="4"/>
  <c r="J17" i="4" s="1"/>
  <c r="K17" i="4" s="1"/>
  <c r="E17" i="4"/>
  <c r="D17" i="4"/>
  <c r="C17" i="4"/>
  <c r="B17" i="4"/>
  <c r="A17" i="4"/>
  <c r="I16" i="4"/>
  <c r="H16" i="4"/>
  <c r="G16" i="4"/>
  <c r="F16" i="4"/>
  <c r="E16" i="4"/>
  <c r="J16" i="4" s="1"/>
  <c r="K16" i="4" s="1"/>
  <c r="D16" i="4"/>
  <c r="C16" i="4"/>
  <c r="B16" i="4"/>
  <c r="A16" i="4"/>
  <c r="I15" i="4"/>
  <c r="H15" i="4"/>
  <c r="G15" i="4"/>
  <c r="J15" i="4" s="1"/>
  <c r="K15" i="4" s="1"/>
  <c r="F15" i="4"/>
  <c r="E15" i="4"/>
  <c r="D15" i="4"/>
  <c r="C15" i="4"/>
  <c r="B15" i="4"/>
  <c r="A15" i="4"/>
  <c r="I14" i="4"/>
  <c r="H14" i="4"/>
  <c r="G14" i="4"/>
  <c r="J14" i="4" s="1"/>
  <c r="K14" i="4" s="1"/>
  <c r="F14" i="4"/>
  <c r="E14" i="4"/>
  <c r="D14" i="4"/>
  <c r="C14" i="4"/>
  <c r="B14" i="4"/>
  <c r="A14" i="4"/>
  <c r="J13" i="4"/>
  <c r="K13" i="4" s="1"/>
  <c r="I13" i="4"/>
  <c r="H13" i="4"/>
  <c r="G13" i="4"/>
  <c r="F13" i="4"/>
  <c r="E13" i="4"/>
  <c r="D13" i="4"/>
  <c r="C13" i="4"/>
  <c r="B13" i="4"/>
  <c r="A13" i="4"/>
  <c r="I12" i="4"/>
  <c r="H12" i="4"/>
  <c r="G12" i="4"/>
  <c r="F12" i="4"/>
  <c r="E12" i="4"/>
  <c r="J12" i="4" s="1"/>
  <c r="K12" i="4" s="1"/>
  <c r="D12" i="4"/>
  <c r="C12" i="4"/>
  <c r="B12" i="4"/>
  <c r="A12" i="4"/>
  <c r="I11" i="4"/>
  <c r="H11" i="4"/>
  <c r="G11" i="4"/>
  <c r="F11" i="4"/>
  <c r="E11" i="4"/>
  <c r="J11" i="4" s="1"/>
  <c r="K11" i="4" s="1"/>
  <c r="D11" i="4"/>
  <c r="C11" i="4"/>
  <c r="B11" i="4"/>
  <c r="A11" i="4"/>
  <c r="I10" i="4"/>
  <c r="H10" i="4"/>
  <c r="G10" i="4"/>
  <c r="F10" i="4"/>
  <c r="E10" i="4"/>
  <c r="J10" i="4" s="1"/>
  <c r="K10" i="4" s="1"/>
  <c r="D10" i="4"/>
  <c r="C10" i="4"/>
  <c r="B10" i="4"/>
  <c r="A10" i="4"/>
  <c r="I9" i="4"/>
  <c r="H9" i="4"/>
  <c r="G9" i="4"/>
  <c r="F9" i="4"/>
  <c r="J9" i="4" s="1"/>
  <c r="K9" i="4" s="1"/>
  <c r="E9" i="4"/>
  <c r="D9" i="4"/>
  <c r="C9" i="4"/>
  <c r="B9" i="4"/>
  <c r="A9" i="4"/>
  <c r="I8" i="4"/>
  <c r="H8" i="4"/>
  <c r="G8" i="4"/>
  <c r="F8" i="4"/>
  <c r="E8" i="4"/>
  <c r="J8" i="4" s="1"/>
  <c r="K8" i="4" s="1"/>
  <c r="D8" i="4"/>
  <c r="C8" i="4"/>
  <c r="B8" i="4"/>
  <c r="A8" i="4"/>
  <c r="I7" i="4"/>
  <c r="H7" i="4"/>
  <c r="G7" i="4"/>
  <c r="J7" i="4" s="1"/>
  <c r="K7" i="4" s="1"/>
  <c r="F7" i="4"/>
  <c r="E7" i="4"/>
  <c r="D7" i="4"/>
  <c r="C7" i="4"/>
  <c r="B7" i="4"/>
  <c r="A7" i="4"/>
  <c r="I6" i="4"/>
  <c r="H6" i="4"/>
  <c r="G6" i="4"/>
  <c r="J6" i="4" s="1"/>
  <c r="K6" i="4" s="1"/>
  <c r="F6" i="4"/>
  <c r="E6" i="4"/>
  <c r="D6" i="4"/>
  <c r="C6" i="4"/>
  <c r="B6" i="4"/>
  <c r="A6" i="4"/>
  <c r="J5" i="4"/>
  <c r="K5" i="4" s="1"/>
  <c r="I5" i="4"/>
  <c r="H5" i="4"/>
  <c r="G5" i="4"/>
  <c r="F5" i="4"/>
  <c r="E5" i="4"/>
  <c r="D5" i="4"/>
  <c r="C5" i="4"/>
  <c r="B5" i="4"/>
  <c r="A5" i="4"/>
  <c r="I4" i="4"/>
  <c r="H4" i="4"/>
  <c r="G4" i="4"/>
  <c r="F4" i="4"/>
  <c r="E4" i="4"/>
  <c r="J4" i="4" s="1"/>
  <c r="K4" i="4" s="1"/>
  <c r="D4" i="4"/>
  <c r="C4" i="4"/>
  <c r="B4" i="4"/>
  <c r="A4" i="4"/>
  <c r="I3" i="4"/>
  <c r="I104" i="4" s="1"/>
  <c r="H3" i="4"/>
  <c r="H104" i="4" s="1"/>
  <c r="G3" i="4"/>
  <c r="G104" i="4" s="1"/>
  <c r="F3" i="4"/>
  <c r="F104" i="4" s="1"/>
  <c r="E3" i="4"/>
  <c r="J3" i="4" s="1"/>
  <c r="D3" i="4"/>
  <c r="C15" i="7" s="1"/>
  <c r="C3" i="4"/>
  <c r="B3" i="4"/>
  <c r="B21" i="7" s="1"/>
  <c r="A3" i="4"/>
  <c r="E14" i="6" l="1"/>
  <c r="B5" i="7"/>
  <c r="J104" i="4"/>
  <c r="B42" i="7"/>
  <c r="B41" i="7"/>
  <c r="B11" i="7"/>
  <c r="B40" i="7"/>
  <c r="B10" i="7"/>
  <c r="B39" i="7"/>
  <c r="B9" i="7"/>
  <c r="B8" i="7"/>
  <c r="B7" i="7"/>
  <c r="K3" i="4"/>
  <c r="K104" i="4" s="1"/>
  <c r="B6" i="7"/>
  <c r="G11" i="6"/>
  <c r="G7" i="6"/>
  <c r="D15" i="7"/>
  <c r="C21" i="7"/>
  <c r="D21" i="7" s="1"/>
  <c r="B27" i="7"/>
  <c r="C32" i="7"/>
  <c r="B35" i="7"/>
  <c r="B16" i="7"/>
  <c r="C27" i="7"/>
  <c r="D27" i="7" s="1"/>
  <c r="B30" i="7"/>
  <c r="D32" i="7"/>
  <c r="C35" i="7"/>
  <c r="E104" i="4"/>
  <c r="C16" i="7"/>
  <c r="B22" i="7"/>
  <c r="C30" i="7"/>
  <c r="D30" i="7" s="1"/>
  <c r="B33" i="7"/>
  <c r="D35" i="7"/>
  <c r="K3" i="5"/>
  <c r="L3" i="5" s="1"/>
  <c r="F3" i="6" s="1"/>
  <c r="K5" i="5"/>
  <c r="L5" i="5" s="1"/>
  <c r="F5" i="6" s="1"/>
  <c r="H5" i="6" s="1"/>
  <c r="I5" i="6" s="1"/>
  <c r="K7" i="5"/>
  <c r="L7" i="5" s="1"/>
  <c r="F7" i="6" s="1"/>
  <c r="H7" i="6" s="1"/>
  <c r="I7" i="6" s="1"/>
  <c r="K9" i="5"/>
  <c r="L9" i="5" s="1"/>
  <c r="F9" i="6" s="1"/>
  <c r="H9" i="6" s="1"/>
  <c r="I9" i="6" s="1"/>
  <c r="K11" i="5"/>
  <c r="L11" i="5" s="1"/>
  <c r="F11" i="6" s="1"/>
  <c r="H11" i="6" s="1"/>
  <c r="I11" i="6" s="1"/>
  <c r="D16" i="7"/>
  <c r="C22" i="7"/>
  <c r="D22" i="7" s="1"/>
  <c r="B28" i="7"/>
  <c r="D28" i="7" s="1"/>
  <c r="C33" i="7"/>
  <c r="B17" i="7"/>
  <c r="C28" i="7"/>
  <c r="B31" i="7"/>
  <c r="D33" i="7"/>
  <c r="C17" i="7"/>
  <c r="D17" i="7" s="1"/>
  <c r="B26" i="7"/>
  <c r="C31" i="7"/>
  <c r="D31" i="7" s="1"/>
  <c r="B34" i="7"/>
  <c r="B15" i="7"/>
  <c r="C26" i="7"/>
  <c r="B29" i="7"/>
  <c r="C34" i="7"/>
  <c r="D34" i="7" s="1"/>
  <c r="K4" i="5"/>
  <c r="L4" i="5" s="1"/>
  <c r="F4" i="6" s="1"/>
  <c r="H4" i="6" s="1"/>
  <c r="I4" i="6" s="1"/>
  <c r="K6" i="5"/>
  <c r="L6" i="5" s="1"/>
  <c r="F6" i="6" s="1"/>
  <c r="H6" i="6" s="1"/>
  <c r="I6" i="6" s="1"/>
  <c r="K8" i="5"/>
  <c r="L8" i="5" s="1"/>
  <c r="F8" i="6" s="1"/>
  <c r="H8" i="6" s="1"/>
  <c r="I8" i="6" s="1"/>
  <c r="K10" i="5"/>
  <c r="L10" i="5" s="1"/>
  <c r="F10" i="6" s="1"/>
  <c r="H10" i="6" s="1"/>
  <c r="I10" i="6" s="1"/>
  <c r="K12" i="5"/>
  <c r="L12" i="5" s="1"/>
  <c r="F12" i="6" s="1"/>
  <c r="H12" i="6" s="1"/>
  <c r="I12" i="6" s="1"/>
  <c r="D26" i="7"/>
  <c r="C29" i="7"/>
  <c r="D29" i="7" s="1"/>
  <c r="B32" i="7"/>
  <c r="G9" i="6" l="1"/>
  <c r="G6" i="6"/>
  <c r="G10" i="6"/>
  <c r="G5" i="6"/>
  <c r="F14" i="6"/>
  <c r="H14" i="6" s="1"/>
  <c r="H3" i="6"/>
  <c r="G4" i="6"/>
  <c r="G8" i="6"/>
  <c r="G12" i="6"/>
  <c r="G3" i="6"/>
  <c r="B45" i="7" l="1"/>
  <c r="I3" i="6"/>
  <c r="G14" i="6"/>
</calcChain>
</file>

<file path=xl/sharedStrings.xml><?xml version="1.0" encoding="utf-8"?>
<sst xmlns="http://schemas.openxmlformats.org/spreadsheetml/2006/main" count="1132" uniqueCount="302">
  <si>
    <t>Ecological Footprint as an Indicator of Sustainable Tourism in the Sundarbans, West Bengal — Data Workbook</t>
  </si>
  <si>
    <t>PURPOSE</t>
  </si>
  <si>
    <t>This workbook provides a ready-to-use data structure for an integrated statistical and GIS-based assessment of</t>
  </si>
  <si>
    <t>tourism-related Ecological Footprint (EF) in the Indian Sundarbans. It is designed to be populated with, or</t>
  </si>
  <si>
    <t>replace, primary field-survey data collected by the researcher.</t>
  </si>
  <si>
    <t>IMPORTANT — NATURE OF THE DATA</t>
  </si>
  <si>
    <t>The tourist-level records, emission/land-use coefficients, site footfall figures and biocapacity values in this</t>
  </si>
  <si>
    <t>workbook are ILLUSTRATIVE / SIMULATED. They were generated to demonstrate a realistic, working calculation</t>
  </si>
  <si>
    <t>structure (variables, formulas, units and magnitudes consistent with published Ecological Footprint methodology)</t>
  </si>
  <si>
    <t>-- they are NOT results of an actual field survey or remote-sensing exercise in the Sundarbans. Before use in a</t>
  </si>
  <si>
    <t>dissertation, paper or report, replace the blue-font cells with primary data from your own questionnaire survey,</t>
  </si>
  <si>
    <t>Forest Department / tourism department records, and GIS/remote-sensing analysis (e.g. Sentinel-2 land cover,</t>
  </si>
  <si>
    <t>Global Footprint Network national/sub-national accounts).</t>
  </si>
  <si>
    <t>WORKBOOK STRUCTURE</t>
  </si>
  <si>
    <t>1. Read_Me                         - this sheet</t>
  </si>
  <si>
    <t>2. Assumptions                     - editable emission and land-use coefficients (blue = edit these)</t>
  </si>
  <si>
    <t>3. Tourist_Survey_Data              - 100 simulated respondent-level questionnaire records (edit/replace with real data)</t>
  </si>
  <si>
    <t>4. Ecological_Footprint_Components  - per-respondent EF calculation (Transport + Accommodation + Food + Waste + Land-use), formula-driven</t>
  </si>
  <si>
    <t>5. GIS_Site_Data                   - 10 Sundarbans tourism sites with coordinates (for import into QGIS/ArcGIS), zone type, area, footfall and biocapacity</t>
  </si>
  <si>
    <t>6. Site_Sustainability_Summary       - site-level Ecological Footprint vs Biocapacity, Ecological Deficit/Reserve, ready for choropleth mapping</t>
  </si>
  <si>
    <t>7. Statistical_Summary              - descriptive statistics and cross-tabulations (by site, season, origin, transport mode)</t>
  </si>
  <si>
    <t>METHODOLOGY NOTE (Ecological Footprint, gha)</t>
  </si>
  <si>
    <t>Total EF per visitor (gha) = Transport EF + Accommodation EF + Food EF + Waste EF + Land-use (direct disturbance) EF</t>
  </si>
  <si>
    <t>Carbon-based components (transport, part of accommodation/energy) are converted from CO2 emissions to global hectares</t>
  </si>
  <si>
    <t>(gha) using a carbon uptake/sequestration factor (Assumptions sheet, editable). Land-use disturbance is a direct</t>
  </si>
  <si>
    <t>area-based estimate for footfall inside core/buffer/transition zones of the Sundarban Biosphere Reserve.</t>
  </si>
  <si>
    <t>SUGGESTED GIS WORKFLOW</t>
  </si>
  <si>
    <t>Export 'GIS_Site_Data' (Latitude, Longitude, Sustainability_Ratio, Total_EF_Site_gha) as CSV and join to a shapefile</t>
  </si>
  <si>
    <t>of the Sundarban Biosphere Reserve zonation (core/buffer/transition) in QGIS to produce a choropleth of ecological</t>
  </si>
  <si>
    <t>pressure per site, and overlay with the sites' Total_Biocapacity_gha to visualise ecological deficit/surplus.</t>
  </si>
  <si>
    <t>SUGGESTED STATISTICAL WORKFLOW</t>
  </si>
  <si>
    <t>Use Tourist_Survey_Data + Ecological_Footprint_Components as the unit-level dataset for: (a) descriptive statistics,</t>
  </si>
  <si>
    <t>(b) one-way ANOVA / t-tests of Total_EF_gha across Season, Origin, Transport mode, (c) correlation/regression of</t>
  </si>
  <si>
    <t>Total_EF_gha against Distance_Traveled_km, Trip_Duration_Days and Group_Size, and (d) site-level correlation of</t>
  </si>
  <si>
    <t>Sustainability_Ratio against Annual_Footfall to test the tourism-pressure hypothesis.</t>
  </si>
  <si>
    <t>Assumptions &amp; Emission / Land-Use Factors (EDIT the blue cells with primary/literature data)</t>
  </si>
  <si>
    <t>General Conversion Factor</t>
  </si>
  <si>
    <t>Carbon Uptake / Sequestration Factor</t>
  </si>
  <si>
    <t>gha per tonne CO2</t>
  </si>
  <si>
    <t>Illustrative (~global avg. forest sequestration ≈5 tCO2/ha/yr ⇒ 1/5=0.20). Replace with Global Footprint Network national factor for India.</t>
  </si>
  <si>
    <t>Transport Emission Factors (per passenger-km)</t>
  </si>
  <si>
    <t>Mode of Transport</t>
  </si>
  <si>
    <t>CO2 (kg/pax-km)</t>
  </si>
  <si>
    <t>Note</t>
  </si>
  <si>
    <t>Domestic Flight + Road</t>
  </si>
  <si>
    <t>Flight to Kolkata + road/rail to gateway, blended</t>
  </si>
  <si>
    <t>Train</t>
  </si>
  <si>
    <t>Indian Railways average intercity</t>
  </si>
  <si>
    <t>Bus</t>
  </si>
  <si>
    <t>Shared public/private bus</t>
  </si>
  <si>
    <t>Private Car</t>
  </si>
  <si>
    <t>Petrol/diesel car, average occupancy</t>
  </si>
  <si>
    <t>Shared Taxi/Sumo</t>
  </si>
  <si>
    <t>Shared vehicle to gateway town (e.g. Gosaba/Sonakhali)</t>
  </si>
  <si>
    <t>Country Boat (local ferry)</t>
  </si>
  <si>
    <t>Local wooden ferry within Sundarbans</t>
  </si>
  <si>
    <t>Motor Launch/Cruise</t>
  </si>
  <si>
    <t>Diesel tourist launch/houseboat</t>
  </si>
  <si>
    <t>Accommodation Footprint Factors (gha / person / night)</t>
  </si>
  <si>
    <t>Accommodation Type</t>
  </si>
  <si>
    <t>EF (gha/person/night)</t>
  </si>
  <si>
    <t>Forest Rest House (Govt.)</t>
  </si>
  <si>
    <t>Low energy use, basic amenities</t>
  </si>
  <si>
    <t>Budget Homestay</t>
  </si>
  <si>
    <t>Local homestay, minimal energy</t>
  </si>
  <si>
    <t>Mid-range Resort/Lodge</t>
  </si>
  <si>
    <t>Grid electricity + generator backup</t>
  </si>
  <si>
    <t>Houseboat / Overnight Cruise</t>
  </si>
  <si>
    <t>Diesel generator-run, onboard stay</t>
  </si>
  <si>
    <t>Luxury Resort</t>
  </si>
  <si>
    <t>High energy &amp; water use</t>
  </si>
  <si>
    <t>Food Footprint Factors (gha / person / day)</t>
  </si>
  <si>
    <t>Food/Meal Type</t>
  </si>
  <si>
    <t>EF (gha/person/day)</t>
  </si>
  <si>
    <t>Local Vegetarian</t>
  </si>
  <si>
    <t>Locally sourced, low food-mile</t>
  </si>
  <si>
    <t>Local Non-Vegetarian (fish-based)</t>
  </si>
  <si>
    <t>Local fish/poultry, moderate footprint</t>
  </si>
  <si>
    <t>Mixed / Imported Cuisine</t>
  </si>
  <si>
    <t>Packaged/imported items, higher footprint</t>
  </si>
  <si>
    <t>Waste Footprint Factor</t>
  </si>
  <si>
    <t>Waste Disposal EF</t>
  </si>
  <si>
    <t>gha per kg solid waste</t>
  </si>
  <si>
    <t>Illustrative — landfill/open-burning carbon + land equivalent for mixed tourist waste.</t>
  </si>
  <si>
    <t>Land-Use Disturbance Factor by Biosphere-Reserve Zone (gha / person / day)</t>
  </si>
  <si>
    <t>Zone Type</t>
  </si>
  <si>
    <t>Core Zone</t>
  </si>
  <si>
    <t>Highest sensitivity — restricted tiger reserve core</t>
  </si>
  <si>
    <t>Buffer Zone</t>
  </si>
  <si>
    <t>Moderate — regulated tourism activity</t>
  </si>
  <si>
    <t>Transition Zone</t>
  </si>
  <si>
    <t>Lowest — gateway/entry areas, human-modified</t>
  </si>
  <si>
    <t>Tourist Survey Data — 100 Simulated Respondent Records (replace with real questionnaire data)</t>
  </si>
  <si>
    <t>Respondent_ID</t>
  </si>
  <si>
    <t>Site_Visited</t>
  </si>
  <si>
    <t>Origin_Type</t>
  </si>
  <si>
    <t>State_Country</t>
  </si>
  <si>
    <t>Age</t>
  </si>
  <si>
    <t>Gender</t>
  </si>
  <si>
    <t>Group_Size</t>
  </si>
  <si>
    <t>Trip_Duration_Days</t>
  </si>
  <si>
    <t>Mode_of_Transport</t>
  </si>
  <si>
    <t>Distance_Traveled_km</t>
  </si>
  <si>
    <t>Accommodation_Type</t>
  </si>
  <si>
    <t>Nights_Stayed</t>
  </si>
  <si>
    <t>Food_Type</t>
  </si>
  <si>
    <t>Waste_kg_per_person_per_day</t>
  </si>
  <si>
    <t>Season</t>
  </si>
  <si>
    <t>R001</t>
  </si>
  <si>
    <t>Sudhanyakhali</t>
  </si>
  <si>
    <t>Domestic</t>
  </si>
  <si>
    <t>West Bengal</t>
  </si>
  <si>
    <t>Male</t>
  </si>
  <si>
    <t>Winter (Oct-Mar)</t>
  </si>
  <si>
    <t>R002</t>
  </si>
  <si>
    <t>Sonakhali (Gateway)</t>
  </si>
  <si>
    <t>Maharashtra</t>
  </si>
  <si>
    <t>Female</t>
  </si>
  <si>
    <t>Summer (Apr-May)</t>
  </si>
  <si>
    <t>R003</t>
  </si>
  <si>
    <t>R004</t>
  </si>
  <si>
    <t>Jharkhali</t>
  </si>
  <si>
    <t>International</t>
  </si>
  <si>
    <t>USA</t>
  </si>
  <si>
    <t>R005</t>
  </si>
  <si>
    <t>Pakhiralay</t>
  </si>
  <si>
    <t>R006</t>
  </si>
  <si>
    <t>Netidhopani</t>
  </si>
  <si>
    <t>R007</t>
  </si>
  <si>
    <t>Delhi</t>
  </si>
  <si>
    <t>R008</t>
  </si>
  <si>
    <t>R009</t>
  </si>
  <si>
    <t>Bhagabatpur (Crocodile Project)</t>
  </si>
  <si>
    <t>R010</t>
  </si>
  <si>
    <t>Gosaba</t>
  </si>
  <si>
    <t>R011</t>
  </si>
  <si>
    <t>R012</t>
  </si>
  <si>
    <t>Tamil Nadu</t>
  </si>
  <si>
    <t>R013</t>
  </si>
  <si>
    <t>R014</t>
  </si>
  <si>
    <t>R015</t>
  </si>
  <si>
    <t>R016</t>
  </si>
  <si>
    <t>Karnataka</t>
  </si>
  <si>
    <t>R017</t>
  </si>
  <si>
    <t>R018</t>
  </si>
  <si>
    <t>R019</t>
  </si>
  <si>
    <t>R020</t>
  </si>
  <si>
    <t>R021</t>
  </si>
  <si>
    <t>R022</t>
  </si>
  <si>
    <t>Gujarat</t>
  </si>
  <si>
    <t>R023</t>
  </si>
  <si>
    <t>R024</t>
  </si>
  <si>
    <t>R025</t>
  </si>
  <si>
    <t>R026</t>
  </si>
  <si>
    <t>Monsoon (Jun-Sep)</t>
  </si>
  <si>
    <t>R027</t>
  </si>
  <si>
    <t>R028</t>
  </si>
  <si>
    <t>R029</t>
  </si>
  <si>
    <t>R030</t>
  </si>
  <si>
    <t>Assam</t>
  </si>
  <si>
    <t>R031</t>
  </si>
  <si>
    <t>R032</t>
  </si>
  <si>
    <t>R033</t>
  </si>
  <si>
    <t>Dobanki</t>
  </si>
  <si>
    <t>R034</t>
  </si>
  <si>
    <t>R035</t>
  </si>
  <si>
    <t>R036</t>
  </si>
  <si>
    <t>Kalash</t>
  </si>
  <si>
    <t>R037</t>
  </si>
  <si>
    <t>R038</t>
  </si>
  <si>
    <t>R039</t>
  </si>
  <si>
    <t>R040</t>
  </si>
  <si>
    <t>Bangladesh</t>
  </si>
  <si>
    <t>R041</t>
  </si>
  <si>
    <t>R042</t>
  </si>
  <si>
    <t>R043</t>
  </si>
  <si>
    <t>R044</t>
  </si>
  <si>
    <t>R045</t>
  </si>
  <si>
    <t>Australia</t>
  </si>
  <si>
    <t>R046</t>
  </si>
  <si>
    <t>R047</t>
  </si>
  <si>
    <t>R048</t>
  </si>
  <si>
    <t>R049</t>
  </si>
  <si>
    <t>R050</t>
  </si>
  <si>
    <t>R051</t>
  </si>
  <si>
    <t>R052</t>
  </si>
  <si>
    <t>R053</t>
  </si>
  <si>
    <t>R054</t>
  </si>
  <si>
    <t>R055</t>
  </si>
  <si>
    <t>Sajnekhali</t>
  </si>
  <si>
    <t>R056</t>
  </si>
  <si>
    <t>R057</t>
  </si>
  <si>
    <t>R058</t>
  </si>
  <si>
    <t>R059</t>
  </si>
  <si>
    <t>R060</t>
  </si>
  <si>
    <t>R061</t>
  </si>
  <si>
    <t>R062</t>
  </si>
  <si>
    <t>R063</t>
  </si>
  <si>
    <t>R064</t>
  </si>
  <si>
    <t>R065</t>
  </si>
  <si>
    <t>R066</t>
  </si>
  <si>
    <t>R067</t>
  </si>
  <si>
    <t>R068</t>
  </si>
  <si>
    <t>R069</t>
  </si>
  <si>
    <t>Germany</t>
  </si>
  <si>
    <t>R070</t>
  </si>
  <si>
    <t>R071</t>
  </si>
  <si>
    <t>R072</t>
  </si>
  <si>
    <t>United Kingdom</t>
  </si>
  <si>
    <t>R073</t>
  </si>
  <si>
    <t>R074</t>
  </si>
  <si>
    <t>R075</t>
  </si>
  <si>
    <t>France</t>
  </si>
  <si>
    <t>R076</t>
  </si>
  <si>
    <t>R077</t>
  </si>
  <si>
    <t>R078</t>
  </si>
  <si>
    <t>R079</t>
  </si>
  <si>
    <t>R080</t>
  </si>
  <si>
    <t>R081</t>
  </si>
  <si>
    <t>R082</t>
  </si>
  <si>
    <t>R083</t>
  </si>
  <si>
    <t>R084</t>
  </si>
  <si>
    <t>R085</t>
  </si>
  <si>
    <t>R086</t>
  </si>
  <si>
    <t>R087</t>
  </si>
  <si>
    <t>R088</t>
  </si>
  <si>
    <t>R089</t>
  </si>
  <si>
    <t>R090</t>
  </si>
  <si>
    <t>R091</t>
  </si>
  <si>
    <t>R092</t>
  </si>
  <si>
    <t>R093</t>
  </si>
  <si>
    <t>R094</t>
  </si>
  <si>
    <t>R095</t>
  </si>
  <si>
    <t>R096</t>
  </si>
  <si>
    <t>R097</t>
  </si>
  <si>
    <t>R098</t>
  </si>
  <si>
    <t>R099</t>
  </si>
  <si>
    <t>R100</t>
  </si>
  <si>
    <t>Ecological Footprint Components per Respondent (gha) — all formula-driven from Tourist_Survey_Data &amp; Assumptions</t>
  </si>
  <si>
    <t>Transport_EF_gha</t>
  </si>
  <si>
    <t>Accommodation_EF_gha</t>
  </si>
  <si>
    <t>Food_EF_gha</t>
  </si>
  <si>
    <t>Waste_EF_gha</t>
  </si>
  <si>
    <t>Land_Use_EF_gha</t>
  </si>
  <si>
    <t>Total_EF_gha</t>
  </si>
  <si>
    <t>EF_per_Person_per_Day_gha</t>
  </si>
  <si>
    <t>Sample Mean =</t>
  </si>
  <si>
    <t>GIS Site Data — Sundarbans Tourism Sites (import Latitude/Longitude into QGIS/ArcGIS)</t>
  </si>
  <si>
    <t>Site_ID</t>
  </si>
  <si>
    <t>Site_Name</t>
  </si>
  <si>
    <t>Latitude</t>
  </si>
  <si>
    <t>Longitude</t>
  </si>
  <si>
    <t>Zone_Type</t>
  </si>
  <si>
    <t>Area_sq_km</t>
  </si>
  <si>
    <t>Area_ha</t>
  </si>
  <si>
    <t>Annual_Footfall</t>
  </si>
  <si>
    <t>Biocapacity_gha_per_ha</t>
  </si>
  <si>
    <t>Total_Biocapacity_gha</t>
  </si>
  <si>
    <t>Avg_EF_per_Visitor_gha</t>
  </si>
  <si>
    <t>Total_EF_Site_gha_per_year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</si>
  <si>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</si>
  <si>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</si>
  <si>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</si>
  <si>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</si>
  <si>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</si>
  <si>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</si>
  <si>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</si>
  <si>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</si>
  <si>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</si>
  <si>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</si>
  <si>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Note: Area_sq_km, Annual_Footfall and Biocapacity_gha_per_ha are illustrative — replace with Forest Department / satellite land-cover (NDVI/mangrove classification) derived figures for GIS analysis.</t>
  </si>
  <si>
    <t>Site-Level Ecological Footprint vs Biocapacity (for GIS choropleth mapping)</t>
  </si>
  <si>
    <t>Ecological_Deficit(-)/Reserve(+)_gha</t>
  </si>
  <si>
    <t>Sustainability_Ratio (EF/Biocap)</t>
  </si>
  <si>
    <t>Status</t>
  </si>
  <si>
    <t>Overall (all sites)</t>
  </si>
  <si>
    <t>Sustainability_Ratio &gt; 1 indicates the site's tourism-related Ecological Footprint exceeds its biocapacity (ecological deficit / unsustainable pressure); &lt; 1 indicates an ecological reserve. Export columns A, C, D, H for direct import/join in QGIS or ArcGIS.</t>
  </si>
  <si>
    <t>Statistical Summary — Ecological Footprint (Total_EF_gha), N=100 Respondents</t>
  </si>
  <si>
    <t>1. Overall Descriptive Statistics</t>
  </si>
  <si>
    <t>Statistic</t>
  </si>
  <si>
    <t>Value (gha)</t>
  </si>
  <si>
    <t>N (respondents)</t>
  </si>
  <si>
    <t>Mean</t>
  </si>
  <si>
    <t>Median</t>
  </si>
  <si>
    <t>Standard Deviation</t>
  </si>
  <si>
    <t>Minimum</t>
  </si>
  <si>
    <t>Maximum</t>
  </si>
  <si>
    <t>Sum (aggregate sample EF)</t>
  </si>
  <si>
    <t>2. Mean Total_EF_gha by Season</t>
  </si>
  <si>
    <t>N</t>
  </si>
  <si>
    <t>Mean_EF_gha</t>
  </si>
  <si>
    <t>Std_Dev_gha</t>
  </si>
  <si>
    <t>3. Mean Total_EF_gha by Origin Type</t>
  </si>
  <si>
    <t>Origin Type</t>
  </si>
  <si>
    <t>4. Mean Total_EF_gha by Site Visited</t>
  </si>
  <si>
    <t>Site</t>
  </si>
  <si>
    <t>5. Correlation of Total_EF_gha with Trip Variables</t>
  </si>
  <si>
    <t>Variable</t>
  </si>
  <si>
    <t>Pearson r with Total_EF_gha</t>
  </si>
  <si>
    <t>6. Site-Level Correlation: Annual Footfall vs Sustainability Ratio</t>
  </si>
  <si>
    <t>Pearson r (Footfall vs Sustainability_Ratio)</t>
  </si>
  <si>
    <t>Note: All statistics recompute automatically from Tourist_Survey_Data / Ecological_Footprint_Components. Replace the simulated survey rows with real data and every statistic, chart and GIS export updates.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</si>
</sst>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"/>
    <numFmt numFmtId="166" formatCode="0.0000"/>
    <numFmt numFmtId="167" formatCode="0.000"/>
  </numFmts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sz val="10"/>
      <name val="Arial"/>
      <charset val="1"/>
    </font>
    <font>
      <b/>
      <sz val="12"/>
      <color rgb="FF1F4E78"/>
      <name val="Arial"/>
      <charset val="1"/>
    </font>
    <font>
      <sz val="11"/>
      <name val="Arial"/>
      <charset val="1"/>
    </font>
    <font>
      <sz val="11"/>
      <color rgb="FF0000FF"/>
      <name val="Arial"/>
      <charset val="1"/>
    </font>
    <font>
      <i/>
      <sz val="9"/>
      <color rgb="FF808080"/>
      <name val="Arial"/>
      <charset val="1"/>
    </font>
    <font>
      <b/>
      <sz val="11"/>
      <color rgb="FFFFFFFF"/>
      <name val="Arial"/>
      <charset val="1"/>
    </font>
    <font>
      <sz val="11"/>
      <color rgb="FF000000"/>
      <name val="Arial"/>
      <charset val="1"/>
    </font>
    <font>
      <b/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008000"/>
      </patternFill>
    </fill>
    <fill>
      <patternFill patternType="solid">
        <fgColor rgb="FF1F4E78"/>
        <bgColor rgb="FF003366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6" fillId="0" borderId="0" xfId="0" applyFont="1"/>
    <xf numFmtId="0" fontId="3" fillId="0" borderId="0" xfId="0" applyFont="1"/>
    <xf numFmtId="0" fontId="1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" fontId="5" fillId="0" borderId="1" xfId="0" applyNumberFormat="1" applyFont="1" applyBorder="1"/>
    <xf numFmtId="164" fontId="5" fillId="0" borderId="1" xfId="0" applyNumberFormat="1" applyFont="1" applyBorder="1"/>
    <xf numFmtId="2" fontId="5" fillId="0" borderId="1" xfId="0" applyNumberFormat="1" applyFont="1" applyBorder="1"/>
    <xf numFmtId="0" fontId="8" fillId="0" borderId="1" xfId="0" applyFont="1" applyBorder="1"/>
    <xf numFmtId="165" fontId="8" fillId="0" borderId="1" xfId="0" applyNumberFormat="1" applyFont="1" applyBorder="1"/>
    <xf numFmtId="0" fontId="9" fillId="0" borderId="0" xfId="0" applyFont="1"/>
    <xf numFmtId="165" fontId="9" fillId="0" borderId="0" xfId="0" applyNumberFormat="1" applyFont="1"/>
    <xf numFmtId="166" fontId="5" fillId="0" borderId="1" xfId="0" applyNumberFormat="1" applyFont="1" applyBorder="1"/>
    <xf numFmtId="4" fontId="5" fillId="0" borderId="1" xfId="0" applyNumberFormat="1" applyFont="1" applyBorder="1"/>
    <xf numFmtId="4" fontId="8" fillId="0" borderId="1" xfId="0" applyNumberFormat="1" applyFont="1" applyBorder="1"/>
    <xf numFmtId="3" fontId="5" fillId="0" borderId="1" xfId="0" applyNumberFormat="1" applyFont="1" applyBorder="1"/>
    <xf numFmtId="164" fontId="8" fillId="0" borderId="1" xfId="0" applyNumberFormat="1" applyFont="1" applyBorder="1"/>
    <xf numFmtId="166" fontId="8" fillId="0" borderId="1" xfId="0" applyNumberFormat="1" applyFont="1" applyBorder="1"/>
    <xf numFmtId="2" fontId="8" fillId="0" borderId="1" xfId="0" applyNumberFormat="1" applyFont="1" applyBorder="1"/>
    <xf numFmtId="164" fontId="9" fillId="0" borderId="0" xfId="0" applyNumberFormat="1" applyFont="1"/>
    <xf numFmtId="2" fontId="9" fillId="0" borderId="0" xfId="0" applyNumberFormat="1" applyFont="1"/>
    <xf numFmtId="1" fontId="8" fillId="0" borderId="0" xfId="0" applyNumberFormat="1" applyFont="1"/>
    <xf numFmtId="165" fontId="8" fillId="0" borderId="0" xfId="0" applyNumberFormat="1" applyFont="1"/>
    <xf numFmtId="0" fontId="8" fillId="0" borderId="0" xfId="0" applyFont="1"/>
    <xf numFmtId="167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32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1"/>
  <sheetViews>
    <sheetView showGridLines="0" zoomScaleNormal="100" workbookViewId="0"/>
  </sheetViews>
  <sheetFormatPr defaultColWidth="8.7109375" defaultRowHeight="15" x14ac:dyDescent="0.25"/>
  <cols>
    <col min="1" max="1" width="95" customWidth="1"/>
  </cols>
  <sheetData>
    <row r="1" spans="1:1" ht="25.5" customHeight="1" x14ac:dyDescent="0.25">
      <c r="A1" s="4" t="s">
        <v>0</v>
      </c>
    </row>
    <row r="2" spans="1:1" x14ac:dyDescent="0.25">
      <c r="A2" s="5"/>
    </row>
    <row r="3" spans="1:1" ht="15.75" x14ac:dyDescent="0.25">
      <c r="A3" s="6" t="s">
        <v>1</v>
      </c>
    </row>
    <row r="4" spans="1:1" ht="25.5" x14ac:dyDescent="0.25">
      <c r="A4" s="5" t="s">
        <v>2</v>
      </c>
    </row>
    <row r="5" spans="1:1" x14ac:dyDescent="0.25">
      <c r="A5" s="5" t="s">
        <v>3</v>
      </c>
    </row>
    <row r="6" spans="1:1" x14ac:dyDescent="0.25">
      <c r="A6" s="5" t="s">
        <v>4</v>
      </c>
    </row>
    <row r="7" spans="1:1" x14ac:dyDescent="0.25">
      <c r="A7" s="5"/>
    </row>
    <row r="8" spans="1:1" ht="15.75" x14ac:dyDescent="0.25">
      <c r="A8" s="6" t="s">
        <v>5</v>
      </c>
    </row>
    <row r="9" spans="1:1" x14ac:dyDescent="0.25">
      <c r="A9" s="5" t="s">
        <v>6</v>
      </c>
    </row>
    <row r="10" spans="1:1" ht="25.5" x14ac:dyDescent="0.25">
      <c r="A10" s="5" t="s">
        <v>7</v>
      </c>
    </row>
    <row r="11" spans="1:1" ht="25.5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/>
    </row>
    <row r="17" spans="1:1" ht="15.75" x14ac:dyDescent="0.25">
      <c r="A17" s="6" t="s">
        <v>13</v>
      </c>
    </row>
    <row r="18" spans="1:1" x14ac:dyDescent="0.25">
      <c r="A18" s="5" t="s">
        <v>14</v>
      </c>
    </row>
    <row r="19" spans="1:1" x14ac:dyDescent="0.25">
      <c r="A19" s="5" t="s">
        <v>15</v>
      </c>
    </row>
    <row r="20" spans="1:1" ht="25.5" x14ac:dyDescent="0.25">
      <c r="A20" s="5" t="s">
        <v>16</v>
      </c>
    </row>
    <row r="21" spans="1:1" ht="25.5" x14ac:dyDescent="0.25">
      <c r="A21" s="5" t="s">
        <v>17</v>
      </c>
    </row>
    <row r="22" spans="1:1" ht="25.5" x14ac:dyDescent="0.25">
      <c r="A22" s="5" t="s">
        <v>18</v>
      </c>
    </row>
    <row r="23" spans="1:1" ht="25.5" x14ac:dyDescent="0.25">
      <c r="A23" s="5" t="s">
        <v>19</v>
      </c>
    </row>
    <row r="24" spans="1:1" ht="25.5" x14ac:dyDescent="0.25">
      <c r="A24" s="5" t="s">
        <v>20</v>
      </c>
    </row>
    <row r="25" spans="1:1" x14ac:dyDescent="0.25">
      <c r="A25" s="5"/>
    </row>
    <row r="26" spans="1:1" x14ac:dyDescent="0.25">
      <c r="A26" s="5" t="s">
        <v>21</v>
      </c>
    </row>
    <row r="27" spans="1:1" ht="25.5" x14ac:dyDescent="0.25">
      <c r="A27" s="5" t="s">
        <v>22</v>
      </c>
    </row>
    <row r="28" spans="1:1" ht="25.5" x14ac:dyDescent="0.25">
      <c r="A28" s="5" t="s">
        <v>23</v>
      </c>
    </row>
    <row r="29" spans="1:1" ht="25.5" x14ac:dyDescent="0.25">
      <c r="A29" s="5" t="s">
        <v>24</v>
      </c>
    </row>
    <row r="30" spans="1:1" x14ac:dyDescent="0.25">
      <c r="A30" s="5" t="s">
        <v>25</v>
      </c>
    </row>
    <row r="31" spans="1:1" x14ac:dyDescent="0.25">
      <c r="A31" s="5"/>
    </row>
    <row r="32" spans="1:1" ht="15.75" x14ac:dyDescent="0.25">
      <c r="A32" s="6" t="s">
        <v>26</v>
      </c>
    </row>
    <row r="33" spans="1:1" ht="25.5" x14ac:dyDescent="0.25">
      <c r="A33" s="5" t="s">
        <v>27</v>
      </c>
    </row>
    <row r="34" spans="1:1" ht="25.5" x14ac:dyDescent="0.25">
      <c r="A34" s="5" t="s">
        <v>28</v>
      </c>
    </row>
    <row r="35" spans="1:1" x14ac:dyDescent="0.25">
      <c r="A35" s="5" t="s">
        <v>29</v>
      </c>
    </row>
    <row r="36" spans="1:1" x14ac:dyDescent="0.25">
      <c r="A36" s="5"/>
    </row>
    <row r="37" spans="1:1" ht="15.75" x14ac:dyDescent="0.25">
      <c r="A37" s="6" t="s">
        <v>30</v>
      </c>
    </row>
    <row r="38" spans="1:1" ht="25.5" x14ac:dyDescent="0.25">
      <c r="A38" s="5" t="s">
        <v>31</v>
      </c>
    </row>
    <row r="39" spans="1:1" ht="25.5" x14ac:dyDescent="0.25">
      <c r="A39" s="5" t="s">
        <v>32</v>
      </c>
    </row>
    <row r="40" spans="1:1" ht="25.5" x14ac:dyDescent="0.25">
      <c r="A40" s="5" t="s">
        <v>33</v>
      </c>
    </row>
    <row r="41" spans="1:1" x14ac:dyDescent="0.25">
      <c r="A41" s="5" t="s">
        <v>34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7"/>
  <sheetViews>
    <sheetView showGridLines="0" zoomScaleNormal="100" workbookViewId="0">
      <selection sqref="A1:D1"/>
    </sheetView>
  </sheetViews>
  <sheetFormatPr defaultColWidth="8.7109375" defaultRowHeight="15" x14ac:dyDescent="0.25"/>
  <cols>
    <col min="1" max="1" width="34" customWidth="1"/>
    <col min="2" max="2" width="24" customWidth="1"/>
    <col min="3" max="3" width="4" customWidth="1"/>
    <col min="4" max="4" width="55" customWidth="1"/>
  </cols>
  <sheetData>
    <row r="1" spans="1:4" ht="25.5" customHeight="1" x14ac:dyDescent="0.25">
      <c r="A1" s="3" t="s">
        <v>35</v>
      </c>
      <c r="B1" s="3"/>
      <c r="C1" s="3"/>
      <c r="D1" s="3"/>
    </row>
    <row r="3" spans="1:4" ht="15.75" x14ac:dyDescent="0.25">
      <c r="A3" s="2" t="s">
        <v>36</v>
      </c>
      <c r="B3" s="2"/>
      <c r="C3" s="2"/>
      <c r="D3" s="2"/>
    </row>
    <row r="4" spans="1:4" x14ac:dyDescent="0.25">
      <c r="A4" s="8" t="s">
        <v>37</v>
      </c>
      <c r="B4" s="9">
        <v>0.19</v>
      </c>
      <c r="C4" s="10" t="s">
        <v>38</v>
      </c>
      <c r="D4" s="10" t="s">
        <v>39</v>
      </c>
    </row>
    <row r="6" spans="1:4" ht="15.75" x14ac:dyDescent="0.25">
      <c r="A6" s="2" t="s">
        <v>40</v>
      </c>
      <c r="B6" s="2"/>
      <c r="C6" s="2"/>
      <c r="D6" s="2"/>
    </row>
    <row r="7" spans="1:4" x14ac:dyDescent="0.25">
      <c r="A7" s="11" t="s">
        <v>41</v>
      </c>
      <c r="B7" s="11" t="s">
        <v>42</v>
      </c>
      <c r="C7" s="11"/>
      <c r="D7" s="11" t="s">
        <v>43</v>
      </c>
    </row>
    <row r="8" spans="1:4" x14ac:dyDescent="0.25">
      <c r="A8" s="9" t="s">
        <v>44</v>
      </c>
      <c r="B8" s="9">
        <v>0.18</v>
      </c>
      <c r="D8" s="10" t="s">
        <v>45</v>
      </c>
    </row>
    <row r="9" spans="1:4" x14ac:dyDescent="0.25">
      <c r="A9" s="9" t="s">
        <v>46</v>
      </c>
      <c r="B9" s="9">
        <v>4.1000000000000002E-2</v>
      </c>
      <c r="D9" s="10" t="s">
        <v>47</v>
      </c>
    </row>
    <row r="10" spans="1:4" x14ac:dyDescent="0.25">
      <c r="A10" s="9" t="s">
        <v>48</v>
      </c>
      <c r="B10" s="9">
        <v>8.8999999999999996E-2</v>
      </c>
      <c r="D10" s="10" t="s">
        <v>49</v>
      </c>
    </row>
    <row r="11" spans="1:4" x14ac:dyDescent="0.25">
      <c r="A11" s="9" t="s">
        <v>50</v>
      </c>
      <c r="B11" s="9">
        <v>0.17100000000000001</v>
      </c>
      <c r="D11" s="10" t="s">
        <v>51</v>
      </c>
    </row>
    <row r="12" spans="1:4" x14ac:dyDescent="0.25">
      <c r="A12" s="9" t="s">
        <v>52</v>
      </c>
      <c r="B12" s="9">
        <v>0.12</v>
      </c>
      <c r="D12" s="10" t="s">
        <v>53</v>
      </c>
    </row>
    <row r="13" spans="1:4" x14ac:dyDescent="0.25">
      <c r="A13" s="9" t="s">
        <v>54</v>
      </c>
      <c r="B13" s="9">
        <v>5.5E-2</v>
      </c>
      <c r="D13" s="10" t="s">
        <v>55</v>
      </c>
    </row>
    <row r="14" spans="1:4" x14ac:dyDescent="0.25">
      <c r="A14" s="9" t="s">
        <v>56</v>
      </c>
      <c r="B14" s="9">
        <v>0.15</v>
      </c>
      <c r="D14" s="10" t="s">
        <v>57</v>
      </c>
    </row>
    <row r="16" spans="1:4" ht="15.75" x14ac:dyDescent="0.25">
      <c r="A16" s="2" t="s">
        <v>58</v>
      </c>
      <c r="B16" s="2"/>
      <c r="C16" s="2"/>
      <c r="D16" s="2"/>
    </row>
    <row r="17" spans="1:4" x14ac:dyDescent="0.25">
      <c r="A17" s="11" t="s">
        <v>59</v>
      </c>
      <c r="B17" s="11" t="s">
        <v>60</v>
      </c>
      <c r="C17" s="11"/>
      <c r="D17" s="11" t="s">
        <v>43</v>
      </c>
    </row>
    <row r="18" spans="1:4" x14ac:dyDescent="0.25">
      <c r="A18" s="9" t="s">
        <v>61</v>
      </c>
      <c r="B18" s="9">
        <v>5.9999999999999995E-4</v>
      </c>
      <c r="D18" s="10" t="s">
        <v>62</v>
      </c>
    </row>
    <row r="19" spans="1:4" x14ac:dyDescent="0.25">
      <c r="A19" s="9" t="s">
        <v>63</v>
      </c>
      <c r="B19" s="9">
        <v>8.0000000000000004E-4</v>
      </c>
      <c r="D19" s="10" t="s">
        <v>64</v>
      </c>
    </row>
    <row r="20" spans="1:4" x14ac:dyDescent="0.25">
      <c r="A20" s="9" t="s">
        <v>65</v>
      </c>
      <c r="B20" s="9">
        <v>1.8E-3</v>
      </c>
      <c r="D20" s="10" t="s">
        <v>66</v>
      </c>
    </row>
    <row r="21" spans="1:4" x14ac:dyDescent="0.25">
      <c r="A21" s="9" t="s">
        <v>67</v>
      </c>
      <c r="B21" s="9">
        <v>3.0000000000000001E-3</v>
      </c>
      <c r="D21" s="10" t="s">
        <v>68</v>
      </c>
    </row>
    <row r="22" spans="1:4" x14ac:dyDescent="0.25">
      <c r="A22" s="9" t="s">
        <v>69</v>
      </c>
      <c r="B22" s="9">
        <v>4.4999999999999997E-3</v>
      </c>
      <c r="D22" s="10" t="s">
        <v>70</v>
      </c>
    </row>
    <row r="24" spans="1:4" ht="15.75" x14ac:dyDescent="0.25">
      <c r="A24" s="2" t="s">
        <v>71</v>
      </c>
      <c r="B24" s="2"/>
      <c r="C24" s="2"/>
      <c r="D24" s="2"/>
    </row>
    <row r="25" spans="1:4" x14ac:dyDescent="0.25">
      <c r="A25" s="11" t="s">
        <v>72</v>
      </c>
      <c r="B25" s="11" t="s">
        <v>73</v>
      </c>
      <c r="C25" s="11"/>
      <c r="D25" s="11" t="s">
        <v>43</v>
      </c>
    </row>
    <row r="26" spans="1:4" x14ac:dyDescent="0.25">
      <c r="A26" s="9" t="s">
        <v>74</v>
      </c>
      <c r="B26" s="9">
        <v>1.8E-3</v>
      </c>
      <c r="D26" s="10" t="s">
        <v>75</v>
      </c>
    </row>
    <row r="27" spans="1:4" x14ac:dyDescent="0.25">
      <c r="A27" s="9" t="s">
        <v>76</v>
      </c>
      <c r="B27" s="9">
        <v>2.8E-3</v>
      </c>
      <c r="D27" s="10" t="s">
        <v>77</v>
      </c>
    </row>
    <row r="28" spans="1:4" x14ac:dyDescent="0.25">
      <c r="A28" s="9" t="s">
        <v>78</v>
      </c>
      <c r="B28" s="9">
        <v>4.0000000000000001E-3</v>
      </c>
      <c r="D28" s="10" t="s">
        <v>79</v>
      </c>
    </row>
    <row r="30" spans="1:4" ht="15.75" x14ac:dyDescent="0.25">
      <c r="A30" s="2" t="s">
        <v>80</v>
      </c>
      <c r="B30" s="2"/>
      <c r="C30" s="2"/>
      <c r="D30" s="2"/>
    </row>
    <row r="31" spans="1:4" x14ac:dyDescent="0.25">
      <c r="A31" s="8" t="s">
        <v>81</v>
      </c>
      <c r="B31" s="9">
        <v>1E-4</v>
      </c>
      <c r="C31" s="10" t="s">
        <v>82</v>
      </c>
      <c r="D31" s="10" t="s">
        <v>83</v>
      </c>
    </row>
    <row r="33" spans="1:4" ht="15.75" x14ac:dyDescent="0.25">
      <c r="A33" s="2" t="s">
        <v>84</v>
      </c>
      <c r="B33" s="2"/>
      <c r="C33" s="2"/>
      <c r="D33" s="2"/>
    </row>
    <row r="34" spans="1:4" x14ac:dyDescent="0.25">
      <c r="A34" s="11" t="s">
        <v>85</v>
      </c>
      <c r="B34" s="11" t="s">
        <v>73</v>
      </c>
      <c r="C34" s="11"/>
      <c r="D34" s="11" t="s">
        <v>43</v>
      </c>
    </row>
    <row r="35" spans="1:4" x14ac:dyDescent="0.25">
      <c r="A35" s="9" t="s">
        <v>86</v>
      </c>
      <c r="B35" s="9">
        <v>1.1999999999999999E-3</v>
      </c>
      <c r="D35" s="10" t="s">
        <v>87</v>
      </c>
    </row>
    <row r="36" spans="1:4" x14ac:dyDescent="0.25">
      <c r="A36" s="9" t="s">
        <v>88</v>
      </c>
      <c r="B36" s="9">
        <v>5.9999999999999995E-4</v>
      </c>
      <c r="D36" s="10" t="s">
        <v>89</v>
      </c>
    </row>
    <row r="37" spans="1:4" x14ac:dyDescent="0.25">
      <c r="A37" s="9" t="s">
        <v>90</v>
      </c>
      <c r="B37" s="9">
        <v>2.0000000000000001E-4</v>
      </c>
      <c r="D37" s="10" t="s">
        <v>91</v>
      </c>
    </row>
  </sheetData>
  <mergeCells count="7">
    <mergeCell ref="A30:D30"/>
    <mergeCell ref="A33:D33"/>
    <mergeCell ref="A1:D1"/>
    <mergeCell ref="A3:D3"/>
    <mergeCell ref="A6:D6"/>
    <mergeCell ref="A16:D16"/>
    <mergeCell ref="A24:D2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2"/>
  <sheetViews>
    <sheetView showGridLines="0" zoomScaleNormal="100" workbookViewId="0">
      <pane ySplit="2" topLeftCell="A3" activePane="bottomLeft" state="frozen"/>
      <selection pane="bottomLeft" sqref="A1:O1"/>
    </sheetView>
  </sheetViews>
  <sheetFormatPr defaultColWidth="8.7109375" defaultRowHeight="15" x14ac:dyDescent="0.25"/>
  <cols>
    <col min="1" max="1" width="13" customWidth="1"/>
    <col min="2" max="2" width="24" customWidth="1"/>
    <col min="3" max="3" width="13" customWidth="1"/>
    <col min="4" max="4" width="15" customWidth="1"/>
    <col min="5" max="5" width="7" customWidth="1"/>
    <col min="6" max="6" width="9" customWidth="1"/>
    <col min="7" max="7" width="11" customWidth="1"/>
    <col min="8" max="8" width="15" customWidth="1"/>
    <col min="9" max="9" width="22" customWidth="1"/>
    <col min="10" max="10" width="15" customWidth="1"/>
    <col min="11" max="11" width="24" customWidth="1"/>
    <col min="12" max="12" width="12" customWidth="1"/>
    <col min="13" max="13" width="26" customWidth="1"/>
    <col min="14" max="14" width="20" customWidth="1"/>
    <col min="15" max="15" width="18" customWidth="1"/>
  </cols>
  <sheetData>
    <row r="1" spans="1:15" ht="25.5" customHeight="1" x14ac:dyDescent="0.25">
      <c r="A1" s="3" t="s">
        <v>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30" x14ac:dyDescent="0.25">
      <c r="A2" s="11" t="s">
        <v>93</v>
      </c>
      <c r="B2" s="11" t="s">
        <v>94</v>
      </c>
      <c r="C2" s="11" t="s">
        <v>95</v>
      </c>
      <c r="D2" s="11" t="s">
        <v>96</v>
      </c>
      <c r="E2" s="11" t="s">
        <v>97</v>
      </c>
      <c r="F2" s="11" t="s">
        <v>98</v>
      </c>
      <c r="G2" s="11" t="s">
        <v>99</v>
      </c>
      <c r="H2" s="11" t="s">
        <v>100</v>
      </c>
      <c r="I2" s="11" t="s">
        <v>101</v>
      </c>
      <c r="J2" s="11" t="s">
        <v>102</v>
      </c>
      <c r="K2" s="11" t="s">
        <v>103</v>
      </c>
      <c r="L2" s="11" t="s">
        <v>104</v>
      </c>
      <c r="M2" s="11" t="s">
        <v>105</v>
      </c>
      <c r="N2" s="11" t="s">
        <v>106</v>
      </c>
      <c r="O2" s="11" t="s">
        <v>107</v>
      </c>
    </row>
    <row r="3" spans="1:15" x14ac:dyDescent="0.25">
      <c r="A3" s="12" t="s">
        <v>108</v>
      </c>
      <c r="B3" s="12" t="s">
        <v>109</v>
      </c>
      <c r="C3" s="12" t="s">
        <v>110</v>
      </c>
      <c r="D3" s="12" t="s">
        <v>111</v>
      </c>
      <c r="E3" s="13">
        <v>66</v>
      </c>
      <c r="F3" s="12" t="s">
        <v>112</v>
      </c>
      <c r="G3" s="13">
        <v>2</v>
      </c>
      <c r="H3" s="13">
        <v>4</v>
      </c>
      <c r="I3" s="12" t="s">
        <v>44</v>
      </c>
      <c r="J3" s="14">
        <v>125.7</v>
      </c>
      <c r="K3" s="12" t="s">
        <v>61</v>
      </c>
      <c r="L3" s="13">
        <v>3</v>
      </c>
      <c r="M3" s="12" t="s">
        <v>74</v>
      </c>
      <c r="N3" s="15">
        <v>0.86</v>
      </c>
      <c r="O3" s="12" t="s">
        <v>113</v>
      </c>
    </row>
    <row r="4" spans="1:15" x14ac:dyDescent="0.25">
      <c r="A4" s="12" t="s">
        <v>114</v>
      </c>
      <c r="B4" s="12" t="s">
        <v>115</v>
      </c>
      <c r="C4" s="12" t="s">
        <v>110</v>
      </c>
      <c r="D4" s="12" t="s">
        <v>116</v>
      </c>
      <c r="E4" s="13">
        <v>47</v>
      </c>
      <c r="F4" s="12" t="s">
        <v>117</v>
      </c>
      <c r="G4" s="13">
        <v>1</v>
      </c>
      <c r="H4" s="13">
        <v>2</v>
      </c>
      <c r="I4" s="12" t="s">
        <v>54</v>
      </c>
      <c r="J4" s="14">
        <v>1329.3</v>
      </c>
      <c r="K4" s="12" t="s">
        <v>63</v>
      </c>
      <c r="L4" s="13">
        <v>1</v>
      </c>
      <c r="M4" s="12" t="s">
        <v>74</v>
      </c>
      <c r="N4" s="15">
        <v>0.54</v>
      </c>
      <c r="O4" s="12" t="s">
        <v>118</v>
      </c>
    </row>
    <row r="5" spans="1:15" x14ac:dyDescent="0.25">
      <c r="A5" s="12" t="s">
        <v>119</v>
      </c>
      <c r="B5" s="12" t="s">
        <v>109</v>
      </c>
      <c r="C5" s="12" t="s">
        <v>110</v>
      </c>
      <c r="D5" s="12" t="s">
        <v>111</v>
      </c>
      <c r="E5" s="13">
        <v>57</v>
      </c>
      <c r="F5" s="12" t="s">
        <v>112</v>
      </c>
      <c r="G5" s="13">
        <v>1</v>
      </c>
      <c r="H5" s="13">
        <v>4</v>
      </c>
      <c r="I5" s="12" t="s">
        <v>52</v>
      </c>
      <c r="J5" s="14">
        <v>225.6</v>
      </c>
      <c r="K5" s="12" t="s">
        <v>61</v>
      </c>
      <c r="L5" s="13">
        <v>3</v>
      </c>
      <c r="M5" s="12" t="s">
        <v>78</v>
      </c>
      <c r="N5" s="15">
        <v>0.39</v>
      </c>
      <c r="O5" s="12" t="s">
        <v>113</v>
      </c>
    </row>
    <row r="6" spans="1:15" x14ac:dyDescent="0.25">
      <c r="A6" s="12" t="s">
        <v>120</v>
      </c>
      <c r="B6" s="12" t="s">
        <v>121</v>
      </c>
      <c r="C6" s="12" t="s">
        <v>122</v>
      </c>
      <c r="D6" s="12" t="s">
        <v>123</v>
      </c>
      <c r="E6" s="13">
        <v>64</v>
      </c>
      <c r="F6" s="12" t="s">
        <v>112</v>
      </c>
      <c r="G6" s="13">
        <v>4</v>
      </c>
      <c r="H6" s="13">
        <v>3</v>
      </c>
      <c r="I6" s="12" t="s">
        <v>44</v>
      </c>
      <c r="J6" s="14">
        <v>6886.8</v>
      </c>
      <c r="K6" s="12" t="s">
        <v>67</v>
      </c>
      <c r="L6" s="13">
        <v>2</v>
      </c>
      <c r="M6" s="12" t="s">
        <v>78</v>
      </c>
      <c r="N6" s="15">
        <v>0.72</v>
      </c>
      <c r="O6" s="12" t="s">
        <v>113</v>
      </c>
    </row>
    <row r="7" spans="1:15" x14ac:dyDescent="0.25">
      <c r="A7" s="12" t="s">
        <v>124</v>
      </c>
      <c r="B7" s="12" t="s">
        <v>125</v>
      </c>
      <c r="C7" s="12" t="s">
        <v>110</v>
      </c>
      <c r="D7" s="12" t="s">
        <v>111</v>
      </c>
      <c r="E7" s="13">
        <v>63</v>
      </c>
      <c r="F7" s="12" t="s">
        <v>117</v>
      </c>
      <c r="G7" s="13">
        <v>2</v>
      </c>
      <c r="H7" s="13">
        <v>2</v>
      </c>
      <c r="I7" s="12" t="s">
        <v>52</v>
      </c>
      <c r="J7" s="14">
        <v>197.2</v>
      </c>
      <c r="K7" s="12" t="s">
        <v>65</v>
      </c>
      <c r="L7" s="13">
        <v>1</v>
      </c>
      <c r="M7" s="12" t="s">
        <v>74</v>
      </c>
      <c r="N7" s="15">
        <v>0.72</v>
      </c>
      <c r="O7" s="12" t="s">
        <v>118</v>
      </c>
    </row>
    <row r="8" spans="1:15" x14ac:dyDescent="0.25">
      <c r="A8" s="12" t="s">
        <v>126</v>
      </c>
      <c r="B8" s="12" t="s">
        <v>127</v>
      </c>
      <c r="C8" s="12" t="s">
        <v>110</v>
      </c>
      <c r="D8" s="12" t="s">
        <v>111</v>
      </c>
      <c r="E8" s="13">
        <v>22</v>
      </c>
      <c r="F8" s="12" t="s">
        <v>112</v>
      </c>
      <c r="G8" s="13">
        <v>1</v>
      </c>
      <c r="H8" s="13">
        <v>3</v>
      </c>
      <c r="I8" s="12" t="s">
        <v>50</v>
      </c>
      <c r="J8" s="14">
        <v>212.9</v>
      </c>
      <c r="K8" s="12" t="s">
        <v>63</v>
      </c>
      <c r="L8" s="13">
        <v>2</v>
      </c>
      <c r="M8" s="12" t="s">
        <v>74</v>
      </c>
      <c r="N8" s="15">
        <v>1.34</v>
      </c>
      <c r="O8" s="12" t="s">
        <v>118</v>
      </c>
    </row>
    <row r="9" spans="1:15" x14ac:dyDescent="0.25">
      <c r="A9" s="12" t="s">
        <v>128</v>
      </c>
      <c r="B9" s="12" t="s">
        <v>125</v>
      </c>
      <c r="C9" s="12" t="s">
        <v>110</v>
      </c>
      <c r="D9" s="12" t="s">
        <v>129</v>
      </c>
      <c r="E9" s="13">
        <v>60</v>
      </c>
      <c r="F9" s="12" t="s">
        <v>112</v>
      </c>
      <c r="G9" s="13">
        <v>5</v>
      </c>
      <c r="H9" s="13">
        <v>2</v>
      </c>
      <c r="I9" s="12" t="s">
        <v>46</v>
      </c>
      <c r="J9" s="14">
        <v>2027</v>
      </c>
      <c r="K9" s="12" t="s">
        <v>65</v>
      </c>
      <c r="L9" s="13">
        <v>1</v>
      </c>
      <c r="M9" s="12" t="s">
        <v>76</v>
      </c>
      <c r="N9" s="15">
        <v>1.1200000000000001</v>
      </c>
      <c r="O9" s="12" t="s">
        <v>113</v>
      </c>
    </row>
    <row r="10" spans="1:15" x14ac:dyDescent="0.25">
      <c r="A10" s="12" t="s">
        <v>130</v>
      </c>
      <c r="B10" s="12" t="s">
        <v>121</v>
      </c>
      <c r="C10" s="12" t="s">
        <v>110</v>
      </c>
      <c r="D10" s="12" t="s">
        <v>111</v>
      </c>
      <c r="E10" s="13">
        <v>51</v>
      </c>
      <c r="F10" s="12" t="s">
        <v>112</v>
      </c>
      <c r="G10" s="13">
        <v>1</v>
      </c>
      <c r="H10" s="13">
        <v>1</v>
      </c>
      <c r="I10" s="12" t="s">
        <v>46</v>
      </c>
      <c r="J10" s="14">
        <v>249.6</v>
      </c>
      <c r="K10" s="12" t="s">
        <v>65</v>
      </c>
      <c r="L10" s="13">
        <v>0</v>
      </c>
      <c r="M10" s="12" t="s">
        <v>76</v>
      </c>
      <c r="N10" s="15">
        <v>0.76</v>
      </c>
      <c r="O10" s="12" t="s">
        <v>113</v>
      </c>
    </row>
    <row r="11" spans="1:15" x14ac:dyDescent="0.25">
      <c r="A11" s="12" t="s">
        <v>131</v>
      </c>
      <c r="B11" s="12" t="s">
        <v>132</v>
      </c>
      <c r="C11" s="12" t="s">
        <v>110</v>
      </c>
      <c r="D11" s="12" t="s">
        <v>129</v>
      </c>
      <c r="E11" s="13">
        <v>54</v>
      </c>
      <c r="F11" s="12" t="s">
        <v>117</v>
      </c>
      <c r="G11" s="13">
        <v>1</v>
      </c>
      <c r="H11" s="13">
        <v>1</v>
      </c>
      <c r="I11" s="12" t="s">
        <v>54</v>
      </c>
      <c r="J11" s="14">
        <v>1077.0999999999999</v>
      </c>
      <c r="K11" s="12" t="s">
        <v>67</v>
      </c>
      <c r="L11" s="13">
        <v>0</v>
      </c>
      <c r="M11" s="12" t="s">
        <v>76</v>
      </c>
      <c r="N11" s="15">
        <v>1.1499999999999999</v>
      </c>
      <c r="O11" s="12" t="s">
        <v>113</v>
      </c>
    </row>
    <row r="12" spans="1:15" x14ac:dyDescent="0.25">
      <c r="A12" s="12" t="s">
        <v>133</v>
      </c>
      <c r="B12" s="12" t="s">
        <v>134</v>
      </c>
      <c r="C12" s="12" t="s">
        <v>110</v>
      </c>
      <c r="D12" s="12" t="s">
        <v>129</v>
      </c>
      <c r="E12" s="13">
        <v>65</v>
      </c>
      <c r="F12" s="12" t="s">
        <v>112</v>
      </c>
      <c r="G12" s="13">
        <v>3</v>
      </c>
      <c r="H12" s="13">
        <v>1</v>
      </c>
      <c r="I12" s="12" t="s">
        <v>56</v>
      </c>
      <c r="J12" s="14">
        <v>2130.6999999999998</v>
      </c>
      <c r="K12" s="12" t="s">
        <v>65</v>
      </c>
      <c r="L12" s="13">
        <v>0</v>
      </c>
      <c r="M12" s="12" t="s">
        <v>78</v>
      </c>
      <c r="N12" s="15">
        <v>0.86</v>
      </c>
      <c r="O12" s="12" t="s">
        <v>113</v>
      </c>
    </row>
    <row r="13" spans="1:15" x14ac:dyDescent="0.25">
      <c r="A13" s="12" t="s">
        <v>135</v>
      </c>
      <c r="B13" s="12" t="s">
        <v>125</v>
      </c>
      <c r="C13" s="12" t="s">
        <v>110</v>
      </c>
      <c r="D13" s="12" t="s">
        <v>129</v>
      </c>
      <c r="E13" s="13">
        <v>52</v>
      </c>
      <c r="F13" s="12" t="s">
        <v>117</v>
      </c>
      <c r="G13" s="13">
        <v>6</v>
      </c>
      <c r="H13" s="13">
        <v>4</v>
      </c>
      <c r="I13" s="12" t="s">
        <v>44</v>
      </c>
      <c r="J13" s="14">
        <v>1867.9</v>
      </c>
      <c r="K13" s="12" t="s">
        <v>61</v>
      </c>
      <c r="L13" s="13">
        <v>3</v>
      </c>
      <c r="M13" s="12" t="s">
        <v>76</v>
      </c>
      <c r="N13" s="15">
        <v>1.38</v>
      </c>
      <c r="O13" s="12" t="s">
        <v>118</v>
      </c>
    </row>
    <row r="14" spans="1:15" x14ac:dyDescent="0.25">
      <c r="A14" s="12" t="s">
        <v>136</v>
      </c>
      <c r="B14" s="12" t="s">
        <v>115</v>
      </c>
      <c r="C14" s="12" t="s">
        <v>110</v>
      </c>
      <c r="D14" s="12" t="s">
        <v>137</v>
      </c>
      <c r="E14" s="13">
        <v>24</v>
      </c>
      <c r="F14" s="12" t="s">
        <v>117</v>
      </c>
      <c r="G14" s="13">
        <v>2</v>
      </c>
      <c r="H14" s="13">
        <v>2</v>
      </c>
      <c r="I14" s="12" t="s">
        <v>46</v>
      </c>
      <c r="J14" s="14">
        <v>2120.4</v>
      </c>
      <c r="K14" s="12" t="s">
        <v>65</v>
      </c>
      <c r="L14" s="13">
        <v>1</v>
      </c>
      <c r="M14" s="12" t="s">
        <v>78</v>
      </c>
      <c r="N14" s="15">
        <v>0.48</v>
      </c>
      <c r="O14" s="12" t="s">
        <v>113</v>
      </c>
    </row>
    <row r="15" spans="1:15" x14ac:dyDescent="0.25">
      <c r="A15" s="12" t="s">
        <v>138</v>
      </c>
      <c r="B15" s="12" t="s">
        <v>121</v>
      </c>
      <c r="C15" s="12" t="s">
        <v>110</v>
      </c>
      <c r="D15" s="12" t="s">
        <v>111</v>
      </c>
      <c r="E15" s="13">
        <v>65</v>
      </c>
      <c r="F15" s="12" t="s">
        <v>117</v>
      </c>
      <c r="G15" s="13">
        <v>5</v>
      </c>
      <c r="H15" s="13">
        <v>4</v>
      </c>
      <c r="I15" s="12" t="s">
        <v>54</v>
      </c>
      <c r="J15" s="14">
        <v>176.3</v>
      </c>
      <c r="K15" s="12" t="s">
        <v>65</v>
      </c>
      <c r="L15" s="13">
        <v>3</v>
      </c>
      <c r="M15" s="12" t="s">
        <v>76</v>
      </c>
      <c r="N15" s="15">
        <v>0.87</v>
      </c>
      <c r="O15" s="12" t="s">
        <v>113</v>
      </c>
    </row>
    <row r="16" spans="1:15" x14ac:dyDescent="0.25">
      <c r="A16" s="12" t="s">
        <v>139</v>
      </c>
      <c r="B16" s="12" t="s">
        <v>115</v>
      </c>
      <c r="C16" s="12" t="s">
        <v>110</v>
      </c>
      <c r="D16" s="12" t="s">
        <v>111</v>
      </c>
      <c r="E16" s="13">
        <v>56</v>
      </c>
      <c r="F16" s="12" t="s">
        <v>112</v>
      </c>
      <c r="G16" s="13">
        <v>2</v>
      </c>
      <c r="H16" s="13">
        <v>1</v>
      </c>
      <c r="I16" s="12" t="s">
        <v>46</v>
      </c>
      <c r="J16" s="14">
        <v>178.6</v>
      </c>
      <c r="K16" s="12" t="s">
        <v>61</v>
      </c>
      <c r="L16" s="13">
        <v>0</v>
      </c>
      <c r="M16" s="12" t="s">
        <v>74</v>
      </c>
      <c r="N16" s="15">
        <v>0.66</v>
      </c>
      <c r="O16" s="12" t="s">
        <v>113</v>
      </c>
    </row>
    <row r="17" spans="1:15" x14ac:dyDescent="0.25">
      <c r="A17" s="12" t="s">
        <v>140</v>
      </c>
      <c r="B17" s="12" t="s">
        <v>134</v>
      </c>
      <c r="C17" s="12" t="s">
        <v>110</v>
      </c>
      <c r="D17" s="12" t="s">
        <v>111</v>
      </c>
      <c r="E17" s="13">
        <v>55</v>
      </c>
      <c r="F17" s="12" t="s">
        <v>117</v>
      </c>
      <c r="G17" s="13">
        <v>4</v>
      </c>
      <c r="H17" s="13">
        <v>4</v>
      </c>
      <c r="I17" s="12" t="s">
        <v>56</v>
      </c>
      <c r="J17" s="14">
        <v>111.2</v>
      </c>
      <c r="K17" s="12" t="s">
        <v>63</v>
      </c>
      <c r="L17" s="13">
        <v>3</v>
      </c>
      <c r="M17" s="12" t="s">
        <v>74</v>
      </c>
      <c r="N17" s="15">
        <v>1.02</v>
      </c>
      <c r="O17" s="12" t="s">
        <v>113</v>
      </c>
    </row>
    <row r="18" spans="1:15" x14ac:dyDescent="0.25">
      <c r="A18" s="12" t="s">
        <v>141</v>
      </c>
      <c r="B18" s="12" t="s">
        <v>132</v>
      </c>
      <c r="C18" s="12" t="s">
        <v>110</v>
      </c>
      <c r="D18" s="12" t="s">
        <v>142</v>
      </c>
      <c r="E18" s="13">
        <v>60</v>
      </c>
      <c r="F18" s="12" t="s">
        <v>112</v>
      </c>
      <c r="G18" s="13">
        <v>7</v>
      </c>
      <c r="H18" s="13">
        <v>3</v>
      </c>
      <c r="I18" s="12" t="s">
        <v>56</v>
      </c>
      <c r="J18" s="14">
        <v>1710</v>
      </c>
      <c r="K18" s="12" t="s">
        <v>67</v>
      </c>
      <c r="L18" s="13">
        <v>2</v>
      </c>
      <c r="M18" s="12" t="s">
        <v>74</v>
      </c>
      <c r="N18" s="15">
        <v>0.51</v>
      </c>
      <c r="O18" s="12" t="s">
        <v>113</v>
      </c>
    </row>
    <row r="19" spans="1:15" x14ac:dyDescent="0.25">
      <c r="A19" s="12" t="s">
        <v>143</v>
      </c>
      <c r="B19" s="12" t="s">
        <v>132</v>
      </c>
      <c r="C19" s="12" t="s">
        <v>110</v>
      </c>
      <c r="D19" s="12" t="s">
        <v>129</v>
      </c>
      <c r="E19" s="13">
        <v>23</v>
      </c>
      <c r="F19" s="12" t="s">
        <v>112</v>
      </c>
      <c r="G19" s="13">
        <v>2</v>
      </c>
      <c r="H19" s="13">
        <v>1</v>
      </c>
      <c r="I19" s="12" t="s">
        <v>54</v>
      </c>
      <c r="J19" s="14">
        <v>2011.7</v>
      </c>
      <c r="K19" s="12" t="s">
        <v>69</v>
      </c>
      <c r="L19" s="13">
        <v>0</v>
      </c>
      <c r="M19" s="12" t="s">
        <v>78</v>
      </c>
      <c r="N19" s="15">
        <v>1.37</v>
      </c>
      <c r="O19" s="12" t="s">
        <v>118</v>
      </c>
    </row>
    <row r="20" spans="1:15" x14ac:dyDescent="0.25">
      <c r="A20" s="12" t="s">
        <v>144</v>
      </c>
      <c r="B20" s="12" t="s">
        <v>115</v>
      </c>
      <c r="C20" s="12" t="s">
        <v>110</v>
      </c>
      <c r="D20" s="12" t="s">
        <v>129</v>
      </c>
      <c r="E20" s="13">
        <v>44</v>
      </c>
      <c r="F20" s="12" t="s">
        <v>117</v>
      </c>
      <c r="G20" s="13">
        <v>3</v>
      </c>
      <c r="H20" s="13">
        <v>4</v>
      </c>
      <c r="I20" s="12" t="s">
        <v>44</v>
      </c>
      <c r="J20" s="14">
        <v>1020.6</v>
      </c>
      <c r="K20" s="12" t="s">
        <v>69</v>
      </c>
      <c r="L20" s="13">
        <v>3</v>
      </c>
      <c r="M20" s="12" t="s">
        <v>74</v>
      </c>
      <c r="N20" s="15">
        <v>1.1599999999999999</v>
      </c>
      <c r="O20" s="12" t="s">
        <v>113</v>
      </c>
    </row>
    <row r="21" spans="1:15" x14ac:dyDescent="0.25">
      <c r="A21" s="12" t="s">
        <v>145</v>
      </c>
      <c r="B21" s="12" t="s">
        <v>132</v>
      </c>
      <c r="C21" s="12" t="s">
        <v>110</v>
      </c>
      <c r="D21" s="12" t="s">
        <v>142</v>
      </c>
      <c r="E21" s="13">
        <v>61</v>
      </c>
      <c r="F21" s="12" t="s">
        <v>117</v>
      </c>
      <c r="G21" s="13">
        <v>3</v>
      </c>
      <c r="H21" s="13">
        <v>2</v>
      </c>
      <c r="I21" s="12" t="s">
        <v>48</v>
      </c>
      <c r="J21" s="14">
        <v>1875</v>
      </c>
      <c r="K21" s="12" t="s">
        <v>63</v>
      </c>
      <c r="L21" s="13">
        <v>1</v>
      </c>
      <c r="M21" s="12" t="s">
        <v>74</v>
      </c>
      <c r="N21" s="15">
        <v>1.1100000000000001</v>
      </c>
      <c r="O21" s="12" t="s">
        <v>113</v>
      </c>
    </row>
    <row r="22" spans="1:15" x14ac:dyDescent="0.25">
      <c r="A22" s="12" t="s">
        <v>146</v>
      </c>
      <c r="B22" s="12" t="s">
        <v>125</v>
      </c>
      <c r="C22" s="12" t="s">
        <v>110</v>
      </c>
      <c r="D22" s="12" t="s">
        <v>129</v>
      </c>
      <c r="E22" s="13">
        <v>52</v>
      </c>
      <c r="F22" s="12" t="s">
        <v>112</v>
      </c>
      <c r="G22" s="13">
        <v>2</v>
      </c>
      <c r="H22" s="13">
        <v>2</v>
      </c>
      <c r="I22" s="12" t="s">
        <v>44</v>
      </c>
      <c r="J22" s="14">
        <v>1454.3</v>
      </c>
      <c r="K22" s="12" t="s">
        <v>65</v>
      </c>
      <c r="L22" s="13">
        <v>1</v>
      </c>
      <c r="M22" s="12" t="s">
        <v>76</v>
      </c>
      <c r="N22" s="15">
        <v>0.56000000000000005</v>
      </c>
      <c r="O22" s="12" t="s">
        <v>113</v>
      </c>
    </row>
    <row r="23" spans="1:15" x14ac:dyDescent="0.25">
      <c r="A23" s="12" t="s">
        <v>147</v>
      </c>
      <c r="B23" s="12" t="s">
        <v>121</v>
      </c>
      <c r="C23" s="12" t="s">
        <v>110</v>
      </c>
      <c r="D23" s="12" t="s">
        <v>129</v>
      </c>
      <c r="E23" s="13">
        <v>45</v>
      </c>
      <c r="F23" s="12" t="s">
        <v>117</v>
      </c>
      <c r="G23" s="13">
        <v>6</v>
      </c>
      <c r="H23" s="13">
        <v>3</v>
      </c>
      <c r="I23" s="12" t="s">
        <v>46</v>
      </c>
      <c r="J23" s="14">
        <v>1629.1</v>
      </c>
      <c r="K23" s="12" t="s">
        <v>65</v>
      </c>
      <c r="L23" s="13">
        <v>2</v>
      </c>
      <c r="M23" s="12" t="s">
        <v>76</v>
      </c>
      <c r="N23" s="15">
        <v>0.59</v>
      </c>
      <c r="O23" s="12" t="s">
        <v>113</v>
      </c>
    </row>
    <row r="24" spans="1:15" x14ac:dyDescent="0.25">
      <c r="A24" s="12" t="s">
        <v>148</v>
      </c>
      <c r="B24" s="12" t="s">
        <v>134</v>
      </c>
      <c r="C24" s="12" t="s">
        <v>110</v>
      </c>
      <c r="D24" s="12" t="s">
        <v>149</v>
      </c>
      <c r="E24" s="13">
        <v>19</v>
      </c>
      <c r="F24" s="12" t="s">
        <v>112</v>
      </c>
      <c r="G24" s="13">
        <v>2</v>
      </c>
      <c r="H24" s="13">
        <v>1</v>
      </c>
      <c r="I24" s="12" t="s">
        <v>52</v>
      </c>
      <c r="J24" s="14">
        <v>2103.6</v>
      </c>
      <c r="K24" s="12" t="s">
        <v>63</v>
      </c>
      <c r="L24" s="13">
        <v>0</v>
      </c>
      <c r="M24" s="12" t="s">
        <v>74</v>
      </c>
      <c r="N24" s="15">
        <v>1.33</v>
      </c>
      <c r="O24" s="12" t="s">
        <v>118</v>
      </c>
    </row>
    <row r="25" spans="1:15" x14ac:dyDescent="0.25">
      <c r="A25" s="12" t="s">
        <v>150</v>
      </c>
      <c r="B25" s="12" t="s">
        <v>115</v>
      </c>
      <c r="C25" s="12" t="s">
        <v>110</v>
      </c>
      <c r="D25" s="12" t="s">
        <v>111</v>
      </c>
      <c r="E25" s="13">
        <v>64</v>
      </c>
      <c r="F25" s="12" t="s">
        <v>112</v>
      </c>
      <c r="G25" s="13">
        <v>1</v>
      </c>
      <c r="H25" s="13">
        <v>3</v>
      </c>
      <c r="I25" s="12" t="s">
        <v>54</v>
      </c>
      <c r="J25" s="14">
        <v>223.4</v>
      </c>
      <c r="K25" s="12" t="s">
        <v>61</v>
      </c>
      <c r="L25" s="13">
        <v>2</v>
      </c>
      <c r="M25" s="12" t="s">
        <v>78</v>
      </c>
      <c r="N25" s="15">
        <v>0.59</v>
      </c>
      <c r="O25" s="12" t="s">
        <v>118</v>
      </c>
    </row>
    <row r="26" spans="1:15" x14ac:dyDescent="0.25">
      <c r="A26" s="12" t="s">
        <v>151</v>
      </c>
      <c r="B26" s="12" t="s">
        <v>127</v>
      </c>
      <c r="C26" s="12" t="s">
        <v>110</v>
      </c>
      <c r="D26" s="12" t="s">
        <v>111</v>
      </c>
      <c r="E26" s="13">
        <v>40</v>
      </c>
      <c r="F26" s="12" t="s">
        <v>112</v>
      </c>
      <c r="G26" s="13">
        <v>5</v>
      </c>
      <c r="H26" s="13">
        <v>4</v>
      </c>
      <c r="I26" s="12" t="s">
        <v>48</v>
      </c>
      <c r="J26" s="14">
        <v>123.7</v>
      </c>
      <c r="K26" s="12" t="s">
        <v>67</v>
      </c>
      <c r="L26" s="13">
        <v>3</v>
      </c>
      <c r="M26" s="12" t="s">
        <v>78</v>
      </c>
      <c r="N26" s="15">
        <v>0.4</v>
      </c>
      <c r="O26" s="12" t="s">
        <v>113</v>
      </c>
    </row>
    <row r="27" spans="1:15" x14ac:dyDescent="0.25">
      <c r="A27" s="12" t="s">
        <v>152</v>
      </c>
      <c r="B27" s="12" t="s">
        <v>134</v>
      </c>
      <c r="C27" s="12" t="s">
        <v>110</v>
      </c>
      <c r="D27" s="12" t="s">
        <v>111</v>
      </c>
      <c r="E27" s="13">
        <v>35</v>
      </c>
      <c r="F27" s="12" t="s">
        <v>112</v>
      </c>
      <c r="G27" s="13">
        <v>8</v>
      </c>
      <c r="H27" s="13">
        <v>4</v>
      </c>
      <c r="I27" s="12" t="s">
        <v>52</v>
      </c>
      <c r="J27" s="14">
        <v>110.9</v>
      </c>
      <c r="K27" s="12" t="s">
        <v>61</v>
      </c>
      <c r="L27" s="13">
        <v>3</v>
      </c>
      <c r="M27" s="12" t="s">
        <v>74</v>
      </c>
      <c r="N27" s="15">
        <v>1.27</v>
      </c>
      <c r="O27" s="12" t="s">
        <v>118</v>
      </c>
    </row>
    <row r="28" spans="1:15" x14ac:dyDescent="0.25">
      <c r="A28" s="12" t="s">
        <v>153</v>
      </c>
      <c r="B28" s="12" t="s">
        <v>127</v>
      </c>
      <c r="C28" s="12" t="s">
        <v>110</v>
      </c>
      <c r="D28" s="12" t="s">
        <v>111</v>
      </c>
      <c r="E28" s="13">
        <v>46</v>
      </c>
      <c r="F28" s="12" t="s">
        <v>112</v>
      </c>
      <c r="G28" s="13">
        <v>5</v>
      </c>
      <c r="H28" s="13">
        <v>3</v>
      </c>
      <c r="I28" s="12" t="s">
        <v>56</v>
      </c>
      <c r="J28" s="14">
        <v>178.4</v>
      </c>
      <c r="K28" s="12" t="s">
        <v>69</v>
      </c>
      <c r="L28" s="13">
        <v>2</v>
      </c>
      <c r="M28" s="12" t="s">
        <v>74</v>
      </c>
      <c r="N28" s="15">
        <v>0.69</v>
      </c>
      <c r="O28" s="12" t="s">
        <v>154</v>
      </c>
    </row>
    <row r="29" spans="1:15" x14ac:dyDescent="0.25">
      <c r="A29" s="12" t="s">
        <v>155</v>
      </c>
      <c r="B29" s="12" t="s">
        <v>109</v>
      </c>
      <c r="C29" s="12" t="s">
        <v>110</v>
      </c>
      <c r="D29" s="12" t="s">
        <v>129</v>
      </c>
      <c r="E29" s="13">
        <v>58</v>
      </c>
      <c r="F29" s="12" t="s">
        <v>117</v>
      </c>
      <c r="G29" s="13">
        <v>4</v>
      </c>
      <c r="H29" s="13">
        <v>2</v>
      </c>
      <c r="I29" s="12" t="s">
        <v>56</v>
      </c>
      <c r="J29" s="14">
        <v>2012.1</v>
      </c>
      <c r="K29" s="12" t="s">
        <v>67</v>
      </c>
      <c r="L29" s="13">
        <v>1</v>
      </c>
      <c r="M29" s="12" t="s">
        <v>78</v>
      </c>
      <c r="N29" s="15">
        <v>0.33</v>
      </c>
      <c r="O29" s="12" t="s">
        <v>118</v>
      </c>
    </row>
    <row r="30" spans="1:15" x14ac:dyDescent="0.25">
      <c r="A30" s="12" t="s">
        <v>156</v>
      </c>
      <c r="B30" s="12" t="s">
        <v>125</v>
      </c>
      <c r="C30" s="12" t="s">
        <v>110</v>
      </c>
      <c r="D30" s="12" t="s">
        <v>111</v>
      </c>
      <c r="E30" s="13">
        <v>66</v>
      </c>
      <c r="F30" s="12" t="s">
        <v>117</v>
      </c>
      <c r="G30" s="13">
        <v>5</v>
      </c>
      <c r="H30" s="13">
        <v>2</v>
      </c>
      <c r="I30" s="12" t="s">
        <v>56</v>
      </c>
      <c r="J30" s="14">
        <v>197.2</v>
      </c>
      <c r="K30" s="12" t="s">
        <v>65</v>
      </c>
      <c r="L30" s="13">
        <v>1</v>
      </c>
      <c r="M30" s="12" t="s">
        <v>76</v>
      </c>
      <c r="N30" s="15">
        <v>0.34</v>
      </c>
      <c r="O30" s="12" t="s">
        <v>113</v>
      </c>
    </row>
    <row r="31" spans="1:15" x14ac:dyDescent="0.25">
      <c r="A31" s="12" t="s">
        <v>157</v>
      </c>
      <c r="B31" s="12" t="s">
        <v>115</v>
      </c>
      <c r="C31" s="12" t="s">
        <v>110</v>
      </c>
      <c r="D31" s="12" t="s">
        <v>129</v>
      </c>
      <c r="E31" s="13">
        <v>33</v>
      </c>
      <c r="F31" s="12" t="s">
        <v>112</v>
      </c>
      <c r="G31" s="13">
        <v>4</v>
      </c>
      <c r="H31" s="13">
        <v>4</v>
      </c>
      <c r="I31" s="12" t="s">
        <v>48</v>
      </c>
      <c r="J31" s="14">
        <v>1157.8</v>
      </c>
      <c r="K31" s="12" t="s">
        <v>63</v>
      </c>
      <c r="L31" s="13">
        <v>3</v>
      </c>
      <c r="M31" s="12" t="s">
        <v>74</v>
      </c>
      <c r="N31" s="15">
        <v>1.1499999999999999</v>
      </c>
      <c r="O31" s="12" t="s">
        <v>113</v>
      </c>
    </row>
    <row r="32" spans="1:15" x14ac:dyDescent="0.25">
      <c r="A32" s="12" t="s">
        <v>158</v>
      </c>
      <c r="B32" s="12" t="s">
        <v>127</v>
      </c>
      <c r="C32" s="12" t="s">
        <v>110</v>
      </c>
      <c r="D32" s="12" t="s">
        <v>159</v>
      </c>
      <c r="E32" s="13">
        <v>20</v>
      </c>
      <c r="F32" s="12" t="s">
        <v>112</v>
      </c>
      <c r="G32" s="13">
        <v>5</v>
      </c>
      <c r="H32" s="13">
        <v>2</v>
      </c>
      <c r="I32" s="12" t="s">
        <v>52</v>
      </c>
      <c r="J32" s="14">
        <v>1504.3</v>
      </c>
      <c r="K32" s="12" t="s">
        <v>69</v>
      </c>
      <c r="L32" s="13">
        <v>1</v>
      </c>
      <c r="M32" s="12" t="s">
        <v>74</v>
      </c>
      <c r="N32" s="15">
        <v>0.42</v>
      </c>
      <c r="O32" s="12" t="s">
        <v>113</v>
      </c>
    </row>
    <row r="33" spans="1:15" x14ac:dyDescent="0.25">
      <c r="A33" s="12" t="s">
        <v>160</v>
      </c>
      <c r="B33" s="12" t="s">
        <v>125</v>
      </c>
      <c r="C33" s="12" t="s">
        <v>110</v>
      </c>
      <c r="D33" s="12" t="s">
        <v>159</v>
      </c>
      <c r="E33" s="13">
        <v>55</v>
      </c>
      <c r="F33" s="12" t="s">
        <v>112</v>
      </c>
      <c r="G33" s="13">
        <v>1</v>
      </c>
      <c r="H33" s="13">
        <v>4</v>
      </c>
      <c r="I33" s="12" t="s">
        <v>44</v>
      </c>
      <c r="J33" s="14">
        <v>873.5</v>
      </c>
      <c r="K33" s="12" t="s">
        <v>65</v>
      </c>
      <c r="L33" s="13">
        <v>3</v>
      </c>
      <c r="M33" s="12" t="s">
        <v>78</v>
      </c>
      <c r="N33" s="15">
        <v>1.06</v>
      </c>
      <c r="O33" s="12" t="s">
        <v>118</v>
      </c>
    </row>
    <row r="34" spans="1:15" x14ac:dyDescent="0.25">
      <c r="A34" s="12" t="s">
        <v>161</v>
      </c>
      <c r="B34" s="12" t="s">
        <v>115</v>
      </c>
      <c r="C34" s="12" t="s">
        <v>110</v>
      </c>
      <c r="D34" s="12" t="s">
        <v>111</v>
      </c>
      <c r="E34" s="13">
        <v>40</v>
      </c>
      <c r="F34" s="12" t="s">
        <v>117</v>
      </c>
      <c r="G34" s="13">
        <v>2</v>
      </c>
      <c r="H34" s="13">
        <v>3</v>
      </c>
      <c r="I34" s="12" t="s">
        <v>52</v>
      </c>
      <c r="J34" s="14">
        <v>196.3</v>
      </c>
      <c r="K34" s="12" t="s">
        <v>63</v>
      </c>
      <c r="L34" s="13">
        <v>2</v>
      </c>
      <c r="M34" s="12" t="s">
        <v>76</v>
      </c>
      <c r="N34" s="15">
        <v>0.74</v>
      </c>
      <c r="O34" s="12" t="s">
        <v>113</v>
      </c>
    </row>
    <row r="35" spans="1:15" x14ac:dyDescent="0.25">
      <c r="A35" s="12" t="s">
        <v>162</v>
      </c>
      <c r="B35" s="12" t="s">
        <v>163</v>
      </c>
      <c r="C35" s="12" t="s">
        <v>110</v>
      </c>
      <c r="D35" s="12" t="s">
        <v>116</v>
      </c>
      <c r="E35" s="13">
        <v>66</v>
      </c>
      <c r="F35" s="12" t="s">
        <v>117</v>
      </c>
      <c r="G35" s="13">
        <v>5</v>
      </c>
      <c r="H35" s="13">
        <v>4</v>
      </c>
      <c r="I35" s="12" t="s">
        <v>52</v>
      </c>
      <c r="J35" s="14">
        <v>1268.7</v>
      </c>
      <c r="K35" s="12" t="s">
        <v>67</v>
      </c>
      <c r="L35" s="13">
        <v>3</v>
      </c>
      <c r="M35" s="12" t="s">
        <v>76</v>
      </c>
      <c r="N35" s="15">
        <v>0.53</v>
      </c>
      <c r="O35" s="12" t="s">
        <v>118</v>
      </c>
    </row>
    <row r="36" spans="1:15" x14ac:dyDescent="0.25">
      <c r="A36" s="12" t="s">
        <v>164</v>
      </c>
      <c r="B36" s="12" t="s">
        <v>121</v>
      </c>
      <c r="C36" s="12" t="s">
        <v>110</v>
      </c>
      <c r="D36" s="12" t="s">
        <v>129</v>
      </c>
      <c r="E36" s="13">
        <v>32</v>
      </c>
      <c r="F36" s="12" t="s">
        <v>112</v>
      </c>
      <c r="G36" s="13">
        <v>3</v>
      </c>
      <c r="H36" s="13">
        <v>1</v>
      </c>
      <c r="I36" s="12" t="s">
        <v>48</v>
      </c>
      <c r="J36" s="14">
        <v>1363.2</v>
      </c>
      <c r="K36" s="12" t="s">
        <v>65</v>
      </c>
      <c r="L36" s="13">
        <v>0</v>
      </c>
      <c r="M36" s="12" t="s">
        <v>76</v>
      </c>
      <c r="N36" s="15">
        <v>0.67</v>
      </c>
      <c r="O36" s="12" t="s">
        <v>118</v>
      </c>
    </row>
    <row r="37" spans="1:15" x14ac:dyDescent="0.25">
      <c r="A37" s="12" t="s">
        <v>165</v>
      </c>
      <c r="B37" s="12" t="s">
        <v>115</v>
      </c>
      <c r="C37" s="12" t="s">
        <v>110</v>
      </c>
      <c r="D37" s="12" t="s">
        <v>111</v>
      </c>
      <c r="E37" s="13">
        <v>20</v>
      </c>
      <c r="F37" s="12" t="s">
        <v>112</v>
      </c>
      <c r="G37" s="13">
        <v>8</v>
      </c>
      <c r="H37" s="13">
        <v>1</v>
      </c>
      <c r="I37" s="12" t="s">
        <v>50</v>
      </c>
      <c r="J37" s="14">
        <v>121.9</v>
      </c>
      <c r="K37" s="12" t="s">
        <v>63</v>
      </c>
      <c r="L37" s="13">
        <v>0</v>
      </c>
      <c r="M37" s="12" t="s">
        <v>76</v>
      </c>
      <c r="N37" s="15">
        <v>0.51</v>
      </c>
      <c r="O37" s="12" t="s">
        <v>154</v>
      </c>
    </row>
    <row r="38" spans="1:15" x14ac:dyDescent="0.25">
      <c r="A38" s="12" t="s">
        <v>166</v>
      </c>
      <c r="B38" s="12" t="s">
        <v>167</v>
      </c>
      <c r="C38" s="12" t="s">
        <v>110</v>
      </c>
      <c r="D38" s="12" t="s">
        <v>111</v>
      </c>
      <c r="E38" s="13">
        <v>25</v>
      </c>
      <c r="F38" s="12" t="s">
        <v>117</v>
      </c>
      <c r="G38" s="13">
        <v>4</v>
      </c>
      <c r="H38" s="13">
        <v>2</v>
      </c>
      <c r="I38" s="12" t="s">
        <v>56</v>
      </c>
      <c r="J38" s="14">
        <v>200</v>
      </c>
      <c r="K38" s="12" t="s">
        <v>69</v>
      </c>
      <c r="L38" s="13">
        <v>1</v>
      </c>
      <c r="M38" s="12" t="s">
        <v>76</v>
      </c>
      <c r="N38" s="15">
        <v>0.36</v>
      </c>
      <c r="O38" s="12" t="s">
        <v>113</v>
      </c>
    </row>
    <row r="39" spans="1:15" x14ac:dyDescent="0.25">
      <c r="A39" s="12" t="s">
        <v>168</v>
      </c>
      <c r="B39" s="12" t="s">
        <v>109</v>
      </c>
      <c r="C39" s="12" t="s">
        <v>110</v>
      </c>
      <c r="D39" s="12" t="s">
        <v>137</v>
      </c>
      <c r="E39" s="13">
        <v>54</v>
      </c>
      <c r="F39" s="12" t="s">
        <v>117</v>
      </c>
      <c r="G39" s="13">
        <v>8</v>
      </c>
      <c r="H39" s="13">
        <v>4</v>
      </c>
      <c r="I39" s="12" t="s">
        <v>56</v>
      </c>
      <c r="J39" s="14">
        <v>1701.4</v>
      </c>
      <c r="K39" s="12" t="s">
        <v>67</v>
      </c>
      <c r="L39" s="13">
        <v>3</v>
      </c>
      <c r="M39" s="12" t="s">
        <v>76</v>
      </c>
      <c r="N39" s="15">
        <v>0.48</v>
      </c>
      <c r="O39" s="12" t="s">
        <v>118</v>
      </c>
    </row>
    <row r="40" spans="1:15" x14ac:dyDescent="0.25">
      <c r="A40" s="12" t="s">
        <v>169</v>
      </c>
      <c r="B40" s="12" t="s">
        <v>167</v>
      </c>
      <c r="C40" s="12" t="s">
        <v>110</v>
      </c>
      <c r="D40" s="12" t="s">
        <v>111</v>
      </c>
      <c r="E40" s="13">
        <v>52</v>
      </c>
      <c r="F40" s="12" t="s">
        <v>112</v>
      </c>
      <c r="G40" s="13">
        <v>4</v>
      </c>
      <c r="H40" s="13">
        <v>3</v>
      </c>
      <c r="I40" s="12" t="s">
        <v>50</v>
      </c>
      <c r="J40" s="14">
        <v>192</v>
      </c>
      <c r="K40" s="12" t="s">
        <v>61</v>
      </c>
      <c r="L40" s="13">
        <v>2</v>
      </c>
      <c r="M40" s="12" t="s">
        <v>74</v>
      </c>
      <c r="N40" s="15">
        <v>0.6</v>
      </c>
      <c r="O40" s="12" t="s">
        <v>113</v>
      </c>
    </row>
    <row r="41" spans="1:15" x14ac:dyDescent="0.25">
      <c r="A41" s="12" t="s">
        <v>170</v>
      </c>
      <c r="B41" s="12" t="s">
        <v>127</v>
      </c>
      <c r="C41" s="12" t="s">
        <v>110</v>
      </c>
      <c r="D41" s="12" t="s">
        <v>111</v>
      </c>
      <c r="E41" s="13">
        <v>28</v>
      </c>
      <c r="F41" s="12" t="s">
        <v>117</v>
      </c>
      <c r="G41" s="13">
        <v>2</v>
      </c>
      <c r="H41" s="13">
        <v>4</v>
      </c>
      <c r="I41" s="12" t="s">
        <v>50</v>
      </c>
      <c r="J41" s="14">
        <v>151.30000000000001</v>
      </c>
      <c r="K41" s="12" t="s">
        <v>63</v>
      </c>
      <c r="L41" s="13">
        <v>3</v>
      </c>
      <c r="M41" s="12" t="s">
        <v>76</v>
      </c>
      <c r="N41" s="15">
        <v>0.37</v>
      </c>
      <c r="O41" s="12" t="s">
        <v>118</v>
      </c>
    </row>
    <row r="42" spans="1:15" x14ac:dyDescent="0.25">
      <c r="A42" s="12" t="s">
        <v>171</v>
      </c>
      <c r="B42" s="12" t="s">
        <v>132</v>
      </c>
      <c r="C42" s="12" t="s">
        <v>122</v>
      </c>
      <c r="D42" s="12" t="s">
        <v>172</v>
      </c>
      <c r="E42" s="13">
        <v>20</v>
      </c>
      <c r="F42" s="12" t="s">
        <v>117</v>
      </c>
      <c r="G42" s="13">
        <v>7</v>
      </c>
      <c r="H42" s="13">
        <v>4</v>
      </c>
      <c r="I42" s="12" t="s">
        <v>44</v>
      </c>
      <c r="J42" s="14">
        <v>8730.2999999999993</v>
      </c>
      <c r="K42" s="12" t="s">
        <v>69</v>
      </c>
      <c r="L42" s="13">
        <v>3</v>
      </c>
      <c r="M42" s="12" t="s">
        <v>74</v>
      </c>
      <c r="N42" s="15">
        <v>0.73</v>
      </c>
      <c r="O42" s="12" t="s">
        <v>118</v>
      </c>
    </row>
    <row r="43" spans="1:15" x14ac:dyDescent="0.25">
      <c r="A43" s="12" t="s">
        <v>173</v>
      </c>
      <c r="B43" s="12" t="s">
        <v>132</v>
      </c>
      <c r="C43" s="12" t="s">
        <v>110</v>
      </c>
      <c r="D43" s="12" t="s">
        <v>142</v>
      </c>
      <c r="E43" s="13">
        <v>33</v>
      </c>
      <c r="F43" s="12" t="s">
        <v>112</v>
      </c>
      <c r="G43" s="13">
        <v>5</v>
      </c>
      <c r="H43" s="13">
        <v>4</v>
      </c>
      <c r="I43" s="12" t="s">
        <v>50</v>
      </c>
      <c r="J43" s="14">
        <v>1899.8</v>
      </c>
      <c r="K43" s="12" t="s">
        <v>61</v>
      </c>
      <c r="L43" s="13">
        <v>3</v>
      </c>
      <c r="M43" s="12" t="s">
        <v>76</v>
      </c>
      <c r="N43" s="15">
        <v>1.05</v>
      </c>
      <c r="O43" s="12" t="s">
        <v>113</v>
      </c>
    </row>
    <row r="44" spans="1:15" x14ac:dyDescent="0.25">
      <c r="A44" s="12" t="s">
        <v>174</v>
      </c>
      <c r="B44" s="12" t="s">
        <v>163</v>
      </c>
      <c r="C44" s="12" t="s">
        <v>110</v>
      </c>
      <c r="D44" s="12" t="s">
        <v>149</v>
      </c>
      <c r="E44" s="13">
        <v>53</v>
      </c>
      <c r="F44" s="12" t="s">
        <v>112</v>
      </c>
      <c r="G44" s="13">
        <v>7</v>
      </c>
      <c r="H44" s="13">
        <v>1</v>
      </c>
      <c r="I44" s="12" t="s">
        <v>44</v>
      </c>
      <c r="J44" s="14">
        <v>2171.1</v>
      </c>
      <c r="K44" s="12" t="s">
        <v>65</v>
      </c>
      <c r="L44" s="13">
        <v>0</v>
      </c>
      <c r="M44" s="12" t="s">
        <v>74</v>
      </c>
      <c r="N44" s="15">
        <v>0.81</v>
      </c>
      <c r="O44" s="12" t="s">
        <v>113</v>
      </c>
    </row>
    <row r="45" spans="1:15" x14ac:dyDescent="0.25">
      <c r="A45" s="12" t="s">
        <v>175</v>
      </c>
      <c r="B45" s="12" t="s">
        <v>132</v>
      </c>
      <c r="C45" s="12" t="s">
        <v>110</v>
      </c>
      <c r="D45" s="12" t="s">
        <v>129</v>
      </c>
      <c r="E45" s="13">
        <v>43</v>
      </c>
      <c r="F45" s="12" t="s">
        <v>112</v>
      </c>
      <c r="G45" s="13">
        <v>7</v>
      </c>
      <c r="H45" s="13">
        <v>3</v>
      </c>
      <c r="I45" s="12" t="s">
        <v>56</v>
      </c>
      <c r="J45" s="14">
        <v>1206.3</v>
      </c>
      <c r="K45" s="12" t="s">
        <v>61</v>
      </c>
      <c r="L45" s="13">
        <v>2</v>
      </c>
      <c r="M45" s="12" t="s">
        <v>74</v>
      </c>
      <c r="N45" s="15">
        <v>0.89</v>
      </c>
      <c r="O45" s="12" t="s">
        <v>118</v>
      </c>
    </row>
    <row r="46" spans="1:15" x14ac:dyDescent="0.25">
      <c r="A46" s="12" t="s">
        <v>176</v>
      </c>
      <c r="B46" s="12" t="s">
        <v>125</v>
      </c>
      <c r="C46" s="12" t="s">
        <v>110</v>
      </c>
      <c r="D46" s="12" t="s">
        <v>111</v>
      </c>
      <c r="E46" s="13">
        <v>21</v>
      </c>
      <c r="F46" s="12" t="s">
        <v>117</v>
      </c>
      <c r="G46" s="13">
        <v>4</v>
      </c>
      <c r="H46" s="13">
        <v>2</v>
      </c>
      <c r="I46" s="12" t="s">
        <v>56</v>
      </c>
      <c r="J46" s="14">
        <v>243.2</v>
      </c>
      <c r="K46" s="12" t="s">
        <v>61</v>
      </c>
      <c r="L46" s="13">
        <v>1</v>
      </c>
      <c r="M46" s="12" t="s">
        <v>74</v>
      </c>
      <c r="N46" s="15">
        <v>0.44</v>
      </c>
      <c r="O46" s="12" t="s">
        <v>154</v>
      </c>
    </row>
    <row r="47" spans="1:15" x14ac:dyDescent="0.25">
      <c r="A47" s="12" t="s">
        <v>177</v>
      </c>
      <c r="B47" s="12" t="s">
        <v>121</v>
      </c>
      <c r="C47" s="12" t="s">
        <v>122</v>
      </c>
      <c r="D47" s="12" t="s">
        <v>178</v>
      </c>
      <c r="E47" s="13">
        <v>42</v>
      </c>
      <c r="F47" s="12" t="s">
        <v>112</v>
      </c>
      <c r="G47" s="13">
        <v>2</v>
      </c>
      <c r="H47" s="13">
        <v>2</v>
      </c>
      <c r="I47" s="12" t="s">
        <v>48</v>
      </c>
      <c r="J47" s="14">
        <v>7497.3</v>
      </c>
      <c r="K47" s="12" t="s">
        <v>61</v>
      </c>
      <c r="L47" s="13">
        <v>1</v>
      </c>
      <c r="M47" s="12" t="s">
        <v>74</v>
      </c>
      <c r="N47" s="15">
        <v>0.64</v>
      </c>
      <c r="O47" s="12" t="s">
        <v>154</v>
      </c>
    </row>
    <row r="48" spans="1:15" x14ac:dyDescent="0.25">
      <c r="A48" s="12" t="s">
        <v>179</v>
      </c>
      <c r="B48" s="12" t="s">
        <v>132</v>
      </c>
      <c r="C48" s="12" t="s">
        <v>110</v>
      </c>
      <c r="D48" s="12" t="s">
        <v>116</v>
      </c>
      <c r="E48" s="13">
        <v>63</v>
      </c>
      <c r="F48" s="12" t="s">
        <v>117</v>
      </c>
      <c r="G48" s="13">
        <v>4</v>
      </c>
      <c r="H48" s="13">
        <v>1</v>
      </c>
      <c r="I48" s="12" t="s">
        <v>54</v>
      </c>
      <c r="J48" s="14">
        <v>814</v>
      </c>
      <c r="K48" s="12" t="s">
        <v>65</v>
      </c>
      <c r="L48" s="13">
        <v>0</v>
      </c>
      <c r="M48" s="12" t="s">
        <v>78</v>
      </c>
      <c r="N48" s="15">
        <v>0.96</v>
      </c>
      <c r="O48" s="12" t="s">
        <v>113</v>
      </c>
    </row>
    <row r="49" spans="1:15" x14ac:dyDescent="0.25">
      <c r="A49" s="12" t="s">
        <v>180</v>
      </c>
      <c r="B49" s="12" t="s">
        <v>121</v>
      </c>
      <c r="C49" s="12" t="s">
        <v>110</v>
      </c>
      <c r="D49" s="12" t="s">
        <v>111</v>
      </c>
      <c r="E49" s="13">
        <v>42</v>
      </c>
      <c r="F49" s="12" t="s">
        <v>112</v>
      </c>
      <c r="G49" s="13">
        <v>6</v>
      </c>
      <c r="H49" s="13">
        <v>1</v>
      </c>
      <c r="I49" s="12" t="s">
        <v>56</v>
      </c>
      <c r="J49" s="14">
        <v>158.5</v>
      </c>
      <c r="K49" s="12" t="s">
        <v>63</v>
      </c>
      <c r="L49" s="13">
        <v>0</v>
      </c>
      <c r="M49" s="12" t="s">
        <v>76</v>
      </c>
      <c r="N49" s="15">
        <v>0.78</v>
      </c>
      <c r="O49" s="12" t="s">
        <v>113</v>
      </c>
    </row>
    <row r="50" spans="1:15" x14ac:dyDescent="0.25">
      <c r="A50" s="12" t="s">
        <v>181</v>
      </c>
      <c r="B50" s="12" t="s">
        <v>167</v>
      </c>
      <c r="C50" s="12" t="s">
        <v>110</v>
      </c>
      <c r="D50" s="12" t="s">
        <v>111</v>
      </c>
      <c r="E50" s="13">
        <v>60</v>
      </c>
      <c r="F50" s="12" t="s">
        <v>112</v>
      </c>
      <c r="G50" s="13">
        <v>8</v>
      </c>
      <c r="H50" s="13">
        <v>4</v>
      </c>
      <c r="I50" s="12" t="s">
        <v>50</v>
      </c>
      <c r="J50" s="14">
        <v>207.4</v>
      </c>
      <c r="K50" s="12" t="s">
        <v>67</v>
      </c>
      <c r="L50" s="13">
        <v>3</v>
      </c>
      <c r="M50" s="12" t="s">
        <v>76</v>
      </c>
      <c r="N50" s="15">
        <v>0.65</v>
      </c>
      <c r="O50" s="12" t="s">
        <v>113</v>
      </c>
    </row>
    <row r="51" spans="1:15" x14ac:dyDescent="0.25">
      <c r="A51" s="12" t="s">
        <v>182</v>
      </c>
      <c r="B51" s="12" t="s">
        <v>109</v>
      </c>
      <c r="C51" s="12" t="s">
        <v>110</v>
      </c>
      <c r="D51" s="12" t="s">
        <v>129</v>
      </c>
      <c r="E51" s="13">
        <v>55</v>
      </c>
      <c r="F51" s="12" t="s">
        <v>117</v>
      </c>
      <c r="G51" s="13">
        <v>7</v>
      </c>
      <c r="H51" s="13">
        <v>3</v>
      </c>
      <c r="I51" s="12" t="s">
        <v>44</v>
      </c>
      <c r="J51" s="14">
        <v>1825.7</v>
      </c>
      <c r="K51" s="12" t="s">
        <v>63</v>
      </c>
      <c r="L51" s="13">
        <v>2</v>
      </c>
      <c r="M51" s="12" t="s">
        <v>76</v>
      </c>
      <c r="N51" s="15">
        <v>0.84</v>
      </c>
      <c r="O51" s="12" t="s">
        <v>113</v>
      </c>
    </row>
    <row r="52" spans="1:15" x14ac:dyDescent="0.25">
      <c r="A52" s="12" t="s">
        <v>183</v>
      </c>
      <c r="B52" s="12" t="s">
        <v>134</v>
      </c>
      <c r="C52" s="12" t="s">
        <v>110</v>
      </c>
      <c r="D52" s="12" t="s">
        <v>149</v>
      </c>
      <c r="E52" s="13">
        <v>36</v>
      </c>
      <c r="F52" s="12" t="s">
        <v>117</v>
      </c>
      <c r="G52" s="13">
        <v>4</v>
      </c>
      <c r="H52" s="13">
        <v>1</v>
      </c>
      <c r="I52" s="12" t="s">
        <v>46</v>
      </c>
      <c r="J52" s="14">
        <v>1751.8</v>
      </c>
      <c r="K52" s="12" t="s">
        <v>65</v>
      </c>
      <c r="L52" s="13">
        <v>0</v>
      </c>
      <c r="M52" s="12" t="s">
        <v>76</v>
      </c>
      <c r="N52" s="15">
        <v>1.1299999999999999</v>
      </c>
      <c r="O52" s="12" t="s">
        <v>154</v>
      </c>
    </row>
    <row r="53" spans="1:15" x14ac:dyDescent="0.25">
      <c r="A53" s="12" t="s">
        <v>184</v>
      </c>
      <c r="B53" s="12" t="s">
        <v>167</v>
      </c>
      <c r="C53" s="12" t="s">
        <v>110</v>
      </c>
      <c r="D53" s="12" t="s">
        <v>111</v>
      </c>
      <c r="E53" s="13">
        <v>44</v>
      </c>
      <c r="F53" s="12" t="s">
        <v>117</v>
      </c>
      <c r="G53" s="13">
        <v>5</v>
      </c>
      <c r="H53" s="13">
        <v>3</v>
      </c>
      <c r="I53" s="12" t="s">
        <v>50</v>
      </c>
      <c r="J53" s="14">
        <v>137.1</v>
      </c>
      <c r="K53" s="12" t="s">
        <v>65</v>
      </c>
      <c r="L53" s="13">
        <v>2</v>
      </c>
      <c r="M53" s="12" t="s">
        <v>76</v>
      </c>
      <c r="N53" s="15">
        <v>1.4</v>
      </c>
      <c r="O53" s="12" t="s">
        <v>154</v>
      </c>
    </row>
    <row r="54" spans="1:15" x14ac:dyDescent="0.25">
      <c r="A54" s="12" t="s">
        <v>185</v>
      </c>
      <c r="B54" s="12" t="s">
        <v>125</v>
      </c>
      <c r="C54" s="12" t="s">
        <v>110</v>
      </c>
      <c r="D54" s="12" t="s">
        <v>111</v>
      </c>
      <c r="E54" s="13">
        <v>26</v>
      </c>
      <c r="F54" s="12" t="s">
        <v>117</v>
      </c>
      <c r="G54" s="13">
        <v>6</v>
      </c>
      <c r="H54" s="13">
        <v>1</v>
      </c>
      <c r="I54" s="12" t="s">
        <v>54</v>
      </c>
      <c r="J54" s="14">
        <v>130.19999999999999</v>
      </c>
      <c r="K54" s="12" t="s">
        <v>65</v>
      </c>
      <c r="L54" s="13">
        <v>0</v>
      </c>
      <c r="M54" s="12" t="s">
        <v>76</v>
      </c>
      <c r="N54" s="15">
        <v>0.5</v>
      </c>
      <c r="O54" s="12" t="s">
        <v>113</v>
      </c>
    </row>
    <row r="55" spans="1:15" x14ac:dyDescent="0.25">
      <c r="A55" s="12" t="s">
        <v>186</v>
      </c>
      <c r="B55" s="12" t="s">
        <v>167</v>
      </c>
      <c r="C55" s="12" t="s">
        <v>110</v>
      </c>
      <c r="D55" s="12" t="s">
        <v>129</v>
      </c>
      <c r="E55" s="13">
        <v>57</v>
      </c>
      <c r="F55" s="12" t="s">
        <v>112</v>
      </c>
      <c r="G55" s="13">
        <v>2</v>
      </c>
      <c r="H55" s="13">
        <v>2</v>
      </c>
      <c r="I55" s="12" t="s">
        <v>48</v>
      </c>
      <c r="J55" s="14">
        <v>1840.3</v>
      </c>
      <c r="K55" s="12" t="s">
        <v>63</v>
      </c>
      <c r="L55" s="13">
        <v>1</v>
      </c>
      <c r="M55" s="12" t="s">
        <v>74</v>
      </c>
      <c r="N55" s="15">
        <v>0.32</v>
      </c>
      <c r="O55" s="12" t="s">
        <v>113</v>
      </c>
    </row>
    <row r="56" spans="1:15" x14ac:dyDescent="0.25">
      <c r="A56" s="12" t="s">
        <v>187</v>
      </c>
      <c r="B56" s="12" t="s">
        <v>134</v>
      </c>
      <c r="C56" s="12" t="s">
        <v>110</v>
      </c>
      <c r="D56" s="12" t="s">
        <v>111</v>
      </c>
      <c r="E56" s="13">
        <v>27</v>
      </c>
      <c r="F56" s="12" t="s">
        <v>117</v>
      </c>
      <c r="G56" s="13">
        <v>8</v>
      </c>
      <c r="H56" s="13">
        <v>1</v>
      </c>
      <c r="I56" s="12" t="s">
        <v>56</v>
      </c>
      <c r="J56" s="14">
        <v>136.69999999999999</v>
      </c>
      <c r="K56" s="12" t="s">
        <v>61</v>
      </c>
      <c r="L56" s="13">
        <v>0</v>
      </c>
      <c r="M56" s="12" t="s">
        <v>74</v>
      </c>
      <c r="N56" s="15">
        <v>0.83</v>
      </c>
      <c r="O56" s="12" t="s">
        <v>113</v>
      </c>
    </row>
    <row r="57" spans="1:15" x14ac:dyDescent="0.25">
      <c r="A57" s="12" t="s">
        <v>188</v>
      </c>
      <c r="B57" s="12" t="s">
        <v>189</v>
      </c>
      <c r="C57" s="12" t="s">
        <v>110</v>
      </c>
      <c r="D57" s="12" t="s">
        <v>137</v>
      </c>
      <c r="E57" s="13">
        <v>23</v>
      </c>
      <c r="F57" s="12" t="s">
        <v>112</v>
      </c>
      <c r="G57" s="13">
        <v>2</v>
      </c>
      <c r="H57" s="13">
        <v>1</v>
      </c>
      <c r="I57" s="12" t="s">
        <v>46</v>
      </c>
      <c r="J57" s="14">
        <v>871.1</v>
      </c>
      <c r="K57" s="12" t="s">
        <v>61</v>
      </c>
      <c r="L57" s="13">
        <v>0</v>
      </c>
      <c r="M57" s="12" t="s">
        <v>76</v>
      </c>
      <c r="N57" s="15">
        <v>0.63</v>
      </c>
      <c r="O57" s="12" t="s">
        <v>118</v>
      </c>
    </row>
    <row r="58" spans="1:15" x14ac:dyDescent="0.25">
      <c r="A58" s="12" t="s">
        <v>190</v>
      </c>
      <c r="B58" s="12" t="s">
        <v>109</v>
      </c>
      <c r="C58" s="12" t="s">
        <v>110</v>
      </c>
      <c r="D58" s="12" t="s">
        <v>111</v>
      </c>
      <c r="E58" s="13">
        <v>58</v>
      </c>
      <c r="F58" s="12" t="s">
        <v>112</v>
      </c>
      <c r="G58" s="13">
        <v>7</v>
      </c>
      <c r="H58" s="13">
        <v>4</v>
      </c>
      <c r="I58" s="12" t="s">
        <v>50</v>
      </c>
      <c r="J58" s="14">
        <v>185.4</v>
      </c>
      <c r="K58" s="12" t="s">
        <v>63</v>
      </c>
      <c r="L58" s="13">
        <v>3</v>
      </c>
      <c r="M58" s="12" t="s">
        <v>76</v>
      </c>
      <c r="N58" s="15">
        <v>0.77</v>
      </c>
      <c r="O58" s="12" t="s">
        <v>154</v>
      </c>
    </row>
    <row r="59" spans="1:15" x14ac:dyDescent="0.25">
      <c r="A59" s="12" t="s">
        <v>191</v>
      </c>
      <c r="B59" s="12" t="s">
        <v>189</v>
      </c>
      <c r="C59" s="12" t="s">
        <v>110</v>
      </c>
      <c r="D59" s="12" t="s">
        <v>142</v>
      </c>
      <c r="E59" s="13">
        <v>32</v>
      </c>
      <c r="F59" s="12" t="s">
        <v>117</v>
      </c>
      <c r="G59" s="13">
        <v>5</v>
      </c>
      <c r="H59" s="13">
        <v>1</v>
      </c>
      <c r="I59" s="12" t="s">
        <v>46</v>
      </c>
      <c r="J59" s="14">
        <v>2121.4</v>
      </c>
      <c r="K59" s="12" t="s">
        <v>63</v>
      </c>
      <c r="L59" s="13">
        <v>0</v>
      </c>
      <c r="M59" s="12" t="s">
        <v>76</v>
      </c>
      <c r="N59" s="15">
        <v>0.47</v>
      </c>
      <c r="O59" s="12" t="s">
        <v>113</v>
      </c>
    </row>
    <row r="60" spans="1:15" x14ac:dyDescent="0.25">
      <c r="A60" s="12" t="s">
        <v>192</v>
      </c>
      <c r="B60" s="12" t="s">
        <v>121</v>
      </c>
      <c r="C60" s="12" t="s">
        <v>110</v>
      </c>
      <c r="D60" s="12" t="s">
        <v>111</v>
      </c>
      <c r="E60" s="13">
        <v>37</v>
      </c>
      <c r="F60" s="12" t="s">
        <v>117</v>
      </c>
      <c r="G60" s="13">
        <v>8</v>
      </c>
      <c r="H60" s="13">
        <v>1</v>
      </c>
      <c r="I60" s="12" t="s">
        <v>54</v>
      </c>
      <c r="J60" s="14">
        <v>136.1</v>
      </c>
      <c r="K60" s="12" t="s">
        <v>63</v>
      </c>
      <c r="L60" s="13">
        <v>0</v>
      </c>
      <c r="M60" s="12" t="s">
        <v>74</v>
      </c>
      <c r="N60" s="15">
        <v>1.17</v>
      </c>
      <c r="O60" s="12" t="s">
        <v>154</v>
      </c>
    </row>
    <row r="61" spans="1:15" x14ac:dyDescent="0.25">
      <c r="A61" s="12" t="s">
        <v>193</v>
      </c>
      <c r="B61" s="12" t="s">
        <v>115</v>
      </c>
      <c r="C61" s="12" t="s">
        <v>110</v>
      </c>
      <c r="D61" s="12" t="s">
        <v>129</v>
      </c>
      <c r="E61" s="13">
        <v>36</v>
      </c>
      <c r="F61" s="12" t="s">
        <v>117</v>
      </c>
      <c r="G61" s="13">
        <v>2</v>
      </c>
      <c r="H61" s="13">
        <v>1</v>
      </c>
      <c r="I61" s="12" t="s">
        <v>46</v>
      </c>
      <c r="J61" s="14">
        <v>1671.5</v>
      </c>
      <c r="K61" s="12" t="s">
        <v>67</v>
      </c>
      <c r="L61" s="13">
        <v>0</v>
      </c>
      <c r="M61" s="12" t="s">
        <v>76</v>
      </c>
      <c r="N61" s="15">
        <v>1.21</v>
      </c>
      <c r="O61" s="12" t="s">
        <v>118</v>
      </c>
    </row>
    <row r="62" spans="1:15" x14ac:dyDescent="0.25">
      <c r="A62" s="12" t="s">
        <v>194</v>
      </c>
      <c r="B62" s="12" t="s">
        <v>167</v>
      </c>
      <c r="C62" s="12" t="s">
        <v>110</v>
      </c>
      <c r="D62" s="12" t="s">
        <v>116</v>
      </c>
      <c r="E62" s="13">
        <v>36</v>
      </c>
      <c r="F62" s="12" t="s">
        <v>112</v>
      </c>
      <c r="G62" s="13">
        <v>8</v>
      </c>
      <c r="H62" s="13">
        <v>4</v>
      </c>
      <c r="I62" s="12" t="s">
        <v>44</v>
      </c>
      <c r="J62" s="14">
        <v>1749.6</v>
      </c>
      <c r="K62" s="12" t="s">
        <v>65</v>
      </c>
      <c r="L62" s="13">
        <v>3</v>
      </c>
      <c r="M62" s="12" t="s">
        <v>78</v>
      </c>
      <c r="N62" s="15">
        <v>1.1100000000000001</v>
      </c>
      <c r="O62" s="12" t="s">
        <v>154</v>
      </c>
    </row>
    <row r="63" spans="1:15" x14ac:dyDescent="0.25">
      <c r="A63" s="12" t="s">
        <v>195</v>
      </c>
      <c r="B63" s="12" t="s">
        <v>189</v>
      </c>
      <c r="C63" s="12" t="s">
        <v>110</v>
      </c>
      <c r="D63" s="12" t="s">
        <v>159</v>
      </c>
      <c r="E63" s="13">
        <v>55</v>
      </c>
      <c r="F63" s="12" t="s">
        <v>117</v>
      </c>
      <c r="G63" s="13">
        <v>1</v>
      </c>
      <c r="H63" s="13">
        <v>3</v>
      </c>
      <c r="I63" s="12" t="s">
        <v>52</v>
      </c>
      <c r="J63" s="14">
        <v>1953.9</v>
      </c>
      <c r="K63" s="12" t="s">
        <v>61</v>
      </c>
      <c r="L63" s="13">
        <v>2</v>
      </c>
      <c r="M63" s="12" t="s">
        <v>76</v>
      </c>
      <c r="N63" s="15">
        <v>0.82</v>
      </c>
      <c r="O63" s="12" t="s">
        <v>154</v>
      </c>
    </row>
    <row r="64" spans="1:15" x14ac:dyDescent="0.25">
      <c r="A64" s="12" t="s">
        <v>196</v>
      </c>
      <c r="B64" s="12" t="s">
        <v>134</v>
      </c>
      <c r="C64" s="12" t="s">
        <v>110</v>
      </c>
      <c r="D64" s="12" t="s">
        <v>129</v>
      </c>
      <c r="E64" s="13">
        <v>50</v>
      </c>
      <c r="F64" s="12" t="s">
        <v>117</v>
      </c>
      <c r="G64" s="13">
        <v>8</v>
      </c>
      <c r="H64" s="13">
        <v>3</v>
      </c>
      <c r="I64" s="12" t="s">
        <v>50</v>
      </c>
      <c r="J64" s="14">
        <v>1652.2</v>
      </c>
      <c r="K64" s="12" t="s">
        <v>63</v>
      </c>
      <c r="L64" s="13">
        <v>2</v>
      </c>
      <c r="M64" s="12" t="s">
        <v>76</v>
      </c>
      <c r="N64" s="15">
        <v>1.24</v>
      </c>
      <c r="O64" s="12" t="s">
        <v>113</v>
      </c>
    </row>
    <row r="65" spans="1:15" x14ac:dyDescent="0.25">
      <c r="A65" s="12" t="s">
        <v>197</v>
      </c>
      <c r="B65" s="12" t="s">
        <v>167</v>
      </c>
      <c r="C65" s="12" t="s">
        <v>110</v>
      </c>
      <c r="D65" s="12" t="s">
        <v>149</v>
      </c>
      <c r="E65" s="13">
        <v>54</v>
      </c>
      <c r="F65" s="12" t="s">
        <v>112</v>
      </c>
      <c r="G65" s="13">
        <v>2</v>
      </c>
      <c r="H65" s="13">
        <v>3</v>
      </c>
      <c r="I65" s="12" t="s">
        <v>48</v>
      </c>
      <c r="J65" s="14">
        <v>1920.3</v>
      </c>
      <c r="K65" s="12" t="s">
        <v>63</v>
      </c>
      <c r="L65" s="13">
        <v>2</v>
      </c>
      <c r="M65" s="12" t="s">
        <v>78</v>
      </c>
      <c r="N65" s="15">
        <v>0.74</v>
      </c>
      <c r="O65" s="12" t="s">
        <v>113</v>
      </c>
    </row>
    <row r="66" spans="1:15" x14ac:dyDescent="0.25">
      <c r="A66" s="12" t="s">
        <v>198</v>
      </c>
      <c r="B66" s="12" t="s">
        <v>189</v>
      </c>
      <c r="C66" s="12" t="s">
        <v>110</v>
      </c>
      <c r="D66" s="12" t="s">
        <v>129</v>
      </c>
      <c r="E66" s="13">
        <v>31</v>
      </c>
      <c r="F66" s="12" t="s">
        <v>112</v>
      </c>
      <c r="G66" s="13">
        <v>8</v>
      </c>
      <c r="H66" s="13">
        <v>4</v>
      </c>
      <c r="I66" s="12" t="s">
        <v>56</v>
      </c>
      <c r="J66" s="14">
        <v>1319.9</v>
      </c>
      <c r="K66" s="12" t="s">
        <v>61</v>
      </c>
      <c r="L66" s="13">
        <v>3</v>
      </c>
      <c r="M66" s="12" t="s">
        <v>74</v>
      </c>
      <c r="N66" s="15">
        <v>0.44</v>
      </c>
      <c r="O66" s="12" t="s">
        <v>113</v>
      </c>
    </row>
    <row r="67" spans="1:15" x14ac:dyDescent="0.25">
      <c r="A67" s="12" t="s">
        <v>199</v>
      </c>
      <c r="B67" s="12" t="s">
        <v>167</v>
      </c>
      <c r="C67" s="12" t="s">
        <v>110</v>
      </c>
      <c r="D67" s="12" t="s">
        <v>159</v>
      </c>
      <c r="E67" s="13">
        <v>34</v>
      </c>
      <c r="F67" s="12" t="s">
        <v>117</v>
      </c>
      <c r="G67" s="13">
        <v>5</v>
      </c>
      <c r="H67" s="13">
        <v>1</v>
      </c>
      <c r="I67" s="12" t="s">
        <v>52</v>
      </c>
      <c r="J67" s="14">
        <v>1613.3</v>
      </c>
      <c r="K67" s="12" t="s">
        <v>63</v>
      </c>
      <c r="L67" s="13">
        <v>0</v>
      </c>
      <c r="M67" s="12" t="s">
        <v>74</v>
      </c>
      <c r="N67" s="15">
        <v>1.23</v>
      </c>
      <c r="O67" s="12" t="s">
        <v>113</v>
      </c>
    </row>
    <row r="68" spans="1:15" x14ac:dyDescent="0.25">
      <c r="A68" s="12" t="s">
        <v>200</v>
      </c>
      <c r="B68" s="12" t="s">
        <v>109</v>
      </c>
      <c r="C68" s="12" t="s">
        <v>110</v>
      </c>
      <c r="D68" s="12" t="s">
        <v>111</v>
      </c>
      <c r="E68" s="13">
        <v>37</v>
      </c>
      <c r="F68" s="12" t="s">
        <v>112</v>
      </c>
      <c r="G68" s="13">
        <v>5</v>
      </c>
      <c r="H68" s="13">
        <v>4</v>
      </c>
      <c r="I68" s="12" t="s">
        <v>56</v>
      </c>
      <c r="J68" s="14">
        <v>239.2</v>
      </c>
      <c r="K68" s="12" t="s">
        <v>63</v>
      </c>
      <c r="L68" s="13">
        <v>3</v>
      </c>
      <c r="M68" s="12" t="s">
        <v>76</v>
      </c>
      <c r="N68" s="15">
        <v>0.8</v>
      </c>
      <c r="O68" s="12" t="s">
        <v>113</v>
      </c>
    </row>
    <row r="69" spans="1:15" x14ac:dyDescent="0.25">
      <c r="A69" s="12" t="s">
        <v>201</v>
      </c>
      <c r="B69" s="12" t="s">
        <v>115</v>
      </c>
      <c r="C69" s="12" t="s">
        <v>122</v>
      </c>
      <c r="D69" s="12" t="s">
        <v>172</v>
      </c>
      <c r="E69" s="13">
        <v>27</v>
      </c>
      <c r="F69" s="12" t="s">
        <v>117</v>
      </c>
      <c r="G69" s="13">
        <v>5</v>
      </c>
      <c r="H69" s="13">
        <v>4</v>
      </c>
      <c r="I69" s="12" t="s">
        <v>48</v>
      </c>
      <c r="J69" s="14">
        <v>7731.5</v>
      </c>
      <c r="K69" s="12" t="s">
        <v>69</v>
      </c>
      <c r="L69" s="13">
        <v>3</v>
      </c>
      <c r="M69" s="12" t="s">
        <v>76</v>
      </c>
      <c r="N69" s="15">
        <v>1.2</v>
      </c>
      <c r="O69" s="12" t="s">
        <v>113</v>
      </c>
    </row>
    <row r="70" spans="1:15" x14ac:dyDescent="0.25">
      <c r="A70" s="12" t="s">
        <v>202</v>
      </c>
      <c r="B70" s="12" t="s">
        <v>134</v>
      </c>
      <c r="C70" s="12" t="s">
        <v>110</v>
      </c>
      <c r="D70" s="12" t="s">
        <v>129</v>
      </c>
      <c r="E70" s="13">
        <v>28</v>
      </c>
      <c r="F70" s="12" t="s">
        <v>112</v>
      </c>
      <c r="G70" s="13">
        <v>8</v>
      </c>
      <c r="H70" s="13">
        <v>3</v>
      </c>
      <c r="I70" s="12" t="s">
        <v>48</v>
      </c>
      <c r="J70" s="14">
        <v>1689.9</v>
      </c>
      <c r="K70" s="12" t="s">
        <v>65</v>
      </c>
      <c r="L70" s="13">
        <v>2</v>
      </c>
      <c r="M70" s="12" t="s">
        <v>76</v>
      </c>
      <c r="N70" s="15">
        <v>0.8</v>
      </c>
      <c r="O70" s="12" t="s">
        <v>113</v>
      </c>
    </row>
    <row r="71" spans="1:15" x14ac:dyDescent="0.25">
      <c r="A71" s="12" t="s">
        <v>203</v>
      </c>
      <c r="B71" s="12" t="s">
        <v>115</v>
      </c>
      <c r="C71" s="12" t="s">
        <v>122</v>
      </c>
      <c r="D71" s="12" t="s">
        <v>204</v>
      </c>
      <c r="E71" s="13">
        <v>33</v>
      </c>
      <c r="F71" s="12" t="s">
        <v>117</v>
      </c>
      <c r="G71" s="13">
        <v>7</v>
      </c>
      <c r="H71" s="13">
        <v>1</v>
      </c>
      <c r="I71" s="12" t="s">
        <v>48</v>
      </c>
      <c r="J71" s="14">
        <v>6859</v>
      </c>
      <c r="K71" s="12" t="s">
        <v>65</v>
      </c>
      <c r="L71" s="13">
        <v>0</v>
      </c>
      <c r="M71" s="12" t="s">
        <v>76</v>
      </c>
      <c r="N71" s="15">
        <v>1.19</v>
      </c>
      <c r="O71" s="12" t="s">
        <v>113</v>
      </c>
    </row>
    <row r="72" spans="1:15" x14ac:dyDescent="0.25">
      <c r="A72" s="12" t="s">
        <v>205</v>
      </c>
      <c r="B72" s="12" t="s">
        <v>163</v>
      </c>
      <c r="C72" s="12" t="s">
        <v>110</v>
      </c>
      <c r="D72" s="12" t="s">
        <v>111</v>
      </c>
      <c r="E72" s="13">
        <v>56</v>
      </c>
      <c r="F72" s="12" t="s">
        <v>112</v>
      </c>
      <c r="G72" s="13">
        <v>2</v>
      </c>
      <c r="H72" s="13">
        <v>4</v>
      </c>
      <c r="I72" s="12" t="s">
        <v>44</v>
      </c>
      <c r="J72" s="14">
        <v>170.4</v>
      </c>
      <c r="K72" s="12" t="s">
        <v>65</v>
      </c>
      <c r="L72" s="13">
        <v>3</v>
      </c>
      <c r="M72" s="12" t="s">
        <v>76</v>
      </c>
      <c r="N72" s="15">
        <v>1.0900000000000001</v>
      </c>
      <c r="O72" s="12" t="s">
        <v>113</v>
      </c>
    </row>
    <row r="73" spans="1:15" x14ac:dyDescent="0.25">
      <c r="A73" s="12" t="s">
        <v>206</v>
      </c>
      <c r="B73" s="12" t="s">
        <v>163</v>
      </c>
      <c r="C73" s="12" t="s">
        <v>110</v>
      </c>
      <c r="D73" s="12" t="s">
        <v>142</v>
      </c>
      <c r="E73" s="13">
        <v>58</v>
      </c>
      <c r="F73" s="12" t="s">
        <v>117</v>
      </c>
      <c r="G73" s="13">
        <v>2</v>
      </c>
      <c r="H73" s="13">
        <v>3</v>
      </c>
      <c r="I73" s="12" t="s">
        <v>56</v>
      </c>
      <c r="J73" s="14">
        <v>1097.5</v>
      </c>
      <c r="K73" s="12" t="s">
        <v>65</v>
      </c>
      <c r="L73" s="13">
        <v>2</v>
      </c>
      <c r="M73" s="12" t="s">
        <v>76</v>
      </c>
      <c r="N73" s="15">
        <v>1.35</v>
      </c>
      <c r="O73" s="12" t="s">
        <v>154</v>
      </c>
    </row>
    <row r="74" spans="1:15" x14ac:dyDescent="0.25">
      <c r="A74" s="12" t="s">
        <v>207</v>
      </c>
      <c r="B74" s="12" t="s">
        <v>167</v>
      </c>
      <c r="C74" s="12" t="s">
        <v>122</v>
      </c>
      <c r="D74" s="12" t="s">
        <v>208</v>
      </c>
      <c r="E74" s="13">
        <v>34</v>
      </c>
      <c r="F74" s="12" t="s">
        <v>117</v>
      </c>
      <c r="G74" s="13">
        <v>5</v>
      </c>
      <c r="H74" s="13">
        <v>2</v>
      </c>
      <c r="I74" s="12" t="s">
        <v>54</v>
      </c>
      <c r="J74" s="14">
        <v>7087.3</v>
      </c>
      <c r="K74" s="12" t="s">
        <v>61</v>
      </c>
      <c r="L74" s="13">
        <v>1</v>
      </c>
      <c r="M74" s="12" t="s">
        <v>78</v>
      </c>
      <c r="N74" s="15">
        <v>1.1399999999999999</v>
      </c>
      <c r="O74" s="12" t="s">
        <v>118</v>
      </c>
    </row>
    <row r="75" spans="1:15" x14ac:dyDescent="0.25">
      <c r="A75" s="12" t="s">
        <v>209</v>
      </c>
      <c r="B75" s="12" t="s">
        <v>109</v>
      </c>
      <c r="C75" s="12" t="s">
        <v>110</v>
      </c>
      <c r="D75" s="12" t="s">
        <v>116</v>
      </c>
      <c r="E75" s="13">
        <v>21</v>
      </c>
      <c r="F75" s="12" t="s">
        <v>112</v>
      </c>
      <c r="G75" s="13">
        <v>1</v>
      </c>
      <c r="H75" s="13">
        <v>3</v>
      </c>
      <c r="I75" s="12" t="s">
        <v>48</v>
      </c>
      <c r="J75" s="14">
        <v>2055.1</v>
      </c>
      <c r="K75" s="12" t="s">
        <v>63</v>
      </c>
      <c r="L75" s="13">
        <v>2</v>
      </c>
      <c r="M75" s="12" t="s">
        <v>74</v>
      </c>
      <c r="N75" s="15">
        <v>0.88</v>
      </c>
      <c r="O75" s="12" t="s">
        <v>154</v>
      </c>
    </row>
    <row r="76" spans="1:15" x14ac:dyDescent="0.25">
      <c r="A76" s="12" t="s">
        <v>210</v>
      </c>
      <c r="B76" s="12" t="s">
        <v>163</v>
      </c>
      <c r="C76" s="12" t="s">
        <v>110</v>
      </c>
      <c r="D76" s="12" t="s">
        <v>111</v>
      </c>
      <c r="E76" s="13">
        <v>58</v>
      </c>
      <c r="F76" s="12" t="s">
        <v>117</v>
      </c>
      <c r="G76" s="13">
        <v>8</v>
      </c>
      <c r="H76" s="13">
        <v>2</v>
      </c>
      <c r="I76" s="12" t="s">
        <v>46</v>
      </c>
      <c r="J76" s="14">
        <v>229.3</v>
      </c>
      <c r="K76" s="12" t="s">
        <v>63</v>
      </c>
      <c r="L76" s="13">
        <v>1</v>
      </c>
      <c r="M76" s="12" t="s">
        <v>74</v>
      </c>
      <c r="N76" s="15">
        <v>0.57999999999999996</v>
      </c>
      <c r="O76" s="12" t="s">
        <v>113</v>
      </c>
    </row>
    <row r="77" spans="1:15" x14ac:dyDescent="0.25">
      <c r="A77" s="12" t="s">
        <v>211</v>
      </c>
      <c r="B77" s="12" t="s">
        <v>167</v>
      </c>
      <c r="C77" s="12" t="s">
        <v>122</v>
      </c>
      <c r="D77" s="12" t="s">
        <v>212</v>
      </c>
      <c r="E77" s="13">
        <v>23</v>
      </c>
      <c r="F77" s="12" t="s">
        <v>112</v>
      </c>
      <c r="G77" s="13">
        <v>6</v>
      </c>
      <c r="H77" s="13">
        <v>3</v>
      </c>
      <c r="I77" s="12" t="s">
        <v>54</v>
      </c>
      <c r="J77" s="14">
        <v>6733</v>
      </c>
      <c r="K77" s="12" t="s">
        <v>69</v>
      </c>
      <c r="L77" s="13">
        <v>2</v>
      </c>
      <c r="M77" s="12" t="s">
        <v>76</v>
      </c>
      <c r="N77" s="15">
        <v>0.8</v>
      </c>
      <c r="O77" s="12" t="s">
        <v>113</v>
      </c>
    </row>
    <row r="78" spans="1:15" x14ac:dyDescent="0.25">
      <c r="A78" s="12" t="s">
        <v>213</v>
      </c>
      <c r="B78" s="12" t="s">
        <v>132</v>
      </c>
      <c r="C78" s="12" t="s">
        <v>122</v>
      </c>
      <c r="D78" s="12" t="s">
        <v>208</v>
      </c>
      <c r="E78" s="13">
        <v>55</v>
      </c>
      <c r="F78" s="12" t="s">
        <v>112</v>
      </c>
      <c r="G78" s="13">
        <v>5</v>
      </c>
      <c r="H78" s="13">
        <v>3</v>
      </c>
      <c r="I78" s="12" t="s">
        <v>44</v>
      </c>
      <c r="J78" s="14">
        <v>5186</v>
      </c>
      <c r="K78" s="12" t="s">
        <v>69</v>
      </c>
      <c r="L78" s="13">
        <v>2</v>
      </c>
      <c r="M78" s="12" t="s">
        <v>76</v>
      </c>
      <c r="N78" s="15">
        <v>0.6</v>
      </c>
      <c r="O78" s="12" t="s">
        <v>154</v>
      </c>
    </row>
    <row r="79" spans="1:15" x14ac:dyDescent="0.25">
      <c r="A79" s="12" t="s">
        <v>214</v>
      </c>
      <c r="B79" s="12" t="s">
        <v>189</v>
      </c>
      <c r="C79" s="12" t="s">
        <v>122</v>
      </c>
      <c r="D79" s="12" t="s">
        <v>212</v>
      </c>
      <c r="E79" s="13">
        <v>37</v>
      </c>
      <c r="F79" s="12" t="s">
        <v>117</v>
      </c>
      <c r="G79" s="13">
        <v>4</v>
      </c>
      <c r="H79" s="13">
        <v>3</v>
      </c>
      <c r="I79" s="12" t="s">
        <v>46</v>
      </c>
      <c r="J79" s="14">
        <v>6483.6</v>
      </c>
      <c r="K79" s="12" t="s">
        <v>65</v>
      </c>
      <c r="L79" s="13">
        <v>2</v>
      </c>
      <c r="M79" s="12" t="s">
        <v>76</v>
      </c>
      <c r="N79" s="15">
        <v>1.05</v>
      </c>
      <c r="O79" s="12" t="s">
        <v>118</v>
      </c>
    </row>
    <row r="80" spans="1:15" x14ac:dyDescent="0.25">
      <c r="A80" s="12" t="s">
        <v>215</v>
      </c>
      <c r="B80" s="12" t="s">
        <v>163</v>
      </c>
      <c r="C80" s="12" t="s">
        <v>110</v>
      </c>
      <c r="D80" s="12" t="s">
        <v>149</v>
      </c>
      <c r="E80" s="13">
        <v>38</v>
      </c>
      <c r="F80" s="12" t="s">
        <v>117</v>
      </c>
      <c r="G80" s="13">
        <v>1</v>
      </c>
      <c r="H80" s="13">
        <v>3</v>
      </c>
      <c r="I80" s="12" t="s">
        <v>54</v>
      </c>
      <c r="J80" s="14">
        <v>1669.5</v>
      </c>
      <c r="K80" s="12" t="s">
        <v>61</v>
      </c>
      <c r="L80" s="13">
        <v>2</v>
      </c>
      <c r="M80" s="12" t="s">
        <v>78</v>
      </c>
      <c r="N80" s="15">
        <v>0.66</v>
      </c>
      <c r="O80" s="12" t="s">
        <v>113</v>
      </c>
    </row>
    <row r="81" spans="1:15" x14ac:dyDescent="0.25">
      <c r="A81" s="12" t="s">
        <v>216</v>
      </c>
      <c r="B81" s="12" t="s">
        <v>115</v>
      </c>
      <c r="C81" s="12" t="s">
        <v>110</v>
      </c>
      <c r="D81" s="12" t="s">
        <v>129</v>
      </c>
      <c r="E81" s="13">
        <v>52</v>
      </c>
      <c r="F81" s="12" t="s">
        <v>112</v>
      </c>
      <c r="G81" s="13">
        <v>5</v>
      </c>
      <c r="H81" s="13">
        <v>2</v>
      </c>
      <c r="I81" s="12" t="s">
        <v>48</v>
      </c>
      <c r="J81" s="14">
        <v>2157.1999999999998</v>
      </c>
      <c r="K81" s="12" t="s">
        <v>67</v>
      </c>
      <c r="L81" s="13">
        <v>1</v>
      </c>
      <c r="M81" s="12" t="s">
        <v>78</v>
      </c>
      <c r="N81" s="15">
        <v>1.36</v>
      </c>
      <c r="O81" s="12" t="s">
        <v>113</v>
      </c>
    </row>
    <row r="82" spans="1:15" x14ac:dyDescent="0.25">
      <c r="A82" s="12" t="s">
        <v>217</v>
      </c>
      <c r="B82" s="12" t="s">
        <v>125</v>
      </c>
      <c r="C82" s="12" t="s">
        <v>110</v>
      </c>
      <c r="D82" s="12" t="s">
        <v>129</v>
      </c>
      <c r="E82" s="13">
        <v>33</v>
      </c>
      <c r="F82" s="12" t="s">
        <v>117</v>
      </c>
      <c r="G82" s="13">
        <v>7</v>
      </c>
      <c r="H82" s="13">
        <v>3</v>
      </c>
      <c r="I82" s="12" t="s">
        <v>44</v>
      </c>
      <c r="J82" s="14">
        <v>812.9</v>
      </c>
      <c r="K82" s="12" t="s">
        <v>67</v>
      </c>
      <c r="L82" s="13">
        <v>2</v>
      </c>
      <c r="M82" s="12" t="s">
        <v>74</v>
      </c>
      <c r="N82" s="15">
        <v>0.89</v>
      </c>
      <c r="O82" s="12" t="s">
        <v>113</v>
      </c>
    </row>
    <row r="83" spans="1:15" x14ac:dyDescent="0.25">
      <c r="A83" s="12" t="s">
        <v>218</v>
      </c>
      <c r="B83" s="12" t="s">
        <v>134</v>
      </c>
      <c r="C83" s="12" t="s">
        <v>110</v>
      </c>
      <c r="D83" s="12" t="s">
        <v>137</v>
      </c>
      <c r="E83" s="13">
        <v>25</v>
      </c>
      <c r="F83" s="12" t="s">
        <v>117</v>
      </c>
      <c r="G83" s="13">
        <v>8</v>
      </c>
      <c r="H83" s="13">
        <v>1</v>
      </c>
      <c r="I83" s="12" t="s">
        <v>52</v>
      </c>
      <c r="J83" s="14">
        <v>2110.4</v>
      </c>
      <c r="K83" s="12" t="s">
        <v>67</v>
      </c>
      <c r="L83" s="13">
        <v>0</v>
      </c>
      <c r="M83" s="12" t="s">
        <v>76</v>
      </c>
      <c r="N83" s="15">
        <v>1.31</v>
      </c>
      <c r="O83" s="12" t="s">
        <v>113</v>
      </c>
    </row>
    <row r="84" spans="1:15" x14ac:dyDescent="0.25">
      <c r="A84" s="12" t="s">
        <v>219</v>
      </c>
      <c r="B84" s="12" t="s">
        <v>109</v>
      </c>
      <c r="C84" s="12" t="s">
        <v>110</v>
      </c>
      <c r="D84" s="12" t="s">
        <v>129</v>
      </c>
      <c r="E84" s="13">
        <v>60</v>
      </c>
      <c r="F84" s="12" t="s">
        <v>112</v>
      </c>
      <c r="G84" s="13">
        <v>3</v>
      </c>
      <c r="H84" s="13">
        <v>1</v>
      </c>
      <c r="I84" s="12" t="s">
        <v>44</v>
      </c>
      <c r="J84" s="14">
        <v>1751.6</v>
      </c>
      <c r="K84" s="12" t="s">
        <v>63</v>
      </c>
      <c r="L84" s="13">
        <v>0</v>
      </c>
      <c r="M84" s="12" t="s">
        <v>76</v>
      </c>
      <c r="N84" s="15">
        <v>0.41</v>
      </c>
      <c r="O84" s="12" t="s">
        <v>118</v>
      </c>
    </row>
    <row r="85" spans="1:15" x14ac:dyDescent="0.25">
      <c r="A85" s="12" t="s">
        <v>220</v>
      </c>
      <c r="B85" s="12" t="s">
        <v>163</v>
      </c>
      <c r="C85" s="12" t="s">
        <v>110</v>
      </c>
      <c r="D85" s="12" t="s">
        <v>111</v>
      </c>
      <c r="E85" s="13">
        <v>63</v>
      </c>
      <c r="F85" s="12" t="s">
        <v>117</v>
      </c>
      <c r="G85" s="13">
        <v>7</v>
      </c>
      <c r="H85" s="13">
        <v>2</v>
      </c>
      <c r="I85" s="12" t="s">
        <v>50</v>
      </c>
      <c r="J85" s="14">
        <v>241.9</v>
      </c>
      <c r="K85" s="12" t="s">
        <v>65</v>
      </c>
      <c r="L85" s="13">
        <v>1</v>
      </c>
      <c r="M85" s="12" t="s">
        <v>78</v>
      </c>
      <c r="N85" s="15">
        <v>0.98</v>
      </c>
      <c r="O85" s="12" t="s">
        <v>118</v>
      </c>
    </row>
    <row r="86" spans="1:15" x14ac:dyDescent="0.25">
      <c r="A86" s="12" t="s">
        <v>221</v>
      </c>
      <c r="B86" s="12" t="s">
        <v>134</v>
      </c>
      <c r="C86" s="12" t="s">
        <v>110</v>
      </c>
      <c r="D86" s="12" t="s">
        <v>111</v>
      </c>
      <c r="E86" s="13">
        <v>34</v>
      </c>
      <c r="F86" s="12" t="s">
        <v>117</v>
      </c>
      <c r="G86" s="13">
        <v>2</v>
      </c>
      <c r="H86" s="13">
        <v>3</v>
      </c>
      <c r="I86" s="12" t="s">
        <v>52</v>
      </c>
      <c r="J86" s="14">
        <v>160.9</v>
      </c>
      <c r="K86" s="12" t="s">
        <v>67</v>
      </c>
      <c r="L86" s="13">
        <v>2</v>
      </c>
      <c r="M86" s="12" t="s">
        <v>76</v>
      </c>
      <c r="N86" s="15">
        <v>0.37</v>
      </c>
      <c r="O86" s="12" t="s">
        <v>113</v>
      </c>
    </row>
    <row r="87" spans="1:15" x14ac:dyDescent="0.25">
      <c r="A87" s="12" t="s">
        <v>222</v>
      </c>
      <c r="B87" s="12" t="s">
        <v>109</v>
      </c>
      <c r="C87" s="12" t="s">
        <v>122</v>
      </c>
      <c r="D87" s="12" t="s">
        <v>178</v>
      </c>
      <c r="E87" s="13">
        <v>32</v>
      </c>
      <c r="F87" s="12" t="s">
        <v>117</v>
      </c>
      <c r="G87" s="13">
        <v>1</v>
      </c>
      <c r="H87" s="13">
        <v>1</v>
      </c>
      <c r="I87" s="12" t="s">
        <v>56</v>
      </c>
      <c r="J87" s="14">
        <v>4458.3999999999996</v>
      </c>
      <c r="K87" s="12" t="s">
        <v>63</v>
      </c>
      <c r="L87" s="13">
        <v>0</v>
      </c>
      <c r="M87" s="12" t="s">
        <v>78</v>
      </c>
      <c r="N87" s="15">
        <v>1.17</v>
      </c>
      <c r="O87" s="12" t="s">
        <v>113</v>
      </c>
    </row>
    <row r="88" spans="1:15" x14ac:dyDescent="0.25">
      <c r="A88" s="12" t="s">
        <v>223</v>
      </c>
      <c r="B88" s="12" t="s">
        <v>127</v>
      </c>
      <c r="C88" s="12" t="s">
        <v>110</v>
      </c>
      <c r="D88" s="12" t="s">
        <v>111</v>
      </c>
      <c r="E88" s="13">
        <v>40</v>
      </c>
      <c r="F88" s="12" t="s">
        <v>117</v>
      </c>
      <c r="G88" s="13">
        <v>1</v>
      </c>
      <c r="H88" s="13">
        <v>3</v>
      </c>
      <c r="I88" s="12" t="s">
        <v>56</v>
      </c>
      <c r="J88" s="14">
        <v>229.2</v>
      </c>
      <c r="K88" s="12" t="s">
        <v>69</v>
      </c>
      <c r="L88" s="13">
        <v>2</v>
      </c>
      <c r="M88" s="12" t="s">
        <v>78</v>
      </c>
      <c r="N88" s="15">
        <v>0.89</v>
      </c>
      <c r="O88" s="12" t="s">
        <v>118</v>
      </c>
    </row>
    <row r="89" spans="1:15" x14ac:dyDescent="0.25">
      <c r="A89" s="12" t="s">
        <v>224</v>
      </c>
      <c r="B89" s="12" t="s">
        <v>109</v>
      </c>
      <c r="C89" s="12" t="s">
        <v>110</v>
      </c>
      <c r="D89" s="12" t="s">
        <v>111</v>
      </c>
      <c r="E89" s="13">
        <v>34</v>
      </c>
      <c r="F89" s="12" t="s">
        <v>117</v>
      </c>
      <c r="G89" s="13">
        <v>1</v>
      </c>
      <c r="H89" s="13">
        <v>2</v>
      </c>
      <c r="I89" s="12" t="s">
        <v>48</v>
      </c>
      <c r="J89" s="14">
        <v>92.4</v>
      </c>
      <c r="K89" s="12" t="s">
        <v>61</v>
      </c>
      <c r="L89" s="13">
        <v>1</v>
      </c>
      <c r="M89" s="12" t="s">
        <v>76</v>
      </c>
      <c r="N89" s="15">
        <v>0.88</v>
      </c>
      <c r="O89" s="12" t="s">
        <v>118</v>
      </c>
    </row>
    <row r="90" spans="1:15" x14ac:dyDescent="0.25">
      <c r="A90" s="12" t="s">
        <v>225</v>
      </c>
      <c r="B90" s="12" t="s">
        <v>167</v>
      </c>
      <c r="C90" s="12" t="s">
        <v>110</v>
      </c>
      <c r="D90" s="12" t="s">
        <v>111</v>
      </c>
      <c r="E90" s="13">
        <v>47</v>
      </c>
      <c r="F90" s="12" t="s">
        <v>112</v>
      </c>
      <c r="G90" s="13">
        <v>1</v>
      </c>
      <c r="H90" s="13">
        <v>3</v>
      </c>
      <c r="I90" s="12" t="s">
        <v>50</v>
      </c>
      <c r="J90" s="14">
        <v>185</v>
      </c>
      <c r="K90" s="12" t="s">
        <v>65</v>
      </c>
      <c r="L90" s="13">
        <v>2</v>
      </c>
      <c r="M90" s="12" t="s">
        <v>74</v>
      </c>
      <c r="N90" s="15">
        <v>1.4</v>
      </c>
      <c r="O90" s="12" t="s">
        <v>118</v>
      </c>
    </row>
    <row r="91" spans="1:15" x14ac:dyDescent="0.25">
      <c r="A91" s="12" t="s">
        <v>226</v>
      </c>
      <c r="B91" s="12" t="s">
        <v>132</v>
      </c>
      <c r="C91" s="12" t="s">
        <v>110</v>
      </c>
      <c r="D91" s="12" t="s">
        <v>129</v>
      </c>
      <c r="E91" s="13">
        <v>23</v>
      </c>
      <c r="F91" s="12" t="s">
        <v>117</v>
      </c>
      <c r="G91" s="13">
        <v>6</v>
      </c>
      <c r="H91" s="13">
        <v>2</v>
      </c>
      <c r="I91" s="12" t="s">
        <v>44</v>
      </c>
      <c r="J91" s="14">
        <v>2064.6</v>
      </c>
      <c r="K91" s="12" t="s">
        <v>61</v>
      </c>
      <c r="L91" s="13">
        <v>1</v>
      </c>
      <c r="M91" s="12" t="s">
        <v>76</v>
      </c>
      <c r="N91" s="15">
        <v>0.94</v>
      </c>
      <c r="O91" s="12" t="s">
        <v>118</v>
      </c>
    </row>
    <row r="92" spans="1:15" x14ac:dyDescent="0.25">
      <c r="A92" s="12" t="s">
        <v>227</v>
      </c>
      <c r="B92" s="12" t="s">
        <v>132</v>
      </c>
      <c r="C92" s="12" t="s">
        <v>122</v>
      </c>
      <c r="D92" s="12" t="s">
        <v>172</v>
      </c>
      <c r="E92" s="13">
        <v>51</v>
      </c>
      <c r="F92" s="12" t="s">
        <v>117</v>
      </c>
      <c r="G92" s="13">
        <v>2</v>
      </c>
      <c r="H92" s="13">
        <v>1</v>
      </c>
      <c r="I92" s="12" t="s">
        <v>56</v>
      </c>
      <c r="J92" s="14">
        <v>5474.5</v>
      </c>
      <c r="K92" s="12" t="s">
        <v>65</v>
      </c>
      <c r="L92" s="13">
        <v>0</v>
      </c>
      <c r="M92" s="12" t="s">
        <v>78</v>
      </c>
      <c r="N92" s="15">
        <v>0.91</v>
      </c>
      <c r="O92" s="12" t="s">
        <v>118</v>
      </c>
    </row>
    <row r="93" spans="1:15" x14ac:dyDescent="0.25">
      <c r="A93" s="12" t="s">
        <v>228</v>
      </c>
      <c r="B93" s="12" t="s">
        <v>132</v>
      </c>
      <c r="C93" s="12" t="s">
        <v>110</v>
      </c>
      <c r="D93" s="12" t="s">
        <v>111</v>
      </c>
      <c r="E93" s="13">
        <v>48</v>
      </c>
      <c r="F93" s="12" t="s">
        <v>112</v>
      </c>
      <c r="G93" s="13">
        <v>2</v>
      </c>
      <c r="H93" s="13">
        <v>3</v>
      </c>
      <c r="I93" s="12" t="s">
        <v>50</v>
      </c>
      <c r="J93" s="14">
        <v>144.19999999999999</v>
      </c>
      <c r="K93" s="12" t="s">
        <v>63</v>
      </c>
      <c r="L93" s="13">
        <v>2</v>
      </c>
      <c r="M93" s="12" t="s">
        <v>74</v>
      </c>
      <c r="N93" s="15">
        <v>1.35</v>
      </c>
      <c r="O93" s="12" t="s">
        <v>154</v>
      </c>
    </row>
    <row r="94" spans="1:15" x14ac:dyDescent="0.25">
      <c r="A94" s="12" t="s">
        <v>229</v>
      </c>
      <c r="B94" s="12" t="s">
        <v>167</v>
      </c>
      <c r="C94" s="12" t="s">
        <v>110</v>
      </c>
      <c r="D94" s="12" t="s">
        <v>137</v>
      </c>
      <c r="E94" s="13">
        <v>25</v>
      </c>
      <c r="F94" s="12" t="s">
        <v>117</v>
      </c>
      <c r="G94" s="13">
        <v>6</v>
      </c>
      <c r="H94" s="13">
        <v>2</v>
      </c>
      <c r="I94" s="12" t="s">
        <v>52</v>
      </c>
      <c r="J94" s="14">
        <v>839.8</v>
      </c>
      <c r="K94" s="12" t="s">
        <v>61</v>
      </c>
      <c r="L94" s="13">
        <v>1</v>
      </c>
      <c r="M94" s="12" t="s">
        <v>78</v>
      </c>
      <c r="N94" s="15">
        <v>0.92</v>
      </c>
      <c r="O94" s="12" t="s">
        <v>154</v>
      </c>
    </row>
    <row r="95" spans="1:15" x14ac:dyDescent="0.25">
      <c r="A95" s="12" t="s">
        <v>230</v>
      </c>
      <c r="B95" s="12" t="s">
        <v>132</v>
      </c>
      <c r="C95" s="12" t="s">
        <v>110</v>
      </c>
      <c r="D95" s="12" t="s">
        <v>116</v>
      </c>
      <c r="E95" s="13">
        <v>65</v>
      </c>
      <c r="F95" s="12" t="s">
        <v>112</v>
      </c>
      <c r="G95" s="13">
        <v>5</v>
      </c>
      <c r="H95" s="13">
        <v>3</v>
      </c>
      <c r="I95" s="12" t="s">
        <v>48</v>
      </c>
      <c r="J95" s="14">
        <v>1825.4</v>
      </c>
      <c r="K95" s="12" t="s">
        <v>61</v>
      </c>
      <c r="L95" s="13">
        <v>2</v>
      </c>
      <c r="M95" s="12" t="s">
        <v>76</v>
      </c>
      <c r="N95" s="15">
        <v>0.47</v>
      </c>
      <c r="O95" s="12" t="s">
        <v>113</v>
      </c>
    </row>
    <row r="96" spans="1:15" x14ac:dyDescent="0.25">
      <c r="A96" s="12" t="s">
        <v>231</v>
      </c>
      <c r="B96" s="12" t="s">
        <v>109</v>
      </c>
      <c r="C96" s="12" t="s">
        <v>110</v>
      </c>
      <c r="D96" s="12" t="s">
        <v>129</v>
      </c>
      <c r="E96" s="13">
        <v>36</v>
      </c>
      <c r="F96" s="12" t="s">
        <v>117</v>
      </c>
      <c r="G96" s="13">
        <v>7</v>
      </c>
      <c r="H96" s="13">
        <v>1</v>
      </c>
      <c r="I96" s="12" t="s">
        <v>52</v>
      </c>
      <c r="J96" s="14">
        <v>872.3</v>
      </c>
      <c r="K96" s="12" t="s">
        <v>67</v>
      </c>
      <c r="L96" s="13">
        <v>0</v>
      </c>
      <c r="M96" s="12" t="s">
        <v>78</v>
      </c>
      <c r="N96" s="15">
        <v>0.59</v>
      </c>
      <c r="O96" s="12" t="s">
        <v>113</v>
      </c>
    </row>
    <row r="97" spans="1:15" x14ac:dyDescent="0.25">
      <c r="A97" s="12" t="s">
        <v>232</v>
      </c>
      <c r="B97" s="12" t="s">
        <v>134</v>
      </c>
      <c r="C97" s="12" t="s">
        <v>122</v>
      </c>
      <c r="D97" s="12" t="s">
        <v>123</v>
      </c>
      <c r="E97" s="13">
        <v>28</v>
      </c>
      <c r="F97" s="12" t="s">
        <v>117</v>
      </c>
      <c r="G97" s="13">
        <v>7</v>
      </c>
      <c r="H97" s="13">
        <v>1</v>
      </c>
      <c r="I97" s="12" t="s">
        <v>46</v>
      </c>
      <c r="J97" s="14">
        <v>4030.5</v>
      </c>
      <c r="K97" s="12" t="s">
        <v>65</v>
      </c>
      <c r="L97" s="13">
        <v>0</v>
      </c>
      <c r="M97" s="12" t="s">
        <v>78</v>
      </c>
      <c r="N97" s="15">
        <v>0.4</v>
      </c>
      <c r="O97" s="12" t="s">
        <v>113</v>
      </c>
    </row>
    <row r="98" spans="1:15" x14ac:dyDescent="0.25">
      <c r="A98" s="12" t="s">
        <v>233</v>
      </c>
      <c r="B98" s="12" t="s">
        <v>132</v>
      </c>
      <c r="C98" s="12" t="s">
        <v>110</v>
      </c>
      <c r="D98" s="12" t="s">
        <v>111</v>
      </c>
      <c r="E98" s="13">
        <v>65</v>
      </c>
      <c r="F98" s="12" t="s">
        <v>112</v>
      </c>
      <c r="G98" s="13">
        <v>2</v>
      </c>
      <c r="H98" s="13">
        <v>1</v>
      </c>
      <c r="I98" s="12" t="s">
        <v>46</v>
      </c>
      <c r="J98" s="14">
        <v>149.19999999999999</v>
      </c>
      <c r="K98" s="12" t="s">
        <v>61</v>
      </c>
      <c r="L98" s="13">
        <v>0</v>
      </c>
      <c r="M98" s="12" t="s">
        <v>76</v>
      </c>
      <c r="N98" s="15">
        <v>1.04</v>
      </c>
      <c r="O98" s="12" t="s">
        <v>113</v>
      </c>
    </row>
    <row r="99" spans="1:15" x14ac:dyDescent="0.25">
      <c r="A99" s="12" t="s">
        <v>234</v>
      </c>
      <c r="B99" s="12" t="s">
        <v>132</v>
      </c>
      <c r="C99" s="12" t="s">
        <v>110</v>
      </c>
      <c r="D99" s="12" t="s">
        <v>111</v>
      </c>
      <c r="E99" s="13">
        <v>51</v>
      </c>
      <c r="F99" s="12" t="s">
        <v>112</v>
      </c>
      <c r="G99" s="13">
        <v>7</v>
      </c>
      <c r="H99" s="13">
        <v>1</v>
      </c>
      <c r="I99" s="12" t="s">
        <v>48</v>
      </c>
      <c r="J99" s="14">
        <v>133.69999999999999</v>
      </c>
      <c r="K99" s="12" t="s">
        <v>65</v>
      </c>
      <c r="L99" s="13">
        <v>0</v>
      </c>
      <c r="M99" s="12" t="s">
        <v>76</v>
      </c>
      <c r="N99" s="15">
        <v>0.88</v>
      </c>
      <c r="O99" s="12" t="s">
        <v>113</v>
      </c>
    </row>
    <row r="100" spans="1:15" x14ac:dyDescent="0.25">
      <c r="A100" s="12" t="s">
        <v>235</v>
      </c>
      <c r="B100" s="12" t="s">
        <v>115</v>
      </c>
      <c r="C100" s="12" t="s">
        <v>110</v>
      </c>
      <c r="D100" s="12" t="s">
        <v>129</v>
      </c>
      <c r="E100" s="13">
        <v>38</v>
      </c>
      <c r="F100" s="12" t="s">
        <v>117</v>
      </c>
      <c r="G100" s="13">
        <v>3</v>
      </c>
      <c r="H100" s="13">
        <v>3</v>
      </c>
      <c r="I100" s="12" t="s">
        <v>48</v>
      </c>
      <c r="J100" s="14">
        <v>711.5</v>
      </c>
      <c r="K100" s="12" t="s">
        <v>63</v>
      </c>
      <c r="L100" s="13">
        <v>2</v>
      </c>
      <c r="M100" s="12" t="s">
        <v>74</v>
      </c>
      <c r="N100" s="15">
        <v>1.1200000000000001</v>
      </c>
      <c r="O100" s="12" t="s">
        <v>113</v>
      </c>
    </row>
    <row r="101" spans="1:15" x14ac:dyDescent="0.25">
      <c r="A101" s="12" t="s">
        <v>236</v>
      </c>
      <c r="B101" s="12" t="s">
        <v>132</v>
      </c>
      <c r="C101" s="12" t="s">
        <v>110</v>
      </c>
      <c r="D101" s="12" t="s">
        <v>111</v>
      </c>
      <c r="E101" s="13">
        <v>61</v>
      </c>
      <c r="F101" s="12" t="s">
        <v>117</v>
      </c>
      <c r="G101" s="13">
        <v>2</v>
      </c>
      <c r="H101" s="13">
        <v>4</v>
      </c>
      <c r="I101" s="12" t="s">
        <v>56</v>
      </c>
      <c r="J101" s="14">
        <v>179.4</v>
      </c>
      <c r="K101" s="12" t="s">
        <v>65</v>
      </c>
      <c r="L101" s="13">
        <v>3</v>
      </c>
      <c r="M101" s="12" t="s">
        <v>76</v>
      </c>
      <c r="N101" s="15">
        <v>0.81</v>
      </c>
      <c r="O101" s="12" t="s">
        <v>113</v>
      </c>
    </row>
    <row r="102" spans="1:15" x14ac:dyDescent="0.25">
      <c r="A102" s="12" t="s">
        <v>237</v>
      </c>
      <c r="B102" s="12" t="s">
        <v>125</v>
      </c>
      <c r="C102" s="12" t="s">
        <v>110</v>
      </c>
      <c r="D102" s="12" t="s">
        <v>129</v>
      </c>
      <c r="E102" s="13">
        <v>45</v>
      </c>
      <c r="F102" s="12" t="s">
        <v>112</v>
      </c>
      <c r="G102" s="13">
        <v>7</v>
      </c>
      <c r="H102" s="13">
        <v>1</v>
      </c>
      <c r="I102" s="12" t="s">
        <v>48</v>
      </c>
      <c r="J102" s="14">
        <v>1764.2</v>
      </c>
      <c r="K102" s="12" t="s">
        <v>61</v>
      </c>
      <c r="L102" s="13">
        <v>0</v>
      </c>
      <c r="M102" s="12" t="s">
        <v>78</v>
      </c>
      <c r="N102" s="15">
        <v>0.81</v>
      </c>
      <c r="O102" s="12" t="s">
        <v>154</v>
      </c>
    </row>
  </sheetData>
  <mergeCells count="1">
    <mergeCell ref="A1:O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4"/>
  <sheetViews>
    <sheetView showGridLines="0" zoomScaleNormal="100" workbookViewId="0">
      <pane ySplit="2" topLeftCell="A3" activePane="bottomLeft" state="frozen"/>
      <selection pane="bottomLeft" sqref="A1:K1"/>
    </sheetView>
  </sheetViews>
  <sheetFormatPr defaultColWidth="8.7109375" defaultRowHeight="15" x14ac:dyDescent="0.25"/>
  <cols>
    <col min="1" max="2" width="13" customWidth="1"/>
    <col min="3" max="3" width="24" customWidth="1"/>
    <col min="4" max="4" width="18" customWidth="1"/>
    <col min="5" max="5" width="15" customWidth="1"/>
    <col min="6" max="6" width="17" customWidth="1"/>
    <col min="7" max="8" width="13" customWidth="1"/>
    <col min="9" max="9" width="14" customWidth="1"/>
    <col min="10" max="10" width="13" customWidth="1"/>
    <col min="11" max="11" width="20" customWidth="1"/>
  </cols>
  <sheetData>
    <row r="1" spans="1:11" ht="25.5" customHeight="1" x14ac:dyDescent="0.25">
      <c r="A1" s="3" t="s">
        <v>238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0" x14ac:dyDescent="0.25">
      <c r="A2" s="11" t="s">
        <v>93</v>
      </c>
      <c r="B2" s="11" t="s">
        <v>95</v>
      </c>
      <c r="C2" s="11" t="s">
        <v>94</v>
      </c>
      <c r="D2" s="11" t="s">
        <v>107</v>
      </c>
      <c r="E2" s="11" t="s">
        <v>239</v>
      </c>
      <c r="F2" s="11" t="s">
        <v>240</v>
      </c>
      <c r="G2" s="11" t="s">
        <v>241</v>
      </c>
      <c r="H2" s="11" t="s">
        <v>242</v>
      </c>
      <c r="I2" s="11" t="s">
        <v>243</v>
      </c>
      <c r="J2" s="11" t="s">
        <v>244</v>
      </c>
      <c r="K2" s="11" t="s">
        <v>245</v>
      </c>
    </row>
    <row r="3" spans="1:11" x14ac:dyDescent="0.25">
      <c r="A3" s="16" t="str">
        <f>Tourist_Survey_Data!A3</f>
        <v>R001</v>
      </c>
      <c r="B3" s="16" t="str">
        <f>Tourist_Survey_Data!C3</f>
        <v>Domestic</v>
      </c>
      <c r="C3" s="16" t="str">
        <f>Tourist_Survey_Data!B3</f>
        <v>Sudhanyakhali</v>
      </c>
      <c r="D3" s="16" t="str">
        <f>Tourist_Survey_Data!O3</f>
        <v>Winter (Oct-Mar)</v>
      </c>
      <c r="E3" s="17">
        <f>Tourist_Survey_Data!J3*INDEX(Assumptions!$B$8:$B$14,MATCH(Tourist_Survey_Data!I3,Assumptions!$A$8:$A$14,0))/1000*Assumptions!$B$4</f>
        <v>4.2989400000000002E-3</v>
      </c>
      <c r="F3" s="17">
        <f>Tourist_Survey_Data!L3*INDEX(Assumptions!$B$18:$B$22,MATCH(Tourist_Survey_Data!K3,Assumptions!$A$18:$A$22,0))</f>
        <v>1.8E-3</v>
      </c>
      <c r="G3" s="17">
        <f>Tourist_Survey_Data!H3*INDEX(Assumptions!$B$26:$B$28,MATCH(Tourist_Survey_Data!M3,Assumptions!$A$26:$A$28,0))</f>
        <v>7.1999999999999998E-3</v>
      </c>
      <c r="H3" s="17">
        <f>Tourist_Survey_Data!H3*Tourist_Survey_Data!N3*Assumptions!$B$31</f>
        <v>3.4400000000000001E-4</v>
      </c>
      <c r="I3" s="17">
        <f>Tourist_Survey_Data!H3*INDEX(Assumptions!$B$35:$B$37,MATCH(INDEX(GIS_Site_Data!$E$3:$E$12,MATCH(Tourist_Survey_Data!B3,GIS_Site_Data!$B$3:$B$12,0)),Assumptions!$A$35:$A$37,0))</f>
        <v>4.7999999999999996E-3</v>
      </c>
      <c r="J3" s="17">
        <f t="shared" ref="J3:J34" si="0">SUM(E3:I3)</f>
        <v>1.8442940000000001E-2</v>
      </c>
      <c r="K3" s="17">
        <f>IFERROR(J3/Tourist_Survey_Data!H3,0)</f>
        <v>4.6107350000000004E-3</v>
      </c>
    </row>
    <row r="4" spans="1:11" x14ac:dyDescent="0.25">
      <c r="A4" s="16" t="str">
        <f>Tourist_Survey_Data!A4</f>
        <v>R002</v>
      </c>
      <c r="B4" s="16" t="str">
        <f>Tourist_Survey_Data!C4</f>
        <v>Domestic</v>
      </c>
      <c r="C4" s="16" t="str">
        <f>Tourist_Survey_Data!B4</f>
        <v>Sonakhali (Gateway)</v>
      </c>
      <c r="D4" s="16" t="str">
        <f>Tourist_Survey_Data!O4</f>
        <v>Summer (Apr-May)</v>
      </c>
      <c r="E4" s="17">
        <f>Tourist_Survey_Data!J4*INDEX(Assumptions!$B$8:$B$14,MATCH(Tourist_Survey_Data!I4,Assumptions!$A$8:$A$14,0))/1000*Assumptions!$B$4</f>
        <v>1.3891184999999999E-2</v>
      </c>
      <c r="F4" s="17">
        <f>Tourist_Survey_Data!L4*INDEX(Assumptions!$B$18:$B$22,MATCH(Tourist_Survey_Data!K4,Assumptions!$A$18:$A$22,0))</f>
        <v>8.0000000000000004E-4</v>
      </c>
      <c r="G4" s="17">
        <f>Tourist_Survey_Data!H4*INDEX(Assumptions!$B$26:$B$28,MATCH(Tourist_Survey_Data!M4,Assumptions!$A$26:$A$28,0))</f>
        <v>3.5999999999999999E-3</v>
      </c>
      <c r="H4" s="17">
        <f>Tourist_Survey_Data!H4*Tourist_Survey_Data!N4*Assumptions!$B$31</f>
        <v>1.0800000000000001E-4</v>
      </c>
      <c r="I4" s="17">
        <f>Tourist_Survey_Data!H4*INDEX(Assumptions!$B$35:$B$37,MATCH(INDEX(GIS_Site_Data!$E$3:$E$12,MATCH(Tourist_Survey_Data!B4,GIS_Site_Data!$B$3:$B$12,0)),Assumptions!$A$35:$A$37,0))</f>
        <v>4.0000000000000002E-4</v>
      </c>
      <c r="J4" s="17">
        <f t="shared" si="0"/>
        <v>1.8799185E-2</v>
      </c>
      <c r="K4" s="17">
        <f>IFERROR(J4/Tourist_Survey_Data!H4,0)</f>
        <v>9.3995924999999998E-3</v>
      </c>
    </row>
    <row r="5" spans="1:11" x14ac:dyDescent="0.25">
      <c r="A5" s="16" t="str">
        <f>Tourist_Survey_Data!A5</f>
        <v>R003</v>
      </c>
      <c r="B5" s="16" t="str">
        <f>Tourist_Survey_Data!C5</f>
        <v>Domestic</v>
      </c>
      <c r="C5" s="16" t="str">
        <f>Tourist_Survey_Data!B5</f>
        <v>Sudhanyakhali</v>
      </c>
      <c r="D5" s="16" t="str">
        <f>Tourist_Survey_Data!O5</f>
        <v>Winter (Oct-Mar)</v>
      </c>
      <c r="E5" s="17">
        <f>Tourist_Survey_Data!J5*INDEX(Assumptions!$B$8:$B$14,MATCH(Tourist_Survey_Data!I5,Assumptions!$A$8:$A$14,0))/1000*Assumptions!$B$4</f>
        <v>5.1436799999999994E-3</v>
      </c>
      <c r="F5" s="17">
        <f>Tourist_Survey_Data!L5*INDEX(Assumptions!$B$18:$B$22,MATCH(Tourist_Survey_Data!K5,Assumptions!$A$18:$A$22,0))</f>
        <v>1.8E-3</v>
      </c>
      <c r="G5" s="17">
        <f>Tourist_Survey_Data!H5*INDEX(Assumptions!$B$26:$B$28,MATCH(Tourist_Survey_Data!M5,Assumptions!$A$26:$A$28,0))</f>
        <v>1.6E-2</v>
      </c>
      <c r="H5" s="17">
        <f>Tourist_Survey_Data!H5*Tourist_Survey_Data!N5*Assumptions!$B$31</f>
        <v>1.5600000000000002E-4</v>
      </c>
      <c r="I5" s="17">
        <f>Tourist_Survey_Data!H5*INDEX(Assumptions!$B$35:$B$37,MATCH(INDEX(GIS_Site_Data!$E$3:$E$12,MATCH(Tourist_Survey_Data!B5,GIS_Site_Data!$B$3:$B$12,0)),Assumptions!$A$35:$A$37,0))</f>
        <v>4.7999999999999996E-3</v>
      </c>
      <c r="J5" s="17">
        <f t="shared" si="0"/>
        <v>2.789968E-2</v>
      </c>
      <c r="K5" s="17">
        <f>IFERROR(J5/Tourist_Survey_Data!H5,0)</f>
        <v>6.9749199999999999E-3</v>
      </c>
    </row>
    <row r="6" spans="1:11" x14ac:dyDescent="0.25">
      <c r="A6" s="16" t="str">
        <f>Tourist_Survey_Data!A6</f>
        <v>R004</v>
      </c>
      <c r="B6" s="16" t="str">
        <f>Tourist_Survey_Data!C6</f>
        <v>International</v>
      </c>
      <c r="C6" s="16" t="str">
        <f>Tourist_Survey_Data!B6</f>
        <v>Jharkhali</v>
      </c>
      <c r="D6" s="16" t="str">
        <f>Tourist_Survey_Data!O6</f>
        <v>Winter (Oct-Mar)</v>
      </c>
      <c r="E6" s="17">
        <f>Tourist_Survey_Data!J6*INDEX(Assumptions!$B$8:$B$14,MATCH(Tourist_Survey_Data!I6,Assumptions!$A$8:$A$14,0))/1000*Assumptions!$B$4</f>
        <v>0.23552856000000003</v>
      </c>
      <c r="F6" s="17">
        <f>Tourist_Survey_Data!L6*INDEX(Assumptions!$B$18:$B$22,MATCH(Tourist_Survey_Data!K6,Assumptions!$A$18:$A$22,0))</f>
        <v>6.0000000000000001E-3</v>
      </c>
      <c r="G6" s="17">
        <f>Tourist_Survey_Data!H6*INDEX(Assumptions!$B$26:$B$28,MATCH(Tourist_Survey_Data!M6,Assumptions!$A$26:$A$28,0))</f>
        <v>1.2E-2</v>
      </c>
      <c r="H6" s="17">
        <f>Tourist_Survey_Data!H6*Tourist_Survey_Data!N6*Assumptions!$B$31</f>
        <v>2.1600000000000002E-4</v>
      </c>
      <c r="I6" s="17">
        <f>Tourist_Survey_Data!H6*INDEX(Assumptions!$B$35:$B$37,MATCH(INDEX(GIS_Site_Data!$E$3:$E$12,MATCH(Tourist_Survey_Data!B6,GIS_Site_Data!$B$3:$B$12,0)),Assumptions!$A$35:$A$37,0))</f>
        <v>6.0000000000000006E-4</v>
      </c>
      <c r="J6" s="17">
        <f t="shared" si="0"/>
        <v>0.25434456</v>
      </c>
      <c r="K6" s="17">
        <f>IFERROR(J6/Tourist_Survey_Data!H6,0)</f>
        <v>8.4781519999999999E-2</v>
      </c>
    </row>
    <row r="7" spans="1:11" x14ac:dyDescent="0.25">
      <c r="A7" s="16" t="str">
        <f>Tourist_Survey_Data!A7</f>
        <v>R005</v>
      </c>
      <c r="B7" s="16" t="str">
        <f>Tourist_Survey_Data!C7</f>
        <v>Domestic</v>
      </c>
      <c r="C7" s="16" t="str">
        <f>Tourist_Survey_Data!B7</f>
        <v>Pakhiralay</v>
      </c>
      <c r="D7" s="16" t="str">
        <f>Tourist_Survey_Data!O7</f>
        <v>Summer (Apr-May)</v>
      </c>
      <c r="E7" s="17">
        <f>Tourist_Survey_Data!J7*INDEX(Assumptions!$B$8:$B$14,MATCH(Tourist_Survey_Data!I7,Assumptions!$A$8:$A$14,0))/1000*Assumptions!$B$4</f>
        <v>4.4961599999999999E-3</v>
      </c>
      <c r="F7" s="17">
        <f>Tourist_Survey_Data!L7*INDEX(Assumptions!$B$18:$B$22,MATCH(Tourist_Survey_Data!K7,Assumptions!$A$18:$A$22,0))</f>
        <v>1.8E-3</v>
      </c>
      <c r="G7" s="17">
        <f>Tourist_Survey_Data!H7*INDEX(Assumptions!$B$26:$B$28,MATCH(Tourist_Survey_Data!M7,Assumptions!$A$26:$A$28,0))</f>
        <v>3.5999999999999999E-3</v>
      </c>
      <c r="H7" s="17">
        <f>Tourist_Survey_Data!H7*Tourist_Survey_Data!N7*Assumptions!$B$31</f>
        <v>1.44E-4</v>
      </c>
      <c r="I7" s="17">
        <f>Tourist_Survey_Data!H7*INDEX(Assumptions!$B$35:$B$37,MATCH(INDEX(GIS_Site_Data!$E$3:$E$12,MATCH(Tourist_Survey_Data!B7,GIS_Site_Data!$B$3:$B$12,0)),Assumptions!$A$35:$A$37,0))</f>
        <v>1.1999999999999999E-3</v>
      </c>
      <c r="J7" s="17">
        <f t="shared" si="0"/>
        <v>1.1240160000000001E-2</v>
      </c>
      <c r="K7" s="17">
        <f>IFERROR(J7/Tourist_Survey_Data!H7,0)</f>
        <v>5.6200800000000004E-3</v>
      </c>
    </row>
    <row r="8" spans="1:11" x14ac:dyDescent="0.25">
      <c r="A8" s="16" t="str">
        <f>Tourist_Survey_Data!A8</f>
        <v>R006</v>
      </c>
      <c r="B8" s="16" t="str">
        <f>Tourist_Survey_Data!C8</f>
        <v>Domestic</v>
      </c>
      <c r="C8" s="16" t="str">
        <f>Tourist_Survey_Data!B8</f>
        <v>Netidhopani</v>
      </c>
      <c r="D8" s="16" t="str">
        <f>Tourist_Survey_Data!O8</f>
        <v>Summer (Apr-May)</v>
      </c>
      <c r="E8" s="17">
        <f>Tourist_Survey_Data!J8*INDEX(Assumptions!$B$8:$B$14,MATCH(Tourist_Survey_Data!I8,Assumptions!$A$8:$A$14,0))/1000*Assumptions!$B$4</f>
        <v>6.9171210000000009E-3</v>
      </c>
      <c r="F8" s="17">
        <f>Tourist_Survey_Data!L8*INDEX(Assumptions!$B$18:$B$22,MATCH(Tourist_Survey_Data!K8,Assumptions!$A$18:$A$22,0))</f>
        <v>1.6000000000000001E-3</v>
      </c>
      <c r="G8" s="17">
        <f>Tourist_Survey_Data!H8*INDEX(Assumptions!$B$26:$B$28,MATCH(Tourist_Survey_Data!M8,Assumptions!$A$26:$A$28,0))</f>
        <v>5.4000000000000003E-3</v>
      </c>
      <c r="H8" s="17">
        <f>Tourist_Survey_Data!H8*Tourist_Survey_Data!N8*Assumptions!$B$31</f>
        <v>4.0200000000000007E-4</v>
      </c>
      <c r="I8" s="17">
        <f>Tourist_Survey_Data!H8*INDEX(Assumptions!$B$35:$B$37,MATCH(INDEX(GIS_Site_Data!$E$3:$E$12,MATCH(Tourist_Survey_Data!B8,GIS_Site_Data!$B$3:$B$12,0)),Assumptions!$A$35:$A$37,0))</f>
        <v>3.5999999999999999E-3</v>
      </c>
      <c r="J8" s="17">
        <f t="shared" si="0"/>
        <v>1.7919121E-2</v>
      </c>
      <c r="K8" s="17">
        <f>IFERROR(J8/Tourist_Survey_Data!H8,0)</f>
        <v>5.9730403333333329E-3</v>
      </c>
    </row>
    <row r="9" spans="1:11" x14ac:dyDescent="0.25">
      <c r="A9" s="16" t="str">
        <f>Tourist_Survey_Data!A9</f>
        <v>R007</v>
      </c>
      <c r="B9" s="16" t="str">
        <f>Tourist_Survey_Data!C9</f>
        <v>Domestic</v>
      </c>
      <c r="C9" s="16" t="str">
        <f>Tourist_Survey_Data!B9</f>
        <v>Pakhiralay</v>
      </c>
      <c r="D9" s="16" t="str">
        <f>Tourist_Survey_Data!O9</f>
        <v>Winter (Oct-Mar)</v>
      </c>
      <c r="E9" s="17">
        <f>Tourist_Survey_Data!J9*INDEX(Assumptions!$B$8:$B$14,MATCH(Tourist_Survey_Data!I9,Assumptions!$A$8:$A$14,0))/1000*Assumptions!$B$4</f>
        <v>1.5790330000000002E-2</v>
      </c>
      <c r="F9" s="17">
        <f>Tourist_Survey_Data!L9*INDEX(Assumptions!$B$18:$B$22,MATCH(Tourist_Survey_Data!K9,Assumptions!$A$18:$A$22,0))</f>
        <v>1.8E-3</v>
      </c>
      <c r="G9" s="17">
        <f>Tourist_Survey_Data!H9*INDEX(Assumptions!$B$26:$B$28,MATCH(Tourist_Survey_Data!M9,Assumptions!$A$26:$A$28,0))</f>
        <v>5.5999999999999999E-3</v>
      </c>
      <c r="H9" s="17">
        <f>Tourist_Survey_Data!H9*Tourist_Survey_Data!N9*Assumptions!$B$31</f>
        <v>2.2400000000000002E-4</v>
      </c>
      <c r="I9" s="17">
        <f>Tourist_Survey_Data!H9*INDEX(Assumptions!$B$35:$B$37,MATCH(INDEX(GIS_Site_Data!$E$3:$E$12,MATCH(Tourist_Survey_Data!B9,GIS_Site_Data!$B$3:$B$12,0)),Assumptions!$A$35:$A$37,0))</f>
        <v>1.1999999999999999E-3</v>
      </c>
      <c r="J9" s="17">
        <f t="shared" si="0"/>
        <v>2.461433E-2</v>
      </c>
      <c r="K9" s="17">
        <f>IFERROR(J9/Tourist_Survey_Data!H9,0)</f>
        <v>1.2307165E-2</v>
      </c>
    </row>
    <row r="10" spans="1:11" x14ac:dyDescent="0.25">
      <c r="A10" s="16" t="str">
        <f>Tourist_Survey_Data!A10</f>
        <v>R008</v>
      </c>
      <c r="B10" s="16" t="str">
        <f>Tourist_Survey_Data!C10</f>
        <v>Domestic</v>
      </c>
      <c r="C10" s="16" t="str">
        <f>Tourist_Survey_Data!B10</f>
        <v>Jharkhali</v>
      </c>
      <c r="D10" s="16" t="str">
        <f>Tourist_Survey_Data!O10</f>
        <v>Winter (Oct-Mar)</v>
      </c>
      <c r="E10" s="17">
        <f>Tourist_Survey_Data!J10*INDEX(Assumptions!$B$8:$B$14,MATCH(Tourist_Survey_Data!I10,Assumptions!$A$8:$A$14,0))/1000*Assumptions!$B$4</f>
        <v>1.9443840000000002E-3</v>
      </c>
      <c r="F10" s="17">
        <f>Tourist_Survey_Data!L10*INDEX(Assumptions!$B$18:$B$22,MATCH(Tourist_Survey_Data!K10,Assumptions!$A$18:$A$22,0))</f>
        <v>0</v>
      </c>
      <c r="G10" s="17">
        <f>Tourist_Survey_Data!H10*INDEX(Assumptions!$B$26:$B$28,MATCH(Tourist_Survey_Data!M10,Assumptions!$A$26:$A$28,0))</f>
        <v>2.8E-3</v>
      </c>
      <c r="H10" s="17">
        <f>Tourist_Survey_Data!H10*Tourist_Survey_Data!N10*Assumptions!$B$31</f>
        <v>7.6000000000000004E-5</v>
      </c>
      <c r="I10" s="17">
        <f>Tourist_Survey_Data!H10*INDEX(Assumptions!$B$35:$B$37,MATCH(INDEX(GIS_Site_Data!$E$3:$E$12,MATCH(Tourist_Survey_Data!B10,GIS_Site_Data!$B$3:$B$12,0)),Assumptions!$A$35:$A$37,0))</f>
        <v>2.0000000000000001E-4</v>
      </c>
      <c r="J10" s="17">
        <f t="shared" si="0"/>
        <v>5.0203839999999993E-3</v>
      </c>
      <c r="K10" s="17">
        <f>IFERROR(J10/Tourist_Survey_Data!H10,0)</f>
        <v>5.0203839999999993E-3</v>
      </c>
    </row>
    <row r="11" spans="1:11" x14ac:dyDescent="0.25">
      <c r="A11" s="16" t="str">
        <f>Tourist_Survey_Data!A11</f>
        <v>R009</v>
      </c>
      <c r="B11" s="16" t="str">
        <f>Tourist_Survey_Data!C11</f>
        <v>Domestic</v>
      </c>
      <c r="C11" s="16" t="str">
        <f>Tourist_Survey_Data!B11</f>
        <v>Bhagabatpur (Crocodile Project)</v>
      </c>
      <c r="D11" s="16" t="str">
        <f>Tourist_Survey_Data!O11</f>
        <v>Winter (Oct-Mar)</v>
      </c>
      <c r="E11" s="17">
        <f>Tourist_Survey_Data!J11*INDEX(Assumptions!$B$8:$B$14,MATCH(Tourist_Survey_Data!I11,Assumptions!$A$8:$A$14,0))/1000*Assumptions!$B$4</f>
        <v>1.1255695E-2</v>
      </c>
      <c r="F11" s="17">
        <f>Tourist_Survey_Data!L11*INDEX(Assumptions!$B$18:$B$22,MATCH(Tourist_Survey_Data!K11,Assumptions!$A$18:$A$22,0))</f>
        <v>0</v>
      </c>
      <c r="G11" s="17">
        <f>Tourist_Survey_Data!H11*INDEX(Assumptions!$B$26:$B$28,MATCH(Tourist_Survey_Data!M11,Assumptions!$A$26:$A$28,0))</f>
        <v>2.8E-3</v>
      </c>
      <c r="H11" s="17">
        <f>Tourist_Survey_Data!H11*Tourist_Survey_Data!N11*Assumptions!$B$31</f>
        <v>1.1499999999999999E-4</v>
      </c>
      <c r="I11" s="17">
        <f>Tourist_Survey_Data!H11*INDEX(Assumptions!$B$35:$B$37,MATCH(INDEX(GIS_Site_Data!$E$3:$E$12,MATCH(Tourist_Survey_Data!B11,GIS_Site_Data!$B$3:$B$12,0)),Assumptions!$A$35:$A$37,0))</f>
        <v>5.9999999999999995E-4</v>
      </c>
      <c r="J11" s="17">
        <f t="shared" si="0"/>
        <v>1.4770695E-2</v>
      </c>
      <c r="K11" s="17">
        <f>IFERROR(J11/Tourist_Survey_Data!H11,0)</f>
        <v>1.4770695E-2</v>
      </c>
    </row>
    <row r="12" spans="1:11" x14ac:dyDescent="0.25">
      <c r="A12" s="16" t="str">
        <f>Tourist_Survey_Data!A12</f>
        <v>R010</v>
      </c>
      <c r="B12" s="16" t="str">
        <f>Tourist_Survey_Data!C12</f>
        <v>Domestic</v>
      </c>
      <c r="C12" s="16" t="str">
        <f>Tourist_Survey_Data!B12</f>
        <v>Gosaba</v>
      </c>
      <c r="D12" s="16" t="str">
        <f>Tourist_Survey_Data!O12</f>
        <v>Winter (Oct-Mar)</v>
      </c>
      <c r="E12" s="17">
        <f>Tourist_Survey_Data!J12*INDEX(Assumptions!$B$8:$B$14,MATCH(Tourist_Survey_Data!I12,Assumptions!$A$8:$A$14,0))/1000*Assumptions!$B$4</f>
        <v>6.0724949999999993E-2</v>
      </c>
      <c r="F12" s="17">
        <f>Tourist_Survey_Data!L12*INDEX(Assumptions!$B$18:$B$22,MATCH(Tourist_Survey_Data!K12,Assumptions!$A$18:$A$22,0))</f>
        <v>0</v>
      </c>
      <c r="G12" s="17">
        <f>Tourist_Survey_Data!H12*INDEX(Assumptions!$B$26:$B$28,MATCH(Tourist_Survey_Data!M12,Assumptions!$A$26:$A$28,0))</f>
        <v>4.0000000000000001E-3</v>
      </c>
      <c r="H12" s="17">
        <f>Tourist_Survey_Data!H12*Tourist_Survey_Data!N12*Assumptions!$B$31</f>
        <v>8.6000000000000003E-5</v>
      </c>
      <c r="I12" s="17">
        <f>Tourist_Survey_Data!H12*INDEX(Assumptions!$B$35:$B$37,MATCH(INDEX(GIS_Site_Data!$E$3:$E$12,MATCH(Tourist_Survey_Data!B12,GIS_Site_Data!$B$3:$B$12,0)),Assumptions!$A$35:$A$37,0))</f>
        <v>2.0000000000000001E-4</v>
      </c>
      <c r="J12" s="17">
        <f t="shared" si="0"/>
        <v>6.5010949999999998E-2</v>
      </c>
      <c r="K12" s="17">
        <f>IFERROR(J12/Tourist_Survey_Data!H12,0)</f>
        <v>6.5010949999999998E-2</v>
      </c>
    </row>
    <row r="13" spans="1:11" x14ac:dyDescent="0.25">
      <c r="A13" s="16" t="str">
        <f>Tourist_Survey_Data!A13</f>
        <v>R011</v>
      </c>
      <c r="B13" s="16" t="str">
        <f>Tourist_Survey_Data!C13</f>
        <v>Domestic</v>
      </c>
      <c r="C13" s="16" t="str">
        <f>Tourist_Survey_Data!B13</f>
        <v>Pakhiralay</v>
      </c>
      <c r="D13" s="16" t="str">
        <f>Tourist_Survey_Data!O13</f>
        <v>Summer (Apr-May)</v>
      </c>
      <c r="E13" s="17">
        <f>Tourist_Survey_Data!J13*INDEX(Assumptions!$B$8:$B$14,MATCH(Tourist_Survey_Data!I13,Assumptions!$A$8:$A$14,0))/1000*Assumptions!$B$4</f>
        <v>6.3882179999999997E-2</v>
      </c>
      <c r="F13" s="17">
        <f>Tourist_Survey_Data!L13*INDEX(Assumptions!$B$18:$B$22,MATCH(Tourist_Survey_Data!K13,Assumptions!$A$18:$A$22,0))</f>
        <v>1.8E-3</v>
      </c>
      <c r="G13" s="17">
        <f>Tourist_Survey_Data!H13*INDEX(Assumptions!$B$26:$B$28,MATCH(Tourist_Survey_Data!M13,Assumptions!$A$26:$A$28,0))</f>
        <v>1.12E-2</v>
      </c>
      <c r="H13" s="17">
        <f>Tourist_Survey_Data!H13*Tourist_Survey_Data!N13*Assumptions!$B$31</f>
        <v>5.5199999999999997E-4</v>
      </c>
      <c r="I13" s="17">
        <f>Tourist_Survey_Data!H13*INDEX(Assumptions!$B$35:$B$37,MATCH(INDEX(GIS_Site_Data!$E$3:$E$12,MATCH(Tourist_Survey_Data!B13,GIS_Site_Data!$B$3:$B$12,0)),Assumptions!$A$35:$A$37,0))</f>
        <v>2.3999999999999998E-3</v>
      </c>
      <c r="J13" s="17">
        <f t="shared" si="0"/>
        <v>7.9834179999999991E-2</v>
      </c>
      <c r="K13" s="17">
        <f>IFERROR(J13/Tourist_Survey_Data!H13,0)</f>
        <v>1.9958544999999998E-2</v>
      </c>
    </row>
    <row r="14" spans="1:11" x14ac:dyDescent="0.25">
      <c r="A14" s="16" t="str">
        <f>Tourist_Survey_Data!A14</f>
        <v>R012</v>
      </c>
      <c r="B14" s="16" t="str">
        <f>Tourist_Survey_Data!C14</f>
        <v>Domestic</v>
      </c>
      <c r="C14" s="16" t="str">
        <f>Tourist_Survey_Data!B14</f>
        <v>Sonakhali (Gateway)</v>
      </c>
      <c r="D14" s="16" t="str">
        <f>Tourist_Survey_Data!O14</f>
        <v>Winter (Oct-Mar)</v>
      </c>
      <c r="E14" s="17">
        <f>Tourist_Survey_Data!J14*INDEX(Assumptions!$B$8:$B$14,MATCH(Tourist_Survey_Data!I14,Assumptions!$A$8:$A$14,0))/1000*Assumptions!$B$4</f>
        <v>1.6517916000000001E-2</v>
      </c>
      <c r="F14" s="17">
        <f>Tourist_Survey_Data!L14*INDEX(Assumptions!$B$18:$B$22,MATCH(Tourist_Survey_Data!K14,Assumptions!$A$18:$A$22,0))</f>
        <v>1.8E-3</v>
      </c>
      <c r="G14" s="17">
        <f>Tourist_Survey_Data!H14*INDEX(Assumptions!$B$26:$B$28,MATCH(Tourist_Survey_Data!M14,Assumptions!$A$26:$A$28,0))</f>
        <v>8.0000000000000002E-3</v>
      </c>
      <c r="H14" s="17">
        <f>Tourist_Survey_Data!H14*Tourist_Survey_Data!N14*Assumptions!$B$31</f>
        <v>9.6000000000000002E-5</v>
      </c>
      <c r="I14" s="17">
        <f>Tourist_Survey_Data!H14*INDEX(Assumptions!$B$35:$B$37,MATCH(INDEX(GIS_Site_Data!$E$3:$E$12,MATCH(Tourist_Survey_Data!B14,GIS_Site_Data!$B$3:$B$12,0)),Assumptions!$A$35:$A$37,0))</f>
        <v>4.0000000000000002E-4</v>
      </c>
      <c r="J14" s="17">
        <f t="shared" si="0"/>
        <v>2.6813916E-2</v>
      </c>
      <c r="K14" s="17">
        <f>IFERROR(J14/Tourist_Survey_Data!H14,0)</f>
        <v>1.3406958E-2</v>
      </c>
    </row>
    <row r="15" spans="1:11" x14ac:dyDescent="0.25">
      <c r="A15" s="16" t="str">
        <f>Tourist_Survey_Data!A15</f>
        <v>R013</v>
      </c>
      <c r="B15" s="16" t="str">
        <f>Tourist_Survey_Data!C15</f>
        <v>Domestic</v>
      </c>
      <c r="C15" s="16" t="str">
        <f>Tourist_Survey_Data!B15</f>
        <v>Jharkhali</v>
      </c>
      <c r="D15" s="16" t="str">
        <f>Tourist_Survey_Data!O15</f>
        <v>Winter (Oct-Mar)</v>
      </c>
      <c r="E15" s="17">
        <f>Tourist_Survey_Data!J15*INDEX(Assumptions!$B$8:$B$14,MATCH(Tourist_Survey_Data!I15,Assumptions!$A$8:$A$14,0))/1000*Assumptions!$B$4</f>
        <v>1.8423350000000001E-3</v>
      </c>
      <c r="F15" s="17">
        <f>Tourist_Survey_Data!L15*INDEX(Assumptions!$B$18:$B$22,MATCH(Tourist_Survey_Data!K15,Assumptions!$A$18:$A$22,0))</f>
        <v>5.4000000000000003E-3</v>
      </c>
      <c r="G15" s="17">
        <f>Tourist_Survey_Data!H15*INDEX(Assumptions!$B$26:$B$28,MATCH(Tourist_Survey_Data!M15,Assumptions!$A$26:$A$28,0))</f>
        <v>1.12E-2</v>
      </c>
      <c r="H15" s="17">
        <f>Tourist_Survey_Data!H15*Tourist_Survey_Data!N15*Assumptions!$B$31</f>
        <v>3.48E-4</v>
      </c>
      <c r="I15" s="17">
        <f>Tourist_Survey_Data!H15*INDEX(Assumptions!$B$35:$B$37,MATCH(INDEX(GIS_Site_Data!$E$3:$E$12,MATCH(Tourist_Survey_Data!B15,GIS_Site_Data!$B$3:$B$12,0)),Assumptions!$A$35:$A$37,0))</f>
        <v>8.0000000000000004E-4</v>
      </c>
      <c r="J15" s="17">
        <f t="shared" si="0"/>
        <v>1.9590335E-2</v>
      </c>
      <c r="K15" s="17">
        <f>IFERROR(J15/Tourist_Survey_Data!H15,0)</f>
        <v>4.8975837500000001E-3</v>
      </c>
    </row>
    <row r="16" spans="1:11" x14ac:dyDescent="0.25">
      <c r="A16" s="16" t="str">
        <f>Tourist_Survey_Data!A16</f>
        <v>R014</v>
      </c>
      <c r="B16" s="16" t="str">
        <f>Tourist_Survey_Data!C16</f>
        <v>Domestic</v>
      </c>
      <c r="C16" s="16" t="str">
        <f>Tourist_Survey_Data!B16</f>
        <v>Sonakhali (Gateway)</v>
      </c>
      <c r="D16" s="16" t="str">
        <f>Tourist_Survey_Data!O16</f>
        <v>Winter (Oct-Mar)</v>
      </c>
      <c r="E16" s="17">
        <f>Tourist_Survey_Data!J16*INDEX(Assumptions!$B$8:$B$14,MATCH(Tourist_Survey_Data!I16,Assumptions!$A$8:$A$14,0))/1000*Assumptions!$B$4</f>
        <v>1.3912940000000002E-3</v>
      </c>
      <c r="F16" s="17">
        <f>Tourist_Survey_Data!L16*INDEX(Assumptions!$B$18:$B$22,MATCH(Tourist_Survey_Data!K16,Assumptions!$A$18:$A$22,0))</f>
        <v>0</v>
      </c>
      <c r="G16" s="17">
        <f>Tourist_Survey_Data!H16*INDEX(Assumptions!$B$26:$B$28,MATCH(Tourist_Survey_Data!M16,Assumptions!$A$26:$A$28,0))</f>
        <v>1.8E-3</v>
      </c>
      <c r="H16" s="17">
        <f>Tourist_Survey_Data!H16*Tourist_Survey_Data!N16*Assumptions!$B$31</f>
        <v>6.6000000000000005E-5</v>
      </c>
      <c r="I16" s="17">
        <f>Tourist_Survey_Data!H16*INDEX(Assumptions!$B$35:$B$37,MATCH(INDEX(GIS_Site_Data!$E$3:$E$12,MATCH(Tourist_Survey_Data!B16,GIS_Site_Data!$B$3:$B$12,0)),Assumptions!$A$35:$A$37,0))</f>
        <v>2.0000000000000001E-4</v>
      </c>
      <c r="J16" s="17">
        <f t="shared" si="0"/>
        <v>3.4572940000000001E-3</v>
      </c>
      <c r="K16" s="17">
        <f>IFERROR(J16/Tourist_Survey_Data!H16,0)</f>
        <v>3.4572940000000001E-3</v>
      </c>
    </row>
    <row r="17" spans="1:11" x14ac:dyDescent="0.25">
      <c r="A17" s="16" t="str">
        <f>Tourist_Survey_Data!A17</f>
        <v>R015</v>
      </c>
      <c r="B17" s="16" t="str">
        <f>Tourist_Survey_Data!C17</f>
        <v>Domestic</v>
      </c>
      <c r="C17" s="16" t="str">
        <f>Tourist_Survey_Data!B17</f>
        <v>Gosaba</v>
      </c>
      <c r="D17" s="16" t="str">
        <f>Tourist_Survey_Data!O17</f>
        <v>Winter (Oct-Mar)</v>
      </c>
      <c r="E17" s="17">
        <f>Tourist_Survey_Data!J17*INDEX(Assumptions!$B$8:$B$14,MATCH(Tourist_Survey_Data!I17,Assumptions!$A$8:$A$14,0))/1000*Assumptions!$B$4</f>
        <v>3.1692000000000001E-3</v>
      </c>
      <c r="F17" s="17">
        <f>Tourist_Survey_Data!L17*INDEX(Assumptions!$B$18:$B$22,MATCH(Tourist_Survey_Data!K17,Assumptions!$A$18:$A$22,0))</f>
        <v>2.4000000000000002E-3</v>
      </c>
      <c r="G17" s="17">
        <f>Tourist_Survey_Data!H17*INDEX(Assumptions!$B$26:$B$28,MATCH(Tourist_Survey_Data!M17,Assumptions!$A$26:$A$28,0))</f>
        <v>7.1999999999999998E-3</v>
      </c>
      <c r="H17" s="17">
        <f>Tourist_Survey_Data!H17*Tourist_Survey_Data!N17*Assumptions!$B$31</f>
        <v>4.0800000000000005E-4</v>
      </c>
      <c r="I17" s="17">
        <f>Tourist_Survey_Data!H17*INDEX(Assumptions!$B$35:$B$37,MATCH(INDEX(GIS_Site_Data!$E$3:$E$12,MATCH(Tourist_Survey_Data!B17,GIS_Site_Data!$B$3:$B$12,0)),Assumptions!$A$35:$A$37,0))</f>
        <v>8.0000000000000004E-4</v>
      </c>
      <c r="J17" s="17">
        <f t="shared" si="0"/>
        <v>1.39772E-2</v>
      </c>
      <c r="K17" s="17">
        <f>IFERROR(J17/Tourist_Survey_Data!H17,0)</f>
        <v>3.4943000000000001E-3</v>
      </c>
    </row>
    <row r="18" spans="1:11" x14ac:dyDescent="0.25">
      <c r="A18" s="16" t="str">
        <f>Tourist_Survey_Data!A18</f>
        <v>R016</v>
      </c>
      <c r="B18" s="16" t="str">
        <f>Tourist_Survey_Data!C18</f>
        <v>Domestic</v>
      </c>
      <c r="C18" s="16" t="str">
        <f>Tourist_Survey_Data!B18</f>
        <v>Bhagabatpur (Crocodile Project)</v>
      </c>
      <c r="D18" s="16" t="str">
        <f>Tourist_Survey_Data!O18</f>
        <v>Winter (Oct-Mar)</v>
      </c>
      <c r="E18" s="17">
        <f>Tourist_Survey_Data!J18*INDEX(Assumptions!$B$8:$B$14,MATCH(Tourist_Survey_Data!I18,Assumptions!$A$8:$A$14,0))/1000*Assumptions!$B$4</f>
        <v>4.8735000000000001E-2</v>
      </c>
      <c r="F18" s="17">
        <f>Tourist_Survey_Data!L18*INDEX(Assumptions!$B$18:$B$22,MATCH(Tourist_Survey_Data!K18,Assumptions!$A$18:$A$22,0))</f>
        <v>6.0000000000000001E-3</v>
      </c>
      <c r="G18" s="17">
        <f>Tourist_Survey_Data!H18*INDEX(Assumptions!$B$26:$B$28,MATCH(Tourist_Survey_Data!M18,Assumptions!$A$26:$A$28,0))</f>
        <v>5.4000000000000003E-3</v>
      </c>
      <c r="H18" s="17">
        <f>Tourist_Survey_Data!H18*Tourist_Survey_Data!N18*Assumptions!$B$31</f>
        <v>1.5300000000000001E-4</v>
      </c>
      <c r="I18" s="17">
        <f>Tourist_Survey_Data!H18*INDEX(Assumptions!$B$35:$B$37,MATCH(INDEX(GIS_Site_Data!$E$3:$E$12,MATCH(Tourist_Survey_Data!B18,GIS_Site_Data!$B$3:$B$12,0)),Assumptions!$A$35:$A$37,0))</f>
        <v>1.8E-3</v>
      </c>
      <c r="J18" s="17">
        <f t="shared" si="0"/>
        <v>6.2088000000000004E-2</v>
      </c>
      <c r="K18" s="17">
        <f>IFERROR(J18/Tourist_Survey_Data!H18,0)</f>
        <v>2.0696000000000003E-2</v>
      </c>
    </row>
    <row r="19" spans="1:11" x14ac:dyDescent="0.25">
      <c r="A19" s="16" t="str">
        <f>Tourist_Survey_Data!A19</f>
        <v>R017</v>
      </c>
      <c r="B19" s="16" t="str">
        <f>Tourist_Survey_Data!C19</f>
        <v>Domestic</v>
      </c>
      <c r="C19" s="16" t="str">
        <f>Tourist_Survey_Data!B19</f>
        <v>Bhagabatpur (Crocodile Project)</v>
      </c>
      <c r="D19" s="16" t="str">
        <f>Tourist_Survey_Data!O19</f>
        <v>Summer (Apr-May)</v>
      </c>
      <c r="E19" s="17">
        <f>Tourist_Survey_Data!J19*INDEX(Assumptions!$B$8:$B$14,MATCH(Tourist_Survey_Data!I19,Assumptions!$A$8:$A$14,0))/1000*Assumptions!$B$4</f>
        <v>2.1022265000000002E-2</v>
      </c>
      <c r="F19" s="17">
        <f>Tourist_Survey_Data!L19*INDEX(Assumptions!$B$18:$B$22,MATCH(Tourist_Survey_Data!K19,Assumptions!$A$18:$A$22,0))</f>
        <v>0</v>
      </c>
      <c r="G19" s="17">
        <f>Tourist_Survey_Data!H19*INDEX(Assumptions!$B$26:$B$28,MATCH(Tourist_Survey_Data!M19,Assumptions!$A$26:$A$28,0))</f>
        <v>4.0000000000000001E-3</v>
      </c>
      <c r="H19" s="17">
        <f>Tourist_Survey_Data!H19*Tourist_Survey_Data!N19*Assumptions!$B$31</f>
        <v>1.3700000000000002E-4</v>
      </c>
      <c r="I19" s="17">
        <f>Tourist_Survey_Data!H19*INDEX(Assumptions!$B$35:$B$37,MATCH(INDEX(GIS_Site_Data!$E$3:$E$12,MATCH(Tourist_Survey_Data!B19,GIS_Site_Data!$B$3:$B$12,0)),Assumptions!$A$35:$A$37,0))</f>
        <v>5.9999999999999995E-4</v>
      </c>
      <c r="J19" s="17">
        <f t="shared" si="0"/>
        <v>2.5759265000000003E-2</v>
      </c>
      <c r="K19" s="17">
        <f>IFERROR(J19/Tourist_Survey_Data!H19,0)</f>
        <v>2.5759265000000003E-2</v>
      </c>
    </row>
    <row r="20" spans="1:11" x14ac:dyDescent="0.25">
      <c r="A20" s="16" t="str">
        <f>Tourist_Survey_Data!A20</f>
        <v>R018</v>
      </c>
      <c r="B20" s="16" t="str">
        <f>Tourist_Survey_Data!C20</f>
        <v>Domestic</v>
      </c>
      <c r="C20" s="16" t="str">
        <f>Tourist_Survey_Data!B20</f>
        <v>Sonakhali (Gateway)</v>
      </c>
      <c r="D20" s="16" t="str">
        <f>Tourist_Survey_Data!O20</f>
        <v>Winter (Oct-Mar)</v>
      </c>
      <c r="E20" s="17">
        <f>Tourist_Survey_Data!J20*INDEX(Assumptions!$B$8:$B$14,MATCH(Tourist_Survey_Data!I20,Assumptions!$A$8:$A$14,0))/1000*Assumptions!$B$4</f>
        <v>3.4904520000000001E-2</v>
      </c>
      <c r="F20" s="17">
        <f>Tourist_Survey_Data!L20*INDEX(Assumptions!$B$18:$B$22,MATCH(Tourist_Survey_Data!K20,Assumptions!$A$18:$A$22,0))</f>
        <v>1.3499999999999998E-2</v>
      </c>
      <c r="G20" s="17">
        <f>Tourist_Survey_Data!H20*INDEX(Assumptions!$B$26:$B$28,MATCH(Tourist_Survey_Data!M20,Assumptions!$A$26:$A$28,0))</f>
        <v>7.1999999999999998E-3</v>
      </c>
      <c r="H20" s="17">
        <f>Tourist_Survey_Data!H20*Tourist_Survey_Data!N20*Assumptions!$B$31</f>
        <v>4.64E-4</v>
      </c>
      <c r="I20" s="17">
        <f>Tourist_Survey_Data!H20*INDEX(Assumptions!$B$35:$B$37,MATCH(INDEX(GIS_Site_Data!$E$3:$E$12,MATCH(Tourist_Survey_Data!B20,GIS_Site_Data!$B$3:$B$12,0)),Assumptions!$A$35:$A$37,0))</f>
        <v>8.0000000000000004E-4</v>
      </c>
      <c r="J20" s="17">
        <f t="shared" si="0"/>
        <v>5.6868519999999999E-2</v>
      </c>
      <c r="K20" s="17">
        <f>IFERROR(J20/Tourist_Survey_Data!H20,0)</f>
        <v>1.421713E-2</v>
      </c>
    </row>
    <row r="21" spans="1:11" x14ac:dyDescent="0.25">
      <c r="A21" s="16" t="str">
        <f>Tourist_Survey_Data!A21</f>
        <v>R019</v>
      </c>
      <c r="B21" s="16" t="str">
        <f>Tourist_Survey_Data!C21</f>
        <v>Domestic</v>
      </c>
      <c r="C21" s="16" t="str">
        <f>Tourist_Survey_Data!B21</f>
        <v>Bhagabatpur (Crocodile Project)</v>
      </c>
      <c r="D21" s="16" t="str">
        <f>Tourist_Survey_Data!O21</f>
        <v>Winter (Oct-Mar)</v>
      </c>
      <c r="E21" s="17">
        <f>Tourist_Survey_Data!J21*INDEX(Assumptions!$B$8:$B$14,MATCH(Tourist_Survey_Data!I21,Assumptions!$A$8:$A$14,0))/1000*Assumptions!$B$4</f>
        <v>3.1706249999999998E-2</v>
      </c>
      <c r="F21" s="17">
        <f>Tourist_Survey_Data!L21*INDEX(Assumptions!$B$18:$B$22,MATCH(Tourist_Survey_Data!K21,Assumptions!$A$18:$A$22,0))</f>
        <v>8.0000000000000004E-4</v>
      </c>
      <c r="G21" s="17">
        <f>Tourist_Survey_Data!H21*INDEX(Assumptions!$B$26:$B$28,MATCH(Tourist_Survey_Data!M21,Assumptions!$A$26:$A$28,0))</f>
        <v>3.5999999999999999E-3</v>
      </c>
      <c r="H21" s="17">
        <f>Tourist_Survey_Data!H21*Tourist_Survey_Data!N21*Assumptions!$B$31</f>
        <v>2.2200000000000003E-4</v>
      </c>
      <c r="I21" s="17">
        <f>Tourist_Survey_Data!H21*INDEX(Assumptions!$B$35:$B$37,MATCH(INDEX(GIS_Site_Data!$E$3:$E$12,MATCH(Tourist_Survey_Data!B21,GIS_Site_Data!$B$3:$B$12,0)),Assumptions!$A$35:$A$37,0))</f>
        <v>1.1999999999999999E-3</v>
      </c>
      <c r="J21" s="17">
        <f t="shared" si="0"/>
        <v>3.7528249999999999E-2</v>
      </c>
      <c r="K21" s="17">
        <f>IFERROR(J21/Tourist_Survey_Data!H21,0)</f>
        <v>1.8764125E-2</v>
      </c>
    </row>
    <row r="22" spans="1:11" x14ac:dyDescent="0.25">
      <c r="A22" s="16" t="str">
        <f>Tourist_Survey_Data!A22</f>
        <v>R020</v>
      </c>
      <c r="B22" s="16" t="str">
        <f>Tourist_Survey_Data!C22</f>
        <v>Domestic</v>
      </c>
      <c r="C22" s="16" t="str">
        <f>Tourist_Survey_Data!B22</f>
        <v>Pakhiralay</v>
      </c>
      <c r="D22" s="16" t="str">
        <f>Tourist_Survey_Data!O22</f>
        <v>Winter (Oct-Mar)</v>
      </c>
      <c r="E22" s="17">
        <f>Tourist_Survey_Data!J22*INDEX(Assumptions!$B$8:$B$14,MATCH(Tourist_Survey_Data!I22,Assumptions!$A$8:$A$14,0))/1000*Assumptions!$B$4</f>
        <v>4.973706E-2</v>
      </c>
      <c r="F22" s="17">
        <f>Tourist_Survey_Data!L22*INDEX(Assumptions!$B$18:$B$22,MATCH(Tourist_Survey_Data!K22,Assumptions!$A$18:$A$22,0))</f>
        <v>1.8E-3</v>
      </c>
      <c r="G22" s="17">
        <f>Tourist_Survey_Data!H22*INDEX(Assumptions!$B$26:$B$28,MATCH(Tourist_Survey_Data!M22,Assumptions!$A$26:$A$28,0))</f>
        <v>5.5999999999999999E-3</v>
      </c>
      <c r="H22" s="17">
        <f>Tourist_Survey_Data!H22*Tourist_Survey_Data!N22*Assumptions!$B$31</f>
        <v>1.1200000000000001E-4</v>
      </c>
      <c r="I22" s="17">
        <f>Tourist_Survey_Data!H22*INDEX(Assumptions!$B$35:$B$37,MATCH(INDEX(GIS_Site_Data!$E$3:$E$12,MATCH(Tourist_Survey_Data!B22,GIS_Site_Data!$B$3:$B$12,0)),Assumptions!$A$35:$A$37,0))</f>
        <v>1.1999999999999999E-3</v>
      </c>
      <c r="J22" s="17">
        <f t="shared" si="0"/>
        <v>5.8449060000000004E-2</v>
      </c>
      <c r="K22" s="17">
        <f>IFERROR(J22/Tourist_Survey_Data!H22,0)</f>
        <v>2.9224530000000002E-2</v>
      </c>
    </row>
    <row r="23" spans="1:11" x14ac:dyDescent="0.25">
      <c r="A23" s="16" t="str">
        <f>Tourist_Survey_Data!A23</f>
        <v>R021</v>
      </c>
      <c r="B23" s="16" t="str">
        <f>Tourist_Survey_Data!C23</f>
        <v>Domestic</v>
      </c>
      <c r="C23" s="16" t="str">
        <f>Tourist_Survey_Data!B23</f>
        <v>Jharkhali</v>
      </c>
      <c r="D23" s="16" t="str">
        <f>Tourist_Survey_Data!O23</f>
        <v>Winter (Oct-Mar)</v>
      </c>
      <c r="E23" s="17">
        <f>Tourist_Survey_Data!J23*INDEX(Assumptions!$B$8:$B$14,MATCH(Tourist_Survey_Data!I23,Assumptions!$A$8:$A$14,0))/1000*Assumptions!$B$4</f>
        <v>1.2690689E-2</v>
      </c>
      <c r="F23" s="17">
        <f>Tourist_Survey_Data!L23*INDEX(Assumptions!$B$18:$B$22,MATCH(Tourist_Survey_Data!K23,Assumptions!$A$18:$A$22,0))</f>
        <v>3.5999999999999999E-3</v>
      </c>
      <c r="G23" s="17">
        <f>Tourist_Survey_Data!H23*INDEX(Assumptions!$B$26:$B$28,MATCH(Tourist_Survey_Data!M23,Assumptions!$A$26:$A$28,0))</f>
        <v>8.3999999999999995E-3</v>
      </c>
      <c r="H23" s="17">
        <f>Tourist_Survey_Data!H23*Tourist_Survey_Data!N23*Assumptions!$B$31</f>
        <v>1.7700000000000002E-4</v>
      </c>
      <c r="I23" s="17">
        <f>Tourist_Survey_Data!H23*INDEX(Assumptions!$B$35:$B$37,MATCH(INDEX(GIS_Site_Data!$E$3:$E$12,MATCH(Tourist_Survey_Data!B23,GIS_Site_Data!$B$3:$B$12,0)),Assumptions!$A$35:$A$37,0))</f>
        <v>6.0000000000000006E-4</v>
      </c>
      <c r="J23" s="17">
        <f t="shared" si="0"/>
        <v>2.5467689000000002E-2</v>
      </c>
      <c r="K23" s="17">
        <f>IFERROR(J23/Tourist_Survey_Data!H23,0)</f>
        <v>8.4892296666666672E-3</v>
      </c>
    </row>
    <row r="24" spans="1:11" x14ac:dyDescent="0.25">
      <c r="A24" s="16" t="str">
        <f>Tourist_Survey_Data!A24</f>
        <v>R022</v>
      </c>
      <c r="B24" s="16" t="str">
        <f>Tourist_Survey_Data!C24</f>
        <v>Domestic</v>
      </c>
      <c r="C24" s="16" t="str">
        <f>Tourist_Survey_Data!B24</f>
        <v>Gosaba</v>
      </c>
      <c r="D24" s="16" t="str">
        <f>Tourist_Survey_Data!O24</f>
        <v>Summer (Apr-May)</v>
      </c>
      <c r="E24" s="17">
        <f>Tourist_Survey_Data!J24*INDEX(Assumptions!$B$8:$B$14,MATCH(Tourist_Survey_Data!I24,Assumptions!$A$8:$A$14,0))/1000*Assumptions!$B$4</f>
        <v>4.7962079999999997E-2</v>
      </c>
      <c r="F24" s="17">
        <f>Tourist_Survey_Data!L24*INDEX(Assumptions!$B$18:$B$22,MATCH(Tourist_Survey_Data!K24,Assumptions!$A$18:$A$22,0))</f>
        <v>0</v>
      </c>
      <c r="G24" s="17">
        <f>Tourist_Survey_Data!H24*INDEX(Assumptions!$B$26:$B$28,MATCH(Tourist_Survey_Data!M24,Assumptions!$A$26:$A$28,0))</f>
        <v>1.8E-3</v>
      </c>
      <c r="H24" s="17">
        <f>Tourist_Survey_Data!H24*Tourist_Survey_Data!N24*Assumptions!$B$31</f>
        <v>1.3300000000000001E-4</v>
      </c>
      <c r="I24" s="17">
        <f>Tourist_Survey_Data!H24*INDEX(Assumptions!$B$35:$B$37,MATCH(INDEX(GIS_Site_Data!$E$3:$E$12,MATCH(Tourist_Survey_Data!B24,GIS_Site_Data!$B$3:$B$12,0)),Assumptions!$A$35:$A$37,0))</f>
        <v>2.0000000000000001E-4</v>
      </c>
      <c r="J24" s="17">
        <f t="shared" si="0"/>
        <v>5.009508E-2</v>
      </c>
      <c r="K24" s="17">
        <f>IFERROR(J24/Tourist_Survey_Data!H24,0)</f>
        <v>5.009508E-2</v>
      </c>
    </row>
    <row r="25" spans="1:11" x14ac:dyDescent="0.25">
      <c r="A25" s="16" t="str">
        <f>Tourist_Survey_Data!A25</f>
        <v>R023</v>
      </c>
      <c r="B25" s="16" t="str">
        <f>Tourist_Survey_Data!C25</f>
        <v>Domestic</v>
      </c>
      <c r="C25" s="16" t="str">
        <f>Tourist_Survey_Data!B25</f>
        <v>Sonakhali (Gateway)</v>
      </c>
      <c r="D25" s="16" t="str">
        <f>Tourist_Survey_Data!O25</f>
        <v>Summer (Apr-May)</v>
      </c>
      <c r="E25" s="17">
        <f>Tourist_Survey_Data!J25*INDEX(Assumptions!$B$8:$B$14,MATCH(Tourist_Survey_Data!I25,Assumptions!$A$8:$A$14,0))/1000*Assumptions!$B$4</f>
        <v>2.33453E-3</v>
      </c>
      <c r="F25" s="17">
        <f>Tourist_Survey_Data!L25*INDEX(Assumptions!$B$18:$B$22,MATCH(Tourist_Survey_Data!K25,Assumptions!$A$18:$A$22,0))</f>
        <v>1.1999999999999999E-3</v>
      </c>
      <c r="G25" s="17">
        <f>Tourist_Survey_Data!H25*INDEX(Assumptions!$B$26:$B$28,MATCH(Tourist_Survey_Data!M25,Assumptions!$A$26:$A$28,0))</f>
        <v>1.2E-2</v>
      </c>
      <c r="H25" s="17">
        <f>Tourist_Survey_Data!H25*Tourist_Survey_Data!N25*Assumptions!$B$31</f>
        <v>1.7700000000000002E-4</v>
      </c>
      <c r="I25" s="17">
        <f>Tourist_Survey_Data!H25*INDEX(Assumptions!$B$35:$B$37,MATCH(INDEX(GIS_Site_Data!$E$3:$E$12,MATCH(Tourist_Survey_Data!B25,GIS_Site_Data!$B$3:$B$12,0)),Assumptions!$A$35:$A$37,0))</f>
        <v>6.0000000000000006E-4</v>
      </c>
      <c r="J25" s="17">
        <f t="shared" si="0"/>
        <v>1.6311530000000001E-2</v>
      </c>
      <c r="K25" s="17">
        <f>IFERROR(J25/Tourist_Survey_Data!H25,0)</f>
        <v>5.4371766666666673E-3</v>
      </c>
    </row>
    <row r="26" spans="1:11" x14ac:dyDescent="0.25">
      <c r="A26" s="16" t="str">
        <f>Tourist_Survey_Data!A26</f>
        <v>R024</v>
      </c>
      <c r="B26" s="16" t="str">
        <f>Tourist_Survey_Data!C26</f>
        <v>Domestic</v>
      </c>
      <c r="C26" s="16" t="str">
        <f>Tourist_Survey_Data!B26</f>
        <v>Netidhopani</v>
      </c>
      <c r="D26" s="16" t="str">
        <f>Tourist_Survey_Data!O26</f>
        <v>Winter (Oct-Mar)</v>
      </c>
      <c r="E26" s="17">
        <f>Tourist_Survey_Data!J26*INDEX(Assumptions!$B$8:$B$14,MATCH(Tourist_Survey_Data!I26,Assumptions!$A$8:$A$14,0))/1000*Assumptions!$B$4</f>
        <v>2.091767E-3</v>
      </c>
      <c r="F26" s="17">
        <f>Tourist_Survey_Data!L26*INDEX(Assumptions!$B$18:$B$22,MATCH(Tourist_Survey_Data!K26,Assumptions!$A$18:$A$22,0))</f>
        <v>9.0000000000000011E-3</v>
      </c>
      <c r="G26" s="17">
        <f>Tourist_Survey_Data!H26*INDEX(Assumptions!$B$26:$B$28,MATCH(Tourist_Survey_Data!M26,Assumptions!$A$26:$A$28,0))</f>
        <v>1.6E-2</v>
      </c>
      <c r="H26" s="17">
        <f>Tourist_Survey_Data!H26*Tourist_Survey_Data!N26*Assumptions!$B$31</f>
        <v>1.6000000000000001E-4</v>
      </c>
      <c r="I26" s="17">
        <f>Tourist_Survey_Data!H26*INDEX(Assumptions!$B$35:$B$37,MATCH(INDEX(GIS_Site_Data!$E$3:$E$12,MATCH(Tourist_Survey_Data!B26,GIS_Site_Data!$B$3:$B$12,0)),Assumptions!$A$35:$A$37,0))</f>
        <v>4.7999999999999996E-3</v>
      </c>
      <c r="J26" s="17">
        <f t="shared" si="0"/>
        <v>3.2051767000000002E-2</v>
      </c>
      <c r="K26" s="17">
        <f>IFERROR(J26/Tourist_Survey_Data!H26,0)</f>
        <v>8.0129417500000005E-3</v>
      </c>
    </row>
    <row r="27" spans="1:11" x14ac:dyDescent="0.25">
      <c r="A27" s="16" t="str">
        <f>Tourist_Survey_Data!A27</f>
        <v>R025</v>
      </c>
      <c r="B27" s="16" t="str">
        <f>Tourist_Survey_Data!C27</f>
        <v>Domestic</v>
      </c>
      <c r="C27" s="16" t="str">
        <f>Tourist_Survey_Data!B27</f>
        <v>Gosaba</v>
      </c>
      <c r="D27" s="16" t="str">
        <f>Tourist_Survey_Data!O27</f>
        <v>Summer (Apr-May)</v>
      </c>
      <c r="E27" s="17">
        <f>Tourist_Survey_Data!J27*INDEX(Assumptions!$B$8:$B$14,MATCH(Tourist_Survey_Data!I27,Assumptions!$A$8:$A$14,0))/1000*Assumptions!$B$4</f>
        <v>2.5285200000000002E-3</v>
      </c>
      <c r="F27" s="17">
        <f>Tourist_Survey_Data!L27*INDEX(Assumptions!$B$18:$B$22,MATCH(Tourist_Survey_Data!K27,Assumptions!$A$18:$A$22,0))</f>
        <v>1.8E-3</v>
      </c>
      <c r="G27" s="17">
        <f>Tourist_Survey_Data!H27*INDEX(Assumptions!$B$26:$B$28,MATCH(Tourist_Survey_Data!M27,Assumptions!$A$26:$A$28,0))</f>
        <v>7.1999999999999998E-3</v>
      </c>
      <c r="H27" s="17">
        <f>Tourist_Survey_Data!H27*Tourist_Survey_Data!N27*Assumptions!$B$31</f>
        <v>5.0799999999999999E-4</v>
      </c>
      <c r="I27" s="17">
        <f>Tourist_Survey_Data!H27*INDEX(Assumptions!$B$35:$B$37,MATCH(INDEX(GIS_Site_Data!$E$3:$E$12,MATCH(Tourist_Survey_Data!B27,GIS_Site_Data!$B$3:$B$12,0)),Assumptions!$A$35:$A$37,0))</f>
        <v>8.0000000000000004E-4</v>
      </c>
      <c r="J27" s="17">
        <f t="shared" si="0"/>
        <v>1.2836520000000001E-2</v>
      </c>
      <c r="K27" s="17">
        <f>IFERROR(J27/Tourist_Survey_Data!H27,0)</f>
        <v>3.2091300000000001E-3</v>
      </c>
    </row>
    <row r="28" spans="1:11" x14ac:dyDescent="0.25">
      <c r="A28" s="16" t="str">
        <f>Tourist_Survey_Data!A28</f>
        <v>R026</v>
      </c>
      <c r="B28" s="16" t="str">
        <f>Tourist_Survey_Data!C28</f>
        <v>Domestic</v>
      </c>
      <c r="C28" s="16" t="str">
        <f>Tourist_Survey_Data!B28</f>
        <v>Netidhopani</v>
      </c>
      <c r="D28" s="16" t="str">
        <f>Tourist_Survey_Data!O28</f>
        <v>Monsoon (Jun-Sep)</v>
      </c>
      <c r="E28" s="17">
        <f>Tourist_Survey_Data!J28*INDEX(Assumptions!$B$8:$B$14,MATCH(Tourist_Survey_Data!I28,Assumptions!$A$8:$A$14,0))/1000*Assumptions!$B$4</f>
        <v>5.0844000000000002E-3</v>
      </c>
      <c r="F28" s="17">
        <f>Tourist_Survey_Data!L28*INDEX(Assumptions!$B$18:$B$22,MATCH(Tourist_Survey_Data!K28,Assumptions!$A$18:$A$22,0))</f>
        <v>8.9999999999999993E-3</v>
      </c>
      <c r="G28" s="17">
        <f>Tourist_Survey_Data!H28*INDEX(Assumptions!$B$26:$B$28,MATCH(Tourist_Survey_Data!M28,Assumptions!$A$26:$A$28,0))</f>
        <v>5.4000000000000003E-3</v>
      </c>
      <c r="H28" s="17">
        <f>Tourist_Survey_Data!H28*Tourist_Survey_Data!N28*Assumptions!$B$31</f>
        <v>2.0699999999999999E-4</v>
      </c>
      <c r="I28" s="17">
        <f>Tourist_Survey_Data!H28*INDEX(Assumptions!$B$35:$B$37,MATCH(INDEX(GIS_Site_Data!$E$3:$E$12,MATCH(Tourist_Survey_Data!B28,GIS_Site_Data!$B$3:$B$12,0)),Assumptions!$A$35:$A$37,0))</f>
        <v>3.5999999999999999E-3</v>
      </c>
      <c r="J28" s="17">
        <f t="shared" si="0"/>
        <v>2.3291399999999997E-2</v>
      </c>
      <c r="K28" s="17">
        <f>IFERROR(J28/Tourist_Survey_Data!H28,0)</f>
        <v>7.7637999999999987E-3</v>
      </c>
    </row>
    <row r="29" spans="1:11" x14ac:dyDescent="0.25">
      <c r="A29" s="16" t="str">
        <f>Tourist_Survey_Data!A29</f>
        <v>R027</v>
      </c>
      <c r="B29" s="16" t="str">
        <f>Tourist_Survey_Data!C29</f>
        <v>Domestic</v>
      </c>
      <c r="C29" s="16" t="str">
        <f>Tourist_Survey_Data!B29</f>
        <v>Sudhanyakhali</v>
      </c>
      <c r="D29" s="16" t="str">
        <f>Tourist_Survey_Data!O29</f>
        <v>Summer (Apr-May)</v>
      </c>
      <c r="E29" s="17">
        <f>Tourist_Survey_Data!J29*INDEX(Assumptions!$B$8:$B$14,MATCH(Tourist_Survey_Data!I29,Assumptions!$A$8:$A$14,0))/1000*Assumptions!$B$4</f>
        <v>5.7344850000000003E-2</v>
      </c>
      <c r="F29" s="17">
        <f>Tourist_Survey_Data!L29*INDEX(Assumptions!$B$18:$B$22,MATCH(Tourist_Survey_Data!K29,Assumptions!$A$18:$A$22,0))</f>
        <v>3.0000000000000001E-3</v>
      </c>
      <c r="G29" s="17">
        <f>Tourist_Survey_Data!H29*INDEX(Assumptions!$B$26:$B$28,MATCH(Tourist_Survey_Data!M29,Assumptions!$A$26:$A$28,0))</f>
        <v>8.0000000000000002E-3</v>
      </c>
      <c r="H29" s="17">
        <f>Tourist_Survey_Data!H29*Tourist_Survey_Data!N29*Assumptions!$B$31</f>
        <v>6.6000000000000005E-5</v>
      </c>
      <c r="I29" s="17">
        <f>Tourist_Survey_Data!H29*INDEX(Assumptions!$B$35:$B$37,MATCH(INDEX(GIS_Site_Data!$E$3:$E$12,MATCH(Tourist_Survey_Data!B29,GIS_Site_Data!$B$3:$B$12,0)),Assumptions!$A$35:$A$37,0))</f>
        <v>2.3999999999999998E-3</v>
      </c>
      <c r="J29" s="17">
        <f t="shared" si="0"/>
        <v>7.0810850000000009E-2</v>
      </c>
      <c r="K29" s="17">
        <f>IFERROR(J29/Tourist_Survey_Data!H29,0)</f>
        <v>3.5405425000000004E-2</v>
      </c>
    </row>
    <row r="30" spans="1:11" x14ac:dyDescent="0.25">
      <c r="A30" s="16" t="str">
        <f>Tourist_Survey_Data!A30</f>
        <v>R028</v>
      </c>
      <c r="B30" s="16" t="str">
        <f>Tourist_Survey_Data!C30</f>
        <v>Domestic</v>
      </c>
      <c r="C30" s="16" t="str">
        <f>Tourist_Survey_Data!B30</f>
        <v>Pakhiralay</v>
      </c>
      <c r="D30" s="16" t="str">
        <f>Tourist_Survey_Data!O30</f>
        <v>Winter (Oct-Mar)</v>
      </c>
      <c r="E30" s="17">
        <f>Tourist_Survey_Data!J30*INDEX(Assumptions!$B$8:$B$14,MATCH(Tourist_Survey_Data!I30,Assumptions!$A$8:$A$14,0))/1000*Assumptions!$B$4</f>
        <v>5.6201999999999997E-3</v>
      </c>
      <c r="F30" s="17">
        <f>Tourist_Survey_Data!L30*INDEX(Assumptions!$B$18:$B$22,MATCH(Tourist_Survey_Data!K30,Assumptions!$A$18:$A$22,0))</f>
        <v>1.8E-3</v>
      </c>
      <c r="G30" s="17">
        <f>Tourist_Survey_Data!H30*INDEX(Assumptions!$B$26:$B$28,MATCH(Tourist_Survey_Data!M30,Assumptions!$A$26:$A$28,0))</f>
        <v>5.5999999999999999E-3</v>
      </c>
      <c r="H30" s="17">
        <f>Tourist_Survey_Data!H30*Tourist_Survey_Data!N30*Assumptions!$B$31</f>
        <v>6.8000000000000013E-5</v>
      </c>
      <c r="I30" s="17">
        <f>Tourist_Survey_Data!H30*INDEX(Assumptions!$B$35:$B$37,MATCH(INDEX(GIS_Site_Data!$E$3:$E$12,MATCH(Tourist_Survey_Data!B30,GIS_Site_Data!$B$3:$B$12,0)),Assumptions!$A$35:$A$37,0))</f>
        <v>1.1999999999999999E-3</v>
      </c>
      <c r="J30" s="17">
        <f t="shared" si="0"/>
        <v>1.4288199999999999E-2</v>
      </c>
      <c r="K30" s="17">
        <f>IFERROR(J30/Tourist_Survey_Data!H30,0)</f>
        <v>7.1440999999999996E-3</v>
      </c>
    </row>
    <row r="31" spans="1:11" x14ac:dyDescent="0.25">
      <c r="A31" s="16" t="str">
        <f>Tourist_Survey_Data!A31</f>
        <v>R029</v>
      </c>
      <c r="B31" s="16" t="str">
        <f>Tourist_Survey_Data!C31</f>
        <v>Domestic</v>
      </c>
      <c r="C31" s="16" t="str">
        <f>Tourist_Survey_Data!B31</f>
        <v>Sonakhali (Gateway)</v>
      </c>
      <c r="D31" s="16" t="str">
        <f>Tourist_Survey_Data!O31</f>
        <v>Winter (Oct-Mar)</v>
      </c>
      <c r="E31" s="17">
        <f>Tourist_Survey_Data!J31*INDEX(Assumptions!$B$8:$B$14,MATCH(Tourist_Survey_Data!I31,Assumptions!$A$8:$A$14,0))/1000*Assumptions!$B$4</f>
        <v>1.9578397999999997E-2</v>
      </c>
      <c r="F31" s="17">
        <f>Tourist_Survey_Data!L31*INDEX(Assumptions!$B$18:$B$22,MATCH(Tourist_Survey_Data!K31,Assumptions!$A$18:$A$22,0))</f>
        <v>2.4000000000000002E-3</v>
      </c>
      <c r="G31" s="17">
        <f>Tourist_Survey_Data!H31*INDEX(Assumptions!$B$26:$B$28,MATCH(Tourist_Survey_Data!M31,Assumptions!$A$26:$A$28,0))</f>
        <v>7.1999999999999998E-3</v>
      </c>
      <c r="H31" s="17">
        <f>Tourist_Survey_Data!H31*Tourist_Survey_Data!N31*Assumptions!$B$31</f>
        <v>4.5999999999999996E-4</v>
      </c>
      <c r="I31" s="17">
        <f>Tourist_Survey_Data!H31*INDEX(Assumptions!$B$35:$B$37,MATCH(INDEX(GIS_Site_Data!$E$3:$E$12,MATCH(Tourist_Survey_Data!B31,GIS_Site_Data!$B$3:$B$12,0)),Assumptions!$A$35:$A$37,0))</f>
        <v>8.0000000000000004E-4</v>
      </c>
      <c r="J31" s="17">
        <f t="shared" si="0"/>
        <v>3.0438397999999992E-2</v>
      </c>
      <c r="K31" s="17">
        <f>IFERROR(J31/Tourist_Survey_Data!H31,0)</f>
        <v>7.6095994999999979E-3</v>
      </c>
    </row>
    <row r="32" spans="1:11" x14ac:dyDescent="0.25">
      <c r="A32" s="16" t="str">
        <f>Tourist_Survey_Data!A32</f>
        <v>R030</v>
      </c>
      <c r="B32" s="16" t="str">
        <f>Tourist_Survey_Data!C32</f>
        <v>Domestic</v>
      </c>
      <c r="C32" s="16" t="str">
        <f>Tourist_Survey_Data!B32</f>
        <v>Netidhopani</v>
      </c>
      <c r="D32" s="16" t="str">
        <f>Tourist_Survey_Data!O32</f>
        <v>Winter (Oct-Mar)</v>
      </c>
      <c r="E32" s="17">
        <f>Tourist_Survey_Data!J32*INDEX(Assumptions!$B$8:$B$14,MATCH(Tourist_Survey_Data!I32,Assumptions!$A$8:$A$14,0))/1000*Assumptions!$B$4</f>
        <v>3.4298039999999995E-2</v>
      </c>
      <c r="F32" s="17">
        <f>Tourist_Survey_Data!L32*INDEX(Assumptions!$B$18:$B$22,MATCH(Tourist_Survey_Data!K32,Assumptions!$A$18:$A$22,0))</f>
        <v>4.4999999999999997E-3</v>
      </c>
      <c r="G32" s="17">
        <f>Tourist_Survey_Data!H32*INDEX(Assumptions!$B$26:$B$28,MATCH(Tourist_Survey_Data!M32,Assumptions!$A$26:$A$28,0))</f>
        <v>3.5999999999999999E-3</v>
      </c>
      <c r="H32" s="17">
        <f>Tourist_Survey_Data!H32*Tourist_Survey_Data!N32*Assumptions!$B$31</f>
        <v>8.3999999999999995E-5</v>
      </c>
      <c r="I32" s="17">
        <f>Tourist_Survey_Data!H32*INDEX(Assumptions!$B$35:$B$37,MATCH(INDEX(GIS_Site_Data!$E$3:$E$12,MATCH(Tourist_Survey_Data!B32,GIS_Site_Data!$B$3:$B$12,0)),Assumptions!$A$35:$A$37,0))</f>
        <v>2.3999999999999998E-3</v>
      </c>
      <c r="J32" s="17">
        <f t="shared" si="0"/>
        <v>4.4882039999999991E-2</v>
      </c>
      <c r="K32" s="17">
        <f>IFERROR(J32/Tourist_Survey_Data!H32,0)</f>
        <v>2.2441019999999996E-2</v>
      </c>
    </row>
    <row r="33" spans="1:11" x14ac:dyDescent="0.25">
      <c r="A33" s="16" t="str">
        <f>Tourist_Survey_Data!A33</f>
        <v>R031</v>
      </c>
      <c r="B33" s="16" t="str">
        <f>Tourist_Survey_Data!C33</f>
        <v>Domestic</v>
      </c>
      <c r="C33" s="16" t="str">
        <f>Tourist_Survey_Data!B33</f>
        <v>Pakhiralay</v>
      </c>
      <c r="D33" s="16" t="str">
        <f>Tourist_Survey_Data!O33</f>
        <v>Summer (Apr-May)</v>
      </c>
      <c r="E33" s="17">
        <f>Tourist_Survey_Data!J33*INDEX(Assumptions!$B$8:$B$14,MATCH(Tourist_Survey_Data!I33,Assumptions!$A$8:$A$14,0))/1000*Assumptions!$B$4</f>
        <v>2.9873699999999996E-2</v>
      </c>
      <c r="F33" s="17">
        <f>Tourist_Survey_Data!L33*INDEX(Assumptions!$B$18:$B$22,MATCH(Tourist_Survey_Data!K33,Assumptions!$A$18:$A$22,0))</f>
        <v>5.4000000000000003E-3</v>
      </c>
      <c r="G33" s="17">
        <f>Tourist_Survey_Data!H33*INDEX(Assumptions!$B$26:$B$28,MATCH(Tourist_Survey_Data!M33,Assumptions!$A$26:$A$28,0))</f>
        <v>1.6E-2</v>
      </c>
      <c r="H33" s="17">
        <f>Tourist_Survey_Data!H33*Tourist_Survey_Data!N33*Assumptions!$B$31</f>
        <v>4.2400000000000006E-4</v>
      </c>
      <c r="I33" s="17">
        <f>Tourist_Survey_Data!H33*INDEX(Assumptions!$B$35:$B$37,MATCH(INDEX(GIS_Site_Data!$E$3:$E$12,MATCH(Tourist_Survey_Data!B33,GIS_Site_Data!$B$3:$B$12,0)),Assumptions!$A$35:$A$37,0))</f>
        <v>2.3999999999999998E-3</v>
      </c>
      <c r="J33" s="17">
        <f t="shared" si="0"/>
        <v>5.4097699999999999E-2</v>
      </c>
      <c r="K33" s="17">
        <f>IFERROR(J33/Tourist_Survey_Data!H33,0)</f>
        <v>1.3524425E-2</v>
      </c>
    </row>
    <row r="34" spans="1:11" x14ac:dyDescent="0.25">
      <c r="A34" s="16" t="str">
        <f>Tourist_Survey_Data!A34</f>
        <v>R032</v>
      </c>
      <c r="B34" s="16" t="str">
        <f>Tourist_Survey_Data!C34</f>
        <v>Domestic</v>
      </c>
      <c r="C34" s="16" t="str">
        <f>Tourist_Survey_Data!B34</f>
        <v>Sonakhali (Gateway)</v>
      </c>
      <c r="D34" s="16" t="str">
        <f>Tourist_Survey_Data!O34</f>
        <v>Winter (Oct-Mar)</v>
      </c>
      <c r="E34" s="17">
        <f>Tourist_Survey_Data!J34*INDEX(Assumptions!$B$8:$B$14,MATCH(Tourist_Survey_Data!I34,Assumptions!$A$8:$A$14,0))/1000*Assumptions!$B$4</f>
        <v>4.4756400000000003E-3</v>
      </c>
      <c r="F34" s="17">
        <f>Tourist_Survey_Data!L34*INDEX(Assumptions!$B$18:$B$22,MATCH(Tourist_Survey_Data!K34,Assumptions!$A$18:$A$22,0))</f>
        <v>1.6000000000000001E-3</v>
      </c>
      <c r="G34" s="17">
        <f>Tourist_Survey_Data!H34*INDEX(Assumptions!$B$26:$B$28,MATCH(Tourist_Survey_Data!M34,Assumptions!$A$26:$A$28,0))</f>
        <v>8.3999999999999995E-3</v>
      </c>
      <c r="H34" s="17">
        <f>Tourist_Survey_Data!H34*Tourist_Survey_Data!N34*Assumptions!$B$31</f>
        <v>2.2199999999999998E-4</v>
      </c>
      <c r="I34" s="17">
        <f>Tourist_Survey_Data!H34*INDEX(Assumptions!$B$35:$B$37,MATCH(INDEX(GIS_Site_Data!$E$3:$E$12,MATCH(Tourist_Survey_Data!B34,GIS_Site_Data!$B$3:$B$12,0)),Assumptions!$A$35:$A$37,0))</f>
        <v>6.0000000000000006E-4</v>
      </c>
      <c r="J34" s="17">
        <f t="shared" si="0"/>
        <v>1.529764E-2</v>
      </c>
      <c r="K34" s="17">
        <f>IFERROR(J34/Tourist_Survey_Data!H34,0)</f>
        <v>5.0992133333333332E-3</v>
      </c>
    </row>
    <row r="35" spans="1:11" x14ac:dyDescent="0.25">
      <c r="A35" s="16" t="str">
        <f>Tourist_Survey_Data!A35</f>
        <v>R033</v>
      </c>
      <c r="B35" s="16" t="str">
        <f>Tourist_Survey_Data!C35</f>
        <v>Domestic</v>
      </c>
      <c r="C35" s="16" t="str">
        <f>Tourist_Survey_Data!B35</f>
        <v>Dobanki</v>
      </c>
      <c r="D35" s="16" t="str">
        <f>Tourist_Survey_Data!O35</f>
        <v>Summer (Apr-May)</v>
      </c>
      <c r="E35" s="17">
        <f>Tourist_Survey_Data!J35*INDEX(Assumptions!$B$8:$B$14,MATCH(Tourist_Survey_Data!I35,Assumptions!$A$8:$A$14,0))/1000*Assumptions!$B$4</f>
        <v>2.8926359999999998E-2</v>
      </c>
      <c r="F35" s="17">
        <f>Tourist_Survey_Data!L35*INDEX(Assumptions!$B$18:$B$22,MATCH(Tourist_Survey_Data!K35,Assumptions!$A$18:$A$22,0))</f>
        <v>9.0000000000000011E-3</v>
      </c>
      <c r="G35" s="17">
        <f>Tourist_Survey_Data!H35*INDEX(Assumptions!$B$26:$B$28,MATCH(Tourist_Survey_Data!M35,Assumptions!$A$26:$A$28,0))</f>
        <v>1.12E-2</v>
      </c>
      <c r="H35" s="17">
        <f>Tourist_Survey_Data!H35*Tourist_Survey_Data!N35*Assumptions!$B$31</f>
        <v>2.1200000000000003E-4</v>
      </c>
      <c r="I35" s="17">
        <f>Tourist_Survey_Data!H35*INDEX(Assumptions!$B$35:$B$37,MATCH(INDEX(GIS_Site_Data!$E$3:$E$12,MATCH(Tourist_Survey_Data!B35,GIS_Site_Data!$B$3:$B$12,0)),Assumptions!$A$35:$A$37,0))</f>
        <v>4.7999999999999996E-3</v>
      </c>
      <c r="J35" s="17">
        <f t="shared" ref="J35:J66" si="1">SUM(E35:I35)</f>
        <v>5.4138359999999996E-2</v>
      </c>
      <c r="K35" s="17">
        <f>IFERROR(J35/Tourist_Survey_Data!H35,0)</f>
        <v>1.3534589999999999E-2</v>
      </c>
    </row>
    <row r="36" spans="1:11" x14ac:dyDescent="0.25">
      <c r="A36" s="16" t="str">
        <f>Tourist_Survey_Data!A36</f>
        <v>R034</v>
      </c>
      <c r="B36" s="16" t="str">
        <f>Tourist_Survey_Data!C36</f>
        <v>Domestic</v>
      </c>
      <c r="C36" s="16" t="str">
        <f>Tourist_Survey_Data!B36</f>
        <v>Jharkhali</v>
      </c>
      <c r="D36" s="16" t="str">
        <f>Tourist_Survey_Data!O36</f>
        <v>Summer (Apr-May)</v>
      </c>
      <c r="E36" s="17">
        <f>Tourist_Survey_Data!J36*INDEX(Assumptions!$B$8:$B$14,MATCH(Tourist_Survey_Data!I36,Assumptions!$A$8:$A$14,0))/1000*Assumptions!$B$4</f>
        <v>2.3051711999999999E-2</v>
      </c>
      <c r="F36" s="17">
        <f>Tourist_Survey_Data!L36*INDEX(Assumptions!$B$18:$B$22,MATCH(Tourist_Survey_Data!K36,Assumptions!$A$18:$A$22,0))</f>
        <v>0</v>
      </c>
      <c r="G36" s="17">
        <f>Tourist_Survey_Data!H36*INDEX(Assumptions!$B$26:$B$28,MATCH(Tourist_Survey_Data!M36,Assumptions!$A$26:$A$28,0))</f>
        <v>2.8E-3</v>
      </c>
      <c r="H36" s="17">
        <f>Tourist_Survey_Data!H36*Tourist_Survey_Data!N36*Assumptions!$B$31</f>
        <v>6.7000000000000002E-5</v>
      </c>
      <c r="I36" s="17">
        <f>Tourist_Survey_Data!H36*INDEX(Assumptions!$B$35:$B$37,MATCH(INDEX(GIS_Site_Data!$E$3:$E$12,MATCH(Tourist_Survey_Data!B36,GIS_Site_Data!$B$3:$B$12,0)),Assumptions!$A$35:$A$37,0))</f>
        <v>2.0000000000000001E-4</v>
      </c>
      <c r="J36" s="17">
        <f t="shared" si="1"/>
        <v>2.6118711999999999E-2</v>
      </c>
      <c r="K36" s="17">
        <f>IFERROR(J36/Tourist_Survey_Data!H36,0)</f>
        <v>2.6118711999999999E-2</v>
      </c>
    </row>
    <row r="37" spans="1:11" x14ac:dyDescent="0.25">
      <c r="A37" s="16" t="str">
        <f>Tourist_Survey_Data!A37</f>
        <v>R035</v>
      </c>
      <c r="B37" s="16" t="str">
        <f>Tourist_Survey_Data!C37</f>
        <v>Domestic</v>
      </c>
      <c r="C37" s="16" t="str">
        <f>Tourist_Survey_Data!B37</f>
        <v>Sonakhali (Gateway)</v>
      </c>
      <c r="D37" s="16" t="str">
        <f>Tourist_Survey_Data!O37</f>
        <v>Monsoon (Jun-Sep)</v>
      </c>
      <c r="E37" s="17">
        <f>Tourist_Survey_Data!J37*INDEX(Assumptions!$B$8:$B$14,MATCH(Tourist_Survey_Data!I37,Assumptions!$A$8:$A$14,0))/1000*Assumptions!$B$4</f>
        <v>3.9605310000000006E-3</v>
      </c>
      <c r="F37" s="17">
        <f>Tourist_Survey_Data!L37*INDEX(Assumptions!$B$18:$B$22,MATCH(Tourist_Survey_Data!K37,Assumptions!$A$18:$A$22,0))</f>
        <v>0</v>
      </c>
      <c r="G37" s="17">
        <f>Tourist_Survey_Data!H37*INDEX(Assumptions!$B$26:$B$28,MATCH(Tourist_Survey_Data!M37,Assumptions!$A$26:$A$28,0))</f>
        <v>2.8E-3</v>
      </c>
      <c r="H37" s="17">
        <f>Tourist_Survey_Data!H37*Tourist_Survey_Data!N37*Assumptions!$B$31</f>
        <v>5.1000000000000006E-5</v>
      </c>
      <c r="I37" s="17">
        <f>Tourist_Survey_Data!H37*INDEX(Assumptions!$B$35:$B$37,MATCH(INDEX(GIS_Site_Data!$E$3:$E$12,MATCH(Tourist_Survey_Data!B37,GIS_Site_Data!$B$3:$B$12,0)),Assumptions!$A$35:$A$37,0))</f>
        <v>2.0000000000000001E-4</v>
      </c>
      <c r="J37" s="17">
        <f t="shared" si="1"/>
        <v>7.0115309999999997E-3</v>
      </c>
      <c r="K37" s="17">
        <f>IFERROR(J37/Tourist_Survey_Data!H37,0)</f>
        <v>7.0115309999999997E-3</v>
      </c>
    </row>
    <row r="38" spans="1:11" x14ac:dyDescent="0.25">
      <c r="A38" s="16" t="str">
        <f>Tourist_Survey_Data!A38</f>
        <v>R036</v>
      </c>
      <c r="B38" s="16" t="str">
        <f>Tourist_Survey_Data!C38</f>
        <v>Domestic</v>
      </c>
      <c r="C38" s="16" t="str">
        <f>Tourist_Survey_Data!B38</f>
        <v>Kalash</v>
      </c>
      <c r="D38" s="16" t="str">
        <f>Tourist_Survey_Data!O38</f>
        <v>Winter (Oct-Mar)</v>
      </c>
      <c r="E38" s="17">
        <f>Tourist_Survey_Data!J38*INDEX(Assumptions!$B$8:$B$14,MATCH(Tourist_Survey_Data!I38,Assumptions!$A$8:$A$14,0))/1000*Assumptions!$B$4</f>
        <v>5.7000000000000002E-3</v>
      </c>
      <c r="F38" s="17">
        <f>Tourist_Survey_Data!L38*INDEX(Assumptions!$B$18:$B$22,MATCH(Tourist_Survey_Data!K38,Assumptions!$A$18:$A$22,0))</f>
        <v>4.4999999999999997E-3</v>
      </c>
      <c r="G38" s="17">
        <f>Tourist_Survey_Data!H38*INDEX(Assumptions!$B$26:$B$28,MATCH(Tourist_Survey_Data!M38,Assumptions!$A$26:$A$28,0))</f>
        <v>5.5999999999999999E-3</v>
      </c>
      <c r="H38" s="17">
        <f>Tourist_Survey_Data!H38*Tourist_Survey_Data!N38*Assumptions!$B$31</f>
        <v>7.2000000000000002E-5</v>
      </c>
      <c r="I38" s="17">
        <f>Tourist_Survey_Data!H38*INDEX(Assumptions!$B$35:$B$37,MATCH(INDEX(GIS_Site_Data!$E$3:$E$12,MATCH(Tourist_Survey_Data!B38,GIS_Site_Data!$B$3:$B$12,0)),Assumptions!$A$35:$A$37,0))</f>
        <v>1.1999999999999999E-3</v>
      </c>
      <c r="J38" s="17">
        <f t="shared" si="1"/>
        <v>1.7072E-2</v>
      </c>
      <c r="K38" s="17">
        <f>IFERROR(J38/Tourist_Survey_Data!H38,0)</f>
        <v>8.5360000000000002E-3</v>
      </c>
    </row>
    <row r="39" spans="1:11" x14ac:dyDescent="0.25">
      <c r="A39" s="16" t="str">
        <f>Tourist_Survey_Data!A39</f>
        <v>R037</v>
      </c>
      <c r="B39" s="16" t="str">
        <f>Tourist_Survey_Data!C39</f>
        <v>Domestic</v>
      </c>
      <c r="C39" s="16" t="str">
        <f>Tourist_Survey_Data!B39</f>
        <v>Sudhanyakhali</v>
      </c>
      <c r="D39" s="16" t="str">
        <f>Tourist_Survey_Data!O39</f>
        <v>Summer (Apr-May)</v>
      </c>
      <c r="E39" s="17">
        <f>Tourist_Survey_Data!J39*INDEX(Assumptions!$B$8:$B$14,MATCH(Tourist_Survey_Data!I39,Assumptions!$A$8:$A$14,0))/1000*Assumptions!$B$4</f>
        <v>4.8489900000000002E-2</v>
      </c>
      <c r="F39" s="17">
        <f>Tourist_Survey_Data!L39*INDEX(Assumptions!$B$18:$B$22,MATCH(Tourist_Survey_Data!K39,Assumptions!$A$18:$A$22,0))</f>
        <v>9.0000000000000011E-3</v>
      </c>
      <c r="G39" s="17">
        <f>Tourist_Survey_Data!H39*INDEX(Assumptions!$B$26:$B$28,MATCH(Tourist_Survey_Data!M39,Assumptions!$A$26:$A$28,0))</f>
        <v>1.12E-2</v>
      </c>
      <c r="H39" s="17">
        <f>Tourist_Survey_Data!H39*Tourist_Survey_Data!N39*Assumptions!$B$31</f>
        <v>1.92E-4</v>
      </c>
      <c r="I39" s="17">
        <f>Tourist_Survey_Data!H39*INDEX(Assumptions!$B$35:$B$37,MATCH(INDEX(GIS_Site_Data!$E$3:$E$12,MATCH(Tourist_Survey_Data!B39,GIS_Site_Data!$B$3:$B$12,0)),Assumptions!$A$35:$A$37,0))</f>
        <v>4.7999999999999996E-3</v>
      </c>
      <c r="J39" s="17">
        <f t="shared" si="1"/>
        <v>7.3681899999999995E-2</v>
      </c>
      <c r="K39" s="17">
        <f>IFERROR(J39/Tourist_Survey_Data!H39,0)</f>
        <v>1.8420474999999999E-2</v>
      </c>
    </row>
    <row r="40" spans="1:11" x14ac:dyDescent="0.25">
      <c r="A40" s="16" t="str">
        <f>Tourist_Survey_Data!A40</f>
        <v>R038</v>
      </c>
      <c r="B40" s="16" t="str">
        <f>Tourist_Survey_Data!C40</f>
        <v>Domestic</v>
      </c>
      <c r="C40" s="16" t="str">
        <f>Tourist_Survey_Data!B40</f>
        <v>Kalash</v>
      </c>
      <c r="D40" s="16" t="str">
        <f>Tourist_Survey_Data!O40</f>
        <v>Winter (Oct-Mar)</v>
      </c>
      <c r="E40" s="17">
        <f>Tourist_Survey_Data!J40*INDEX(Assumptions!$B$8:$B$14,MATCH(Tourist_Survey_Data!I40,Assumptions!$A$8:$A$14,0))/1000*Assumptions!$B$4</f>
        <v>6.23808E-3</v>
      </c>
      <c r="F40" s="17">
        <f>Tourist_Survey_Data!L40*INDEX(Assumptions!$B$18:$B$22,MATCH(Tourist_Survey_Data!K40,Assumptions!$A$18:$A$22,0))</f>
        <v>1.1999999999999999E-3</v>
      </c>
      <c r="G40" s="17">
        <f>Tourist_Survey_Data!H40*INDEX(Assumptions!$B$26:$B$28,MATCH(Tourist_Survey_Data!M40,Assumptions!$A$26:$A$28,0))</f>
        <v>5.4000000000000003E-3</v>
      </c>
      <c r="H40" s="17">
        <f>Tourist_Survey_Data!H40*Tourist_Survey_Data!N40*Assumptions!$B$31</f>
        <v>1.7999999999999998E-4</v>
      </c>
      <c r="I40" s="17">
        <f>Tourist_Survey_Data!H40*INDEX(Assumptions!$B$35:$B$37,MATCH(INDEX(GIS_Site_Data!$E$3:$E$12,MATCH(Tourist_Survey_Data!B40,GIS_Site_Data!$B$3:$B$12,0)),Assumptions!$A$35:$A$37,0))</f>
        <v>1.8E-3</v>
      </c>
      <c r="J40" s="17">
        <f t="shared" si="1"/>
        <v>1.4818079999999999E-2</v>
      </c>
      <c r="K40" s="17">
        <f>IFERROR(J40/Tourist_Survey_Data!H40,0)</f>
        <v>4.9393599999999994E-3</v>
      </c>
    </row>
    <row r="41" spans="1:11" x14ac:dyDescent="0.25">
      <c r="A41" s="16" t="str">
        <f>Tourist_Survey_Data!A41</f>
        <v>R039</v>
      </c>
      <c r="B41" s="16" t="str">
        <f>Tourist_Survey_Data!C41</f>
        <v>Domestic</v>
      </c>
      <c r="C41" s="16" t="str">
        <f>Tourist_Survey_Data!B41</f>
        <v>Netidhopani</v>
      </c>
      <c r="D41" s="16" t="str">
        <f>Tourist_Survey_Data!O41</f>
        <v>Summer (Apr-May)</v>
      </c>
      <c r="E41" s="17">
        <f>Tourist_Survey_Data!J41*INDEX(Assumptions!$B$8:$B$14,MATCH(Tourist_Survey_Data!I41,Assumptions!$A$8:$A$14,0))/1000*Assumptions!$B$4</f>
        <v>4.9157370000000008E-3</v>
      </c>
      <c r="F41" s="17">
        <f>Tourist_Survey_Data!L41*INDEX(Assumptions!$B$18:$B$22,MATCH(Tourist_Survey_Data!K41,Assumptions!$A$18:$A$22,0))</f>
        <v>2.4000000000000002E-3</v>
      </c>
      <c r="G41" s="17">
        <f>Tourist_Survey_Data!H41*INDEX(Assumptions!$B$26:$B$28,MATCH(Tourist_Survey_Data!M41,Assumptions!$A$26:$A$28,0))</f>
        <v>1.12E-2</v>
      </c>
      <c r="H41" s="17">
        <f>Tourist_Survey_Data!H41*Tourist_Survey_Data!N41*Assumptions!$B$31</f>
        <v>1.4799999999999999E-4</v>
      </c>
      <c r="I41" s="17">
        <f>Tourist_Survey_Data!H41*INDEX(Assumptions!$B$35:$B$37,MATCH(INDEX(GIS_Site_Data!$E$3:$E$12,MATCH(Tourist_Survey_Data!B41,GIS_Site_Data!$B$3:$B$12,0)),Assumptions!$A$35:$A$37,0))</f>
        <v>4.7999999999999996E-3</v>
      </c>
      <c r="J41" s="17">
        <f t="shared" si="1"/>
        <v>2.3463736999999998E-2</v>
      </c>
      <c r="K41" s="17">
        <f>IFERROR(J41/Tourist_Survey_Data!H41,0)</f>
        <v>5.8659342499999996E-3</v>
      </c>
    </row>
    <row r="42" spans="1:11" x14ac:dyDescent="0.25">
      <c r="A42" s="16" t="str">
        <f>Tourist_Survey_Data!A42</f>
        <v>R040</v>
      </c>
      <c r="B42" s="16" t="str">
        <f>Tourist_Survey_Data!C42</f>
        <v>International</v>
      </c>
      <c r="C42" s="16" t="str">
        <f>Tourist_Survey_Data!B42</f>
        <v>Bhagabatpur (Crocodile Project)</v>
      </c>
      <c r="D42" s="16" t="str">
        <f>Tourist_Survey_Data!O42</f>
        <v>Summer (Apr-May)</v>
      </c>
      <c r="E42" s="17">
        <f>Tourist_Survey_Data!J42*INDEX(Assumptions!$B$8:$B$14,MATCH(Tourist_Survey_Data!I42,Assumptions!$A$8:$A$14,0))/1000*Assumptions!$B$4</f>
        <v>0.29857625999999993</v>
      </c>
      <c r="F42" s="17">
        <f>Tourist_Survey_Data!L42*INDEX(Assumptions!$B$18:$B$22,MATCH(Tourist_Survey_Data!K42,Assumptions!$A$18:$A$22,0))</f>
        <v>1.3499999999999998E-2</v>
      </c>
      <c r="G42" s="17">
        <f>Tourist_Survey_Data!H42*INDEX(Assumptions!$B$26:$B$28,MATCH(Tourist_Survey_Data!M42,Assumptions!$A$26:$A$28,0))</f>
        <v>7.1999999999999998E-3</v>
      </c>
      <c r="H42" s="17">
        <f>Tourist_Survey_Data!H42*Tourist_Survey_Data!N42*Assumptions!$B$31</f>
        <v>2.92E-4</v>
      </c>
      <c r="I42" s="17">
        <f>Tourist_Survey_Data!H42*INDEX(Assumptions!$B$35:$B$37,MATCH(INDEX(GIS_Site_Data!$E$3:$E$12,MATCH(Tourist_Survey_Data!B42,GIS_Site_Data!$B$3:$B$12,0)),Assumptions!$A$35:$A$37,0))</f>
        <v>2.3999999999999998E-3</v>
      </c>
      <c r="J42" s="17">
        <f t="shared" si="1"/>
        <v>0.32196825999999995</v>
      </c>
      <c r="K42" s="17">
        <f>IFERROR(J42/Tourist_Survey_Data!H42,0)</f>
        <v>8.0492064999999988E-2</v>
      </c>
    </row>
    <row r="43" spans="1:11" x14ac:dyDescent="0.25">
      <c r="A43" s="16" t="str">
        <f>Tourist_Survey_Data!A43</f>
        <v>R041</v>
      </c>
      <c r="B43" s="16" t="str">
        <f>Tourist_Survey_Data!C43</f>
        <v>Domestic</v>
      </c>
      <c r="C43" s="16" t="str">
        <f>Tourist_Survey_Data!B43</f>
        <v>Bhagabatpur (Crocodile Project)</v>
      </c>
      <c r="D43" s="16" t="str">
        <f>Tourist_Survey_Data!O43</f>
        <v>Winter (Oct-Mar)</v>
      </c>
      <c r="E43" s="17">
        <f>Tourist_Survey_Data!J43*INDEX(Assumptions!$B$8:$B$14,MATCH(Tourist_Survey_Data!I43,Assumptions!$A$8:$A$14,0))/1000*Assumptions!$B$4</f>
        <v>6.1724502000000007E-2</v>
      </c>
      <c r="F43" s="17">
        <f>Tourist_Survey_Data!L43*INDEX(Assumptions!$B$18:$B$22,MATCH(Tourist_Survey_Data!K43,Assumptions!$A$18:$A$22,0))</f>
        <v>1.8E-3</v>
      </c>
      <c r="G43" s="17">
        <f>Tourist_Survey_Data!H43*INDEX(Assumptions!$B$26:$B$28,MATCH(Tourist_Survey_Data!M43,Assumptions!$A$26:$A$28,0))</f>
        <v>1.12E-2</v>
      </c>
      <c r="H43" s="17">
        <f>Tourist_Survey_Data!H43*Tourist_Survey_Data!N43*Assumptions!$B$31</f>
        <v>4.2000000000000002E-4</v>
      </c>
      <c r="I43" s="17">
        <f>Tourist_Survey_Data!H43*INDEX(Assumptions!$B$35:$B$37,MATCH(INDEX(GIS_Site_Data!$E$3:$E$12,MATCH(Tourist_Survey_Data!B43,GIS_Site_Data!$B$3:$B$12,0)),Assumptions!$A$35:$A$37,0))</f>
        <v>2.3999999999999998E-3</v>
      </c>
      <c r="J43" s="17">
        <f t="shared" si="1"/>
        <v>7.7544502000000015E-2</v>
      </c>
      <c r="K43" s="17">
        <f>IFERROR(J43/Tourist_Survey_Data!H43,0)</f>
        <v>1.9386125500000004E-2</v>
      </c>
    </row>
    <row r="44" spans="1:11" x14ac:dyDescent="0.25">
      <c r="A44" s="16" t="str">
        <f>Tourist_Survey_Data!A44</f>
        <v>R042</v>
      </c>
      <c r="B44" s="16" t="str">
        <f>Tourist_Survey_Data!C44</f>
        <v>Domestic</v>
      </c>
      <c r="C44" s="16" t="str">
        <f>Tourist_Survey_Data!B44</f>
        <v>Dobanki</v>
      </c>
      <c r="D44" s="16" t="str">
        <f>Tourist_Survey_Data!O44</f>
        <v>Winter (Oct-Mar)</v>
      </c>
      <c r="E44" s="17">
        <f>Tourist_Survey_Data!J44*INDEX(Assumptions!$B$8:$B$14,MATCH(Tourist_Survey_Data!I44,Assumptions!$A$8:$A$14,0))/1000*Assumptions!$B$4</f>
        <v>7.425161999999999E-2</v>
      </c>
      <c r="F44" s="17">
        <f>Tourist_Survey_Data!L44*INDEX(Assumptions!$B$18:$B$22,MATCH(Tourist_Survey_Data!K44,Assumptions!$A$18:$A$22,0))</f>
        <v>0</v>
      </c>
      <c r="G44" s="17">
        <f>Tourist_Survey_Data!H44*INDEX(Assumptions!$B$26:$B$28,MATCH(Tourist_Survey_Data!M44,Assumptions!$A$26:$A$28,0))</f>
        <v>1.8E-3</v>
      </c>
      <c r="H44" s="17">
        <f>Tourist_Survey_Data!H44*Tourist_Survey_Data!N44*Assumptions!$B$31</f>
        <v>8.1000000000000004E-5</v>
      </c>
      <c r="I44" s="17">
        <f>Tourist_Survey_Data!H44*INDEX(Assumptions!$B$35:$B$37,MATCH(INDEX(GIS_Site_Data!$E$3:$E$12,MATCH(Tourist_Survey_Data!B44,GIS_Site_Data!$B$3:$B$12,0)),Assumptions!$A$35:$A$37,0))</f>
        <v>1.1999999999999999E-3</v>
      </c>
      <c r="J44" s="17">
        <f t="shared" si="1"/>
        <v>7.7332619999999991E-2</v>
      </c>
      <c r="K44" s="17">
        <f>IFERROR(J44/Tourist_Survey_Data!H44,0)</f>
        <v>7.7332619999999991E-2</v>
      </c>
    </row>
    <row r="45" spans="1:11" x14ac:dyDescent="0.25">
      <c r="A45" s="16" t="str">
        <f>Tourist_Survey_Data!A45</f>
        <v>R043</v>
      </c>
      <c r="B45" s="16" t="str">
        <f>Tourist_Survey_Data!C45</f>
        <v>Domestic</v>
      </c>
      <c r="C45" s="16" t="str">
        <f>Tourist_Survey_Data!B45</f>
        <v>Bhagabatpur (Crocodile Project)</v>
      </c>
      <c r="D45" s="16" t="str">
        <f>Tourist_Survey_Data!O45</f>
        <v>Summer (Apr-May)</v>
      </c>
      <c r="E45" s="17">
        <f>Tourist_Survey_Data!J45*INDEX(Assumptions!$B$8:$B$14,MATCH(Tourist_Survey_Data!I45,Assumptions!$A$8:$A$14,0))/1000*Assumptions!$B$4</f>
        <v>3.4379550000000002E-2</v>
      </c>
      <c r="F45" s="17">
        <f>Tourist_Survey_Data!L45*INDEX(Assumptions!$B$18:$B$22,MATCH(Tourist_Survey_Data!K45,Assumptions!$A$18:$A$22,0))</f>
        <v>1.1999999999999999E-3</v>
      </c>
      <c r="G45" s="17">
        <f>Tourist_Survey_Data!H45*INDEX(Assumptions!$B$26:$B$28,MATCH(Tourist_Survey_Data!M45,Assumptions!$A$26:$A$28,0))</f>
        <v>5.4000000000000003E-3</v>
      </c>
      <c r="H45" s="17">
        <f>Tourist_Survey_Data!H45*Tourist_Survey_Data!N45*Assumptions!$B$31</f>
        <v>2.6699999999999998E-4</v>
      </c>
      <c r="I45" s="17">
        <f>Tourist_Survey_Data!H45*INDEX(Assumptions!$B$35:$B$37,MATCH(INDEX(GIS_Site_Data!$E$3:$E$12,MATCH(Tourist_Survey_Data!B45,GIS_Site_Data!$B$3:$B$12,0)),Assumptions!$A$35:$A$37,0))</f>
        <v>1.8E-3</v>
      </c>
      <c r="J45" s="17">
        <f t="shared" si="1"/>
        <v>4.304655000000001E-2</v>
      </c>
      <c r="K45" s="17">
        <f>IFERROR(J45/Tourist_Survey_Data!H45,0)</f>
        <v>1.4348850000000003E-2</v>
      </c>
    </row>
    <row r="46" spans="1:11" x14ac:dyDescent="0.25">
      <c r="A46" s="16" t="str">
        <f>Tourist_Survey_Data!A46</f>
        <v>R044</v>
      </c>
      <c r="B46" s="16" t="str">
        <f>Tourist_Survey_Data!C46</f>
        <v>Domestic</v>
      </c>
      <c r="C46" s="16" t="str">
        <f>Tourist_Survey_Data!B46</f>
        <v>Pakhiralay</v>
      </c>
      <c r="D46" s="16" t="str">
        <f>Tourist_Survey_Data!O46</f>
        <v>Monsoon (Jun-Sep)</v>
      </c>
      <c r="E46" s="17">
        <f>Tourist_Survey_Data!J46*INDEX(Assumptions!$B$8:$B$14,MATCH(Tourist_Survey_Data!I46,Assumptions!$A$8:$A$14,0))/1000*Assumptions!$B$4</f>
        <v>6.9312000000000002E-3</v>
      </c>
      <c r="F46" s="17">
        <f>Tourist_Survey_Data!L46*INDEX(Assumptions!$B$18:$B$22,MATCH(Tourist_Survey_Data!K46,Assumptions!$A$18:$A$22,0))</f>
        <v>5.9999999999999995E-4</v>
      </c>
      <c r="G46" s="17">
        <f>Tourist_Survey_Data!H46*INDEX(Assumptions!$B$26:$B$28,MATCH(Tourist_Survey_Data!M46,Assumptions!$A$26:$A$28,0))</f>
        <v>3.5999999999999999E-3</v>
      </c>
      <c r="H46" s="17">
        <f>Tourist_Survey_Data!H46*Tourist_Survey_Data!N46*Assumptions!$B$31</f>
        <v>8.8000000000000011E-5</v>
      </c>
      <c r="I46" s="17">
        <f>Tourist_Survey_Data!H46*INDEX(Assumptions!$B$35:$B$37,MATCH(INDEX(GIS_Site_Data!$E$3:$E$12,MATCH(Tourist_Survey_Data!B46,GIS_Site_Data!$B$3:$B$12,0)),Assumptions!$A$35:$A$37,0))</f>
        <v>1.1999999999999999E-3</v>
      </c>
      <c r="J46" s="17">
        <f t="shared" si="1"/>
        <v>1.24192E-2</v>
      </c>
      <c r="K46" s="17">
        <f>IFERROR(J46/Tourist_Survey_Data!H46,0)</f>
        <v>6.2096E-3</v>
      </c>
    </row>
    <row r="47" spans="1:11" x14ac:dyDescent="0.25">
      <c r="A47" s="16" t="str">
        <f>Tourist_Survey_Data!A47</f>
        <v>R045</v>
      </c>
      <c r="B47" s="16" t="str">
        <f>Tourist_Survey_Data!C47</f>
        <v>International</v>
      </c>
      <c r="C47" s="16" t="str">
        <f>Tourist_Survey_Data!B47</f>
        <v>Jharkhali</v>
      </c>
      <c r="D47" s="16" t="str">
        <f>Tourist_Survey_Data!O47</f>
        <v>Monsoon (Jun-Sep)</v>
      </c>
      <c r="E47" s="17">
        <f>Tourist_Survey_Data!J47*INDEX(Assumptions!$B$8:$B$14,MATCH(Tourist_Survey_Data!I47,Assumptions!$A$8:$A$14,0))/1000*Assumptions!$B$4</f>
        <v>0.12677934299999999</v>
      </c>
      <c r="F47" s="17">
        <f>Tourist_Survey_Data!L47*INDEX(Assumptions!$B$18:$B$22,MATCH(Tourist_Survey_Data!K47,Assumptions!$A$18:$A$22,0))</f>
        <v>5.9999999999999995E-4</v>
      </c>
      <c r="G47" s="17">
        <f>Tourist_Survey_Data!H47*INDEX(Assumptions!$B$26:$B$28,MATCH(Tourist_Survey_Data!M47,Assumptions!$A$26:$A$28,0))</f>
        <v>3.5999999999999999E-3</v>
      </c>
      <c r="H47" s="17">
        <f>Tourist_Survey_Data!H47*Tourist_Survey_Data!N47*Assumptions!$B$31</f>
        <v>1.2800000000000002E-4</v>
      </c>
      <c r="I47" s="17">
        <f>Tourist_Survey_Data!H47*INDEX(Assumptions!$B$35:$B$37,MATCH(INDEX(GIS_Site_Data!$E$3:$E$12,MATCH(Tourist_Survey_Data!B47,GIS_Site_Data!$B$3:$B$12,0)),Assumptions!$A$35:$A$37,0))</f>
        <v>4.0000000000000002E-4</v>
      </c>
      <c r="J47" s="17">
        <f t="shared" si="1"/>
        <v>0.13150734299999997</v>
      </c>
      <c r="K47" s="17">
        <f>IFERROR(J47/Tourist_Survey_Data!H47,0)</f>
        <v>6.5753671499999986E-2</v>
      </c>
    </row>
    <row r="48" spans="1:11" x14ac:dyDescent="0.25">
      <c r="A48" s="16" t="str">
        <f>Tourist_Survey_Data!A48</f>
        <v>R046</v>
      </c>
      <c r="B48" s="16" t="str">
        <f>Tourist_Survey_Data!C48</f>
        <v>Domestic</v>
      </c>
      <c r="C48" s="16" t="str">
        <f>Tourist_Survey_Data!B48</f>
        <v>Bhagabatpur (Crocodile Project)</v>
      </c>
      <c r="D48" s="16" t="str">
        <f>Tourist_Survey_Data!O48</f>
        <v>Winter (Oct-Mar)</v>
      </c>
      <c r="E48" s="17">
        <f>Tourist_Survey_Data!J48*INDEX(Assumptions!$B$8:$B$14,MATCH(Tourist_Survey_Data!I48,Assumptions!$A$8:$A$14,0))/1000*Assumptions!$B$4</f>
        <v>8.5063000000000014E-3</v>
      </c>
      <c r="F48" s="17">
        <f>Tourist_Survey_Data!L48*INDEX(Assumptions!$B$18:$B$22,MATCH(Tourist_Survey_Data!K48,Assumptions!$A$18:$A$22,0))</f>
        <v>0</v>
      </c>
      <c r="G48" s="17">
        <f>Tourist_Survey_Data!H48*INDEX(Assumptions!$B$26:$B$28,MATCH(Tourist_Survey_Data!M48,Assumptions!$A$26:$A$28,0))</f>
        <v>4.0000000000000001E-3</v>
      </c>
      <c r="H48" s="17">
        <f>Tourist_Survey_Data!H48*Tourist_Survey_Data!N48*Assumptions!$B$31</f>
        <v>9.6000000000000002E-5</v>
      </c>
      <c r="I48" s="17">
        <f>Tourist_Survey_Data!H48*INDEX(Assumptions!$B$35:$B$37,MATCH(INDEX(GIS_Site_Data!$E$3:$E$12,MATCH(Tourist_Survey_Data!B48,GIS_Site_Data!$B$3:$B$12,0)),Assumptions!$A$35:$A$37,0))</f>
        <v>5.9999999999999995E-4</v>
      </c>
      <c r="J48" s="17">
        <f t="shared" si="1"/>
        <v>1.3202300000000002E-2</v>
      </c>
      <c r="K48" s="17">
        <f>IFERROR(J48/Tourist_Survey_Data!H48,0)</f>
        <v>1.3202300000000002E-2</v>
      </c>
    </row>
    <row r="49" spans="1:11" x14ac:dyDescent="0.25">
      <c r="A49" s="16" t="str">
        <f>Tourist_Survey_Data!A49</f>
        <v>R047</v>
      </c>
      <c r="B49" s="16" t="str">
        <f>Tourist_Survey_Data!C49</f>
        <v>Domestic</v>
      </c>
      <c r="C49" s="16" t="str">
        <f>Tourist_Survey_Data!B49</f>
        <v>Jharkhali</v>
      </c>
      <c r="D49" s="16" t="str">
        <f>Tourist_Survey_Data!O49</f>
        <v>Winter (Oct-Mar)</v>
      </c>
      <c r="E49" s="17">
        <f>Tourist_Survey_Data!J49*INDEX(Assumptions!$B$8:$B$14,MATCH(Tourist_Survey_Data!I49,Assumptions!$A$8:$A$14,0))/1000*Assumptions!$B$4</f>
        <v>4.5172499999999996E-3</v>
      </c>
      <c r="F49" s="17">
        <f>Tourist_Survey_Data!L49*INDEX(Assumptions!$B$18:$B$22,MATCH(Tourist_Survey_Data!K49,Assumptions!$A$18:$A$22,0))</f>
        <v>0</v>
      </c>
      <c r="G49" s="17">
        <f>Tourist_Survey_Data!H49*INDEX(Assumptions!$B$26:$B$28,MATCH(Tourist_Survey_Data!M49,Assumptions!$A$26:$A$28,0))</f>
        <v>2.8E-3</v>
      </c>
      <c r="H49" s="17">
        <f>Tourist_Survey_Data!H49*Tourist_Survey_Data!N49*Assumptions!$B$31</f>
        <v>7.8000000000000012E-5</v>
      </c>
      <c r="I49" s="17">
        <f>Tourist_Survey_Data!H49*INDEX(Assumptions!$B$35:$B$37,MATCH(INDEX(GIS_Site_Data!$E$3:$E$12,MATCH(Tourist_Survey_Data!B49,GIS_Site_Data!$B$3:$B$12,0)),Assumptions!$A$35:$A$37,0))</f>
        <v>2.0000000000000001E-4</v>
      </c>
      <c r="J49" s="17">
        <f t="shared" si="1"/>
        <v>7.5952499999999987E-3</v>
      </c>
      <c r="K49" s="17">
        <f>IFERROR(J49/Tourist_Survey_Data!H49,0)</f>
        <v>7.5952499999999987E-3</v>
      </c>
    </row>
    <row r="50" spans="1:11" x14ac:dyDescent="0.25">
      <c r="A50" s="16" t="str">
        <f>Tourist_Survey_Data!A50</f>
        <v>R048</v>
      </c>
      <c r="B50" s="16" t="str">
        <f>Tourist_Survey_Data!C50</f>
        <v>Domestic</v>
      </c>
      <c r="C50" s="16" t="str">
        <f>Tourist_Survey_Data!B50</f>
        <v>Kalash</v>
      </c>
      <c r="D50" s="16" t="str">
        <f>Tourist_Survey_Data!O50</f>
        <v>Winter (Oct-Mar)</v>
      </c>
      <c r="E50" s="17">
        <f>Tourist_Survey_Data!J50*INDEX(Assumptions!$B$8:$B$14,MATCH(Tourist_Survey_Data!I50,Assumptions!$A$8:$A$14,0))/1000*Assumptions!$B$4</f>
        <v>6.7384260000000005E-3</v>
      </c>
      <c r="F50" s="17">
        <f>Tourist_Survey_Data!L50*INDEX(Assumptions!$B$18:$B$22,MATCH(Tourist_Survey_Data!K50,Assumptions!$A$18:$A$22,0))</f>
        <v>9.0000000000000011E-3</v>
      </c>
      <c r="G50" s="17">
        <f>Tourist_Survey_Data!H50*INDEX(Assumptions!$B$26:$B$28,MATCH(Tourist_Survey_Data!M50,Assumptions!$A$26:$A$28,0))</f>
        <v>1.12E-2</v>
      </c>
      <c r="H50" s="17">
        <f>Tourist_Survey_Data!H50*Tourist_Survey_Data!N50*Assumptions!$B$31</f>
        <v>2.6000000000000003E-4</v>
      </c>
      <c r="I50" s="17">
        <f>Tourist_Survey_Data!H50*INDEX(Assumptions!$B$35:$B$37,MATCH(INDEX(GIS_Site_Data!$E$3:$E$12,MATCH(Tourist_Survey_Data!B50,GIS_Site_Data!$B$3:$B$12,0)),Assumptions!$A$35:$A$37,0))</f>
        <v>2.3999999999999998E-3</v>
      </c>
      <c r="J50" s="17">
        <f t="shared" si="1"/>
        <v>2.9598426000000001E-2</v>
      </c>
      <c r="K50" s="17">
        <f>IFERROR(J50/Tourist_Survey_Data!H50,0)</f>
        <v>7.3996065000000001E-3</v>
      </c>
    </row>
    <row r="51" spans="1:11" x14ac:dyDescent="0.25">
      <c r="A51" s="16" t="str">
        <f>Tourist_Survey_Data!A51</f>
        <v>R049</v>
      </c>
      <c r="B51" s="16" t="str">
        <f>Tourist_Survey_Data!C51</f>
        <v>Domestic</v>
      </c>
      <c r="C51" s="16" t="str">
        <f>Tourist_Survey_Data!B51</f>
        <v>Sudhanyakhali</v>
      </c>
      <c r="D51" s="16" t="str">
        <f>Tourist_Survey_Data!O51</f>
        <v>Winter (Oct-Mar)</v>
      </c>
      <c r="E51" s="17">
        <f>Tourist_Survey_Data!J51*INDEX(Assumptions!$B$8:$B$14,MATCH(Tourist_Survey_Data!I51,Assumptions!$A$8:$A$14,0))/1000*Assumptions!$B$4</f>
        <v>6.2438939999999998E-2</v>
      </c>
      <c r="F51" s="17">
        <f>Tourist_Survey_Data!L51*INDEX(Assumptions!$B$18:$B$22,MATCH(Tourist_Survey_Data!K51,Assumptions!$A$18:$A$22,0))</f>
        <v>1.6000000000000001E-3</v>
      </c>
      <c r="G51" s="17">
        <f>Tourist_Survey_Data!H51*INDEX(Assumptions!$B$26:$B$28,MATCH(Tourist_Survey_Data!M51,Assumptions!$A$26:$A$28,0))</f>
        <v>8.3999999999999995E-3</v>
      </c>
      <c r="H51" s="17">
        <f>Tourist_Survey_Data!H51*Tourist_Survey_Data!N51*Assumptions!$B$31</f>
        <v>2.52E-4</v>
      </c>
      <c r="I51" s="17">
        <f>Tourist_Survey_Data!H51*INDEX(Assumptions!$B$35:$B$37,MATCH(INDEX(GIS_Site_Data!$E$3:$E$12,MATCH(Tourist_Survey_Data!B51,GIS_Site_Data!$B$3:$B$12,0)),Assumptions!$A$35:$A$37,0))</f>
        <v>3.5999999999999999E-3</v>
      </c>
      <c r="J51" s="17">
        <f t="shared" si="1"/>
        <v>7.6290940000000015E-2</v>
      </c>
      <c r="K51" s="17">
        <f>IFERROR(J51/Tourist_Survey_Data!H51,0)</f>
        <v>2.543031333333334E-2</v>
      </c>
    </row>
    <row r="52" spans="1:11" x14ac:dyDescent="0.25">
      <c r="A52" s="16" t="str">
        <f>Tourist_Survey_Data!A52</f>
        <v>R050</v>
      </c>
      <c r="B52" s="16" t="str">
        <f>Tourist_Survey_Data!C52</f>
        <v>Domestic</v>
      </c>
      <c r="C52" s="16" t="str">
        <f>Tourist_Survey_Data!B52</f>
        <v>Gosaba</v>
      </c>
      <c r="D52" s="16" t="str">
        <f>Tourist_Survey_Data!O52</f>
        <v>Monsoon (Jun-Sep)</v>
      </c>
      <c r="E52" s="17">
        <f>Tourist_Survey_Data!J52*INDEX(Assumptions!$B$8:$B$14,MATCH(Tourist_Survey_Data!I52,Assumptions!$A$8:$A$14,0))/1000*Assumptions!$B$4</f>
        <v>1.3646522000000001E-2</v>
      </c>
      <c r="F52" s="17">
        <f>Tourist_Survey_Data!L52*INDEX(Assumptions!$B$18:$B$22,MATCH(Tourist_Survey_Data!K52,Assumptions!$A$18:$A$22,0))</f>
        <v>0</v>
      </c>
      <c r="G52" s="17">
        <f>Tourist_Survey_Data!H52*INDEX(Assumptions!$B$26:$B$28,MATCH(Tourist_Survey_Data!M52,Assumptions!$A$26:$A$28,0))</f>
        <v>2.8E-3</v>
      </c>
      <c r="H52" s="17">
        <f>Tourist_Survey_Data!H52*Tourist_Survey_Data!N52*Assumptions!$B$31</f>
        <v>1.13E-4</v>
      </c>
      <c r="I52" s="17">
        <f>Tourist_Survey_Data!H52*INDEX(Assumptions!$B$35:$B$37,MATCH(INDEX(GIS_Site_Data!$E$3:$E$12,MATCH(Tourist_Survey_Data!B52,GIS_Site_Data!$B$3:$B$12,0)),Assumptions!$A$35:$A$37,0))</f>
        <v>2.0000000000000001E-4</v>
      </c>
      <c r="J52" s="17">
        <f t="shared" si="1"/>
        <v>1.6759521999999999E-2</v>
      </c>
      <c r="K52" s="17">
        <f>IFERROR(J52/Tourist_Survey_Data!H52,0)</f>
        <v>1.6759521999999999E-2</v>
      </c>
    </row>
    <row r="53" spans="1:11" x14ac:dyDescent="0.25">
      <c r="A53" s="16" t="str">
        <f>Tourist_Survey_Data!A53</f>
        <v>R051</v>
      </c>
      <c r="B53" s="16" t="str">
        <f>Tourist_Survey_Data!C53</f>
        <v>Domestic</v>
      </c>
      <c r="C53" s="16" t="str">
        <f>Tourist_Survey_Data!B53</f>
        <v>Kalash</v>
      </c>
      <c r="D53" s="16" t="str">
        <f>Tourist_Survey_Data!O53</f>
        <v>Monsoon (Jun-Sep)</v>
      </c>
      <c r="E53" s="17">
        <f>Tourist_Survey_Data!J53*INDEX(Assumptions!$B$8:$B$14,MATCH(Tourist_Survey_Data!I53,Assumptions!$A$8:$A$14,0))/1000*Assumptions!$B$4</f>
        <v>4.4543790000000005E-3</v>
      </c>
      <c r="F53" s="17">
        <f>Tourist_Survey_Data!L53*INDEX(Assumptions!$B$18:$B$22,MATCH(Tourist_Survey_Data!K53,Assumptions!$A$18:$A$22,0))</f>
        <v>3.5999999999999999E-3</v>
      </c>
      <c r="G53" s="17">
        <f>Tourist_Survey_Data!H53*INDEX(Assumptions!$B$26:$B$28,MATCH(Tourist_Survey_Data!M53,Assumptions!$A$26:$A$28,0))</f>
        <v>8.3999999999999995E-3</v>
      </c>
      <c r="H53" s="17">
        <f>Tourist_Survey_Data!H53*Tourist_Survey_Data!N53*Assumptions!$B$31</f>
        <v>4.1999999999999996E-4</v>
      </c>
      <c r="I53" s="17">
        <f>Tourist_Survey_Data!H53*INDEX(Assumptions!$B$35:$B$37,MATCH(INDEX(GIS_Site_Data!$E$3:$E$12,MATCH(Tourist_Survey_Data!B53,GIS_Site_Data!$B$3:$B$12,0)),Assumptions!$A$35:$A$37,0))</f>
        <v>1.8E-3</v>
      </c>
      <c r="J53" s="17">
        <f t="shared" si="1"/>
        <v>1.8674378999999998E-2</v>
      </c>
      <c r="K53" s="17">
        <f>IFERROR(J53/Tourist_Survey_Data!H53,0)</f>
        <v>6.2247929999999993E-3</v>
      </c>
    </row>
    <row r="54" spans="1:11" x14ac:dyDescent="0.25">
      <c r="A54" s="16" t="str">
        <f>Tourist_Survey_Data!A54</f>
        <v>R052</v>
      </c>
      <c r="B54" s="16" t="str">
        <f>Tourist_Survey_Data!C54</f>
        <v>Domestic</v>
      </c>
      <c r="C54" s="16" t="str">
        <f>Tourist_Survey_Data!B54</f>
        <v>Pakhiralay</v>
      </c>
      <c r="D54" s="16" t="str">
        <f>Tourist_Survey_Data!O54</f>
        <v>Winter (Oct-Mar)</v>
      </c>
      <c r="E54" s="17">
        <f>Tourist_Survey_Data!J54*INDEX(Assumptions!$B$8:$B$14,MATCH(Tourist_Survey_Data!I54,Assumptions!$A$8:$A$14,0))/1000*Assumptions!$B$4</f>
        <v>1.3605900000000001E-3</v>
      </c>
      <c r="F54" s="17">
        <f>Tourist_Survey_Data!L54*INDEX(Assumptions!$B$18:$B$22,MATCH(Tourist_Survey_Data!K54,Assumptions!$A$18:$A$22,0))</f>
        <v>0</v>
      </c>
      <c r="G54" s="17">
        <f>Tourist_Survey_Data!H54*INDEX(Assumptions!$B$26:$B$28,MATCH(Tourist_Survey_Data!M54,Assumptions!$A$26:$A$28,0))</f>
        <v>2.8E-3</v>
      </c>
      <c r="H54" s="17">
        <f>Tourist_Survey_Data!H54*Tourist_Survey_Data!N54*Assumptions!$B$31</f>
        <v>5.0000000000000002E-5</v>
      </c>
      <c r="I54" s="17">
        <f>Tourist_Survey_Data!H54*INDEX(Assumptions!$B$35:$B$37,MATCH(INDEX(GIS_Site_Data!$E$3:$E$12,MATCH(Tourist_Survey_Data!B54,GIS_Site_Data!$B$3:$B$12,0)),Assumptions!$A$35:$A$37,0))</f>
        <v>5.9999999999999995E-4</v>
      </c>
      <c r="J54" s="17">
        <f t="shared" si="1"/>
        <v>4.81059E-3</v>
      </c>
      <c r="K54" s="17">
        <f>IFERROR(J54/Tourist_Survey_Data!H54,0)</f>
        <v>4.81059E-3</v>
      </c>
    </row>
    <row r="55" spans="1:11" x14ac:dyDescent="0.25">
      <c r="A55" s="16" t="str">
        <f>Tourist_Survey_Data!A55</f>
        <v>R053</v>
      </c>
      <c r="B55" s="16" t="str">
        <f>Tourist_Survey_Data!C55</f>
        <v>Domestic</v>
      </c>
      <c r="C55" s="16" t="str">
        <f>Tourist_Survey_Data!B55</f>
        <v>Kalash</v>
      </c>
      <c r="D55" s="16" t="str">
        <f>Tourist_Survey_Data!O55</f>
        <v>Winter (Oct-Mar)</v>
      </c>
      <c r="E55" s="17">
        <f>Tourist_Survey_Data!J55*INDEX(Assumptions!$B$8:$B$14,MATCH(Tourist_Survey_Data!I55,Assumptions!$A$8:$A$14,0))/1000*Assumptions!$B$4</f>
        <v>3.1119473000000002E-2</v>
      </c>
      <c r="F55" s="17">
        <f>Tourist_Survey_Data!L55*INDEX(Assumptions!$B$18:$B$22,MATCH(Tourist_Survey_Data!K55,Assumptions!$A$18:$A$22,0))</f>
        <v>8.0000000000000004E-4</v>
      </c>
      <c r="G55" s="17">
        <f>Tourist_Survey_Data!H55*INDEX(Assumptions!$B$26:$B$28,MATCH(Tourist_Survey_Data!M55,Assumptions!$A$26:$A$28,0))</f>
        <v>3.5999999999999999E-3</v>
      </c>
      <c r="H55" s="17">
        <f>Tourist_Survey_Data!H55*Tourist_Survey_Data!N55*Assumptions!$B$31</f>
        <v>6.4000000000000011E-5</v>
      </c>
      <c r="I55" s="17">
        <f>Tourist_Survey_Data!H55*INDEX(Assumptions!$B$35:$B$37,MATCH(INDEX(GIS_Site_Data!$E$3:$E$12,MATCH(Tourist_Survey_Data!B55,GIS_Site_Data!$B$3:$B$12,0)),Assumptions!$A$35:$A$37,0))</f>
        <v>1.1999999999999999E-3</v>
      </c>
      <c r="J55" s="17">
        <f t="shared" si="1"/>
        <v>3.6783473000000004E-2</v>
      </c>
      <c r="K55" s="17">
        <f>IFERROR(J55/Tourist_Survey_Data!H55,0)</f>
        <v>1.8391736500000002E-2</v>
      </c>
    </row>
    <row r="56" spans="1:11" x14ac:dyDescent="0.25">
      <c r="A56" s="16" t="str">
        <f>Tourist_Survey_Data!A56</f>
        <v>R054</v>
      </c>
      <c r="B56" s="16" t="str">
        <f>Tourist_Survey_Data!C56</f>
        <v>Domestic</v>
      </c>
      <c r="C56" s="16" t="str">
        <f>Tourist_Survey_Data!B56</f>
        <v>Gosaba</v>
      </c>
      <c r="D56" s="16" t="str">
        <f>Tourist_Survey_Data!O56</f>
        <v>Winter (Oct-Mar)</v>
      </c>
      <c r="E56" s="17">
        <f>Tourist_Survey_Data!J56*INDEX(Assumptions!$B$8:$B$14,MATCH(Tourist_Survey_Data!I56,Assumptions!$A$8:$A$14,0))/1000*Assumptions!$B$4</f>
        <v>3.89595E-3</v>
      </c>
      <c r="F56" s="17">
        <f>Tourist_Survey_Data!L56*INDEX(Assumptions!$B$18:$B$22,MATCH(Tourist_Survey_Data!K56,Assumptions!$A$18:$A$22,0))</f>
        <v>0</v>
      </c>
      <c r="G56" s="17">
        <f>Tourist_Survey_Data!H56*INDEX(Assumptions!$B$26:$B$28,MATCH(Tourist_Survey_Data!M56,Assumptions!$A$26:$A$28,0))</f>
        <v>1.8E-3</v>
      </c>
      <c r="H56" s="17">
        <f>Tourist_Survey_Data!H56*Tourist_Survey_Data!N56*Assumptions!$B$31</f>
        <v>8.2999999999999998E-5</v>
      </c>
      <c r="I56" s="17">
        <f>Tourist_Survey_Data!H56*INDEX(Assumptions!$B$35:$B$37,MATCH(INDEX(GIS_Site_Data!$E$3:$E$12,MATCH(Tourist_Survey_Data!B56,GIS_Site_Data!$B$3:$B$12,0)),Assumptions!$A$35:$A$37,0))</f>
        <v>2.0000000000000001E-4</v>
      </c>
      <c r="J56" s="17">
        <f t="shared" si="1"/>
        <v>5.9789499999999994E-3</v>
      </c>
      <c r="K56" s="17">
        <f>IFERROR(J56/Tourist_Survey_Data!H56,0)</f>
        <v>5.9789499999999994E-3</v>
      </c>
    </row>
    <row r="57" spans="1:11" x14ac:dyDescent="0.25">
      <c r="A57" s="16" t="str">
        <f>Tourist_Survey_Data!A57</f>
        <v>R055</v>
      </c>
      <c r="B57" s="16" t="str">
        <f>Tourist_Survey_Data!C57</f>
        <v>Domestic</v>
      </c>
      <c r="C57" s="16" t="str">
        <f>Tourist_Survey_Data!B57</f>
        <v>Sajnekhali</v>
      </c>
      <c r="D57" s="16" t="str">
        <f>Tourist_Survey_Data!O57</f>
        <v>Summer (Apr-May)</v>
      </c>
      <c r="E57" s="17">
        <f>Tourist_Survey_Data!J57*INDEX(Assumptions!$B$8:$B$14,MATCH(Tourist_Survey_Data!I57,Assumptions!$A$8:$A$14,0))/1000*Assumptions!$B$4</f>
        <v>6.7858689999999999E-3</v>
      </c>
      <c r="F57" s="17">
        <f>Tourist_Survey_Data!L57*INDEX(Assumptions!$B$18:$B$22,MATCH(Tourist_Survey_Data!K57,Assumptions!$A$18:$A$22,0))</f>
        <v>0</v>
      </c>
      <c r="G57" s="17">
        <f>Tourist_Survey_Data!H57*INDEX(Assumptions!$B$26:$B$28,MATCH(Tourist_Survey_Data!M57,Assumptions!$A$26:$A$28,0))</f>
        <v>2.8E-3</v>
      </c>
      <c r="H57" s="17">
        <f>Tourist_Survey_Data!H57*Tourist_Survey_Data!N57*Assumptions!$B$31</f>
        <v>6.3E-5</v>
      </c>
      <c r="I57" s="17">
        <f>Tourist_Survey_Data!H57*INDEX(Assumptions!$B$35:$B$37,MATCH(INDEX(GIS_Site_Data!$E$3:$E$12,MATCH(Tourist_Survey_Data!B57,GIS_Site_Data!$B$3:$B$12,0)),Assumptions!$A$35:$A$37,0))</f>
        <v>5.9999999999999995E-4</v>
      </c>
      <c r="J57" s="17">
        <f t="shared" si="1"/>
        <v>1.0248869000000001E-2</v>
      </c>
      <c r="K57" s="17">
        <f>IFERROR(J57/Tourist_Survey_Data!H57,0)</f>
        <v>1.0248869000000001E-2</v>
      </c>
    </row>
    <row r="58" spans="1:11" x14ac:dyDescent="0.25">
      <c r="A58" s="16" t="str">
        <f>Tourist_Survey_Data!A58</f>
        <v>R056</v>
      </c>
      <c r="B58" s="16" t="str">
        <f>Tourist_Survey_Data!C58</f>
        <v>Domestic</v>
      </c>
      <c r="C58" s="16" t="str">
        <f>Tourist_Survey_Data!B58</f>
        <v>Sudhanyakhali</v>
      </c>
      <c r="D58" s="16" t="str">
        <f>Tourist_Survey_Data!O58</f>
        <v>Monsoon (Jun-Sep)</v>
      </c>
      <c r="E58" s="17">
        <f>Tourist_Survey_Data!J58*INDEX(Assumptions!$B$8:$B$14,MATCH(Tourist_Survey_Data!I58,Assumptions!$A$8:$A$14,0))/1000*Assumptions!$B$4</f>
        <v>6.0236459999999997E-3</v>
      </c>
      <c r="F58" s="17">
        <f>Tourist_Survey_Data!L58*INDEX(Assumptions!$B$18:$B$22,MATCH(Tourist_Survey_Data!K58,Assumptions!$A$18:$A$22,0))</f>
        <v>2.4000000000000002E-3</v>
      </c>
      <c r="G58" s="17">
        <f>Tourist_Survey_Data!H58*INDEX(Assumptions!$B$26:$B$28,MATCH(Tourist_Survey_Data!M58,Assumptions!$A$26:$A$28,0))</f>
        <v>1.12E-2</v>
      </c>
      <c r="H58" s="17">
        <f>Tourist_Survey_Data!H58*Tourist_Survey_Data!N58*Assumptions!$B$31</f>
        <v>3.0800000000000001E-4</v>
      </c>
      <c r="I58" s="17">
        <f>Tourist_Survey_Data!H58*INDEX(Assumptions!$B$35:$B$37,MATCH(INDEX(GIS_Site_Data!$E$3:$E$12,MATCH(Tourist_Survey_Data!B58,GIS_Site_Data!$B$3:$B$12,0)),Assumptions!$A$35:$A$37,0))</f>
        <v>4.7999999999999996E-3</v>
      </c>
      <c r="J58" s="17">
        <f t="shared" si="1"/>
        <v>2.4731645999999999E-2</v>
      </c>
      <c r="K58" s="17">
        <f>IFERROR(J58/Tourist_Survey_Data!H58,0)</f>
        <v>6.1829114999999999E-3</v>
      </c>
    </row>
    <row r="59" spans="1:11" x14ac:dyDescent="0.25">
      <c r="A59" s="16" t="str">
        <f>Tourist_Survey_Data!A59</f>
        <v>R057</v>
      </c>
      <c r="B59" s="16" t="str">
        <f>Tourist_Survey_Data!C59</f>
        <v>Domestic</v>
      </c>
      <c r="C59" s="16" t="str">
        <f>Tourist_Survey_Data!B59</f>
        <v>Sajnekhali</v>
      </c>
      <c r="D59" s="16" t="str">
        <f>Tourist_Survey_Data!O59</f>
        <v>Winter (Oct-Mar)</v>
      </c>
      <c r="E59" s="17">
        <f>Tourist_Survey_Data!J59*INDEX(Assumptions!$B$8:$B$14,MATCH(Tourist_Survey_Data!I59,Assumptions!$A$8:$A$14,0))/1000*Assumptions!$B$4</f>
        <v>1.6525706000000001E-2</v>
      </c>
      <c r="F59" s="17">
        <f>Tourist_Survey_Data!L59*INDEX(Assumptions!$B$18:$B$22,MATCH(Tourist_Survey_Data!K59,Assumptions!$A$18:$A$22,0))</f>
        <v>0</v>
      </c>
      <c r="G59" s="17">
        <f>Tourist_Survey_Data!H59*INDEX(Assumptions!$B$26:$B$28,MATCH(Tourist_Survey_Data!M59,Assumptions!$A$26:$A$28,0))</f>
        <v>2.8E-3</v>
      </c>
      <c r="H59" s="17">
        <f>Tourist_Survey_Data!H59*Tourist_Survey_Data!N59*Assumptions!$B$31</f>
        <v>4.6999999999999997E-5</v>
      </c>
      <c r="I59" s="17">
        <f>Tourist_Survey_Data!H59*INDEX(Assumptions!$B$35:$B$37,MATCH(INDEX(GIS_Site_Data!$E$3:$E$12,MATCH(Tourist_Survey_Data!B59,GIS_Site_Data!$B$3:$B$12,0)),Assumptions!$A$35:$A$37,0))</f>
        <v>5.9999999999999995E-4</v>
      </c>
      <c r="J59" s="17">
        <f t="shared" si="1"/>
        <v>1.9972706E-2</v>
      </c>
      <c r="K59" s="17">
        <f>IFERROR(J59/Tourist_Survey_Data!H59,0)</f>
        <v>1.9972706E-2</v>
      </c>
    </row>
    <row r="60" spans="1:11" x14ac:dyDescent="0.25">
      <c r="A60" s="16" t="str">
        <f>Tourist_Survey_Data!A60</f>
        <v>R058</v>
      </c>
      <c r="B60" s="16" t="str">
        <f>Tourist_Survey_Data!C60</f>
        <v>Domestic</v>
      </c>
      <c r="C60" s="16" t="str">
        <f>Tourist_Survey_Data!B60</f>
        <v>Jharkhali</v>
      </c>
      <c r="D60" s="16" t="str">
        <f>Tourist_Survey_Data!O60</f>
        <v>Monsoon (Jun-Sep)</v>
      </c>
      <c r="E60" s="17">
        <f>Tourist_Survey_Data!J60*INDEX(Assumptions!$B$8:$B$14,MATCH(Tourist_Survey_Data!I60,Assumptions!$A$8:$A$14,0))/1000*Assumptions!$B$4</f>
        <v>1.4222449999999999E-3</v>
      </c>
      <c r="F60" s="17">
        <f>Tourist_Survey_Data!L60*INDEX(Assumptions!$B$18:$B$22,MATCH(Tourist_Survey_Data!K60,Assumptions!$A$18:$A$22,0))</f>
        <v>0</v>
      </c>
      <c r="G60" s="17">
        <f>Tourist_Survey_Data!H60*INDEX(Assumptions!$B$26:$B$28,MATCH(Tourist_Survey_Data!M60,Assumptions!$A$26:$A$28,0))</f>
        <v>1.8E-3</v>
      </c>
      <c r="H60" s="17">
        <f>Tourist_Survey_Data!H60*Tourist_Survey_Data!N60*Assumptions!$B$31</f>
        <v>1.17E-4</v>
      </c>
      <c r="I60" s="17">
        <f>Tourist_Survey_Data!H60*INDEX(Assumptions!$B$35:$B$37,MATCH(INDEX(GIS_Site_Data!$E$3:$E$12,MATCH(Tourist_Survey_Data!B60,GIS_Site_Data!$B$3:$B$12,0)),Assumptions!$A$35:$A$37,0))</f>
        <v>2.0000000000000001E-4</v>
      </c>
      <c r="J60" s="17">
        <f t="shared" si="1"/>
        <v>3.5392449999999999E-3</v>
      </c>
      <c r="K60" s="17">
        <f>IFERROR(J60/Tourist_Survey_Data!H60,0)</f>
        <v>3.5392449999999999E-3</v>
      </c>
    </row>
    <row r="61" spans="1:11" x14ac:dyDescent="0.25">
      <c r="A61" s="16" t="str">
        <f>Tourist_Survey_Data!A61</f>
        <v>R059</v>
      </c>
      <c r="B61" s="16" t="str">
        <f>Tourist_Survey_Data!C61</f>
        <v>Domestic</v>
      </c>
      <c r="C61" s="16" t="str">
        <f>Tourist_Survey_Data!B61</f>
        <v>Sonakhali (Gateway)</v>
      </c>
      <c r="D61" s="16" t="str">
        <f>Tourist_Survey_Data!O61</f>
        <v>Summer (Apr-May)</v>
      </c>
      <c r="E61" s="17">
        <f>Tourist_Survey_Data!J61*INDEX(Assumptions!$B$8:$B$14,MATCH(Tourist_Survey_Data!I61,Assumptions!$A$8:$A$14,0))/1000*Assumptions!$B$4</f>
        <v>1.3020985000000002E-2</v>
      </c>
      <c r="F61" s="17">
        <f>Tourist_Survey_Data!L61*INDEX(Assumptions!$B$18:$B$22,MATCH(Tourist_Survey_Data!K61,Assumptions!$A$18:$A$22,0))</f>
        <v>0</v>
      </c>
      <c r="G61" s="17">
        <f>Tourist_Survey_Data!H61*INDEX(Assumptions!$B$26:$B$28,MATCH(Tourist_Survey_Data!M61,Assumptions!$A$26:$A$28,0))</f>
        <v>2.8E-3</v>
      </c>
      <c r="H61" s="17">
        <f>Tourist_Survey_Data!H61*Tourist_Survey_Data!N61*Assumptions!$B$31</f>
        <v>1.21E-4</v>
      </c>
      <c r="I61" s="17">
        <f>Tourist_Survey_Data!H61*INDEX(Assumptions!$B$35:$B$37,MATCH(INDEX(GIS_Site_Data!$E$3:$E$12,MATCH(Tourist_Survey_Data!B61,GIS_Site_Data!$B$3:$B$12,0)),Assumptions!$A$35:$A$37,0))</f>
        <v>2.0000000000000001E-4</v>
      </c>
      <c r="J61" s="17">
        <f t="shared" si="1"/>
        <v>1.6141985000000001E-2</v>
      </c>
      <c r="K61" s="17">
        <f>IFERROR(J61/Tourist_Survey_Data!H61,0)</f>
        <v>1.6141985000000001E-2</v>
      </c>
    </row>
    <row r="62" spans="1:11" x14ac:dyDescent="0.25">
      <c r="A62" s="16" t="str">
        <f>Tourist_Survey_Data!A62</f>
        <v>R060</v>
      </c>
      <c r="B62" s="16" t="str">
        <f>Tourist_Survey_Data!C62</f>
        <v>Domestic</v>
      </c>
      <c r="C62" s="16" t="str">
        <f>Tourist_Survey_Data!B62</f>
        <v>Kalash</v>
      </c>
      <c r="D62" s="16" t="str">
        <f>Tourist_Survey_Data!O62</f>
        <v>Monsoon (Jun-Sep)</v>
      </c>
      <c r="E62" s="17">
        <f>Tourist_Survey_Data!J62*INDEX(Assumptions!$B$8:$B$14,MATCH(Tourist_Survey_Data!I62,Assumptions!$A$8:$A$14,0))/1000*Assumptions!$B$4</f>
        <v>5.9836319999999998E-2</v>
      </c>
      <c r="F62" s="17">
        <f>Tourist_Survey_Data!L62*INDEX(Assumptions!$B$18:$B$22,MATCH(Tourist_Survey_Data!K62,Assumptions!$A$18:$A$22,0))</f>
        <v>5.4000000000000003E-3</v>
      </c>
      <c r="G62" s="17">
        <f>Tourist_Survey_Data!H62*INDEX(Assumptions!$B$26:$B$28,MATCH(Tourist_Survey_Data!M62,Assumptions!$A$26:$A$28,0))</f>
        <v>1.6E-2</v>
      </c>
      <c r="H62" s="17">
        <f>Tourist_Survey_Data!H62*Tourist_Survey_Data!N62*Assumptions!$B$31</f>
        <v>4.4400000000000006E-4</v>
      </c>
      <c r="I62" s="17">
        <f>Tourist_Survey_Data!H62*INDEX(Assumptions!$B$35:$B$37,MATCH(INDEX(GIS_Site_Data!$E$3:$E$12,MATCH(Tourist_Survey_Data!B62,GIS_Site_Data!$B$3:$B$12,0)),Assumptions!$A$35:$A$37,0))</f>
        <v>2.3999999999999998E-3</v>
      </c>
      <c r="J62" s="17">
        <f t="shared" si="1"/>
        <v>8.408032E-2</v>
      </c>
      <c r="K62" s="17">
        <f>IFERROR(J62/Tourist_Survey_Data!H62,0)</f>
        <v>2.102008E-2</v>
      </c>
    </row>
    <row r="63" spans="1:11" x14ac:dyDescent="0.25">
      <c r="A63" s="16" t="str">
        <f>Tourist_Survey_Data!A63</f>
        <v>R061</v>
      </c>
      <c r="B63" s="16" t="str">
        <f>Tourist_Survey_Data!C63</f>
        <v>Domestic</v>
      </c>
      <c r="C63" s="16" t="str">
        <f>Tourist_Survey_Data!B63</f>
        <v>Sajnekhali</v>
      </c>
      <c r="D63" s="16" t="str">
        <f>Tourist_Survey_Data!O63</f>
        <v>Monsoon (Jun-Sep)</v>
      </c>
      <c r="E63" s="17">
        <f>Tourist_Survey_Data!J63*INDEX(Assumptions!$B$8:$B$14,MATCH(Tourist_Survey_Data!I63,Assumptions!$A$8:$A$14,0))/1000*Assumptions!$B$4</f>
        <v>4.4548919999999999E-2</v>
      </c>
      <c r="F63" s="17">
        <f>Tourist_Survey_Data!L63*INDEX(Assumptions!$B$18:$B$22,MATCH(Tourist_Survey_Data!K63,Assumptions!$A$18:$A$22,0))</f>
        <v>1.1999999999999999E-3</v>
      </c>
      <c r="G63" s="17">
        <f>Tourist_Survey_Data!H63*INDEX(Assumptions!$B$26:$B$28,MATCH(Tourist_Survey_Data!M63,Assumptions!$A$26:$A$28,0))</f>
        <v>8.3999999999999995E-3</v>
      </c>
      <c r="H63" s="17">
        <f>Tourist_Survey_Data!H63*Tourist_Survey_Data!N63*Assumptions!$B$31</f>
        <v>2.4600000000000002E-4</v>
      </c>
      <c r="I63" s="17">
        <f>Tourist_Survey_Data!H63*INDEX(Assumptions!$B$35:$B$37,MATCH(INDEX(GIS_Site_Data!$E$3:$E$12,MATCH(Tourist_Survey_Data!B63,GIS_Site_Data!$B$3:$B$12,0)),Assumptions!$A$35:$A$37,0))</f>
        <v>1.8E-3</v>
      </c>
      <c r="J63" s="17">
        <f t="shared" si="1"/>
        <v>5.6194920000000002E-2</v>
      </c>
      <c r="K63" s="17">
        <f>IFERROR(J63/Tourist_Survey_Data!H63,0)</f>
        <v>1.8731640000000001E-2</v>
      </c>
    </row>
    <row r="64" spans="1:11" x14ac:dyDescent="0.25">
      <c r="A64" s="16" t="str">
        <f>Tourist_Survey_Data!A64</f>
        <v>R062</v>
      </c>
      <c r="B64" s="16" t="str">
        <f>Tourist_Survey_Data!C64</f>
        <v>Domestic</v>
      </c>
      <c r="C64" s="16" t="str">
        <f>Tourist_Survey_Data!B64</f>
        <v>Gosaba</v>
      </c>
      <c r="D64" s="16" t="str">
        <f>Tourist_Survey_Data!O64</f>
        <v>Winter (Oct-Mar)</v>
      </c>
      <c r="E64" s="17">
        <f>Tourist_Survey_Data!J64*INDEX(Assumptions!$B$8:$B$14,MATCH(Tourist_Survey_Data!I64,Assumptions!$A$8:$A$14,0))/1000*Assumptions!$B$4</f>
        <v>5.3679978000000003E-2</v>
      </c>
      <c r="F64" s="17">
        <f>Tourist_Survey_Data!L64*INDEX(Assumptions!$B$18:$B$22,MATCH(Tourist_Survey_Data!K64,Assumptions!$A$18:$A$22,0))</f>
        <v>1.6000000000000001E-3</v>
      </c>
      <c r="G64" s="17">
        <f>Tourist_Survey_Data!H64*INDEX(Assumptions!$B$26:$B$28,MATCH(Tourist_Survey_Data!M64,Assumptions!$A$26:$A$28,0))</f>
        <v>8.3999999999999995E-3</v>
      </c>
      <c r="H64" s="17">
        <f>Tourist_Survey_Data!H64*Tourist_Survey_Data!N64*Assumptions!$B$31</f>
        <v>3.7199999999999999E-4</v>
      </c>
      <c r="I64" s="17">
        <f>Tourist_Survey_Data!H64*INDEX(Assumptions!$B$35:$B$37,MATCH(INDEX(GIS_Site_Data!$E$3:$E$12,MATCH(Tourist_Survey_Data!B64,GIS_Site_Data!$B$3:$B$12,0)),Assumptions!$A$35:$A$37,0))</f>
        <v>6.0000000000000006E-4</v>
      </c>
      <c r="J64" s="17">
        <f t="shared" si="1"/>
        <v>6.4651977999999999E-2</v>
      </c>
      <c r="K64" s="17">
        <f>IFERROR(J64/Tourist_Survey_Data!H64,0)</f>
        <v>2.1550659333333333E-2</v>
      </c>
    </row>
    <row r="65" spans="1:11" x14ac:dyDescent="0.25">
      <c r="A65" s="16" t="str">
        <f>Tourist_Survey_Data!A65</f>
        <v>R063</v>
      </c>
      <c r="B65" s="16" t="str">
        <f>Tourist_Survey_Data!C65</f>
        <v>Domestic</v>
      </c>
      <c r="C65" s="16" t="str">
        <f>Tourist_Survey_Data!B65</f>
        <v>Kalash</v>
      </c>
      <c r="D65" s="16" t="str">
        <f>Tourist_Survey_Data!O65</f>
        <v>Winter (Oct-Mar)</v>
      </c>
      <c r="E65" s="17">
        <f>Tourist_Survey_Data!J65*INDEX(Assumptions!$B$8:$B$14,MATCH(Tourist_Survey_Data!I65,Assumptions!$A$8:$A$14,0))/1000*Assumptions!$B$4</f>
        <v>3.2472272999999996E-2</v>
      </c>
      <c r="F65" s="17">
        <f>Tourist_Survey_Data!L65*INDEX(Assumptions!$B$18:$B$22,MATCH(Tourist_Survey_Data!K65,Assumptions!$A$18:$A$22,0))</f>
        <v>1.6000000000000001E-3</v>
      </c>
      <c r="G65" s="17">
        <f>Tourist_Survey_Data!H65*INDEX(Assumptions!$B$26:$B$28,MATCH(Tourist_Survey_Data!M65,Assumptions!$A$26:$A$28,0))</f>
        <v>1.2E-2</v>
      </c>
      <c r="H65" s="17">
        <f>Tourist_Survey_Data!H65*Tourist_Survey_Data!N65*Assumptions!$B$31</f>
        <v>2.2199999999999998E-4</v>
      </c>
      <c r="I65" s="17">
        <f>Tourist_Survey_Data!H65*INDEX(Assumptions!$B$35:$B$37,MATCH(INDEX(GIS_Site_Data!$E$3:$E$12,MATCH(Tourist_Survey_Data!B65,GIS_Site_Data!$B$3:$B$12,0)),Assumptions!$A$35:$A$37,0))</f>
        <v>1.8E-3</v>
      </c>
      <c r="J65" s="17">
        <f t="shared" si="1"/>
        <v>4.8094273E-2</v>
      </c>
      <c r="K65" s="17">
        <f>IFERROR(J65/Tourist_Survey_Data!H65,0)</f>
        <v>1.6031424333333332E-2</v>
      </c>
    </row>
    <row r="66" spans="1:11" x14ac:dyDescent="0.25">
      <c r="A66" s="16" t="str">
        <f>Tourist_Survey_Data!A66</f>
        <v>R064</v>
      </c>
      <c r="B66" s="16" t="str">
        <f>Tourist_Survey_Data!C66</f>
        <v>Domestic</v>
      </c>
      <c r="C66" s="16" t="str">
        <f>Tourist_Survey_Data!B66</f>
        <v>Sajnekhali</v>
      </c>
      <c r="D66" s="16" t="str">
        <f>Tourist_Survey_Data!O66</f>
        <v>Winter (Oct-Mar)</v>
      </c>
      <c r="E66" s="17">
        <f>Tourist_Survey_Data!J66*INDEX(Assumptions!$B$8:$B$14,MATCH(Tourist_Survey_Data!I66,Assumptions!$A$8:$A$14,0))/1000*Assumptions!$B$4</f>
        <v>3.7617150000000002E-2</v>
      </c>
      <c r="F66" s="17">
        <f>Tourist_Survey_Data!L66*INDEX(Assumptions!$B$18:$B$22,MATCH(Tourist_Survey_Data!K66,Assumptions!$A$18:$A$22,0))</f>
        <v>1.8E-3</v>
      </c>
      <c r="G66" s="17">
        <f>Tourist_Survey_Data!H66*INDEX(Assumptions!$B$26:$B$28,MATCH(Tourist_Survey_Data!M66,Assumptions!$A$26:$A$28,0))</f>
        <v>7.1999999999999998E-3</v>
      </c>
      <c r="H66" s="17">
        <f>Tourist_Survey_Data!H66*Tourist_Survey_Data!N66*Assumptions!$B$31</f>
        <v>1.7600000000000002E-4</v>
      </c>
      <c r="I66" s="17">
        <f>Tourist_Survey_Data!H66*INDEX(Assumptions!$B$35:$B$37,MATCH(INDEX(GIS_Site_Data!$E$3:$E$12,MATCH(Tourist_Survey_Data!B66,GIS_Site_Data!$B$3:$B$12,0)),Assumptions!$A$35:$A$37,0))</f>
        <v>2.3999999999999998E-3</v>
      </c>
      <c r="J66" s="17">
        <f t="shared" si="1"/>
        <v>4.9193150000000005E-2</v>
      </c>
      <c r="K66" s="17">
        <f>IFERROR(J66/Tourist_Survey_Data!H66,0)</f>
        <v>1.2298287500000001E-2</v>
      </c>
    </row>
    <row r="67" spans="1:11" x14ac:dyDescent="0.25">
      <c r="A67" s="16" t="str">
        <f>Tourist_Survey_Data!A67</f>
        <v>R065</v>
      </c>
      <c r="B67" s="16" t="str">
        <f>Tourist_Survey_Data!C67</f>
        <v>Domestic</v>
      </c>
      <c r="C67" s="16" t="str">
        <f>Tourist_Survey_Data!B67</f>
        <v>Kalash</v>
      </c>
      <c r="D67" s="16" t="str">
        <f>Tourist_Survey_Data!O67</f>
        <v>Winter (Oct-Mar)</v>
      </c>
      <c r="E67" s="17">
        <f>Tourist_Survey_Data!J67*INDEX(Assumptions!$B$8:$B$14,MATCH(Tourist_Survey_Data!I67,Assumptions!$A$8:$A$14,0))/1000*Assumptions!$B$4</f>
        <v>3.6783239999999995E-2</v>
      </c>
      <c r="F67" s="17">
        <f>Tourist_Survey_Data!L67*INDEX(Assumptions!$B$18:$B$22,MATCH(Tourist_Survey_Data!K67,Assumptions!$A$18:$A$22,0))</f>
        <v>0</v>
      </c>
      <c r="G67" s="17">
        <f>Tourist_Survey_Data!H67*INDEX(Assumptions!$B$26:$B$28,MATCH(Tourist_Survey_Data!M67,Assumptions!$A$26:$A$28,0))</f>
        <v>1.8E-3</v>
      </c>
      <c r="H67" s="17">
        <f>Tourist_Survey_Data!H67*Tourist_Survey_Data!N67*Assumptions!$B$31</f>
        <v>1.2300000000000001E-4</v>
      </c>
      <c r="I67" s="17">
        <f>Tourist_Survey_Data!H67*INDEX(Assumptions!$B$35:$B$37,MATCH(INDEX(GIS_Site_Data!$E$3:$E$12,MATCH(Tourist_Survey_Data!B67,GIS_Site_Data!$B$3:$B$12,0)),Assumptions!$A$35:$A$37,0))</f>
        <v>5.9999999999999995E-4</v>
      </c>
      <c r="J67" s="17">
        <f t="shared" ref="J67:J98" si="2">SUM(E67:I67)</f>
        <v>3.9306239999999999E-2</v>
      </c>
      <c r="K67" s="17">
        <f>IFERROR(J67/Tourist_Survey_Data!H67,0)</f>
        <v>3.9306239999999999E-2</v>
      </c>
    </row>
    <row r="68" spans="1:11" x14ac:dyDescent="0.25">
      <c r="A68" s="16" t="str">
        <f>Tourist_Survey_Data!A68</f>
        <v>R066</v>
      </c>
      <c r="B68" s="16" t="str">
        <f>Tourist_Survey_Data!C68</f>
        <v>Domestic</v>
      </c>
      <c r="C68" s="16" t="str">
        <f>Tourist_Survey_Data!B68</f>
        <v>Sudhanyakhali</v>
      </c>
      <c r="D68" s="16" t="str">
        <f>Tourist_Survey_Data!O68</f>
        <v>Winter (Oct-Mar)</v>
      </c>
      <c r="E68" s="17">
        <f>Tourist_Survey_Data!J68*INDEX(Assumptions!$B$8:$B$14,MATCH(Tourist_Survey_Data!I68,Assumptions!$A$8:$A$14,0))/1000*Assumptions!$B$4</f>
        <v>6.817199999999999E-3</v>
      </c>
      <c r="F68" s="17">
        <f>Tourist_Survey_Data!L68*INDEX(Assumptions!$B$18:$B$22,MATCH(Tourist_Survey_Data!K68,Assumptions!$A$18:$A$22,0))</f>
        <v>2.4000000000000002E-3</v>
      </c>
      <c r="G68" s="17">
        <f>Tourist_Survey_Data!H68*INDEX(Assumptions!$B$26:$B$28,MATCH(Tourist_Survey_Data!M68,Assumptions!$A$26:$A$28,0))</f>
        <v>1.12E-2</v>
      </c>
      <c r="H68" s="17">
        <f>Tourist_Survey_Data!H68*Tourist_Survey_Data!N68*Assumptions!$B$31</f>
        <v>3.2000000000000003E-4</v>
      </c>
      <c r="I68" s="17">
        <f>Tourist_Survey_Data!H68*INDEX(Assumptions!$B$35:$B$37,MATCH(INDEX(GIS_Site_Data!$E$3:$E$12,MATCH(Tourist_Survey_Data!B68,GIS_Site_Data!$B$3:$B$12,0)),Assumptions!$A$35:$A$37,0))</f>
        <v>4.7999999999999996E-3</v>
      </c>
      <c r="J68" s="17">
        <f t="shared" si="2"/>
        <v>2.5537199999999996E-2</v>
      </c>
      <c r="K68" s="17">
        <f>IFERROR(J68/Tourist_Survey_Data!H68,0)</f>
        <v>6.384299999999999E-3</v>
      </c>
    </row>
    <row r="69" spans="1:11" x14ac:dyDescent="0.25">
      <c r="A69" s="16" t="str">
        <f>Tourist_Survey_Data!A69</f>
        <v>R067</v>
      </c>
      <c r="B69" s="16" t="str">
        <f>Tourist_Survey_Data!C69</f>
        <v>International</v>
      </c>
      <c r="C69" s="16" t="str">
        <f>Tourist_Survey_Data!B69</f>
        <v>Sonakhali (Gateway)</v>
      </c>
      <c r="D69" s="16" t="str">
        <f>Tourist_Survey_Data!O69</f>
        <v>Winter (Oct-Mar)</v>
      </c>
      <c r="E69" s="17">
        <f>Tourist_Survey_Data!J69*INDEX(Assumptions!$B$8:$B$14,MATCH(Tourist_Survey_Data!I69,Assumptions!$A$8:$A$14,0))/1000*Assumptions!$B$4</f>
        <v>0.130739665</v>
      </c>
      <c r="F69" s="17">
        <f>Tourist_Survey_Data!L69*INDEX(Assumptions!$B$18:$B$22,MATCH(Tourist_Survey_Data!K69,Assumptions!$A$18:$A$22,0))</f>
        <v>1.3499999999999998E-2</v>
      </c>
      <c r="G69" s="17">
        <f>Tourist_Survey_Data!H69*INDEX(Assumptions!$B$26:$B$28,MATCH(Tourist_Survey_Data!M69,Assumptions!$A$26:$A$28,0))</f>
        <v>1.12E-2</v>
      </c>
      <c r="H69" s="17">
        <f>Tourist_Survey_Data!H69*Tourist_Survey_Data!N69*Assumptions!$B$31</f>
        <v>4.8000000000000001E-4</v>
      </c>
      <c r="I69" s="17">
        <f>Tourist_Survey_Data!H69*INDEX(Assumptions!$B$35:$B$37,MATCH(INDEX(GIS_Site_Data!$E$3:$E$12,MATCH(Tourist_Survey_Data!B69,GIS_Site_Data!$B$3:$B$12,0)),Assumptions!$A$35:$A$37,0))</f>
        <v>8.0000000000000004E-4</v>
      </c>
      <c r="J69" s="17">
        <f t="shared" si="2"/>
        <v>0.15671966500000001</v>
      </c>
      <c r="K69" s="17">
        <f>IFERROR(J69/Tourist_Survey_Data!H69,0)</f>
        <v>3.9179916250000002E-2</v>
      </c>
    </row>
    <row r="70" spans="1:11" x14ac:dyDescent="0.25">
      <c r="A70" s="16" t="str">
        <f>Tourist_Survey_Data!A70</f>
        <v>R068</v>
      </c>
      <c r="B70" s="16" t="str">
        <f>Tourist_Survey_Data!C70</f>
        <v>Domestic</v>
      </c>
      <c r="C70" s="16" t="str">
        <f>Tourist_Survey_Data!B70</f>
        <v>Gosaba</v>
      </c>
      <c r="D70" s="16" t="str">
        <f>Tourist_Survey_Data!O70</f>
        <v>Winter (Oct-Mar)</v>
      </c>
      <c r="E70" s="17">
        <f>Tourist_Survey_Data!J70*INDEX(Assumptions!$B$8:$B$14,MATCH(Tourist_Survey_Data!I70,Assumptions!$A$8:$A$14,0))/1000*Assumptions!$B$4</f>
        <v>2.8576209000000002E-2</v>
      </c>
      <c r="F70" s="17">
        <f>Tourist_Survey_Data!L70*INDEX(Assumptions!$B$18:$B$22,MATCH(Tourist_Survey_Data!K70,Assumptions!$A$18:$A$22,0))</f>
        <v>3.5999999999999999E-3</v>
      </c>
      <c r="G70" s="17">
        <f>Tourist_Survey_Data!H70*INDEX(Assumptions!$B$26:$B$28,MATCH(Tourist_Survey_Data!M70,Assumptions!$A$26:$A$28,0))</f>
        <v>8.3999999999999995E-3</v>
      </c>
      <c r="H70" s="17">
        <f>Tourist_Survey_Data!H70*Tourist_Survey_Data!N70*Assumptions!$B$31</f>
        <v>2.4000000000000006E-4</v>
      </c>
      <c r="I70" s="17">
        <f>Tourist_Survey_Data!H70*INDEX(Assumptions!$B$35:$B$37,MATCH(INDEX(GIS_Site_Data!$E$3:$E$12,MATCH(Tourist_Survey_Data!B70,GIS_Site_Data!$B$3:$B$12,0)),Assumptions!$A$35:$A$37,0))</f>
        <v>6.0000000000000006E-4</v>
      </c>
      <c r="J70" s="17">
        <f t="shared" si="2"/>
        <v>4.1416209000000002E-2</v>
      </c>
      <c r="K70" s="17">
        <f>IFERROR(J70/Tourist_Survey_Data!H70,0)</f>
        <v>1.3805403000000001E-2</v>
      </c>
    </row>
    <row r="71" spans="1:11" x14ac:dyDescent="0.25">
      <c r="A71" s="16" t="str">
        <f>Tourist_Survey_Data!A71</f>
        <v>R069</v>
      </c>
      <c r="B71" s="16" t="str">
        <f>Tourist_Survey_Data!C71</f>
        <v>International</v>
      </c>
      <c r="C71" s="16" t="str">
        <f>Tourist_Survey_Data!B71</f>
        <v>Sonakhali (Gateway)</v>
      </c>
      <c r="D71" s="16" t="str">
        <f>Tourist_Survey_Data!O71</f>
        <v>Winter (Oct-Mar)</v>
      </c>
      <c r="E71" s="17">
        <f>Tourist_Survey_Data!J71*INDEX(Assumptions!$B$8:$B$14,MATCH(Tourist_Survey_Data!I71,Assumptions!$A$8:$A$14,0))/1000*Assumptions!$B$4</f>
        <v>0.11598569000000002</v>
      </c>
      <c r="F71" s="17">
        <f>Tourist_Survey_Data!L71*INDEX(Assumptions!$B$18:$B$22,MATCH(Tourist_Survey_Data!K71,Assumptions!$A$18:$A$22,0))</f>
        <v>0</v>
      </c>
      <c r="G71" s="17">
        <f>Tourist_Survey_Data!H71*INDEX(Assumptions!$B$26:$B$28,MATCH(Tourist_Survey_Data!M71,Assumptions!$A$26:$A$28,0))</f>
        <v>2.8E-3</v>
      </c>
      <c r="H71" s="17">
        <f>Tourist_Survey_Data!H71*Tourist_Survey_Data!N71*Assumptions!$B$31</f>
        <v>1.1900000000000001E-4</v>
      </c>
      <c r="I71" s="17">
        <f>Tourist_Survey_Data!H71*INDEX(Assumptions!$B$35:$B$37,MATCH(INDEX(GIS_Site_Data!$E$3:$E$12,MATCH(Tourist_Survey_Data!B71,GIS_Site_Data!$B$3:$B$12,0)),Assumptions!$A$35:$A$37,0))</f>
        <v>2.0000000000000001E-4</v>
      </c>
      <c r="J71" s="17">
        <f t="shared" si="2"/>
        <v>0.11910469000000001</v>
      </c>
      <c r="K71" s="17">
        <f>IFERROR(J71/Tourist_Survey_Data!H71,0)</f>
        <v>0.11910469000000001</v>
      </c>
    </row>
    <row r="72" spans="1:11" x14ac:dyDescent="0.25">
      <c r="A72" s="16" t="str">
        <f>Tourist_Survey_Data!A72</f>
        <v>R070</v>
      </c>
      <c r="B72" s="16" t="str">
        <f>Tourist_Survey_Data!C72</f>
        <v>Domestic</v>
      </c>
      <c r="C72" s="16" t="str">
        <f>Tourist_Survey_Data!B72</f>
        <v>Dobanki</v>
      </c>
      <c r="D72" s="16" t="str">
        <f>Tourist_Survey_Data!O72</f>
        <v>Winter (Oct-Mar)</v>
      </c>
      <c r="E72" s="17">
        <f>Tourist_Survey_Data!J72*INDEX(Assumptions!$B$8:$B$14,MATCH(Tourist_Survey_Data!I72,Assumptions!$A$8:$A$14,0))/1000*Assumptions!$B$4</f>
        <v>5.82768E-3</v>
      </c>
      <c r="F72" s="17">
        <f>Tourist_Survey_Data!L72*INDEX(Assumptions!$B$18:$B$22,MATCH(Tourist_Survey_Data!K72,Assumptions!$A$18:$A$22,0))</f>
        <v>5.4000000000000003E-3</v>
      </c>
      <c r="G72" s="17">
        <f>Tourist_Survey_Data!H72*INDEX(Assumptions!$B$26:$B$28,MATCH(Tourist_Survey_Data!M72,Assumptions!$A$26:$A$28,0))</f>
        <v>1.12E-2</v>
      </c>
      <c r="H72" s="17">
        <f>Tourist_Survey_Data!H72*Tourist_Survey_Data!N72*Assumptions!$B$31</f>
        <v>4.3600000000000003E-4</v>
      </c>
      <c r="I72" s="17">
        <f>Tourist_Survey_Data!H72*INDEX(Assumptions!$B$35:$B$37,MATCH(INDEX(GIS_Site_Data!$E$3:$E$12,MATCH(Tourist_Survey_Data!B72,GIS_Site_Data!$B$3:$B$12,0)),Assumptions!$A$35:$A$37,0))</f>
        <v>4.7999999999999996E-3</v>
      </c>
      <c r="J72" s="17">
        <f t="shared" si="2"/>
        <v>2.7663679999999996E-2</v>
      </c>
      <c r="K72" s="17">
        <f>IFERROR(J72/Tourist_Survey_Data!H72,0)</f>
        <v>6.915919999999999E-3</v>
      </c>
    </row>
    <row r="73" spans="1:11" x14ac:dyDescent="0.25">
      <c r="A73" s="16" t="str">
        <f>Tourist_Survey_Data!A73</f>
        <v>R071</v>
      </c>
      <c r="B73" s="16" t="str">
        <f>Tourist_Survey_Data!C73</f>
        <v>Domestic</v>
      </c>
      <c r="C73" s="16" t="str">
        <f>Tourist_Survey_Data!B73</f>
        <v>Dobanki</v>
      </c>
      <c r="D73" s="16" t="str">
        <f>Tourist_Survey_Data!O73</f>
        <v>Monsoon (Jun-Sep)</v>
      </c>
      <c r="E73" s="17">
        <f>Tourist_Survey_Data!J73*INDEX(Assumptions!$B$8:$B$14,MATCH(Tourist_Survey_Data!I73,Assumptions!$A$8:$A$14,0))/1000*Assumptions!$B$4</f>
        <v>3.1278750000000001E-2</v>
      </c>
      <c r="F73" s="17">
        <f>Tourist_Survey_Data!L73*INDEX(Assumptions!$B$18:$B$22,MATCH(Tourist_Survey_Data!K73,Assumptions!$A$18:$A$22,0))</f>
        <v>3.5999999999999999E-3</v>
      </c>
      <c r="G73" s="17">
        <f>Tourist_Survey_Data!H73*INDEX(Assumptions!$B$26:$B$28,MATCH(Tourist_Survey_Data!M73,Assumptions!$A$26:$A$28,0))</f>
        <v>8.3999999999999995E-3</v>
      </c>
      <c r="H73" s="17">
        <f>Tourist_Survey_Data!H73*Tourist_Survey_Data!N73*Assumptions!$B$31</f>
        <v>4.0500000000000009E-4</v>
      </c>
      <c r="I73" s="17">
        <f>Tourist_Survey_Data!H73*INDEX(Assumptions!$B$35:$B$37,MATCH(INDEX(GIS_Site_Data!$E$3:$E$12,MATCH(Tourist_Survey_Data!B73,GIS_Site_Data!$B$3:$B$12,0)),Assumptions!$A$35:$A$37,0))</f>
        <v>3.5999999999999999E-3</v>
      </c>
      <c r="J73" s="17">
        <f t="shared" si="2"/>
        <v>4.7283749999999999E-2</v>
      </c>
      <c r="K73" s="17">
        <f>IFERROR(J73/Tourist_Survey_Data!H73,0)</f>
        <v>1.5761250000000001E-2</v>
      </c>
    </row>
    <row r="74" spans="1:11" x14ac:dyDescent="0.25">
      <c r="A74" s="16" t="str">
        <f>Tourist_Survey_Data!A74</f>
        <v>R072</v>
      </c>
      <c r="B74" s="16" t="str">
        <f>Tourist_Survey_Data!C74</f>
        <v>International</v>
      </c>
      <c r="C74" s="16" t="str">
        <f>Tourist_Survey_Data!B74</f>
        <v>Kalash</v>
      </c>
      <c r="D74" s="16" t="str">
        <f>Tourist_Survey_Data!O74</f>
        <v>Summer (Apr-May)</v>
      </c>
      <c r="E74" s="17">
        <f>Tourist_Survey_Data!J74*INDEX(Assumptions!$B$8:$B$14,MATCH(Tourist_Survey_Data!I74,Assumptions!$A$8:$A$14,0))/1000*Assumptions!$B$4</f>
        <v>7.4062285000000005E-2</v>
      </c>
      <c r="F74" s="17">
        <f>Tourist_Survey_Data!L74*INDEX(Assumptions!$B$18:$B$22,MATCH(Tourist_Survey_Data!K74,Assumptions!$A$18:$A$22,0))</f>
        <v>5.9999999999999995E-4</v>
      </c>
      <c r="G74" s="17">
        <f>Tourist_Survey_Data!H74*INDEX(Assumptions!$B$26:$B$28,MATCH(Tourist_Survey_Data!M74,Assumptions!$A$26:$A$28,0))</f>
        <v>8.0000000000000002E-3</v>
      </c>
      <c r="H74" s="17">
        <f>Tourist_Survey_Data!H74*Tourist_Survey_Data!N74*Assumptions!$B$31</f>
        <v>2.2799999999999999E-4</v>
      </c>
      <c r="I74" s="17">
        <f>Tourist_Survey_Data!H74*INDEX(Assumptions!$B$35:$B$37,MATCH(INDEX(GIS_Site_Data!$E$3:$E$12,MATCH(Tourist_Survey_Data!B74,GIS_Site_Data!$B$3:$B$12,0)),Assumptions!$A$35:$A$37,0))</f>
        <v>1.1999999999999999E-3</v>
      </c>
      <c r="J74" s="17">
        <f t="shared" si="2"/>
        <v>8.4090285000000015E-2</v>
      </c>
      <c r="K74" s="17">
        <f>IFERROR(J74/Tourist_Survey_Data!H74,0)</f>
        <v>4.2045142500000007E-2</v>
      </c>
    </row>
    <row r="75" spans="1:11" x14ac:dyDescent="0.25">
      <c r="A75" s="16" t="str">
        <f>Tourist_Survey_Data!A75</f>
        <v>R073</v>
      </c>
      <c r="B75" s="16" t="str">
        <f>Tourist_Survey_Data!C75</f>
        <v>Domestic</v>
      </c>
      <c r="C75" s="16" t="str">
        <f>Tourist_Survey_Data!B75</f>
        <v>Sudhanyakhali</v>
      </c>
      <c r="D75" s="16" t="str">
        <f>Tourist_Survey_Data!O75</f>
        <v>Monsoon (Jun-Sep)</v>
      </c>
      <c r="E75" s="17">
        <f>Tourist_Survey_Data!J75*INDEX(Assumptions!$B$8:$B$14,MATCH(Tourist_Survey_Data!I75,Assumptions!$A$8:$A$14,0))/1000*Assumptions!$B$4</f>
        <v>3.4751740999999996E-2</v>
      </c>
      <c r="F75" s="17">
        <f>Tourist_Survey_Data!L75*INDEX(Assumptions!$B$18:$B$22,MATCH(Tourist_Survey_Data!K75,Assumptions!$A$18:$A$22,0))</f>
        <v>1.6000000000000001E-3</v>
      </c>
      <c r="G75" s="17">
        <f>Tourist_Survey_Data!H75*INDEX(Assumptions!$B$26:$B$28,MATCH(Tourist_Survey_Data!M75,Assumptions!$A$26:$A$28,0))</f>
        <v>5.4000000000000003E-3</v>
      </c>
      <c r="H75" s="17">
        <f>Tourist_Survey_Data!H75*Tourist_Survey_Data!N75*Assumptions!$B$31</f>
        <v>2.6400000000000002E-4</v>
      </c>
      <c r="I75" s="17">
        <f>Tourist_Survey_Data!H75*INDEX(Assumptions!$B$35:$B$37,MATCH(INDEX(GIS_Site_Data!$E$3:$E$12,MATCH(Tourist_Survey_Data!B75,GIS_Site_Data!$B$3:$B$12,0)),Assumptions!$A$35:$A$37,0))</f>
        <v>3.5999999999999999E-3</v>
      </c>
      <c r="J75" s="17">
        <f t="shared" si="2"/>
        <v>4.5615740999999994E-2</v>
      </c>
      <c r="K75" s="17">
        <f>IFERROR(J75/Tourist_Survey_Data!H75,0)</f>
        <v>1.5205246999999998E-2</v>
      </c>
    </row>
    <row r="76" spans="1:11" x14ac:dyDescent="0.25">
      <c r="A76" s="16" t="str">
        <f>Tourist_Survey_Data!A76</f>
        <v>R074</v>
      </c>
      <c r="B76" s="16" t="str">
        <f>Tourist_Survey_Data!C76</f>
        <v>Domestic</v>
      </c>
      <c r="C76" s="16" t="str">
        <f>Tourist_Survey_Data!B76</f>
        <v>Dobanki</v>
      </c>
      <c r="D76" s="16" t="str">
        <f>Tourist_Survey_Data!O76</f>
        <v>Winter (Oct-Mar)</v>
      </c>
      <c r="E76" s="17">
        <f>Tourist_Survey_Data!J76*INDEX(Assumptions!$B$8:$B$14,MATCH(Tourist_Survey_Data!I76,Assumptions!$A$8:$A$14,0))/1000*Assumptions!$B$4</f>
        <v>1.7862470000000004E-3</v>
      </c>
      <c r="F76" s="17">
        <f>Tourist_Survey_Data!L76*INDEX(Assumptions!$B$18:$B$22,MATCH(Tourist_Survey_Data!K76,Assumptions!$A$18:$A$22,0))</f>
        <v>8.0000000000000004E-4</v>
      </c>
      <c r="G76" s="17">
        <f>Tourist_Survey_Data!H76*INDEX(Assumptions!$B$26:$B$28,MATCH(Tourist_Survey_Data!M76,Assumptions!$A$26:$A$28,0))</f>
        <v>3.5999999999999999E-3</v>
      </c>
      <c r="H76" s="17">
        <f>Tourist_Survey_Data!H76*Tourist_Survey_Data!N76*Assumptions!$B$31</f>
        <v>1.16E-4</v>
      </c>
      <c r="I76" s="17">
        <f>Tourist_Survey_Data!H76*INDEX(Assumptions!$B$35:$B$37,MATCH(INDEX(GIS_Site_Data!$E$3:$E$12,MATCH(Tourist_Survey_Data!B76,GIS_Site_Data!$B$3:$B$12,0)),Assumptions!$A$35:$A$37,0))</f>
        <v>2.3999999999999998E-3</v>
      </c>
      <c r="J76" s="17">
        <f t="shared" si="2"/>
        <v>8.7022469999999998E-3</v>
      </c>
      <c r="K76" s="17">
        <f>IFERROR(J76/Tourist_Survey_Data!H76,0)</f>
        <v>4.3511234999999999E-3</v>
      </c>
    </row>
    <row r="77" spans="1:11" x14ac:dyDescent="0.25">
      <c r="A77" s="16" t="str">
        <f>Tourist_Survey_Data!A77</f>
        <v>R075</v>
      </c>
      <c r="B77" s="16" t="str">
        <f>Tourist_Survey_Data!C77</f>
        <v>International</v>
      </c>
      <c r="C77" s="16" t="str">
        <f>Tourist_Survey_Data!B77</f>
        <v>Kalash</v>
      </c>
      <c r="D77" s="16" t="str">
        <f>Tourist_Survey_Data!O77</f>
        <v>Winter (Oct-Mar)</v>
      </c>
      <c r="E77" s="17">
        <f>Tourist_Survey_Data!J77*INDEX(Assumptions!$B$8:$B$14,MATCH(Tourist_Survey_Data!I77,Assumptions!$A$8:$A$14,0))/1000*Assumptions!$B$4</f>
        <v>7.0359850000000002E-2</v>
      </c>
      <c r="F77" s="17">
        <f>Tourist_Survey_Data!L77*INDEX(Assumptions!$B$18:$B$22,MATCH(Tourist_Survey_Data!K77,Assumptions!$A$18:$A$22,0))</f>
        <v>8.9999999999999993E-3</v>
      </c>
      <c r="G77" s="17">
        <f>Tourist_Survey_Data!H77*INDEX(Assumptions!$B$26:$B$28,MATCH(Tourist_Survey_Data!M77,Assumptions!$A$26:$A$28,0))</f>
        <v>8.3999999999999995E-3</v>
      </c>
      <c r="H77" s="17">
        <f>Tourist_Survey_Data!H77*Tourist_Survey_Data!N77*Assumptions!$B$31</f>
        <v>2.4000000000000006E-4</v>
      </c>
      <c r="I77" s="17">
        <f>Tourist_Survey_Data!H77*INDEX(Assumptions!$B$35:$B$37,MATCH(INDEX(GIS_Site_Data!$E$3:$E$12,MATCH(Tourist_Survey_Data!B77,GIS_Site_Data!$B$3:$B$12,0)),Assumptions!$A$35:$A$37,0))</f>
        <v>1.8E-3</v>
      </c>
      <c r="J77" s="17">
        <f t="shared" si="2"/>
        <v>8.9799850000000001E-2</v>
      </c>
      <c r="K77" s="17">
        <f>IFERROR(J77/Tourist_Survey_Data!H77,0)</f>
        <v>2.9933283333333335E-2</v>
      </c>
    </row>
    <row r="78" spans="1:11" x14ac:dyDescent="0.25">
      <c r="A78" s="16" t="str">
        <f>Tourist_Survey_Data!A78</f>
        <v>R076</v>
      </c>
      <c r="B78" s="16" t="str">
        <f>Tourist_Survey_Data!C78</f>
        <v>International</v>
      </c>
      <c r="C78" s="16" t="str">
        <f>Tourist_Survey_Data!B78</f>
        <v>Bhagabatpur (Crocodile Project)</v>
      </c>
      <c r="D78" s="16" t="str">
        <f>Tourist_Survey_Data!O78</f>
        <v>Monsoon (Jun-Sep)</v>
      </c>
      <c r="E78" s="17">
        <f>Tourist_Survey_Data!J78*INDEX(Assumptions!$B$8:$B$14,MATCH(Tourist_Survey_Data!I78,Assumptions!$A$8:$A$14,0))/1000*Assumptions!$B$4</f>
        <v>0.1773612</v>
      </c>
      <c r="F78" s="17">
        <f>Tourist_Survey_Data!L78*INDEX(Assumptions!$B$18:$B$22,MATCH(Tourist_Survey_Data!K78,Assumptions!$A$18:$A$22,0))</f>
        <v>8.9999999999999993E-3</v>
      </c>
      <c r="G78" s="17">
        <f>Tourist_Survey_Data!H78*INDEX(Assumptions!$B$26:$B$28,MATCH(Tourist_Survey_Data!M78,Assumptions!$A$26:$A$28,0))</f>
        <v>8.3999999999999995E-3</v>
      </c>
      <c r="H78" s="17">
        <f>Tourist_Survey_Data!H78*Tourist_Survey_Data!N78*Assumptions!$B$31</f>
        <v>1.7999999999999998E-4</v>
      </c>
      <c r="I78" s="17">
        <f>Tourist_Survey_Data!H78*INDEX(Assumptions!$B$35:$B$37,MATCH(INDEX(GIS_Site_Data!$E$3:$E$12,MATCH(Tourist_Survey_Data!B78,GIS_Site_Data!$B$3:$B$12,0)),Assumptions!$A$35:$A$37,0))</f>
        <v>1.8E-3</v>
      </c>
      <c r="J78" s="17">
        <f t="shared" si="2"/>
        <v>0.1967412</v>
      </c>
      <c r="K78" s="17">
        <f>IFERROR(J78/Tourist_Survey_Data!H78,0)</f>
        <v>6.5580399999999997E-2</v>
      </c>
    </row>
    <row r="79" spans="1:11" x14ac:dyDescent="0.25">
      <c r="A79" s="16" t="str">
        <f>Tourist_Survey_Data!A79</f>
        <v>R077</v>
      </c>
      <c r="B79" s="16" t="str">
        <f>Tourist_Survey_Data!C79</f>
        <v>International</v>
      </c>
      <c r="C79" s="16" t="str">
        <f>Tourist_Survey_Data!B79</f>
        <v>Sajnekhali</v>
      </c>
      <c r="D79" s="16" t="str">
        <f>Tourist_Survey_Data!O79</f>
        <v>Summer (Apr-May)</v>
      </c>
      <c r="E79" s="17">
        <f>Tourist_Survey_Data!J79*INDEX(Assumptions!$B$8:$B$14,MATCH(Tourist_Survey_Data!I79,Assumptions!$A$8:$A$14,0))/1000*Assumptions!$B$4</f>
        <v>5.0507244E-2</v>
      </c>
      <c r="F79" s="17">
        <f>Tourist_Survey_Data!L79*INDEX(Assumptions!$B$18:$B$22,MATCH(Tourist_Survey_Data!K79,Assumptions!$A$18:$A$22,0))</f>
        <v>3.5999999999999999E-3</v>
      </c>
      <c r="G79" s="17">
        <f>Tourist_Survey_Data!H79*INDEX(Assumptions!$B$26:$B$28,MATCH(Tourist_Survey_Data!M79,Assumptions!$A$26:$A$28,0))</f>
        <v>8.3999999999999995E-3</v>
      </c>
      <c r="H79" s="17">
        <f>Tourist_Survey_Data!H79*Tourist_Survey_Data!N79*Assumptions!$B$31</f>
        <v>3.1500000000000007E-4</v>
      </c>
      <c r="I79" s="17">
        <f>Tourist_Survey_Data!H79*INDEX(Assumptions!$B$35:$B$37,MATCH(INDEX(GIS_Site_Data!$E$3:$E$12,MATCH(Tourist_Survey_Data!B79,GIS_Site_Data!$B$3:$B$12,0)),Assumptions!$A$35:$A$37,0))</f>
        <v>1.8E-3</v>
      </c>
      <c r="J79" s="17">
        <f t="shared" si="2"/>
        <v>6.4622243999999995E-2</v>
      </c>
      <c r="K79" s="17">
        <f>IFERROR(J79/Tourist_Survey_Data!H79,0)</f>
        <v>2.1540747999999998E-2</v>
      </c>
    </row>
    <row r="80" spans="1:11" x14ac:dyDescent="0.25">
      <c r="A80" s="16" t="str">
        <f>Tourist_Survey_Data!A80</f>
        <v>R078</v>
      </c>
      <c r="B80" s="16" t="str">
        <f>Tourist_Survey_Data!C80</f>
        <v>Domestic</v>
      </c>
      <c r="C80" s="16" t="str">
        <f>Tourist_Survey_Data!B80</f>
        <v>Dobanki</v>
      </c>
      <c r="D80" s="16" t="str">
        <f>Tourist_Survey_Data!O80</f>
        <v>Winter (Oct-Mar)</v>
      </c>
      <c r="E80" s="17">
        <f>Tourist_Survey_Data!J80*INDEX(Assumptions!$B$8:$B$14,MATCH(Tourist_Survey_Data!I80,Assumptions!$A$8:$A$14,0))/1000*Assumptions!$B$4</f>
        <v>1.7446275000000001E-2</v>
      </c>
      <c r="F80" s="17">
        <f>Tourist_Survey_Data!L80*INDEX(Assumptions!$B$18:$B$22,MATCH(Tourist_Survey_Data!K80,Assumptions!$A$18:$A$22,0))</f>
        <v>1.1999999999999999E-3</v>
      </c>
      <c r="G80" s="17">
        <f>Tourist_Survey_Data!H80*INDEX(Assumptions!$B$26:$B$28,MATCH(Tourist_Survey_Data!M80,Assumptions!$A$26:$A$28,0))</f>
        <v>1.2E-2</v>
      </c>
      <c r="H80" s="17">
        <f>Tourist_Survey_Data!H80*Tourist_Survey_Data!N80*Assumptions!$B$31</f>
        <v>1.9800000000000002E-4</v>
      </c>
      <c r="I80" s="17">
        <f>Tourist_Survey_Data!H80*INDEX(Assumptions!$B$35:$B$37,MATCH(INDEX(GIS_Site_Data!$E$3:$E$12,MATCH(Tourist_Survey_Data!B80,GIS_Site_Data!$B$3:$B$12,0)),Assumptions!$A$35:$A$37,0))</f>
        <v>3.5999999999999999E-3</v>
      </c>
      <c r="J80" s="17">
        <f t="shared" si="2"/>
        <v>3.4444275000000003E-2</v>
      </c>
      <c r="K80" s="17">
        <f>IFERROR(J80/Tourist_Survey_Data!H80,0)</f>
        <v>1.1481425000000002E-2</v>
      </c>
    </row>
    <row r="81" spans="1:11" x14ac:dyDescent="0.25">
      <c r="A81" s="16" t="str">
        <f>Tourist_Survey_Data!A81</f>
        <v>R079</v>
      </c>
      <c r="B81" s="16" t="str">
        <f>Tourist_Survey_Data!C81</f>
        <v>Domestic</v>
      </c>
      <c r="C81" s="16" t="str">
        <f>Tourist_Survey_Data!B81</f>
        <v>Sonakhali (Gateway)</v>
      </c>
      <c r="D81" s="16" t="str">
        <f>Tourist_Survey_Data!O81</f>
        <v>Winter (Oct-Mar)</v>
      </c>
      <c r="E81" s="17">
        <f>Tourist_Survey_Data!J81*INDEX(Assumptions!$B$8:$B$14,MATCH(Tourist_Survey_Data!I81,Assumptions!$A$8:$A$14,0))/1000*Assumptions!$B$4</f>
        <v>3.6478251999999996E-2</v>
      </c>
      <c r="F81" s="17">
        <f>Tourist_Survey_Data!L81*INDEX(Assumptions!$B$18:$B$22,MATCH(Tourist_Survey_Data!K81,Assumptions!$A$18:$A$22,0))</f>
        <v>3.0000000000000001E-3</v>
      </c>
      <c r="G81" s="17">
        <f>Tourist_Survey_Data!H81*INDEX(Assumptions!$B$26:$B$28,MATCH(Tourist_Survey_Data!M81,Assumptions!$A$26:$A$28,0))</f>
        <v>8.0000000000000002E-3</v>
      </c>
      <c r="H81" s="17">
        <f>Tourist_Survey_Data!H81*Tourist_Survey_Data!N81*Assumptions!$B$31</f>
        <v>2.7200000000000005E-4</v>
      </c>
      <c r="I81" s="17">
        <f>Tourist_Survey_Data!H81*INDEX(Assumptions!$B$35:$B$37,MATCH(INDEX(GIS_Site_Data!$E$3:$E$12,MATCH(Tourist_Survey_Data!B81,GIS_Site_Data!$B$3:$B$12,0)),Assumptions!$A$35:$A$37,0))</f>
        <v>4.0000000000000002E-4</v>
      </c>
      <c r="J81" s="17">
        <f t="shared" si="2"/>
        <v>4.8150251999999998E-2</v>
      </c>
      <c r="K81" s="17">
        <f>IFERROR(J81/Tourist_Survey_Data!H81,0)</f>
        <v>2.4075125999999999E-2</v>
      </c>
    </row>
    <row r="82" spans="1:11" x14ac:dyDescent="0.25">
      <c r="A82" s="16" t="str">
        <f>Tourist_Survey_Data!A82</f>
        <v>R080</v>
      </c>
      <c r="B82" s="16" t="str">
        <f>Tourist_Survey_Data!C82</f>
        <v>Domestic</v>
      </c>
      <c r="C82" s="16" t="str">
        <f>Tourist_Survey_Data!B82</f>
        <v>Pakhiralay</v>
      </c>
      <c r="D82" s="16" t="str">
        <f>Tourist_Survey_Data!O82</f>
        <v>Winter (Oct-Mar)</v>
      </c>
      <c r="E82" s="17">
        <f>Tourist_Survey_Data!J82*INDEX(Assumptions!$B$8:$B$14,MATCH(Tourist_Survey_Data!I82,Assumptions!$A$8:$A$14,0))/1000*Assumptions!$B$4</f>
        <v>2.7801180000000002E-2</v>
      </c>
      <c r="F82" s="17">
        <f>Tourist_Survey_Data!L82*INDEX(Assumptions!$B$18:$B$22,MATCH(Tourist_Survey_Data!K82,Assumptions!$A$18:$A$22,0))</f>
        <v>6.0000000000000001E-3</v>
      </c>
      <c r="G82" s="17">
        <f>Tourist_Survey_Data!H82*INDEX(Assumptions!$B$26:$B$28,MATCH(Tourist_Survey_Data!M82,Assumptions!$A$26:$A$28,0))</f>
        <v>5.4000000000000003E-3</v>
      </c>
      <c r="H82" s="17">
        <f>Tourist_Survey_Data!H82*Tourist_Survey_Data!N82*Assumptions!$B$31</f>
        <v>2.6699999999999998E-4</v>
      </c>
      <c r="I82" s="17">
        <f>Tourist_Survey_Data!H82*INDEX(Assumptions!$B$35:$B$37,MATCH(INDEX(GIS_Site_Data!$E$3:$E$12,MATCH(Tourist_Survey_Data!B82,GIS_Site_Data!$B$3:$B$12,0)),Assumptions!$A$35:$A$37,0))</f>
        <v>1.8E-3</v>
      </c>
      <c r="J82" s="17">
        <f t="shared" si="2"/>
        <v>4.1268180000000008E-2</v>
      </c>
      <c r="K82" s="17">
        <f>IFERROR(J82/Tourist_Survey_Data!H82,0)</f>
        <v>1.3756060000000002E-2</v>
      </c>
    </row>
    <row r="83" spans="1:11" x14ac:dyDescent="0.25">
      <c r="A83" s="16" t="str">
        <f>Tourist_Survey_Data!A83</f>
        <v>R081</v>
      </c>
      <c r="B83" s="16" t="str">
        <f>Tourist_Survey_Data!C83</f>
        <v>Domestic</v>
      </c>
      <c r="C83" s="16" t="str">
        <f>Tourist_Survey_Data!B83</f>
        <v>Gosaba</v>
      </c>
      <c r="D83" s="16" t="str">
        <f>Tourist_Survey_Data!O83</f>
        <v>Winter (Oct-Mar)</v>
      </c>
      <c r="E83" s="17">
        <f>Tourist_Survey_Data!J83*INDEX(Assumptions!$B$8:$B$14,MATCH(Tourist_Survey_Data!I83,Assumptions!$A$8:$A$14,0))/1000*Assumptions!$B$4</f>
        <v>4.8117119999999992E-2</v>
      </c>
      <c r="F83" s="17">
        <f>Tourist_Survey_Data!L83*INDEX(Assumptions!$B$18:$B$22,MATCH(Tourist_Survey_Data!K83,Assumptions!$A$18:$A$22,0))</f>
        <v>0</v>
      </c>
      <c r="G83" s="17">
        <f>Tourist_Survey_Data!H83*INDEX(Assumptions!$B$26:$B$28,MATCH(Tourist_Survey_Data!M83,Assumptions!$A$26:$A$28,0))</f>
        <v>2.8E-3</v>
      </c>
      <c r="H83" s="17">
        <f>Tourist_Survey_Data!H83*Tourist_Survey_Data!N83*Assumptions!$B$31</f>
        <v>1.3100000000000001E-4</v>
      </c>
      <c r="I83" s="17">
        <f>Tourist_Survey_Data!H83*INDEX(Assumptions!$B$35:$B$37,MATCH(INDEX(GIS_Site_Data!$E$3:$E$12,MATCH(Tourist_Survey_Data!B83,GIS_Site_Data!$B$3:$B$12,0)),Assumptions!$A$35:$A$37,0))</f>
        <v>2.0000000000000001E-4</v>
      </c>
      <c r="J83" s="17">
        <f t="shared" si="2"/>
        <v>5.1248119999999987E-2</v>
      </c>
      <c r="K83" s="17">
        <f>IFERROR(J83/Tourist_Survey_Data!H83,0)</f>
        <v>5.1248119999999987E-2</v>
      </c>
    </row>
    <row r="84" spans="1:11" x14ac:dyDescent="0.25">
      <c r="A84" s="16" t="str">
        <f>Tourist_Survey_Data!A84</f>
        <v>R082</v>
      </c>
      <c r="B84" s="16" t="str">
        <f>Tourist_Survey_Data!C84</f>
        <v>Domestic</v>
      </c>
      <c r="C84" s="16" t="str">
        <f>Tourist_Survey_Data!B84</f>
        <v>Sudhanyakhali</v>
      </c>
      <c r="D84" s="16" t="str">
        <f>Tourist_Survey_Data!O84</f>
        <v>Summer (Apr-May)</v>
      </c>
      <c r="E84" s="17">
        <f>Tourist_Survey_Data!J84*INDEX(Assumptions!$B$8:$B$14,MATCH(Tourist_Survey_Data!I84,Assumptions!$A$8:$A$14,0))/1000*Assumptions!$B$4</f>
        <v>5.9904719999999995E-2</v>
      </c>
      <c r="F84" s="17">
        <f>Tourist_Survey_Data!L84*INDEX(Assumptions!$B$18:$B$22,MATCH(Tourist_Survey_Data!K84,Assumptions!$A$18:$A$22,0))</f>
        <v>0</v>
      </c>
      <c r="G84" s="17">
        <f>Tourist_Survey_Data!H84*INDEX(Assumptions!$B$26:$B$28,MATCH(Tourist_Survey_Data!M84,Assumptions!$A$26:$A$28,0))</f>
        <v>2.8E-3</v>
      </c>
      <c r="H84" s="17">
        <f>Tourist_Survey_Data!H84*Tourist_Survey_Data!N84*Assumptions!$B$31</f>
        <v>4.1E-5</v>
      </c>
      <c r="I84" s="17">
        <f>Tourist_Survey_Data!H84*INDEX(Assumptions!$B$35:$B$37,MATCH(INDEX(GIS_Site_Data!$E$3:$E$12,MATCH(Tourist_Survey_Data!B84,GIS_Site_Data!$B$3:$B$12,0)),Assumptions!$A$35:$A$37,0))</f>
        <v>1.1999999999999999E-3</v>
      </c>
      <c r="J84" s="17">
        <f t="shared" si="2"/>
        <v>6.3945719999999998E-2</v>
      </c>
      <c r="K84" s="17">
        <f>IFERROR(J84/Tourist_Survey_Data!H84,0)</f>
        <v>6.3945719999999998E-2</v>
      </c>
    </row>
    <row r="85" spans="1:11" x14ac:dyDescent="0.25">
      <c r="A85" s="16" t="str">
        <f>Tourist_Survey_Data!A85</f>
        <v>R083</v>
      </c>
      <c r="B85" s="16" t="str">
        <f>Tourist_Survey_Data!C85</f>
        <v>Domestic</v>
      </c>
      <c r="C85" s="16" t="str">
        <f>Tourist_Survey_Data!B85</f>
        <v>Dobanki</v>
      </c>
      <c r="D85" s="16" t="str">
        <f>Tourist_Survey_Data!O85</f>
        <v>Summer (Apr-May)</v>
      </c>
      <c r="E85" s="17">
        <f>Tourist_Survey_Data!J85*INDEX(Assumptions!$B$8:$B$14,MATCH(Tourist_Survey_Data!I85,Assumptions!$A$8:$A$14,0))/1000*Assumptions!$B$4</f>
        <v>7.8593310000000006E-3</v>
      </c>
      <c r="F85" s="17">
        <f>Tourist_Survey_Data!L85*INDEX(Assumptions!$B$18:$B$22,MATCH(Tourist_Survey_Data!K85,Assumptions!$A$18:$A$22,0))</f>
        <v>1.8E-3</v>
      </c>
      <c r="G85" s="17">
        <f>Tourist_Survey_Data!H85*INDEX(Assumptions!$B$26:$B$28,MATCH(Tourist_Survey_Data!M85,Assumptions!$A$26:$A$28,0))</f>
        <v>8.0000000000000002E-3</v>
      </c>
      <c r="H85" s="17">
        <f>Tourist_Survey_Data!H85*Tourist_Survey_Data!N85*Assumptions!$B$31</f>
        <v>1.9599999999999999E-4</v>
      </c>
      <c r="I85" s="17">
        <f>Tourist_Survey_Data!H85*INDEX(Assumptions!$B$35:$B$37,MATCH(INDEX(GIS_Site_Data!$E$3:$E$12,MATCH(Tourist_Survey_Data!B85,GIS_Site_Data!$B$3:$B$12,0)),Assumptions!$A$35:$A$37,0))</f>
        <v>2.3999999999999998E-3</v>
      </c>
      <c r="J85" s="17">
        <f t="shared" si="2"/>
        <v>2.0255331000000001E-2</v>
      </c>
      <c r="K85" s="17">
        <f>IFERROR(J85/Tourist_Survey_Data!H85,0)</f>
        <v>1.0127665500000001E-2</v>
      </c>
    </row>
    <row r="86" spans="1:11" x14ac:dyDescent="0.25">
      <c r="A86" s="16" t="str">
        <f>Tourist_Survey_Data!A86</f>
        <v>R084</v>
      </c>
      <c r="B86" s="16" t="str">
        <f>Tourist_Survey_Data!C86</f>
        <v>Domestic</v>
      </c>
      <c r="C86" s="16" t="str">
        <f>Tourist_Survey_Data!B86</f>
        <v>Gosaba</v>
      </c>
      <c r="D86" s="16" t="str">
        <f>Tourist_Survey_Data!O86</f>
        <v>Winter (Oct-Mar)</v>
      </c>
      <c r="E86" s="17">
        <f>Tourist_Survey_Data!J86*INDEX(Assumptions!$B$8:$B$14,MATCH(Tourist_Survey_Data!I86,Assumptions!$A$8:$A$14,0))/1000*Assumptions!$B$4</f>
        <v>3.6685199999999998E-3</v>
      </c>
      <c r="F86" s="17">
        <f>Tourist_Survey_Data!L86*INDEX(Assumptions!$B$18:$B$22,MATCH(Tourist_Survey_Data!K86,Assumptions!$A$18:$A$22,0))</f>
        <v>6.0000000000000001E-3</v>
      </c>
      <c r="G86" s="17">
        <f>Tourist_Survey_Data!H86*INDEX(Assumptions!$B$26:$B$28,MATCH(Tourist_Survey_Data!M86,Assumptions!$A$26:$A$28,0))</f>
        <v>8.3999999999999995E-3</v>
      </c>
      <c r="H86" s="17">
        <f>Tourist_Survey_Data!H86*Tourist_Survey_Data!N86*Assumptions!$B$31</f>
        <v>1.1099999999999999E-4</v>
      </c>
      <c r="I86" s="17">
        <f>Tourist_Survey_Data!H86*INDEX(Assumptions!$B$35:$B$37,MATCH(INDEX(GIS_Site_Data!$E$3:$E$12,MATCH(Tourist_Survey_Data!B86,GIS_Site_Data!$B$3:$B$12,0)),Assumptions!$A$35:$A$37,0))</f>
        <v>6.0000000000000006E-4</v>
      </c>
      <c r="J86" s="17">
        <f t="shared" si="2"/>
        <v>1.8779519999999997E-2</v>
      </c>
      <c r="K86" s="17">
        <f>IFERROR(J86/Tourist_Survey_Data!H86,0)</f>
        <v>6.2598399999999992E-3</v>
      </c>
    </row>
    <row r="87" spans="1:11" x14ac:dyDescent="0.25">
      <c r="A87" s="16" t="str">
        <f>Tourist_Survey_Data!A87</f>
        <v>R085</v>
      </c>
      <c r="B87" s="16" t="str">
        <f>Tourist_Survey_Data!C87</f>
        <v>International</v>
      </c>
      <c r="C87" s="16" t="str">
        <f>Tourist_Survey_Data!B87</f>
        <v>Sudhanyakhali</v>
      </c>
      <c r="D87" s="16" t="str">
        <f>Tourist_Survey_Data!O87</f>
        <v>Winter (Oct-Mar)</v>
      </c>
      <c r="E87" s="17">
        <f>Tourist_Survey_Data!J87*INDEX(Assumptions!$B$8:$B$14,MATCH(Tourist_Survey_Data!I87,Assumptions!$A$8:$A$14,0))/1000*Assumptions!$B$4</f>
        <v>0.12706439999999999</v>
      </c>
      <c r="F87" s="17">
        <f>Tourist_Survey_Data!L87*INDEX(Assumptions!$B$18:$B$22,MATCH(Tourist_Survey_Data!K87,Assumptions!$A$18:$A$22,0))</f>
        <v>0</v>
      </c>
      <c r="G87" s="17">
        <f>Tourist_Survey_Data!H87*INDEX(Assumptions!$B$26:$B$28,MATCH(Tourist_Survey_Data!M87,Assumptions!$A$26:$A$28,0))</f>
        <v>4.0000000000000001E-3</v>
      </c>
      <c r="H87" s="17">
        <f>Tourist_Survey_Data!H87*Tourist_Survey_Data!N87*Assumptions!$B$31</f>
        <v>1.17E-4</v>
      </c>
      <c r="I87" s="17">
        <f>Tourist_Survey_Data!H87*INDEX(Assumptions!$B$35:$B$37,MATCH(INDEX(GIS_Site_Data!$E$3:$E$12,MATCH(Tourist_Survey_Data!B87,GIS_Site_Data!$B$3:$B$12,0)),Assumptions!$A$35:$A$37,0))</f>
        <v>1.1999999999999999E-3</v>
      </c>
      <c r="J87" s="17">
        <f t="shared" si="2"/>
        <v>0.13238140000000001</v>
      </c>
      <c r="K87" s="17">
        <f>IFERROR(J87/Tourist_Survey_Data!H87,0)</f>
        <v>0.13238140000000001</v>
      </c>
    </row>
    <row r="88" spans="1:11" x14ac:dyDescent="0.25">
      <c r="A88" s="16" t="str">
        <f>Tourist_Survey_Data!A88</f>
        <v>R086</v>
      </c>
      <c r="B88" s="16" t="str">
        <f>Tourist_Survey_Data!C88</f>
        <v>Domestic</v>
      </c>
      <c r="C88" s="16" t="str">
        <f>Tourist_Survey_Data!B88</f>
        <v>Netidhopani</v>
      </c>
      <c r="D88" s="16" t="str">
        <f>Tourist_Survey_Data!O88</f>
        <v>Summer (Apr-May)</v>
      </c>
      <c r="E88" s="17">
        <f>Tourist_Survey_Data!J88*INDEX(Assumptions!$B$8:$B$14,MATCH(Tourist_Survey_Data!I88,Assumptions!$A$8:$A$14,0))/1000*Assumptions!$B$4</f>
        <v>6.5321999999999993E-3</v>
      </c>
      <c r="F88" s="17">
        <f>Tourist_Survey_Data!L88*INDEX(Assumptions!$B$18:$B$22,MATCH(Tourist_Survey_Data!K88,Assumptions!$A$18:$A$22,0))</f>
        <v>8.9999999999999993E-3</v>
      </c>
      <c r="G88" s="17">
        <f>Tourist_Survey_Data!H88*INDEX(Assumptions!$B$26:$B$28,MATCH(Tourist_Survey_Data!M88,Assumptions!$A$26:$A$28,0))</f>
        <v>1.2E-2</v>
      </c>
      <c r="H88" s="17">
        <f>Tourist_Survey_Data!H88*Tourist_Survey_Data!N88*Assumptions!$B$31</f>
        <v>2.6699999999999998E-4</v>
      </c>
      <c r="I88" s="17">
        <f>Tourist_Survey_Data!H88*INDEX(Assumptions!$B$35:$B$37,MATCH(INDEX(GIS_Site_Data!$E$3:$E$12,MATCH(Tourist_Survey_Data!B88,GIS_Site_Data!$B$3:$B$12,0)),Assumptions!$A$35:$A$37,0))</f>
        <v>3.5999999999999999E-3</v>
      </c>
      <c r="J88" s="17">
        <f t="shared" si="2"/>
        <v>3.1399200000000002E-2</v>
      </c>
      <c r="K88" s="17">
        <f>IFERROR(J88/Tourist_Survey_Data!H88,0)</f>
        <v>1.0466400000000001E-2</v>
      </c>
    </row>
    <row r="89" spans="1:11" x14ac:dyDescent="0.25">
      <c r="A89" s="16" t="str">
        <f>Tourist_Survey_Data!A89</f>
        <v>R087</v>
      </c>
      <c r="B89" s="16" t="str">
        <f>Tourist_Survey_Data!C89</f>
        <v>Domestic</v>
      </c>
      <c r="C89" s="16" t="str">
        <f>Tourist_Survey_Data!B89</f>
        <v>Sudhanyakhali</v>
      </c>
      <c r="D89" s="16" t="str">
        <f>Tourist_Survey_Data!O89</f>
        <v>Summer (Apr-May)</v>
      </c>
      <c r="E89" s="17">
        <f>Tourist_Survey_Data!J89*INDEX(Assumptions!$B$8:$B$14,MATCH(Tourist_Survey_Data!I89,Assumptions!$A$8:$A$14,0))/1000*Assumptions!$B$4</f>
        <v>1.5624839999999998E-3</v>
      </c>
      <c r="F89" s="17">
        <f>Tourist_Survey_Data!L89*INDEX(Assumptions!$B$18:$B$22,MATCH(Tourist_Survey_Data!K89,Assumptions!$A$18:$A$22,0))</f>
        <v>5.9999999999999995E-4</v>
      </c>
      <c r="G89" s="17">
        <f>Tourist_Survey_Data!H89*INDEX(Assumptions!$B$26:$B$28,MATCH(Tourist_Survey_Data!M89,Assumptions!$A$26:$A$28,0))</f>
        <v>5.5999999999999999E-3</v>
      </c>
      <c r="H89" s="17">
        <f>Tourist_Survey_Data!H89*Tourist_Survey_Data!N89*Assumptions!$B$31</f>
        <v>1.7600000000000002E-4</v>
      </c>
      <c r="I89" s="17">
        <f>Tourist_Survey_Data!H89*INDEX(Assumptions!$B$35:$B$37,MATCH(INDEX(GIS_Site_Data!$E$3:$E$12,MATCH(Tourist_Survey_Data!B89,GIS_Site_Data!$B$3:$B$12,0)),Assumptions!$A$35:$A$37,0))</f>
        <v>2.3999999999999998E-3</v>
      </c>
      <c r="J89" s="17">
        <f t="shared" si="2"/>
        <v>1.0338484E-2</v>
      </c>
      <c r="K89" s="17">
        <f>IFERROR(J89/Tourist_Survey_Data!H89,0)</f>
        <v>5.1692420000000001E-3</v>
      </c>
    </row>
    <row r="90" spans="1:11" x14ac:dyDescent="0.25">
      <c r="A90" s="16" t="str">
        <f>Tourist_Survey_Data!A90</f>
        <v>R088</v>
      </c>
      <c r="B90" s="16" t="str">
        <f>Tourist_Survey_Data!C90</f>
        <v>Domestic</v>
      </c>
      <c r="C90" s="16" t="str">
        <f>Tourist_Survey_Data!B90</f>
        <v>Kalash</v>
      </c>
      <c r="D90" s="16" t="str">
        <f>Tourist_Survey_Data!O90</f>
        <v>Summer (Apr-May)</v>
      </c>
      <c r="E90" s="17">
        <f>Tourist_Survey_Data!J90*INDEX(Assumptions!$B$8:$B$14,MATCH(Tourist_Survey_Data!I90,Assumptions!$A$8:$A$14,0))/1000*Assumptions!$B$4</f>
        <v>6.0106500000000011E-3</v>
      </c>
      <c r="F90" s="17">
        <f>Tourist_Survey_Data!L90*INDEX(Assumptions!$B$18:$B$22,MATCH(Tourist_Survey_Data!K90,Assumptions!$A$18:$A$22,0))</f>
        <v>3.5999999999999999E-3</v>
      </c>
      <c r="G90" s="17">
        <f>Tourist_Survey_Data!H90*INDEX(Assumptions!$B$26:$B$28,MATCH(Tourist_Survey_Data!M90,Assumptions!$A$26:$A$28,0))</f>
        <v>5.4000000000000003E-3</v>
      </c>
      <c r="H90" s="17">
        <f>Tourist_Survey_Data!H90*Tourist_Survey_Data!N90*Assumptions!$B$31</f>
        <v>4.1999999999999996E-4</v>
      </c>
      <c r="I90" s="17">
        <f>Tourist_Survey_Data!H90*INDEX(Assumptions!$B$35:$B$37,MATCH(INDEX(GIS_Site_Data!$E$3:$E$12,MATCH(Tourist_Survey_Data!B90,GIS_Site_Data!$B$3:$B$12,0)),Assumptions!$A$35:$A$37,0))</f>
        <v>1.8E-3</v>
      </c>
      <c r="J90" s="17">
        <f t="shared" si="2"/>
        <v>1.7230650000000004E-2</v>
      </c>
      <c r="K90" s="17">
        <f>IFERROR(J90/Tourist_Survey_Data!H90,0)</f>
        <v>5.7435500000000009E-3</v>
      </c>
    </row>
    <row r="91" spans="1:11" x14ac:dyDescent="0.25">
      <c r="A91" s="16" t="str">
        <f>Tourist_Survey_Data!A91</f>
        <v>R089</v>
      </c>
      <c r="B91" s="16" t="str">
        <f>Tourist_Survey_Data!C91</f>
        <v>Domestic</v>
      </c>
      <c r="C91" s="16" t="str">
        <f>Tourist_Survey_Data!B91</f>
        <v>Bhagabatpur (Crocodile Project)</v>
      </c>
      <c r="D91" s="16" t="str">
        <f>Tourist_Survey_Data!O91</f>
        <v>Summer (Apr-May)</v>
      </c>
      <c r="E91" s="17">
        <f>Tourist_Survey_Data!J91*INDEX(Assumptions!$B$8:$B$14,MATCH(Tourist_Survey_Data!I91,Assumptions!$A$8:$A$14,0))/1000*Assumptions!$B$4</f>
        <v>7.0609319999999989E-2</v>
      </c>
      <c r="F91" s="17">
        <f>Tourist_Survey_Data!L91*INDEX(Assumptions!$B$18:$B$22,MATCH(Tourist_Survey_Data!K91,Assumptions!$A$18:$A$22,0))</f>
        <v>5.9999999999999995E-4</v>
      </c>
      <c r="G91" s="17">
        <f>Tourist_Survey_Data!H91*INDEX(Assumptions!$B$26:$B$28,MATCH(Tourist_Survey_Data!M91,Assumptions!$A$26:$A$28,0))</f>
        <v>5.5999999999999999E-3</v>
      </c>
      <c r="H91" s="17">
        <f>Tourist_Survey_Data!H91*Tourist_Survey_Data!N91*Assumptions!$B$31</f>
        <v>1.8799999999999999E-4</v>
      </c>
      <c r="I91" s="17">
        <f>Tourist_Survey_Data!H91*INDEX(Assumptions!$B$35:$B$37,MATCH(INDEX(GIS_Site_Data!$E$3:$E$12,MATCH(Tourist_Survey_Data!B91,GIS_Site_Data!$B$3:$B$12,0)),Assumptions!$A$35:$A$37,0))</f>
        <v>1.1999999999999999E-3</v>
      </c>
      <c r="J91" s="17">
        <f t="shared" si="2"/>
        <v>7.8197319999999987E-2</v>
      </c>
      <c r="K91" s="17">
        <f>IFERROR(J91/Tourist_Survey_Data!H91,0)</f>
        <v>3.9098659999999993E-2</v>
      </c>
    </row>
    <row r="92" spans="1:11" x14ac:dyDescent="0.25">
      <c r="A92" s="16" t="str">
        <f>Tourist_Survey_Data!A92</f>
        <v>R090</v>
      </c>
      <c r="B92" s="16" t="str">
        <f>Tourist_Survey_Data!C92</f>
        <v>International</v>
      </c>
      <c r="C92" s="16" t="str">
        <f>Tourist_Survey_Data!B92</f>
        <v>Bhagabatpur (Crocodile Project)</v>
      </c>
      <c r="D92" s="16" t="str">
        <f>Tourist_Survey_Data!O92</f>
        <v>Summer (Apr-May)</v>
      </c>
      <c r="E92" s="17">
        <f>Tourist_Survey_Data!J92*INDEX(Assumptions!$B$8:$B$14,MATCH(Tourist_Survey_Data!I92,Assumptions!$A$8:$A$14,0))/1000*Assumptions!$B$4</f>
        <v>0.15602325</v>
      </c>
      <c r="F92" s="17">
        <f>Tourist_Survey_Data!L92*INDEX(Assumptions!$B$18:$B$22,MATCH(Tourist_Survey_Data!K92,Assumptions!$A$18:$A$22,0))</f>
        <v>0</v>
      </c>
      <c r="G92" s="17">
        <f>Tourist_Survey_Data!H92*INDEX(Assumptions!$B$26:$B$28,MATCH(Tourist_Survey_Data!M92,Assumptions!$A$26:$A$28,0))</f>
        <v>4.0000000000000001E-3</v>
      </c>
      <c r="H92" s="17">
        <f>Tourist_Survey_Data!H92*Tourist_Survey_Data!N92*Assumptions!$B$31</f>
        <v>9.1000000000000003E-5</v>
      </c>
      <c r="I92" s="17">
        <f>Tourist_Survey_Data!H92*INDEX(Assumptions!$B$35:$B$37,MATCH(INDEX(GIS_Site_Data!$E$3:$E$12,MATCH(Tourist_Survey_Data!B92,GIS_Site_Data!$B$3:$B$12,0)),Assumptions!$A$35:$A$37,0))</f>
        <v>5.9999999999999995E-4</v>
      </c>
      <c r="J92" s="17">
        <f t="shared" si="2"/>
        <v>0.16071425</v>
      </c>
      <c r="K92" s="17">
        <f>IFERROR(J92/Tourist_Survey_Data!H92,0)</f>
        <v>0.16071425</v>
      </c>
    </row>
    <row r="93" spans="1:11" x14ac:dyDescent="0.25">
      <c r="A93" s="16" t="str">
        <f>Tourist_Survey_Data!A93</f>
        <v>R091</v>
      </c>
      <c r="B93" s="16" t="str">
        <f>Tourist_Survey_Data!C93</f>
        <v>Domestic</v>
      </c>
      <c r="C93" s="16" t="str">
        <f>Tourist_Survey_Data!B93</f>
        <v>Bhagabatpur (Crocodile Project)</v>
      </c>
      <c r="D93" s="16" t="str">
        <f>Tourist_Survey_Data!O93</f>
        <v>Monsoon (Jun-Sep)</v>
      </c>
      <c r="E93" s="17">
        <f>Tourist_Survey_Data!J93*INDEX(Assumptions!$B$8:$B$14,MATCH(Tourist_Survey_Data!I93,Assumptions!$A$8:$A$14,0))/1000*Assumptions!$B$4</f>
        <v>4.6850580000000006E-3</v>
      </c>
      <c r="F93" s="17">
        <f>Tourist_Survey_Data!L93*INDEX(Assumptions!$B$18:$B$22,MATCH(Tourist_Survey_Data!K93,Assumptions!$A$18:$A$22,0))</f>
        <v>1.6000000000000001E-3</v>
      </c>
      <c r="G93" s="17">
        <f>Tourist_Survey_Data!H93*INDEX(Assumptions!$B$26:$B$28,MATCH(Tourist_Survey_Data!M93,Assumptions!$A$26:$A$28,0))</f>
        <v>5.4000000000000003E-3</v>
      </c>
      <c r="H93" s="17">
        <f>Tourist_Survey_Data!H93*Tourist_Survey_Data!N93*Assumptions!$B$31</f>
        <v>4.0500000000000009E-4</v>
      </c>
      <c r="I93" s="17">
        <f>Tourist_Survey_Data!H93*INDEX(Assumptions!$B$35:$B$37,MATCH(INDEX(GIS_Site_Data!$E$3:$E$12,MATCH(Tourist_Survey_Data!B93,GIS_Site_Data!$B$3:$B$12,0)),Assumptions!$A$35:$A$37,0))</f>
        <v>1.8E-3</v>
      </c>
      <c r="J93" s="17">
        <f t="shared" si="2"/>
        <v>1.3890058000000002E-2</v>
      </c>
      <c r="K93" s="17">
        <f>IFERROR(J93/Tourist_Survey_Data!H93,0)</f>
        <v>4.630019333333334E-3</v>
      </c>
    </row>
    <row r="94" spans="1:11" x14ac:dyDescent="0.25">
      <c r="A94" s="16" t="str">
        <f>Tourist_Survey_Data!A94</f>
        <v>R092</v>
      </c>
      <c r="B94" s="16" t="str">
        <f>Tourist_Survey_Data!C94</f>
        <v>Domestic</v>
      </c>
      <c r="C94" s="16" t="str">
        <f>Tourist_Survey_Data!B94</f>
        <v>Kalash</v>
      </c>
      <c r="D94" s="16" t="str">
        <f>Tourist_Survey_Data!O94</f>
        <v>Monsoon (Jun-Sep)</v>
      </c>
      <c r="E94" s="17">
        <f>Tourist_Survey_Data!J94*INDEX(Assumptions!$B$8:$B$14,MATCH(Tourist_Survey_Data!I94,Assumptions!$A$8:$A$14,0))/1000*Assumptions!$B$4</f>
        <v>1.9147439999999998E-2</v>
      </c>
      <c r="F94" s="17">
        <f>Tourist_Survey_Data!L94*INDEX(Assumptions!$B$18:$B$22,MATCH(Tourist_Survey_Data!K94,Assumptions!$A$18:$A$22,0))</f>
        <v>5.9999999999999995E-4</v>
      </c>
      <c r="G94" s="17">
        <f>Tourist_Survey_Data!H94*INDEX(Assumptions!$B$26:$B$28,MATCH(Tourist_Survey_Data!M94,Assumptions!$A$26:$A$28,0))</f>
        <v>8.0000000000000002E-3</v>
      </c>
      <c r="H94" s="17">
        <f>Tourist_Survey_Data!H94*Tourist_Survey_Data!N94*Assumptions!$B$31</f>
        <v>1.8400000000000003E-4</v>
      </c>
      <c r="I94" s="17">
        <f>Tourist_Survey_Data!H94*INDEX(Assumptions!$B$35:$B$37,MATCH(INDEX(GIS_Site_Data!$E$3:$E$12,MATCH(Tourist_Survey_Data!B94,GIS_Site_Data!$B$3:$B$12,0)),Assumptions!$A$35:$A$37,0))</f>
        <v>1.1999999999999999E-3</v>
      </c>
      <c r="J94" s="17">
        <f t="shared" si="2"/>
        <v>2.9131439999999998E-2</v>
      </c>
      <c r="K94" s="17">
        <f>IFERROR(J94/Tourist_Survey_Data!H94,0)</f>
        <v>1.4565719999999999E-2</v>
      </c>
    </row>
    <row r="95" spans="1:11" x14ac:dyDescent="0.25">
      <c r="A95" s="16" t="str">
        <f>Tourist_Survey_Data!A95</f>
        <v>R093</v>
      </c>
      <c r="B95" s="16" t="str">
        <f>Tourist_Survey_Data!C95</f>
        <v>Domestic</v>
      </c>
      <c r="C95" s="16" t="str">
        <f>Tourist_Survey_Data!B95</f>
        <v>Bhagabatpur (Crocodile Project)</v>
      </c>
      <c r="D95" s="16" t="str">
        <f>Tourist_Survey_Data!O95</f>
        <v>Winter (Oct-Mar)</v>
      </c>
      <c r="E95" s="17">
        <f>Tourist_Survey_Data!J95*INDEX(Assumptions!$B$8:$B$14,MATCH(Tourist_Survey_Data!I95,Assumptions!$A$8:$A$14,0))/1000*Assumptions!$B$4</f>
        <v>3.0867514000000002E-2</v>
      </c>
      <c r="F95" s="17">
        <f>Tourist_Survey_Data!L95*INDEX(Assumptions!$B$18:$B$22,MATCH(Tourist_Survey_Data!K95,Assumptions!$A$18:$A$22,0))</f>
        <v>1.1999999999999999E-3</v>
      </c>
      <c r="G95" s="17">
        <f>Tourist_Survey_Data!H95*INDEX(Assumptions!$B$26:$B$28,MATCH(Tourist_Survey_Data!M95,Assumptions!$A$26:$A$28,0))</f>
        <v>8.3999999999999995E-3</v>
      </c>
      <c r="H95" s="17">
        <f>Tourist_Survey_Data!H95*Tourist_Survey_Data!N95*Assumptions!$B$31</f>
        <v>1.4100000000000001E-4</v>
      </c>
      <c r="I95" s="17">
        <f>Tourist_Survey_Data!H95*INDEX(Assumptions!$B$35:$B$37,MATCH(INDEX(GIS_Site_Data!$E$3:$E$12,MATCH(Tourist_Survey_Data!B95,GIS_Site_Data!$B$3:$B$12,0)),Assumptions!$A$35:$A$37,0))</f>
        <v>1.8E-3</v>
      </c>
      <c r="J95" s="17">
        <f t="shared" si="2"/>
        <v>4.2408514000000008E-2</v>
      </c>
      <c r="K95" s="17">
        <f>IFERROR(J95/Tourist_Survey_Data!H95,0)</f>
        <v>1.4136171333333336E-2</v>
      </c>
    </row>
    <row r="96" spans="1:11" x14ac:dyDescent="0.25">
      <c r="A96" s="16" t="str">
        <f>Tourist_Survey_Data!A96</f>
        <v>R094</v>
      </c>
      <c r="B96" s="16" t="str">
        <f>Tourist_Survey_Data!C96</f>
        <v>Domestic</v>
      </c>
      <c r="C96" s="16" t="str">
        <f>Tourist_Survey_Data!B96</f>
        <v>Sudhanyakhali</v>
      </c>
      <c r="D96" s="16" t="str">
        <f>Tourist_Survey_Data!O96</f>
        <v>Winter (Oct-Mar)</v>
      </c>
      <c r="E96" s="17">
        <f>Tourist_Survey_Data!J96*INDEX(Assumptions!$B$8:$B$14,MATCH(Tourist_Survey_Data!I96,Assumptions!$A$8:$A$14,0))/1000*Assumptions!$B$4</f>
        <v>1.988844E-2</v>
      </c>
      <c r="F96" s="17">
        <f>Tourist_Survey_Data!L96*INDEX(Assumptions!$B$18:$B$22,MATCH(Tourist_Survey_Data!K96,Assumptions!$A$18:$A$22,0))</f>
        <v>0</v>
      </c>
      <c r="G96" s="17">
        <f>Tourist_Survey_Data!H96*INDEX(Assumptions!$B$26:$B$28,MATCH(Tourist_Survey_Data!M96,Assumptions!$A$26:$A$28,0))</f>
        <v>4.0000000000000001E-3</v>
      </c>
      <c r="H96" s="17">
        <f>Tourist_Survey_Data!H96*Tourist_Survey_Data!N96*Assumptions!$B$31</f>
        <v>5.8999999999999998E-5</v>
      </c>
      <c r="I96" s="17">
        <f>Tourist_Survey_Data!H96*INDEX(Assumptions!$B$35:$B$37,MATCH(INDEX(GIS_Site_Data!$E$3:$E$12,MATCH(Tourist_Survey_Data!B96,GIS_Site_Data!$B$3:$B$12,0)),Assumptions!$A$35:$A$37,0))</f>
        <v>1.1999999999999999E-3</v>
      </c>
      <c r="J96" s="17">
        <f t="shared" si="2"/>
        <v>2.514744E-2</v>
      </c>
      <c r="K96" s="17">
        <f>IFERROR(J96/Tourist_Survey_Data!H96,0)</f>
        <v>2.514744E-2</v>
      </c>
    </row>
    <row r="97" spans="1:11" x14ac:dyDescent="0.25">
      <c r="A97" s="16" t="str">
        <f>Tourist_Survey_Data!A97</f>
        <v>R095</v>
      </c>
      <c r="B97" s="16" t="str">
        <f>Tourist_Survey_Data!C97</f>
        <v>International</v>
      </c>
      <c r="C97" s="16" t="str">
        <f>Tourist_Survey_Data!B97</f>
        <v>Gosaba</v>
      </c>
      <c r="D97" s="16" t="str">
        <f>Tourist_Survey_Data!O97</f>
        <v>Winter (Oct-Mar)</v>
      </c>
      <c r="E97" s="17">
        <f>Tourist_Survey_Data!J97*INDEX(Assumptions!$B$8:$B$14,MATCH(Tourist_Survey_Data!I97,Assumptions!$A$8:$A$14,0))/1000*Assumptions!$B$4</f>
        <v>3.1397595000000007E-2</v>
      </c>
      <c r="F97" s="17">
        <f>Tourist_Survey_Data!L97*INDEX(Assumptions!$B$18:$B$22,MATCH(Tourist_Survey_Data!K97,Assumptions!$A$18:$A$22,0))</f>
        <v>0</v>
      </c>
      <c r="G97" s="17">
        <f>Tourist_Survey_Data!H97*INDEX(Assumptions!$B$26:$B$28,MATCH(Tourist_Survey_Data!M97,Assumptions!$A$26:$A$28,0))</f>
        <v>4.0000000000000001E-3</v>
      </c>
      <c r="H97" s="17">
        <f>Tourist_Survey_Data!H97*Tourist_Survey_Data!N97*Assumptions!$B$31</f>
        <v>4.0000000000000003E-5</v>
      </c>
      <c r="I97" s="17">
        <f>Tourist_Survey_Data!H97*INDEX(Assumptions!$B$35:$B$37,MATCH(INDEX(GIS_Site_Data!$E$3:$E$12,MATCH(Tourist_Survey_Data!B97,GIS_Site_Data!$B$3:$B$12,0)),Assumptions!$A$35:$A$37,0))</f>
        <v>2.0000000000000001E-4</v>
      </c>
      <c r="J97" s="17">
        <f t="shared" si="2"/>
        <v>3.5637595000000001E-2</v>
      </c>
      <c r="K97" s="17">
        <f>IFERROR(J97/Tourist_Survey_Data!H97,0)</f>
        <v>3.5637595000000001E-2</v>
      </c>
    </row>
    <row r="98" spans="1:11" x14ac:dyDescent="0.25">
      <c r="A98" s="16" t="str">
        <f>Tourist_Survey_Data!A98</f>
        <v>R096</v>
      </c>
      <c r="B98" s="16" t="str">
        <f>Tourist_Survey_Data!C98</f>
        <v>Domestic</v>
      </c>
      <c r="C98" s="16" t="str">
        <f>Tourist_Survey_Data!B98</f>
        <v>Bhagabatpur (Crocodile Project)</v>
      </c>
      <c r="D98" s="16" t="str">
        <f>Tourist_Survey_Data!O98</f>
        <v>Winter (Oct-Mar)</v>
      </c>
      <c r="E98" s="17">
        <f>Tourist_Survey_Data!J98*INDEX(Assumptions!$B$8:$B$14,MATCH(Tourist_Survey_Data!I98,Assumptions!$A$8:$A$14,0))/1000*Assumptions!$B$4</f>
        <v>1.1622679999999999E-3</v>
      </c>
      <c r="F98" s="17">
        <f>Tourist_Survey_Data!L98*INDEX(Assumptions!$B$18:$B$22,MATCH(Tourist_Survey_Data!K98,Assumptions!$A$18:$A$22,0))</f>
        <v>0</v>
      </c>
      <c r="G98" s="17">
        <f>Tourist_Survey_Data!H98*INDEX(Assumptions!$B$26:$B$28,MATCH(Tourist_Survey_Data!M98,Assumptions!$A$26:$A$28,0))</f>
        <v>2.8E-3</v>
      </c>
      <c r="H98" s="17">
        <f>Tourist_Survey_Data!H98*Tourist_Survey_Data!N98*Assumptions!$B$31</f>
        <v>1.0400000000000001E-4</v>
      </c>
      <c r="I98" s="17">
        <f>Tourist_Survey_Data!H98*INDEX(Assumptions!$B$35:$B$37,MATCH(INDEX(GIS_Site_Data!$E$3:$E$12,MATCH(Tourist_Survey_Data!B98,GIS_Site_Data!$B$3:$B$12,0)),Assumptions!$A$35:$A$37,0))</f>
        <v>5.9999999999999995E-4</v>
      </c>
      <c r="J98" s="17">
        <f t="shared" si="2"/>
        <v>4.6662679999999995E-3</v>
      </c>
      <c r="K98" s="17">
        <f>IFERROR(J98/Tourist_Survey_Data!H98,0)</f>
        <v>4.6662679999999995E-3</v>
      </c>
    </row>
    <row r="99" spans="1:11" x14ac:dyDescent="0.25">
      <c r="A99" s="16" t="str">
        <f>Tourist_Survey_Data!A99</f>
        <v>R097</v>
      </c>
      <c r="B99" s="16" t="str">
        <f>Tourist_Survey_Data!C99</f>
        <v>Domestic</v>
      </c>
      <c r="C99" s="16" t="str">
        <f>Tourist_Survey_Data!B99</f>
        <v>Bhagabatpur (Crocodile Project)</v>
      </c>
      <c r="D99" s="16" t="str">
        <f>Tourist_Survey_Data!O99</f>
        <v>Winter (Oct-Mar)</v>
      </c>
      <c r="E99" s="17">
        <f>Tourist_Survey_Data!J99*INDEX(Assumptions!$B$8:$B$14,MATCH(Tourist_Survey_Data!I99,Assumptions!$A$8:$A$14,0))/1000*Assumptions!$B$4</f>
        <v>2.2608669999999997E-3</v>
      </c>
      <c r="F99" s="17">
        <f>Tourist_Survey_Data!L99*INDEX(Assumptions!$B$18:$B$22,MATCH(Tourist_Survey_Data!K99,Assumptions!$A$18:$A$22,0))</f>
        <v>0</v>
      </c>
      <c r="G99" s="17">
        <f>Tourist_Survey_Data!H99*INDEX(Assumptions!$B$26:$B$28,MATCH(Tourist_Survey_Data!M99,Assumptions!$A$26:$A$28,0))</f>
        <v>2.8E-3</v>
      </c>
      <c r="H99" s="17">
        <f>Tourist_Survey_Data!H99*Tourist_Survey_Data!N99*Assumptions!$B$31</f>
        <v>8.8000000000000011E-5</v>
      </c>
      <c r="I99" s="17">
        <f>Tourist_Survey_Data!H99*INDEX(Assumptions!$B$35:$B$37,MATCH(INDEX(GIS_Site_Data!$E$3:$E$12,MATCH(Tourist_Survey_Data!B99,GIS_Site_Data!$B$3:$B$12,0)),Assumptions!$A$35:$A$37,0))</f>
        <v>5.9999999999999995E-4</v>
      </c>
      <c r="J99" s="17">
        <f t="shared" ref="J99:J130" si="3">SUM(E99:I99)</f>
        <v>5.7488670000000004E-3</v>
      </c>
      <c r="K99" s="17">
        <f>IFERROR(J99/Tourist_Survey_Data!H99,0)</f>
        <v>5.7488670000000004E-3</v>
      </c>
    </row>
    <row r="100" spans="1:11" x14ac:dyDescent="0.25">
      <c r="A100" s="16" t="str">
        <f>Tourist_Survey_Data!A100</f>
        <v>R098</v>
      </c>
      <c r="B100" s="16" t="str">
        <f>Tourist_Survey_Data!C100</f>
        <v>Domestic</v>
      </c>
      <c r="C100" s="16" t="str">
        <f>Tourist_Survey_Data!B100</f>
        <v>Sonakhali (Gateway)</v>
      </c>
      <c r="D100" s="16" t="str">
        <f>Tourist_Survey_Data!O100</f>
        <v>Winter (Oct-Mar)</v>
      </c>
      <c r="E100" s="17">
        <f>Tourist_Survey_Data!J100*INDEX(Assumptions!$B$8:$B$14,MATCH(Tourist_Survey_Data!I100,Assumptions!$A$8:$A$14,0))/1000*Assumptions!$B$4</f>
        <v>1.2031464999999998E-2</v>
      </c>
      <c r="F100" s="17">
        <f>Tourist_Survey_Data!L100*INDEX(Assumptions!$B$18:$B$22,MATCH(Tourist_Survey_Data!K100,Assumptions!$A$18:$A$22,0))</f>
        <v>1.6000000000000001E-3</v>
      </c>
      <c r="G100" s="17">
        <f>Tourist_Survey_Data!H100*INDEX(Assumptions!$B$26:$B$28,MATCH(Tourist_Survey_Data!M100,Assumptions!$A$26:$A$28,0))</f>
        <v>5.4000000000000003E-3</v>
      </c>
      <c r="H100" s="17">
        <f>Tourist_Survey_Data!H100*Tourist_Survey_Data!N100*Assumptions!$B$31</f>
        <v>3.3600000000000004E-4</v>
      </c>
      <c r="I100" s="17">
        <f>Tourist_Survey_Data!H100*INDEX(Assumptions!$B$35:$B$37,MATCH(INDEX(GIS_Site_Data!$E$3:$E$12,MATCH(Tourist_Survey_Data!B100,GIS_Site_Data!$B$3:$B$12,0)),Assumptions!$A$35:$A$37,0))</f>
        <v>6.0000000000000006E-4</v>
      </c>
      <c r="J100" s="17">
        <f t="shared" si="3"/>
        <v>1.9967464999999997E-2</v>
      </c>
      <c r="K100" s="17">
        <f>IFERROR(J100/Tourist_Survey_Data!H100,0)</f>
        <v>6.6558216666666656E-3</v>
      </c>
    </row>
    <row r="101" spans="1:11" x14ac:dyDescent="0.25">
      <c r="A101" s="16" t="str">
        <f>Tourist_Survey_Data!A101</f>
        <v>R099</v>
      </c>
      <c r="B101" s="16" t="str">
        <f>Tourist_Survey_Data!C101</f>
        <v>Domestic</v>
      </c>
      <c r="C101" s="16" t="str">
        <f>Tourist_Survey_Data!B101</f>
        <v>Bhagabatpur (Crocodile Project)</v>
      </c>
      <c r="D101" s="16" t="str">
        <f>Tourist_Survey_Data!O101</f>
        <v>Winter (Oct-Mar)</v>
      </c>
      <c r="E101" s="17">
        <f>Tourist_Survey_Data!J101*INDEX(Assumptions!$B$8:$B$14,MATCH(Tourist_Survey_Data!I101,Assumptions!$A$8:$A$14,0))/1000*Assumptions!$B$4</f>
        <v>5.1129000000000001E-3</v>
      </c>
      <c r="F101" s="17">
        <f>Tourist_Survey_Data!L101*INDEX(Assumptions!$B$18:$B$22,MATCH(Tourist_Survey_Data!K101,Assumptions!$A$18:$A$22,0))</f>
        <v>5.4000000000000003E-3</v>
      </c>
      <c r="G101" s="17">
        <f>Tourist_Survey_Data!H101*INDEX(Assumptions!$B$26:$B$28,MATCH(Tourist_Survey_Data!M101,Assumptions!$A$26:$A$28,0))</f>
        <v>1.12E-2</v>
      </c>
      <c r="H101" s="17">
        <f>Tourist_Survey_Data!H101*Tourist_Survey_Data!N101*Assumptions!$B$31</f>
        <v>3.2400000000000001E-4</v>
      </c>
      <c r="I101" s="17">
        <f>Tourist_Survey_Data!H101*INDEX(Assumptions!$B$35:$B$37,MATCH(INDEX(GIS_Site_Data!$E$3:$E$12,MATCH(Tourist_Survey_Data!B101,GIS_Site_Data!$B$3:$B$12,0)),Assumptions!$A$35:$A$37,0))</f>
        <v>2.3999999999999998E-3</v>
      </c>
      <c r="J101" s="17">
        <f t="shared" si="3"/>
        <v>2.4436900000000001E-2</v>
      </c>
      <c r="K101" s="17">
        <f>IFERROR(J101/Tourist_Survey_Data!H101,0)</f>
        <v>6.1092250000000002E-3</v>
      </c>
    </row>
    <row r="102" spans="1:11" x14ac:dyDescent="0.25">
      <c r="A102" s="16" t="str">
        <f>Tourist_Survey_Data!A102</f>
        <v>R100</v>
      </c>
      <c r="B102" s="16" t="str">
        <f>Tourist_Survey_Data!C102</f>
        <v>Domestic</v>
      </c>
      <c r="C102" s="16" t="str">
        <f>Tourist_Survey_Data!B102</f>
        <v>Pakhiralay</v>
      </c>
      <c r="D102" s="16" t="str">
        <f>Tourist_Survey_Data!O102</f>
        <v>Monsoon (Jun-Sep)</v>
      </c>
      <c r="E102" s="17">
        <f>Tourist_Survey_Data!J102*INDEX(Assumptions!$B$8:$B$14,MATCH(Tourist_Survey_Data!I102,Assumptions!$A$8:$A$14,0))/1000*Assumptions!$B$4</f>
        <v>2.9832622000000003E-2</v>
      </c>
      <c r="F102" s="17">
        <f>Tourist_Survey_Data!L102*INDEX(Assumptions!$B$18:$B$22,MATCH(Tourist_Survey_Data!K102,Assumptions!$A$18:$A$22,0))</f>
        <v>0</v>
      </c>
      <c r="G102" s="17">
        <f>Tourist_Survey_Data!H102*INDEX(Assumptions!$B$26:$B$28,MATCH(Tourist_Survey_Data!M102,Assumptions!$A$26:$A$28,0))</f>
        <v>4.0000000000000001E-3</v>
      </c>
      <c r="H102" s="17">
        <f>Tourist_Survey_Data!H102*Tourist_Survey_Data!N102*Assumptions!$B$31</f>
        <v>8.1000000000000004E-5</v>
      </c>
      <c r="I102" s="17">
        <f>Tourist_Survey_Data!H102*INDEX(Assumptions!$B$35:$B$37,MATCH(INDEX(GIS_Site_Data!$E$3:$E$12,MATCH(Tourist_Survey_Data!B102,GIS_Site_Data!$B$3:$B$12,0)),Assumptions!$A$35:$A$37,0))</f>
        <v>5.9999999999999995E-4</v>
      </c>
      <c r="J102" s="17">
        <f t="shared" si="3"/>
        <v>3.4513622000000008E-2</v>
      </c>
      <c r="K102" s="17">
        <f>IFERROR(J102/Tourist_Survey_Data!H102,0)</f>
        <v>3.4513622000000008E-2</v>
      </c>
    </row>
    <row r="104" spans="1:11" x14ac:dyDescent="0.25">
      <c r="D104" s="18" t="s">
        <v>246</v>
      </c>
      <c r="E104" s="19">
        <f t="shared" ref="E104:K104" si="4">AVERAGE(E3:E102)</f>
        <v>3.4796184280000003E-2</v>
      </c>
      <c r="F104" s="19">
        <f t="shared" si="4"/>
        <v>2.6049999999999988E-3</v>
      </c>
      <c r="G104" s="19">
        <f t="shared" si="4"/>
        <v>6.6720000000000026E-3</v>
      </c>
      <c r="H104" s="19">
        <f t="shared" si="4"/>
        <v>2.0548000000000007E-4</v>
      </c>
      <c r="I104" s="19">
        <f t="shared" si="4"/>
        <v>1.6160000000000005E-3</v>
      </c>
      <c r="J104" s="19">
        <f t="shared" si="4"/>
        <v>4.5894664279999997E-2</v>
      </c>
      <c r="K104" s="19">
        <f t="shared" si="4"/>
        <v>2.247428228166665E-2</v>
      </c>
    </row>
  </sheetData>
  <mergeCells count="1">
    <mergeCell ref="A1:K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showGridLines="0" zoomScaleNormal="100" workbookViewId="0">
      <pane ySplit="2" topLeftCell="A3" activePane="bottomLeft" state="frozen"/>
      <selection pane="bottomLeft" sqref="A1:L1"/>
    </sheetView>
  </sheetViews>
  <sheetFormatPr defaultColWidth="8.7109375" defaultRowHeight="15" x14ac:dyDescent="0.25"/>
  <cols>
    <col min="1" max="1" width="9" customWidth="1"/>
    <col min="2" max="2" width="30" customWidth="1"/>
    <col min="3" max="4" width="11" customWidth="1"/>
    <col min="5" max="5" width="12" customWidth="1"/>
    <col min="6" max="6" width="11" customWidth="1"/>
    <col min="7" max="7" width="10" customWidth="1"/>
    <col min="8" max="9" width="15" customWidth="1"/>
    <col min="10" max="11" width="17" customWidth="1"/>
    <col min="12" max="12" width="19" customWidth="1"/>
  </cols>
  <sheetData>
    <row r="1" spans="1:12" ht="25.5" customHeight="1" x14ac:dyDescent="0.25">
      <c r="A1" s="3" t="s">
        <v>247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x14ac:dyDescent="0.25">
      <c r="A2" s="11" t="s">
        <v>248</v>
      </c>
      <c r="B2" s="11" t="s">
        <v>249</v>
      </c>
      <c r="C2" s="11" t="s">
        <v>250</v>
      </c>
      <c r="D2" s="11" t="s">
        <v>251</v>
      </c>
      <c r="E2" s="11" t="s">
        <v>252</v>
      </c>
      <c r="F2" s="11" t="s">
        <v>253</v>
      </c>
      <c r="G2" s="11" t="s">
        <v>254</v>
      </c>
      <c r="H2" s="11" t="s">
        <v>255</v>
      </c>
      <c r="I2" s="11" t="s">
        <v>256</v>
      </c>
      <c r="J2" s="11" t="s">
        <v>257</v>
      </c>
      <c r="K2" s="11" t="s">
        <v>258</v>
      </c>
      <c r="L2" s="11" t="s">
        <v>259</v>
      </c>
    </row>
    <row r="3" spans="1:12" x14ac:dyDescent="0.25">
      <c r="A3" s="12" t="s">
        <v>260</v>
      </c>
      <c r="B3" s="12" t="s">
        <v>189</v>
      </c>
      <c r="C3" s="20">
        <v>22.116700000000002</v>
      </c>
      <c r="D3" s="20">
        <v>88.816699999999997</v>
      </c>
      <c r="E3" s="12" t="s">
        <v>88</v>
      </c>
      <c r="F3" s="21">
        <v>3.2</v>
      </c>
      <c r="G3" s="22">
        <f t="shared" ref="G3:G12" si="0">F3*100</f>
        <v>320</v>
      </c>
      <c r="H3" s="23">
        <v>42000</v>
      </c>
      <c r="I3" s="21">
        <v>1.8</v>
      </c>
      <c r="J3" s="22">
        <f t="shared" ref="J3:J12" si="1">G3*I3</f>
        <v>576</v>
      </c>
      <c r="K3" s="17">
        <f>IFERROR(AVERAGEIF(Ecological_Footprint_Components!$C$3:$C$102,B3,Ecological_Footprint_Components!$J$3:$J$102),0)</f>
        <v>4.0046377799999998E-2</v>
      </c>
      <c r="L3" s="24">
        <f t="shared" ref="L3:L12" si="2">K3*H3</f>
        <v>1681.9478675999999</v>
      </c>
    </row>
    <row r="4" spans="1:12" x14ac:dyDescent="0.25">
      <c r="A4" s="12" t="s">
        <v>261</v>
      </c>
      <c r="B4" s="12" t="s">
        <v>109</v>
      </c>
      <c r="C4" s="20">
        <v>22.091000000000001</v>
      </c>
      <c r="D4" s="20">
        <v>88.820999999999998</v>
      </c>
      <c r="E4" s="12" t="s">
        <v>86</v>
      </c>
      <c r="F4" s="21">
        <v>2.1</v>
      </c>
      <c r="G4" s="22">
        <f t="shared" si="0"/>
        <v>210</v>
      </c>
      <c r="H4" s="23">
        <v>31000</v>
      </c>
      <c r="I4" s="21">
        <v>1.9</v>
      </c>
      <c r="J4" s="22">
        <f t="shared" si="1"/>
        <v>399</v>
      </c>
      <c r="K4" s="17">
        <f>IFERROR(AVERAGEIF(Ecological_Footprint_Components!$C$3:$C$102,B4,Ecological_Footprint_Components!$J$3:$J$102),0)</f>
        <v>4.956866175E-2</v>
      </c>
      <c r="L4" s="24">
        <f t="shared" si="2"/>
        <v>1536.6285142500001</v>
      </c>
    </row>
    <row r="5" spans="1:12" x14ac:dyDescent="0.25">
      <c r="A5" s="12" t="s">
        <v>262</v>
      </c>
      <c r="B5" s="12" t="s">
        <v>163</v>
      </c>
      <c r="C5" s="20">
        <v>21.933299999999999</v>
      </c>
      <c r="D5" s="20">
        <v>88.85</v>
      </c>
      <c r="E5" s="12" t="s">
        <v>86</v>
      </c>
      <c r="F5" s="21">
        <v>2.8</v>
      </c>
      <c r="G5" s="22">
        <f t="shared" si="0"/>
        <v>280</v>
      </c>
      <c r="H5" s="23">
        <v>27000</v>
      </c>
      <c r="I5" s="21">
        <v>1.9</v>
      </c>
      <c r="J5" s="22">
        <f t="shared" si="1"/>
        <v>532</v>
      </c>
      <c r="K5" s="17">
        <f>IFERROR(AVERAGEIF(Ecological_Footprint_Components!$C$3:$C$102,B5,Ecological_Footprint_Components!$J$3:$J$102),0)</f>
        <v>3.854575185714286E-2</v>
      </c>
      <c r="L5" s="24">
        <f t="shared" si="2"/>
        <v>1040.7353001428571</v>
      </c>
    </row>
    <row r="6" spans="1:12" x14ac:dyDescent="0.25">
      <c r="A6" s="12" t="s">
        <v>263</v>
      </c>
      <c r="B6" s="12" t="s">
        <v>115</v>
      </c>
      <c r="C6" s="20">
        <v>22.15</v>
      </c>
      <c r="D6" s="20">
        <v>88.783299999999997</v>
      </c>
      <c r="E6" s="12" t="s">
        <v>90</v>
      </c>
      <c r="F6" s="21">
        <v>1.5</v>
      </c>
      <c r="G6" s="22">
        <f t="shared" si="0"/>
        <v>150</v>
      </c>
      <c r="H6" s="23">
        <v>38000</v>
      </c>
      <c r="I6" s="21">
        <v>1.5</v>
      </c>
      <c r="J6" s="22">
        <f t="shared" si="1"/>
        <v>225</v>
      </c>
      <c r="K6" s="17">
        <f>IFERROR(AVERAGEIF(Ecological_Footprint_Components!$C$3:$C$102,B6,Ecological_Footprint_Components!$J$3:$J$102),0)</f>
        <v>4.1160159307692311E-2</v>
      </c>
      <c r="L6" s="24">
        <f t="shared" si="2"/>
        <v>1564.0860536923078</v>
      </c>
    </row>
    <row r="7" spans="1:12" x14ac:dyDescent="0.25">
      <c r="A7" s="12" t="s">
        <v>264</v>
      </c>
      <c r="B7" s="12" t="s">
        <v>134</v>
      </c>
      <c r="C7" s="20">
        <v>22.166699999999999</v>
      </c>
      <c r="D7" s="20">
        <v>88.8</v>
      </c>
      <c r="E7" s="12" t="s">
        <v>90</v>
      </c>
      <c r="F7" s="21">
        <v>4</v>
      </c>
      <c r="G7" s="22">
        <f t="shared" si="0"/>
        <v>400</v>
      </c>
      <c r="H7" s="23">
        <v>22000</v>
      </c>
      <c r="I7" s="21">
        <v>1.5</v>
      </c>
      <c r="J7" s="22">
        <f t="shared" si="1"/>
        <v>600</v>
      </c>
      <c r="K7" s="17">
        <f>IFERROR(AVERAGEIF(Ecological_Footprint_Components!$C$3:$C$102,B7,Ecological_Footprint_Components!$J$3:$J$102),0)</f>
        <v>3.4217422181818183E-2</v>
      </c>
      <c r="L7" s="24">
        <f t="shared" si="2"/>
        <v>752.78328799999997</v>
      </c>
    </row>
    <row r="8" spans="1:12" x14ac:dyDescent="0.25">
      <c r="A8" s="12" t="s">
        <v>265</v>
      </c>
      <c r="B8" s="12" t="s">
        <v>125</v>
      </c>
      <c r="C8" s="20">
        <v>22.12</v>
      </c>
      <c r="D8" s="20">
        <v>88.83</v>
      </c>
      <c r="E8" s="12" t="s">
        <v>88</v>
      </c>
      <c r="F8" s="21">
        <v>2.6</v>
      </c>
      <c r="G8" s="22">
        <f t="shared" si="0"/>
        <v>260</v>
      </c>
      <c r="H8" s="23">
        <v>25000</v>
      </c>
      <c r="I8" s="21">
        <v>1.8</v>
      </c>
      <c r="J8" s="22">
        <f t="shared" si="1"/>
        <v>468</v>
      </c>
      <c r="K8" s="17">
        <f>IFERROR(AVERAGEIF(Ecological_Footprint_Components!$C$3:$C$102,B8,Ecological_Footprint_Components!$J$3:$J$102),0)</f>
        <v>3.3553522200000005E-2</v>
      </c>
      <c r="L8" s="24">
        <f t="shared" si="2"/>
        <v>838.83805500000017</v>
      </c>
    </row>
    <row r="9" spans="1:12" x14ac:dyDescent="0.25">
      <c r="A9" s="12" t="s">
        <v>266</v>
      </c>
      <c r="B9" s="12" t="s">
        <v>132</v>
      </c>
      <c r="C9" s="20">
        <v>21.883299999999998</v>
      </c>
      <c r="D9" s="20">
        <v>88.416700000000006</v>
      </c>
      <c r="E9" s="12" t="s">
        <v>88</v>
      </c>
      <c r="F9" s="21">
        <v>1.8</v>
      </c>
      <c r="G9" s="22">
        <f t="shared" si="0"/>
        <v>180</v>
      </c>
      <c r="H9" s="23">
        <v>15000</v>
      </c>
      <c r="I9" s="21">
        <v>1.8</v>
      </c>
      <c r="J9" s="22">
        <f t="shared" si="1"/>
        <v>324</v>
      </c>
      <c r="K9" s="17">
        <f>IFERROR(AVERAGEIF(Ecological_Footprint_Components!$C$3:$C$102,B9,Ecological_Footprint_Components!$J$3:$J$102),0)</f>
        <v>7.0169449937500017E-2</v>
      </c>
      <c r="L9" s="24">
        <f t="shared" si="2"/>
        <v>1052.5417490625002</v>
      </c>
    </row>
    <row r="10" spans="1:12" x14ac:dyDescent="0.25">
      <c r="A10" s="12" t="s">
        <v>267</v>
      </c>
      <c r="B10" s="12" t="s">
        <v>167</v>
      </c>
      <c r="C10" s="20">
        <v>22.05</v>
      </c>
      <c r="D10" s="20">
        <v>88.866699999999994</v>
      </c>
      <c r="E10" s="12" t="s">
        <v>88</v>
      </c>
      <c r="F10" s="21">
        <v>2.2000000000000002</v>
      </c>
      <c r="G10" s="22">
        <f t="shared" si="0"/>
        <v>220.00000000000003</v>
      </c>
      <c r="H10" s="23">
        <v>18000</v>
      </c>
      <c r="I10" s="21">
        <v>1.8</v>
      </c>
      <c r="J10" s="22">
        <f t="shared" si="1"/>
        <v>396.00000000000006</v>
      </c>
      <c r="K10" s="17">
        <f>IFERROR(AVERAGEIF(Ecological_Footprint_Components!$C$3:$C$102,B10,Ecological_Footprint_Components!$J$3:$J$102),0)</f>
        <v>4.2389951333333342E-2</v>
      </c>
      <c r="L10" s="24">
        <f t="shared" si="2"/>
        <v>763.01912400000015</v>
      </c>
    </row>
    <row r="11" spans="1:12" x14ac:dyDescent="0.25">
      <c r="A11" s="12" t="s">
        <v>268</v>
      </c>
      <c r="B11" s="12" t="s">
        <v>127</v>
      </c>
      <c r="C11" s="20">
        <v>21.816700000000001</v>
      </c>
      <c r="D11" s="20">
        <v>88.933300000000003</v>
      </c>
      <c r="E11" s="12" t="s">
        <v>86</v>
      </c>
      <c r="F11" s="21">
        <v>3.5</v>
      </c>
      <c r="G11" s="22">
        <f t="shared" si="0"/>
        <v>350</v>
      </c>
      <c r="H11" s="23">
        <v>12000</v>
      </c>
      <c r="I11" s="21">
        <v>1.9</v>
      </c>
      <c r="J11" s="22">
        <f t="shared" si="1"/>
        <v>665</v>
      </c>
      <c r="K11" s="17">
        <f>IFERROR(AVERAGEIF(Ecological_Footprint_Components!$C$3:$C$102,B11,Ecological_Footprint_Components!$J$3:$J$102),0)</f>
        <v>2.883454416666667E-2</v>
      </c>
      <c r="L11" s="24">
        <f t="shared" si="2"/>
        <v>346.01453000000004</v>
      </c>
    </row>
    <row r="12" spans="1:12" x14ac:dyDescent="0.25">
      <c r="A12" s="12" t="s">
        <v>269</v>
      </c>
      <c r="B12" s="12" t="s">
        <v>121</v>
      </c>
      <c r="C12" s="20">
        <v>22.033300000000001</v>
      </c>
      <c r="D12" s="20">
        <v>88.683300000000003</v>
      </c>
      <c r="E12" s="12" t="s">
        <v>90</v>
      </c>
      <c r="F12" s="21">
        <v>3</v>
      </c>
      <c r="G12" s="22">
        <f t="shared" si="0"/>
        <v>300</v>
      </c>
      <c r="H12" s="23">
        <v>33000</v>
      </c>
      <c r="I12" s="21">
        <v>1.5</v>
      </c>
      <c r="J12" s="22">
        <f t="shared" si="1"/>
        <v>450</v>
      </c>
      <c r="K12" s="17">
        <f>IFERROR(AVERAGEIF(Ecological_Footprint_Components!$C$3:$C$102,B12,Ecological_Footprint_Components!$J$3:$J$102),0)</f>
        <v>5.9147939749999996E-2</v>
      </c>
      <c r="L12" s="24">
        <f t="shared" si="2"/>
        <v>1951.8820117499999</v>
      </c>
    </row>
    <row r="14" spans="1:12" x14ac:dyDescent="0.25">
      <c r="A14" s="1" t="s">
        <v>270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</sheetData>
  <mergeCells count="2">
    <mergeCell ref="A1:L1"/>
    <mergeCell ref="A14:L14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"/>
  <sheetViews>
    <sheetView showGridLines="0" zoomScaleNormal="100" workbookViewId="0">
      <pane ySplit="2" topLeftCell="A3" activePane="bottomLeft" state="frozen"/>
      <selection pane="bottomLeft" sqref="A1:I1"/>
    </sheetView>
  </sheetViews>
  <sheetFormatPr defaultColWidth="8.7109375" defaultRowHeight="15" x14ac:dyDescent="0.25"/>
  <cols>
    <col min="1" max="1" width="30" customWidth="1"/>
    <col min="2" max="2" width="15" customWidth="1"/>
    <col min="3" max="4" width="12" customWidth="1"/>
    <col min="5" max="5" width="20" customWidth="1"/>
    <col min="6" max="6" width="22" customWidth="1"/>
    <col min="7" max="7" width="26" customWidth="1"/>
    <col min="8" max="8" width="20" customWidth="1"/>
    <col min="9" max="9" width="34" customWidth="1"/>
  </cols>
  <sheetData>
    <row r="1" spans="1:9" ht="25.5" customHeight="1" x14ac:dyDescent="0.25">
      <c r="A1" s="3" t="s">
        <v>271</v>
      </c>
      <c r="B1" s="3"/>
      <c r="C1" s="3"/>
      <c r="D1" s="3"/>
      <c r="E1" s="3"/>
      <c r="F1" s="3"/>
      <c r="G1" s="3"/>
      <c r="H1" s="3"/>
      <c r="I1" s="3"/>
    </row>
    <row r="2" spans="1:9" ht="30" x14ac:dyDescent="0.25">
      <c r="A2" s="11" t="s">
        <v>249</v>
      </c>
      <c r="B2" s="11" t="s">
        <v>252</v>
      </c>
      <c r="C2" s="11" t="s">
        <v>250</v>
      </c>
      <c r="D2" s="11" t="s">
        <v>251</v>
      </c>
      <c r="E2" s="11" t="s">
        <v>257</v>
      </c>
      <c r="F2" s="11" t="s">
        <v>259</v>
      </c>
      <c r="G2" s="11" t="s">
        <v>272</v>
      </c>
      <c r="H2" s="11" t="s">
        <v>273</v>
      </c>
      <c r="I2" s="11" t="s">
        <v>274</v>
      </c>
    </row>
    <row r="3" spans="1:9" x14ac:dyDescent="0.25">
      <c r="A3" s="16" t="str">
        <f>GIS_Site_Data!B3</f>
        <v>Sajnekhali</v>
      </c>
      <c r="B3" s="16" t="str">
        <f>GIS_Site_Data!E3</f>
        <v>Buffer Zone</v>
      </c>
      <c r="C3" s="25">
        <f>GIS_Site_Data!C3</f>
        <v>22.116700000000002</v>
      </c>
      <c r="D3" s="25">
        <f>GIS_Site_Data!D3</f>
        <v>88.816699999999997</v>
      </c>
      <c r="E3" s="24">
        <f>GIS_Site_Data!J3</f>
        <v>576</v>
      </c>
      <c r="F3" s="24">
        <f>GIS_Site_Data!L3</f>
        <v>1681.9478675999999</v>
      </c>
      <c r="G3" s="24">
        <f t="shared" ref="G3:G12" si="0">E3-F3</f>
        <v>-1105.9478675999999</v>
      </c>
      <c r="H3" s="26">
        <f t="shared" ref="H3:H12" si="1">IFERROR(F3/E3,0)</f>
        <v>2.92004838125</v>
      </c>
      <c r="I3" s="16" t="str">
        <f t="shared" ref="I3:I12" si="2">IF(H3&gt;1,"Ecological Deficit (unsustainable pressure)","Ecological Reserve (sustainable)")</f>
        <v>Ecological Deficit (unsustainable pressure)</v>
      </c>
    </row>
    <row r="4" spans="1:9" x14ac:dyDescent="0.25">
      <c r="A4" s="16" t="str">
        <f>GIS_Site_Data!B4</f>
        <v>Sudhanyakhali</v>
      </c>
      <c r="B4" s="16" t="str">
        <f>GIS_Site_Data!E4</f>
        <v>Core Zone</v>
      </c>
      <c r="C4" s="25">
        <f>GIS_Site_Data!C4</f>
        <v>22.091000000000001</v>
      </c>
      <c r="D4" s="25">
        <f>GIS_Site_Data!D4</f>
        <v>88.820999999999998</v>
      </c>
      <c r="E4" s="24">
        <f>GIS_Site_Data!J4</f>
        <v>399</v>
      </c>
      <c r="F4" s="24">
        <f>GIS_Site_Data!L4</f>
        <v>1536.6285142500001</v>
      </c>
      <c r="G4" s="24">
        <f t="shared" si="0"/>
        <v>-1137.6285142500001</v>
      </c>
      <c r="H4" s="26">
        <f t="shared" si="1"/>
        <v>3.8511992838345868</v>
      </c>
      <c r="I4" s="16" t="str">
        <f t="shared" si="2"/>
        <v>Ecological Deficit (unsustainable pressure)</v>
      </c>
    </row>
    <row r="5" spans="1:9" x14ac:dyDescent="0.25">
      <c r="A5" s="16" t="str">
        <f>GIS_Site_Data!B5</f>
        <v>Dobanki</v>
      </c>
      <c r="B5" s="16" t="str">
        <f>GIS_Site_Data!E5</f>
        <v>Core Zone</v>
      </c>
      <c r="C5" s="25">
        <f>GIS_Site_Data!C5</f>
        <v>21.933299999999999</v>
      </c>
      <c r="D5" s="25">
        <f>GIS_Site_Data!D5</f>
        <v>88.85</v>
      </c>
      <c r="E5" s="24">
        <f>GIS_Site_Data!J5</f>
        <v>532</v>
      </c>
      <c r="F5" s="24">
        <f>GIS_Site_Data!L5</f>
        <v>1040.7353001428571</v>
      </c>
      <c r="G5" s="24">
        <f t="shared" si="0"/>
        <v>-508.73530014285711</v>
      </c>
      <c r="H5" s="26">
        <f t="shared" si="1"/>
        <v>1.956269361170784</v>
      </c>
      <c r="I5" s="16" t="str">
        <f t="shared" si="2"/>
        <v>Ecological Deficit (unsustainable pressure)</v>
      </c>
    </row>
    <row r="6" spans="1:9" x14ac:dyDescent="0.25">
      <c r="A6" s="16" t="str">
        <f>GIS_Site_Data!B6</f>
        <v>Sonakhali (Gateway)</v>
      </c>
      <c r="B6" s="16" t="str">
        <f>GIS_Site_Data!E6</f>
        <v>Transition Zone</v>
      </c>
      <c r="C6" s="25">
        <f>GIS_Site_Data!C6</f>
        <v>22.15</v>
      </c>
      <c r="D6" s="25">
        <f>GIS_Site_Data!D6</f>
        <v>88.783299999999997</v>
      </c>
      <c r="E6" s="24">
        <f>GIS_Site_Data!J6</f>
        <v>225</v>
      </c>
      <c r="F6" s="24">
        <f>GIS_Site_Data!L6</f>
        <v>1564.0860536923078</v>
      </c>
      <c r="G6" s="24">
        <f t="shared" si="0"/>
        <v>-1339.0860536923078</v>
      </c>
      <c r="H6" s="26">
        <f t="shared" si="1"/>
        <v>6.9514935719658126</v>
      </c>
      <c r="I6" s="16" t="str">
        <f t="shared" si="2"/>
        <v>Ecological Deficit (unsustainable pressure)</v>
      </c>
    </row>
    <row r="7" spans="1:9" x14ac:dyDescent="0.25">
      <c r="A7" s="16" t="str">
        <f>GIS_Site_Data!B7</f>
        <v>Gosaba</v>
      </c>
      <c r="B7" s="16" t="str">
        <f>GIS_Site_Data!E7</f>
        <v>Transition Zone</v>
      </c>
      <c r="C7" s="25">
        <f>GIS_Site_Data!C7</f>
        <v>22.166699999999999</v>
      </c>
      <c r="D7" s="25">
        <f>GIS_Site_Data!D7</f>
        <v>88.8</v>
      </c>
      <c r="E7" s="24">
        <f>GIS_Site_Data!J7</f>
        <v>600</v>
      </c>
      <c r="F7" s="24">
        <f>GIS_Site_Data!L7</f>
        <v>752.78328799999997</v>
      </c>
      <c r="G7" s="24">
        <f t="shared" si="0"/>
        <v>-152.78328799999997</v>
      </c>
      <c r="H7" s="26">
        <f t="shared" si="1"/>
        <v>1.2546388133333333</v>
      </c>
      <c r="I7" s="16" t="str">
        <f t="shared" si="2"/>
        <v>Ecological Deficit (unsustainable pressure)</v>
      </c>
    </row>
    <row r="8" spans="1:9" x14ac:dyDescent="0.25">
      <c r="A8" s="16" t="str">
        <f>GIS_Site_Data!B8</f>
        <v>Pakhiralay</v>
      </c>
      <c r="B8" s="16" t="str">
        <f>GIS_Site_Data!E8</f>
        <v>Buffer Zone</v>
      </c>
      <c r="C8" s="25">
        <f>GIS_Site_Data!C8</f>
        <v>22.12</v>
      </c>
      <c r="D8" s="25">
        <f>GIS_Site_Data!D8</f>
        <v>88.83</v>
      </c>
      <c r="E8" s="24">
        <f>GIS_Site_Data!J8</f>
        <v>468</v>
      </c>
      <c r="F8" s="24">
        <f>GIS_Site_Data!L8</f>
        <v>838.83805500000017</v>
      </c>
      <c r="G8" s="24">
        <f t="shared" si="0"/>
        <v>-370.83805500000017</v>
      </c>
      <c r="H8" s="26">
        <f t="shared" si="1"/>
        <v>1.7923890064102568</v>
      </c>
      <c r="I8" s="16" t="str">
        <f t="shared" si="2"/>
        <v>Ecological Deficit (unsustainable pressure)</v>
      </c>
    </row>
    <row r="9" spans="1:9" x14ac:dyDescent="0.25">
      <c r="A9" s="16" t="str">
        <f>GIS_Site_Data!B9</f>
        <v>Bhagabatpur (Crocodile Project)</v>
      </c>
      <c r="B9" s="16" t="str">
        <f>GIS_Site_Data!E9</f>
        <v>Buffer Zone</v>
      </c>
      <c r="C9" s="25">
        <f>GIS_Site_Data!C9</f>
        <v>21.883299999999998</v>
      </c>
      <c r="D9" s="25">
        <f>GIS_Site_Data!D9</f>
        <v>88.416700000000006</v>
      </c>
      <c r="E9" s="24">
        <f>GIS_Site_Data!J9</f>
        <v>324</v>
      </c>
      <c r="F9" s="24">
        <f>GIS_Site_Data!L9</f>
        <v>1052.5417490625002</v>
      </c>
      <c r="G9" s="24">
        <f t="shared" si="0"/>
        <v>-728.54174906250023</v>
      </c>
      <c r="H9" s="26">
        <f t="shared" si="1"/>
        <v>3.2485856452546304</v>
      </c>
      <c r="I9" s="16" t="str">
        <f t="shared" si="2"/>
        <v>Ecological Deficit (unsustainable pressure)</v>
      </c>
    </row>
    <row r="10" spans="1:9" x14ac:dyDescent="0.25">
      <c r="A10" s="16" t="str">
        <f>GIS_Site_Data!B10</f>
        <v>Kalash</v>
      </c>
      <c r="B10" s="16" t="str">
        <f>GIS_Site_Data!E10</f>
        <v>Buffer Zone</v>
      </c>
      <c r="C10" s="25">
        <f>GIS_Site_Data!C10</f>
        <v>22.05</v>
      </c>
      <c r="D10" s="25">
        <f>GIS_Site_Data!D10</f>
        <v>88.866699999999994</v>
      </c>
      <c r="E10" s="24">
        <f>GIS_Site_Data!J10</f>
        <v>396.00000000000006</v>
      </c>
      <c r="F10" s="24">
        <f>GIS_Site_Data!L10</f>
        <v>763.01912400000015</v>
      </c>
      <c r="G10" s="24">
        <f t="shared" si="0"/>
        <v>-367.01912400000009</v>
      </c>
      <c r="H10" s="26">
        <f t="shared" si="1"/>
        <v>1.9268159696969698</v>
      </c>
      <c r="I10" s="16" t="str">
        <f t="shared" si="2"/>
        <v>Ecological Deficit (unsustainable pressure)</v>
      </c>
    </row>
    <row r="11" spans="1:9" x14ac:dyDescent="0.25">
      <c r="A11" s="16" t="str">
        <f>GIS_Site_Data!B11</f>
        <v>Netidhopani</v>
      </c>
      <c r="B11" s="16" t="str">
        <f>GIS_Site_Data!E11</f>
        <v>Core Zone</v>
      </c>
      <c r="C11" s="25">
        <f>GIS_Site_Data!C11</f>
        <v>21.816700000000001</v>
      </c>
      <c r="D11" s="25">
        <f>GIS_Site_Data!D11</f>
        <v>88.933300000000003</v>
      </c>
      <c r="E11" s="24">
        <f>GIS_Site_Data!J11</f>
        <v>665</v>
      </c>
      <c r="F11" s="24">
        <f>GIS_Site_Data!L11</f>
        <v>346.01453000000004</v>
      </c>
      <c r="G11" s="24">
        <f t="shared" si="0"/>
        <v>318.98546999999996</v>
      </c>
      <c r="H11" s="26">
        <f t="shared" si="1"/>
        <v>0.52032260150375942</v>
      </c>
      <c r="I11" s="16" t="str">
        <f t="shared" si="2"/>
        <v>Ecological Reserve (sustainable)</v>
      </c>
    </row>
    <row r="12" spans="1:9" x14ac:dyDescent="0.25">
      <c r="A12" s="16" t="str">
        <f>GIS_Site_Data!B12</f>
        <v>Jharkhali</v>
      </c>
      <c r="B12" s="16" t="str">
        <f>GIS_Site_Data!E12</f>
        <v>Transition Zone</v>
      </c>
      <c r="C12" s="25">
        <f>GIS_Site_Data!C12</f>
        <v>22.033300000000001</v>
      </c>
      <c r="D12" s="25">
        <f>GIS_Site_Data!D12</f>
        <v>88.683300000000003</v>
      </c>
      <c r="E12" s="24">
        <f>GIS_Site_Data!J12</f>
        <v>450</v>
      </c>
      <c r="F12" s="24">
        <f>GIS_Site_Data!L12</f>
        <v>1951.8820117499999</v>
      </c>
      <c r="G12" s="24">
        <f t="shared" si="0"/>
        <v>-1501.8820117499999</v>
      </c>
      <c r="H12" s="26">
        <f t="shared" si="1"/>
        <v>4.3375155816666666</v>
      </c>
      <c r="I12" s="16" t="str">
        <f t="shared" si="2"/>
        <v>Ecological Deficit (unsustainable pressure)</v>
      </c>
    </row>
    <row r="14" spans="1:9" x14ac:dyDescent="0.25">
      <c r="A14" s="18" t="s">
        <v>275</v>
      </c>
      <c r="E14" s="27">
        <f>SUM(E3:E12)</f>
        <v>4635</v>
      </c>
      <c r="F14" s="27">
        <f>SUM(F3:F12)</f>
        <v>11528.476493497665</v>
      </c>
      <c r="G14" s="27">
        <f>E14-F14</f>
        <v>-6893.4764934976647</v>
      </c>
      <c r="H14" s="28">
        <f>IFERROR(F14/E14,0)</f>
        <v>2.4872656943900031</v>
      </c>
    </row>
    <row r="16" spans="1:9" x14ac:dyDescent="0.25">
      <c r="A16" s="1" t="s">
        <v>276</v>
      </c>
      <c r="B16" s="1"/>
      <c r="C16" s="1"/>
      <c r="D16" s="1"/>
      <c r="E16" s="1"/>
      <c r="F16" s="1"/>
      <c r="G16" s="1"/>
      <c r="H16" s="1"/>
      <c r="I16" s="1"/>
    </row>
  </sheetData>
  <mergeCells count="2">
    <mergeCell ref="A1:I1"/>
    <mergeCell ref="A16:I16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7"/>
  <sheetViews>
    <sheetView showGridLines="0" tabSelected="1" zoomScaleNormal="100" workbookViewId="0">
      <selection sqref="A1:F1"/>
    </sheetView>
  </sheetViews>
  <sheetFormatPr defaultColWidth="8.7109375" defaultRowHeight="15" x14ac:dyDescent="0.25"/>
  <cols>
    <col min="1" max="1" width="42" customWidth="1"/>
    <col min="2" max="2" width="12" customWidth="1"/>
    <col min="3" max="3" width="18" customWidth="1"/>
    <col min="4" max="4" width="16" customWidth="1"/>
    <col min="5" max="6" width="4" customWidth="1"/>
  </cols>
  <sheetData>
    <row r="1" spans="1:6" ht="25.5" customHeight="1" x14ac:dyDescent="0.25">
      <c r="A1" s="3" t="s">
        <v>277</v>
      </c>
      <c r="B1" s="3"/>
      <c r="C1" s="3"/>
      <c r="D1" s="3"/>
      <c r="E1" s="3"/>
      <c r="F1" s="3"/>
    </row>
    <row r="3" spans="1:6" ht="15.75" x14ac:dyDescent="0.25">
      <c r="A3" s="7" t="s">
        <v>278</v>
      </c>
    </row>
    <row r="4" spans="1:6" ht="30" x14ac:dyDescent="0.25">
      <c r="A4" s="11" t="s">
        <v>279</v>
      </c>
      <c r="B4" s="11" t="s">
        <v>280</v>
      </c>
    </row>
    <row r="5" spans="1:6" x14ac:dyDescent="0.25">
      <c r="A5" s="8" t="s">
        <v>281</v>
      </c>
      <c r="B5" s="29">
        <f>COUNT(Ecological_Footprint_Components!$J$3:$J$102)</f>
        <v>100</v>
      </c>
    </row>
    <row r="6" spans="1:6" x14ac:dyDescent="0.25">
      <c r="A6" s="8" t="s">
        <v>282</v>
      </c>
      <c r="B6" s="30">
        <f>AVERAGE(Ecological_Footprint_Components!$J$3:$J$102)</f>
        <v>4.5894664279999997E-2</v>
      </c>
    </row>
    <row r="7" spans="1:6" x14ac:dyDescent="0.25">
      <c r="A7" s="8" t="s">
        <v>283</v>
      </c>
      <c r="B7" s="30">
        <f>MEDIAN(Ecological_Footprint_Components!$J$3:$J$102)</f>
        <v>2.9364932999999999E-2</v>
      </c>
    </row>
    <row r="8" spans="1:6" x14ac:dyDescent="0.25">
      <c r="A8" s="8" t="s">
        <v>284</v>
      </c>
      <c r="B8" s="30">
        <f>STDEV(Ecological_Footprint_Components!$J$3:$J$102)</f>
        <v>5.012792456840473E-2</v>
      </c>
    </row>
    <row r="9" spans="1:6" x14ac:dyDescent="0.25">
      <c r="A9" s="8" t="s">
        <v>285</v>
      </c>
      <c r="B9" s="30">
        <f>MIN(Ecological_Footprint_Components!$J$3:$J$102)</f>
        <v>3.4572940000000001E-3</v>
      </c>
    </row>
    <row r="10" spans="1:6" x14ac:dyDescent="0.25">
      <c r="A10" s="8" t="s">
        <v>286</v>
      </c>
      <c r="B10" s="30">
        <f>MAX(Ecological_Footprint_Components!$J$3:$J$102)</f>
        <v>0.32196825999999995</v>
      </c>
    </row>
    <row r="11" spans="1:6" x14ac:dyDescent="0.25">
      <c r="A11" s="8" t="s">
        <v>287</v>
      </c>
      <c r="B11" s="30">
        <f>SUM(Ecological_Footprint_Components!$J$3:$J$102)</f>
        <v>4.5894664279999997</v>
      </c>
    </row>
    <row r="13" spans="1:6" ht="15.75" x14ac:dyDescent="0.25">
      <c r="A13" s="7" t="s">
        <v>288</v>
      </c>
    </row>
    <row r="14" spans="1:6" x14ac:dyDescent="0.25">
      <c r="A14" s="11" t="s">
        <v>107</v>
      </c>
      <c r="B14" s="11" t="s">
        <v>289</v>
      </c>
      <c r="C14" s="11" t="s">
        <v>290</v>
      </c>
      <c r="D14" s="11" t="s">
        <v>291</v>
      </c>
    </row>
    <row r="15" spans="1:6" x14ac:dyDescent="0.25">
      <c r="A15" s="9" t="s">
        <v>113</v>
      </c>
      <c r="B15" s="31">
        <f>COUNTIF(Ecological_Footprint_Components!$D$3:$D$102,A15)</f>
        <v>57</v>
      </c>
      <c r="C15" s="30">
        <f>AVERAGEIF(Ecological_Footprint_Components!$D$3:$D$102,A15,Ecological_Footprint_Components!$J$3:$J$102)</f>
        <v>4.1873257245614026E-2</v>
      </c>
      <c r="D15" s="30">
        <f>SQRT(SUMPRODUCT((Ecological_Footprint_Components!$D$3:$D$102=A15)*((Ecological_Footprint_Components!$J$3:$J$102)-C15)^2)/(B15-1))</f>
        <v>4.2553828751094855E-2</v>
      </c>
    </row>
    <row r="16" spans="1:6" x14ac:dyDescent="0.25">
      <c r="A16" s="9" t="s">
        <v>154</v>
      </c>
      <c r="B16" s="31">
        <f>COUNTIF(Ecological_Footprint_Components!$D$3:$D$102,A16)</f>
        <v>16</v>
      </c>
      <c r="C16" s="30">
        <f>AVERAGEIF(Ecological_Footprint_Components!$D$3:$D$102,A16,Ecological_Footprint_Components!$J$3:$J$102)</f>
        <v>4.6586582312499993E-2</v>
      </c>
      <c r="D16" s="30">
        <f>SQRT(SUMPRODUCT((Ecological_Footprint_Components!$D$3:$D$102=A16)*((Ecological_Footprint_Components!$J$3:$J$102)-C16)^2)/(B16-1))</f>
        <v>5.1673778843912631E-2</v>
      </c>
    </row>
    <row r="17" spans="1:4" x14ac:dyDescent="0.25">
      <c r="A17" s="9" t="s">
        <v>118</v>
      </c>
      <c r="B17" s="31">
        <f>COUNTIF(Ecological_Footprint_Components!$D$3:$D$102,A17)</f>
        <v>27</v>
      </c>
      <c r="C17" s="30">
        <f>AVERAGEIF(Ecological_Footprint_Components!$D$3:$D$102,A17,Ecological_Footprint_Components!$J$3:$J$102)</f>
        <v>5.3974275851851848E-2</v>
      </c>
      <c r="D17" s="30">
        <f>SQRT(SUMPRODUCT((Ecological_Footprint_Components!$D$3:$D$102=A17)*((Ecological_Footprint_Components!$J$3:$J$102)-C17)^2)/(B17-1))</f>
        <v>6.3432879078252208E-2</v>
      </c>
    </row>
    <row r="19" spans="1:4" ht="15.75" x14ac:dyDescent="0.25">
      <c r="A19" s="7" t="s">
        <v>292</v>
      </c>
    </row>
    <row r="20" spans="1:4" x14ac:dyDescent="0.25">
      <c r="A20" s="11" t="s">
        <v>293</v>
      </c>
      <c r="B20" s="11" t="s">
        <v>289</v>
      </c>
      <c r="C20" s="11" t="s">
        <v>290</v>
      </c>
      <c r="D20" s="11" t="s">
        <v>291</v>
      </c>
    </row>
    <row r="21" spans="1:4" x14ac:dyDescent="0.25">
      <c r="A21" s="9" t="s">
        <v>110</v>
      </c>
      <c r="B21" s="31">
        <f>COUNTIF(Ecological_Footprint_Components!$B$3:$B$102,A21)</f>
        <v>88</v>
      </c>
      <c r="C21" s="30">
        <f>AVERAGEIF(Ecological_Footprint_Components!$B$3:$B$102,A21,Ecological_Footprint_Components!$J$3:$J$102)</f>
        <v>3.2293580522727267E-2</v>
      </c>
      <c r="D21" s="30">
        <f>SQRT(SUMPRODUCT((Ecological_Footprint_Components!$B$3:$B$102=A21)*((Ecological_Footprint_Components!$J$3:$J$102)-C21)^2)/(B21-1))</f>
        <v>2.1599521044305375E-2</v>
      </c>
    </row>
    <row r="22" spans="1:4" x14ac:dyDescent="0.25">
      <c r="A22" s="9" t="s">
        <v>122</v>
      </c>
      <c r="B22" s="31">
        <f>COUNTIF(Ecological_Footprint_Components!$B$3:$B$102,A22)</f>
        <v>12</v>
      </c>
      <c r="C22" s="30">
        <f>AVERAGEIF(Ecological_Footprint_Components!$B$3:$B$102,A22,Ecological_Footprint_Components!$J$3:$J$102)</f>
        <v>0.14563594516666667</v>
      </c>
      <c r="D22" s="30">
        <f>SQRT(SUMPRODUCT((Ecological_Footprint_Components!$B$3:$B$102=A22)*((Ecological_Footprint_Components!$J$3:$J$102)-C22)^2)/(B22-1))</f>
        <v>8.1195724181776771E-2</v>
      </c>
    </row>
    <row r="24" spans="1:4" ht="15.75" x14ac:dyDescent="0.25">
      <c r="A24" s="7" t="s">
        <v>294</v>
      </c>
    </row>
    <row r="25" spans="1:4" x14ac:dyDescent="0.25">
      <c r="A25" s="11" t="s">
        <v>295</v>
      </c>
      <c r="B25" s="11" t="s">
        <v>289</v>
      </c>
      <c r="C25" s="11" t="s">
        <v>290</v>
      </c>
      <c r="D25" s="11" t="s">
        <v>291</v>
      </c>
    </row>
    <row r="26" spans="1:4" x14ac:dyDescent="0.25">
      <c r="A26" s="9" t="s">
        <v>189</v>
      </c>
      <c r="B26" s="31">
        <f>COUNTIF(Ecological_Footprint_Components!$C$3:$C$102,A26)</f>
        <v>5</v>
      </c>
      <c r="C26" s="30">
        <f>IFERROR(AVERAGEIF(Ecological_Footprint_Components!$C$3:$C$102,A26,Ecological_Footprint_Components!$J$3:$J$102),0)</f>
        <v>4.0046377799999998E-2</v>
      </c>
      <c r="D26" s="30">
        <f>IFERROR(SQRT(SUMPRODUCT((Ecological_Footprint_Components!$C$3:$C$102=A26)*((Ecological_Footprint_Components!$J$3:$J$102)-C26)^2)/(B26-1)),0)</f>
        <v>2.3660388239441301E-2</v>
      </c>
    </row>
    <row r="27" spans="1:4" x14ac:dyDescent="0.25">
      <c r="A27" s="9" t="s">
        <v>109</v>
      </c>
      <c r="B27" s="31">
        <f>COUNTIF(Ecological_Footprint_Components!$C$3:$C$102,A27)</f>
        <v>12</v>
      </c>
      <c r="C27" s="30">
        <f>IFERROR(AVERAGEIF(Ecological_Footprint_Components!$C$3:$C$102,A27,Ecological_Footprint_Components!$J$3:$J$102),0)</f>
        <v>4.956866175E-2</v>
      </c>
      <c r="D27" s="30">
        <f>IFERROR(SQRT(SUMPRODUCT((Ecological_Footprint_Components!$C$3:$C$102=A27)*((Ecological_Footprint_Components!$J$3:$J$102)-C27)^2)/(B27-1)),0)</f>
        <v>3.5155732399593097E-2</v>
      </c>
    </row>
    <row r="28" spans="1:4" x14ac:dyDescent="0.25">
      <c r="A28" s="9" t="s">
        <v>163</v>
      </c>
      <c r="B28" s="31">
        <f>COUNTIF(Ecological_Footprint_Components!$C$3:$C$102,A28)</f>
        <v>7</v>
      </c>
      <c r="C28" s="30">
        <f>IFERROR(AVERAGEIF(Ecological_Footprint_Components!$C$3:$C$102,A28,Ecological_Footprint_Components!$J$3:$J$102),0)</f>
        <v>3.854575185714286E-2</v>
      </c>
      <c r="D28" s="30">
        <f>IFERROR(SQRT(SUMPRODUCT((Ecological_Footprint_Components!$C$3:$C$102=A28)*((Ecological_Footprint_Components!$J$3:$J$102)-C28)^2)/(B28-1)),0)</f>
        <v>2.3037357553099377E-2</v>
      </c>
    </row>
    <row r="29" spans="1:4" x14ac:dyDescent="0.25">
      <c r="A29" s="9" t="s">
        <v>115</v>
      </c>
      <c r="B29" s="31">
        <f>COUNTIF(Ecological_Footprint_Components!$C$3:$C$102,A29)</f>
        <v>13</v>
      </c>
      <c r="C29" s="30">
        <f>IFERROR(AVERAGEIF(Ecological_Footprint_Components!$C$3:$C$102,A29,Ecological_Footprint_Components!$J$3:$J$102),0)</f>
        <v>4.1160159307692311E-2</v>
      </c>
      <c r="D29" s="30">
        <f>IFERROR(SQRT(SUMPRODUCT((Ecological_Footprint_Components!$C$3:$C$102=A29)*((Ecological_Footprint_Components!$J$3:$J$102)-C29)^2)/(B29-1)),0)</f>
        <v>4.6092972833521789E-2</v>
      </c>
    </row>
    <row r="30" spans="1:4" x14ac:dyDescent="0.25">
      <c r="A30" s="9" t="s">
        <v>134</v>
      </c>
      <c r="B30" s="31">
        <f>COUNTIF(Ecological_Footprint_Components!$C$3:$C$102,A30)</f>
        <v>11</v>
      </c>
      <c r="C30" s="30">
        <f>IFERROR(AVERAGEIF(Ecological_Footprint_Components!$C$3:$C$102,A30,Ecological_Footprint_Components!$J$3:$J$102),0)</f>
        <v>3.4217422181818183E-2</v>
      </c>
      <c r="D30" s="30">
        <f>IFERROR(SQRT(SUMPRODUCT((Ecological_Footprint_Components!$C$3:$C$102=A30)*((Ecological_Footprint_Components!$J$3:$J$102)-C30)^2)/(B30-1)),0)</f>
        <v>2.1628258454084233E-2</v>
      </c>
    </row>
    <row r="31" spans="1:4" x14ac:dyDescent="0.25">
      <c r="A31" s="9" t="s">
        <v>125</v>
      </c>
      <c r="B31" s="31">
        <f>COUNTIF(Ecological_Footprint_Components!$C$3:$C$102,A31)</f>
        <v>10</v>
      </c>
      <c r="C31" s="30">
        <f>IFERROR(AVERAGEIF(Ecological_Footprint_Components!$C$3:$C$102,A31,Ecological_Footprint_Components!$J$3:$J$102),0)</f>
        <v>3.3553522200000005E-2</v>
      </c>
      <c r="D31" s="30">
        <f>IFERROR(SQRT(SUMPRODUCT((Ecological_Footprint_Components!$C$3:$C$102=A31)*((Ecological_Footprint_Components!$J$3:$J$102)-C31)^2)/(B31-1)),0)</f>
        <v>2.4644025019511899E-2</v>
      </c>
    </row>
    <row r="32" spans="1:4" x14ac:dyDescent="0.25">
      <c r="A32" s="9" t="s">
        <v>132</v>
      </c>
      <c r="B32" s="31">
        <f>COUNTIF(Ecological_Footprint_Components!$C$3:$C$102,A32)</f>
        <v>16</v>
      </c>
      <c r="C32" s="30">
        <f>IFERROR(AVERAGEIF(Ecological_Footprint_Components!$C$3:$C$102,A32,Ecological_Footprint_Components!$J$3:$J$102),0)</f>
        <v>7.0169449937500017E-2</v>
      </c>
      <c r="D32" s="30">
        <f>IFERROR(SQRT(SUMPRODUCT((Ecological_Footprint_Components!$C$3:$C$102=A32)*((Ecological_Footprint_Components!$J$3:$J$102)-C32)^2)/(B32-1)),0)</f>
        <v>8.6549940797511313E-2</v>
      </c>
    </row>
    <row r="33" spans="1:6" x14ac:dyDescent="0.25">
      <c r="A33" s="9" t="s">
        <v>167</v>
      </c>
      <c r="B33" s="31">
        <f>COUNTIF(Ecological_Footprint_Components!$C$3:$C$102,A33)</f>
        <v>12</v>
      </c>
      <c r="C33" s="30">
        <f>IFERROR(AVERAGEIF(Ecological_Footprint_Components!$C$3:$C$102,A33,Ecological_Footprint_Components!$J$3:$J$102),0)</f>
        <v>4.2389951333333342E-2</v>
      </c>
      <c r="D33" s="30">
        <f>IFERROR(SQRT(SUMPRODUCT((Ecological_Footprint_Components!$C$3:$C$102=A33)*((Ecological_Footprint_Components!$J$3:$J$102)-C33)^2)/(B33-1)),0)</f>
        <v>2.8178362308001796E-2</v>
      </c>
    </row>
    <row r="34" spans="1:6" x14ac:dyDescent="0.25">
      <c r="A34" s="9" t="s">
        <v>127</v>
      </c>
      <c r="B34" s="31">
        <f>COUNTIF(Ecological_Footprint_Components!$C$3:$C$102,A34)</f>
        <v>6</v>
      </c>
      <c r="C34" s="30">
        <f>IFERROR(AVERAGEIF(Ecological_Footprint_Components!$C$3:$C$102,A34,Ecological_Footprint_Components!$J$3:$J$102),0)</f>
        <v>2.883454416666667E-2</v>
      </c>
      <c r="D34" s="30">
        <f>IFERROR(SQRT(SUMPRODUCT((Ecological_Footprint_Components!$C$3:$C$102=A34)*((Ecological_Footprint_Components!$J$3:$J$102)-C34)^2)/(B34-1)),0)</f>
        <v>9.5201742064417571E-3</v>
      </c>
    </row>
    <row r="35" spans="1:6" x14ac:dyDescent="0.25">
      <c r="A35" s="9" t="s">
        <v>121</v>
      </c>
      <c r="B35" s="31">
        <f>COUNTIF(Ecological_Footprint_Components!$C$3:$C$102,A35)</f>
        <v>8</v>
      </c>
      <c r="C35" s="30">
        <f>IFERROR(AVERAGEIF(Ecological_Footprint_Components!$C$3:$C$102,A35,Ecological_Footprint_Components!$J$3:$J$102),0)</f>
        <v>5.9147939749999996E-2</v>
      </c>
      <c r="D35" s="30">
        <f>IFERROR(SQRT(SUMPRODUCT((Ecological_Footprint_Components!$C$3:$C$102=A35)*((Ecological_Footprint_Components!$J$3:$J$102)-C35)^2)/(B35-1)),0)</f>
        <v>8.9288853975132754E-2</v>
      </c>
    </row>
    <row r="37" spans="1:6" ht="15.75" x14ac:dyDescent="0.25">
      <c r="A37" s="7" t="s">
        <v>296</v>
      </c>
    </row>
    <row r="38" spans="1:6" ht="60" x14ac:dyDescent="0.25">
      <c r="A38" s="11" t="s">
        <v>297</v>
      </c>
      <c r="B38" s="11" t="s">
        <v>298</v>
      </c>
    </row>
    <row r="39" spans="1:6" x14ac:dyDescent="0.25">
      <c r="A39" s="8" t="s">
        <v>102</v>
      </c>
      <c r="B39" s="32">
        <f>CORREL(Ecological_Footprint_Components!$J$3:$J$102,Tourist_Survey_Data!$J$3:$J$102)</f>
        <v>0.8314952741902264</v>
      </c>
    </row>
    <row r="40" spans="1:6" x14ac:dyDescent="0.25">
      <c r="A40" s="8" t="s">
        <v>100</v>
      </c>
      <c r="B40" s="32">
        <f>CORREL(Ecological_Footprint_Components!$J$3:$J$102,Tourist_Survey_Data!$H$3:$H$102)</f>
        <v>0.17112178138686979</v>
      </c>
    </row>
    <row r="41" spans="1:6" x14ac:dyDescent="0.25">
      <c r="A41" s="8" t="s">
        <v>99</v>
      </c>
      <c r="B41" s="32">
        <f>CORREL(Ecological_Footprint_Components!$J$3:$J$102,Tourist_Survey_Data!$G$3:$G$102)</f>
        <v>0.11776133285547193</v>
      </c>
    </row>
    <row r="42" spans="1:6" x14ac:dyDescent="0.25">
      <c r="A42" s="8" t="s">
        <v>106</v>
      </c>
      <c r="B42" s="32">
        <f>CORREL(Ecological_Footprint_Components!$J$3:$J$102,Tourist_Survey_Data!$N$3:$N$102)</f>
        <v>3.6947406410806891E-2</v>
      </c>
    </row>
    <row r="44" spans="1:6" ht="15.75" x14ac:dyDescent="0.25">
      <c r="A44" s="7" t="s">
        <v>299</v>
      </c>
    </row>
    <row r="45" spans="1:6" x14ac:dyDescent="0.25">
      <c r="A45" s="8" t="s">
        <v>300</v>
      </c>
      <c r="B45" s="32">
        <f>CORREL(GIS_Site_Data!$H$3:$H$12,Site_Sustainability_Summary!$H$3:$H$12)</f>
        <v>0.65654772009422091</v>
      </c>
    </row>
    <row r="47" spans="1:6" x14ac:dyDescent="0.25">
      <c r="A47" s="1" t="s">
        <v>301</v>
      </c>
      <c r="B47" s="1"/>
      <c r="C47" s="1"/>
      <c r="D47" s="1"/>
      <c r="E47" s="1"/>
      <c r="F47" s="1"/>
    </row>
  </sheetData>
  <mergeCells count="2">
    <mergeCell ref="A1:F1"/>
    <mergeCell ref="A47:F4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Read_Me</vt:lpstr>
      <vt:lpstr>Assumptions</vt:lpstr>
      <vt:lpstr>Tourist_Survey_Data</vt:lpstr>
      <vt:lpstr>Ecological_Footprint_Components</vt:lpstr>
      <vt:lpstr>GIS_Site_Data</vt:lpstr>
      <vt:lpstr>Site_Sustainability_Summary</vt:lpstr>
      <vt:lpstr>Statistical_Summary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2026-09-09T10:48:34Z</dcterms:created>
  <dcterms:modified xsi:type="dcterms:W3CDTF">2026-09-09T10:50:05Z</dcterms:modified>
  <dc:language>en-US</dc:language>
</cp:coreProperties>
</file>