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omments1.xml" ContentType="application/vnd.openxmlformats-officedocument.spreadsheetml.comments+xml"/>
  <Override PartName="/xl/drawings/drawing2.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96fa970b0748a0fe/Documents/ARTICLE PUBLISHED OH HEALTH ECONOMY REVIEW/Public financing health Needs/VERSION FINALE MANUSCRIPT/VERSION FINALES POUR SOUMISSION/FINALE HER/"/>
    </mc:Choice>
  </mc:AlternateContent>
  <xr:revisionPtr revIDLastSave="2" documentId="8_{FBF17DA2-4ECF-44B6-8BB1-91A796E0BAB7}" xr6:coauthVersionLast="47" xr6:coauthVersionMax="47" xr10:uidLastSave="{B9288583-1587-4316-BB1C-B9377BC38FEF}"/>
  <bookViews>
    <workbookView showSheetTabs="0" xWindow="-110" yWindow="-110" windowWidth="19420" windowHeight="10300" xr2:uid="{00000000-000D-0000-FFFF-FFFF00000000}"/>
  </bookViews>
  <sheets>
    <sheet name="SIM_Accueil" sheetId="1" r:id="rId1"/>
    <sheet name="Resume_Executif" sheetId="2" r:id="rId2"/>
    <sheet name="Guide_Parametres" sheetId="3" r:id="rId3"/>
    <sheet name="Synthese_Budgets_2016_2027" sheetId="4" r:id="rId4"/>
    <sheet name="Controle_panel" sheetId="5" r:id="rId5"/>
    <sheet name="Sources_criteres" sheetId="6" r:id="rId6"/>
    <sheet name="Donnees_offre_actives" sheetId="7" r:id="rId7"/>
    <sheet name="SIM_Parametres" sheetId="8" r:id="rId8"/>
    <sheet name="SIM_Districts" sheetId="9" r:id="rId9"/>
    <sheet name="SIM_Modele" sheetId="10" r:id="rId10"/>
    <sheet name="SIM_Tableau_Bord" sheetId="11" r:id="rId11"/>
    <sheet name="SIM_Resultats_DS" sheetId="12" r:id="rId12"/>
    <sheet name="SIM_Controles" sheetId="13" r:id="rId13"/>
    <sheet name="SIM_Dictionnaire" sheetId="14" r:id="rId14"/>
    <sheet name="SIM_Sources_Audit" sheetId="15" r:id="rId15"/>
    <sheet name="Donnees_EDS_2023" sheetId="16" r:id="rId16"/>
    <sheet name="Donnees_EHCVM_2021_2022" sheetId="17" r:id="rId17"/>
    <sheet name="Donnees_RGPH_2023" sheetId="18" r:id="rId18"/>
    <sheet name="Modelisation_Manuscrit" sheetId="19" r:id="rId19"/>
  </sheet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12" i="13" l="1"/>
  <c r="C11" i="13"/>
  <c r="B7" i="13"/>
  <c r="E7" i="13" s="1"/>
  <c r="B6" i="13"/>
  <c r="E6" i="13" s="1"/>
  <c r="B5" i="13"/>
  <c r="E5" i="13" s="1"/>
  <c r="B4" i="13"/>
  <c r="E4" i="13" s="1"/>
  <c r="D22" i="12"/>
  <c r="D21" i="12"/>
  <c r="D20" i="12"/>
  <c r="D19" i="12"/>
  <c r="D18" i="12"/>
  <c r="D17" i="12"/>
  <c r="C17" i="12"/>
  <c r="D16" i="12"/>
  <c r="D15" i="12"/>
  <c r="C15" i="12"/>
  <c r="D14" i="12"/>
  <c r="C14" i="12"/>
  <c r="D13" i="12"/>
  <c r="C13" i="12"/>
  <c r="D12" i="12"/>
  <c r="C12" i="12"/>
  <c r="D11" i="12"/>
  <c r="C11" i="12"/>
  <c r="E10" i="12"/>
  <c r="D10" i="12"/>
  <c r="E9" i="12"/>
  <c r="D9" i="12"/>
  <c r="C9" i="12"/>
  <c r="E8" i="12"/>
  <c r="D8" i="12"/>
  <c r="B4" i="12"/>
  <c r="F18" i="11"/>
  <c r="F17" i="11"/>
  <c r="F16" i="11"/>
  <c r="F15" i="11"/>
  <c r="D14" i="11"/>
  <c r="C14" i="11"/>
  <c r="D13" i="11"/>
  <c r="C13" i="11"/>
  <c r="D12" i="11"/>
  <c r="C12" i="11"/>
  <c r="B5" i="11"/>
  <c r="Q1068" i="10"/>
  <c r="P1068" i="10"/>
  <c r="L1068" i="10"/>
  <c r="K1068" i="10"/>
  <c r="J1068" i="10"/>
  <c r="I1068" i="10"/>
  <c r="H1068" i="10"/>
  <c r="G1068" i="10"/>
  <c r="Q1067" i="10"/>
  <c r="P1067" i="10"/>
  <c r="L1067" i="10"/>
  <c r="K1067" i="10"/>
  <c r="J1067" i="10"/>
  <c r="I1067" i="10"/>
  <c r="H1067" i="10"/>
  <c r="G1067" i="10"/>
  <c r="Q1066" i="10"/>
  <c r="P1066" i="10"/>
  <c r="L1066" i="10"/>
  <c r="K1066" i="10"/>
  <c r="J1066" i="10"/>
  <c r="I1066" i="10"/>
  <c r="H1066" i="10"/>
  <c r="G1066" i="10"/>
  <c r="Q1065" i="10"/>
  <c r="P1065" i="10"/>
  <c r="L1065" i="10"/>
  <c r="K1065" i="10"/>
  <c r="J1065" i="10"/>
  <c r="I1065" i="10"/>
  <c r="H1065" i="10"/>
  <c r="G1065" i="10"/>
  <c r="Q1064" i="10"/>
  <c r="P1064" i="10"/>
  <c r="L1064" i="10"/>
  <c r="K1064" i="10"/>
  <c r="J1064" i="10"/>
  <c r="I1064" i="10"/>
  <c r="H1064" i="10"/>
  <c r="G1064" i="10"/>
  <c r="Q1063" i="10"/>
  <c r="P1063" i="10"/>
  <c r="L1063" i="10"/>
  <c r="K1063" i="10"/>
  <c r="J1063" i="10"/>
  <c r="I1063" i="10"/>
  <c r="H1063" i="10"/>
  <c r="G1063" i="10"/>
  <c r="Q1062" i="10"/>
  <c r="P1062" i="10"/>
  <c r="L1062" i="10"/>
  <c r="K1062" i="10"/>
  <c r="J1062" i="10"/>
  <c r="I1062" i="10"/>
  <c r="H1062" i="10"/>
  <c r="G1062" i="10"/>
  <c r="Q1061" i="10"/>
  <c r="P1061" i="10"/>
  <c r="L1061" i="10"/>
  <c r="K1061" i="10"/>
  <c r="J1061" i="10"/>
  <c r="I1061" i="10"/>
  <c r="H1061" i="10"/>
  <c r="G1061" i="10"/>
  <c r="Q1060" i="10"/>
  <c r="P1060" i="10"/>
  <c r="L1060" i="10"/>
  <c r="K1060" i="10"/>
  <c r="J1060" i="10"/>
  <c r="I1060" i="10"/>
  <c r="H1060" i="10"/>
  <c r="G1060" i="10"/>
  <c r="Q1059" i="10"/>
  <c r="P1059" i="10"/>
  <c r="L1059" i="10"/>
  <c r="K1059" i="10"/>
  <c r="J1059" i="10"/>
  <c r="I1059" i="10"/>
  <c r="H1059" i="10"/>
  <c r="G1059" i="10"/>
  <c r="Q1058" i="10"/>
  <c r="P1058" i="10"/>
  <c r="L1058" i="10"/>
  <c r="K1058" i="10"/>
  <c r="J1058" i="10"/>
  <c r="I1058" i="10"/>
  <c r="H1058" i="10"/>
  <c r="G1058" i="10"/>
  <c r="Q1057" i="10"/>
  <c r="P1057" i="10"/>
  <c r="L1057" i="10"/>
  <c r="K1057" i="10"/>
  <c r="J1057" i="10"/>
  <c r="I1057" i="10"/>
  <c r="H1057" i="10"/>
  <c r="G1057" i="10"/>
  <c r="Q1056" i="10"/>
  <c r="P1056" i="10"/>
  <c r="L1056" i="10"/>
  <c r="K1056" i="10"/>
  <c r="J1056" i="10"/>
  <c r="I1056" i="10"/>
  <c r="H1056" i="10"/>
  <c r="G1056" i="10"/>
  <c r="Q1055" i="10"/>
  <c r="P1055" i="10"/>
  <c r="L1055" i="10"/>
  <c r="K1055" i="10"/>
  <c r="J1055" i="10"/>
  <c r="I1055" i="10"/>
  <c r="H1055" i="10"/>
  <c r="G1055" i="10"/>
  <c r="Q1054" i="10"/>
  <c r="P1054" i="10"/>
  <c r="L1054" i="10"/>
  <c r="K1054" i="10"/>
  <c r="J1054" i="10"/>
  <c r="I1054" i="10"/>
  <c r="H1054" i="10"/>
  <c r="G1054" i="10"/>
  <c r="Q1053" i="10"/>
  <c r="P1053" i="10"/>
  <c r="L1053" i="10"/>
  <c r="K1053" i="10"/>
  <c r="J1053" i="10"/>
  <c r="I1053" i="10"/>
  <c r="H1053" i="10"/>
  <c r="G1053" i="10"/>
  <c r="Q1052" i="10"/>
  <c r="P1052" i="10"/>
  <c r="L1052" i="10"/>
  <c r="K1052" i="10"/>
  <c r="J1052" i="10"/>
  <c r="I1052" i="10"/>
  <c r="H1052" i="10"/>
  <c r="G1052" i="10"/>
  <c r="Q1051" i="10"/>
  <c r="P1051" i="10"/>
  <c r="L1051" i="10"/>
  <c r="K1051" i="10"/>
  <c r="J1051" i="10"/>
  <c r="I1051" i="10"/>
  <c r="H1051" i="10"/>
  <c r="G1051" i="10"/>
  <c r="Q1050" i="10"/>
  <c r="P1050" i="10"/>
  <c r="L1050" i="10"/>
  <c r="K1050" i="10"/>
  <c r="J1050" i="10"/>
  <c r="I1050" i="10"/>
  <c r="H1050" i="10"/>
  <c r="G1050" i="10"/>
  <c r="Q1049" i="10"/>
  <c r="P1049" i="10"/>
  <c r="L1049" i="10"/>
  <c r="K1049" i="10"/>
  <c r="J1049" i="10"/>
  <c r="I1049" i="10"/>
  <c r="H1049" i="10"/>
  <c r="G1049" i="10"/>
  <c r="Q1048" i="10"/>
  <c r="P1048" i="10"/>
  <c r="L1048" i="10"/>
  <c r="K1048" i="10"/>
  <c r="J1048" i="10"/>
  <c r="I1048" i="10"/>
  <c r="H1048" i="10"/>
  <c r="G1048" i="10"/>
  <c r="Q1047" i="10"/>
  <c r="P1047" i="10"/>
  <c r="L1047" i="10"/>
  <c r="K1047" i="10"/>
  <c r="J1047" i="10"/>
  <c r="I1047" i="10"/>
  <c r="H1047" i="10"/>
  <c r="G1047" i="10"/>
  <c r="Q1046" i="10"/>
  <c r="P1046" i="10"/>
  <c r="L1046" i="10"/>
  <c r="K1046" i="10"/>
  <c r="J1046" i="10"/>
  <c r="I1046" i="10"/>
  <c r="H1046" i="10"/>
  <c r="G1046" i="10"/>
  <c r="Q1045" i="10"/>
  <c r="P1045" i="10"/>
  <c r="L1045" i="10"/>
  <c r="K1045" i="10"/>
  <c r="J1045" i="10"/>
  <c r="I1045" i="10"/>
  <c r="H1045" i="10"/>
  <c r="G1045" i="10"/>
  <c r="Q1044" i="10"/>
  <c r="P1044" i="10"/>
  <c r="L1044" i="10"/>
  <c r="K1044" i="10"/>
  <c r="J1044" i="10"/>
  <c r="I1044" i="10"/>
  <c r="H1044" i="10"/>
  <c r="G1044" i="10"/>
  <c r="Q1043" i="10"/>
  <c r="P1043" i="10"/>
  <c r="L1043" i="10"/>
  <c r="K1043" i="10"/>
  <c r="J1043" i="10"/>
  <c r="I1043" i="10"/>
  <c r="H1043" i="10"/>
  <c r="G1043" i="10"/>
  <c r="Q1042" i="10"/>
  <c r="P1042" i="10"/>
  <c r="L1042" i="10"/>
  <c r="K1042" i="10"/>
  <c r="J1042" i="10"/>
  <c r="I1042" i="10"/>
  <c r="H1042" i="10"/>
  <c r="G1042" i="10"/>
  <c r="Q1041" i="10"/>
  <c r="P1041" i="10"/>
  <c r="L1041" i="10"/>
  <c r="K1041" i="10"/>
  <c r="J1041" i="10"/>
  <c r="I1041" i="10"/>
  <c r="H1041" i="10"/>
  <c r="G1041" i="10"/>
  <c r="Q1040" i="10"/>
  <c r="P1040" i="10"/>
  <c r="L1040" i="10"/>
  <c r="K1040" i="10"/>
  <c r="J1040" i="10"/>
  <c r="I1040" i="10"/>
  <c r="H1040" i="10"/>
  <c r="G1040" i="10"/>
  <c r="Q1039" i="10"/>
  <c r="P1039" i="10"/>
  <c r="L1039" i="10"/>
  <c r="K1039" i="10"/>
  <c r="J1039" i="10"/>
  <c r="I1039" i="10"/>
  <c r="H1039" i="10"/>
  <c r="G1039" i="10"/>
  <c r="Q1038" i="10"/>
  <c r="P1038" i="10"/>
  <c r="L1038" i="10"/>
  <c r="K1038" i="10"/>
  <c r="J1038" i="10"/>
  <c r="I1038" i="10"/>
  <c r="H1038" i="10"/>
  <c r="G1038" i="10"/>
  <c r="Q1037" i="10"/>
  <c r="P1037" i="10"/>
  <c r="L1037" i="10"/>
  <c r="K1037" i="10"/>
  <c r="J1037" i="10"/>
  <c r="I1037" i="10"/>
  <c r="H1037" i="10"/>
  <c r="G1037" i="10"/>
  <c r="Q1036" i="10"/>
  <c r="P1036" i="10"/>
  <c r="L1036" i="10"/>
  <c r="K1036" i="10"/>
  <c r="J1036" i="10"/>
  <c r="I1036" i="10"/>
  <c r="H1036" i="10"/>
  <c r="G1036" i="10"/>
  <c r="Q1035" i="10"/>
  <c r="P1035" i="10"/>
  <c r="L1035" i="10"/>
  <c r="K1035" i="10"/>
  <c r="J1035" i="10"/>
  <c r="I1035" i="10"/>
  <c r="H1035" i="10"/>
  <c r="G1035" i="10"/>
  <c r="Q1034" i="10"/>
  <c r="P1034" i="10"/>
  <c r="L1034" i="10"/>
  <c r="K1034" i="10"/>
  <c r="J1034" i="10"/>
  <c r="I1034" i="10"/>
  <c r="H1034" i="10"/>
  <c r="G1034" i="10"/>
  <c r="Q1033" i="10"/>
  <c r="P1033" i="10"/>
  <c r="L1033" i="10"/>
  <c r="K1033" i="10"/>
  <c r="J1033" i="10"/>
  <c r="I1033" i="10"/>
  <c r="H1033" i="10"/>
  <c r="G1033" i="10"/>
  <c r="Q1032" i="10"/>
  <c r="P1032" i="10"/>
  <c r="L1032" i="10"/>
  <c r="K1032" i="10"/>
  <c r="J1032" i="10"/>
  <c r="I1032" i="10"/>
  <c r="H1032" i="10"/>
  <c r="G1032" i="10"/>
  <c r="Q1031" i="10"/>
  <c r="P1031" i="10"/>
  <c r="L1031" i="10"/>
  <c r="K1031" i="10"/>
  <c r="J1031" i="10"/>
  <c r="I1031" i="10"/>
  <c r="H1031" i="10"/>
  <c r="G1031" i="10"/>
  <c r="Q1030" i="10"/>
  <c r="P1030" i="10"/>
  <c r="L1030" i="10"/>
  <c r="K1030" i="10"/>
  <c r="J1030" i="10"/>
  <c r="I1030" i="10"/>
  <c r="H1030" i="10"/>
  <c r="G1030" i="10"/>
  <c r="Q1029" i="10"/>
  <c r="P1029" i="10"/>
  <c r="L1029" i="10"/>
  <c r="K1029" i="10"/>
  <c r="J1029" i="10"/>
  <c r="I1029" i="10"/>
  <c r="H1029" i="10"/>
  <c r="G1029" i="10"/>
  <c r="Q1028" i="10"/>
  <c r="P1028" i="10"/>
  <c r="L1028" i="10"/>
  <c r="K1028" i="10"/>
  <c r="J1028" i="10"/>
  <c r="I1028" i="10"/>
  <c r="H1028" i="10"/>
  <c r="G1028" i="10"/>
  <c r="Q1027" i="10"/>
  <c r="P1027" i="10"/>
  <c r="L1027" i="10"/>
  <c r="K1027" i="10"/>
  <c r="J1027" i="10"/>
  <c r="I1027" i="10"/>
  <c r="H1027" i="10"/>
  <c r="G1027" i="10"/>
  <c r="Q1026" i="10"/>
  <c r="P1026" i="10"/>
  <c r="L1026" i="10"/>
  <c r="K1026" i="10"/>
  <c r="J1026" i="10"/>
  <c r="I1026" i="10"/>
  <c r="H1026" i="10"/>
  <c r="G1026" i="10"/>
  <c r="Q1025" i="10"/>
  <c r="P1025" i="10"/>
  <c r="L1025" i="10"/>
  <c r="K1025" i="10"/>
  <c r="J1025" i="10"/>
  <c r="I1025" i="10"/>
  <c r="H1025" i="10"/>
  <c r="G1025" i="10"/>
  <c r="Q1024" i="10"/>
  <c r="P1024" i="10"/>
  <c r="L1024" i="10"/>
  <c r="K1024" i="10"/>
  <c r="J1024" i="10"/>
  <c r="I1024" i="10"/>
  <c r="H1024" i="10"/>
  <c r="G1024" i="10"/>
  <c r="Q1023" i="10"/>
  <c r="P1023" i="10"/>
  <c r="L1023" i="10"/>
  <c r="K1023" i="10"/>
  <c r="J1023" i="10"/>
  <c r="I1023" i="10"/>
  <c r="H1023" i="10"/>
  <c r="G1023" i="10"/>
  <c r="Q1022" i="10"/>
  <c r="P1022" i="10"/>
  <c r="L1022" i="10"/>
  <c r="K1022" i="10"/>
  <c r="J1022" i="10"/>
  <c r="I1022" i="10"/>
  <c r="H1022" i="10"/>
  <c r="G1022" i="10"/>
  <c r="Q1021" i="10"/>
  <c r="P1021" i="10"/>
  <c r="L1021" i="10"/>
  <c r="K1021" i="10"/>
  <c r="J1021" i="10"/>
  <c r="I1021" i="10"/>
  <c r="H1021" i="10"/>
  <c r="G1021" i="10"/>
  <c r="Q1020" i="10"/>
  <c r="P1020" i="10"/>
  <c r="L1020" i="10"/>
  <c r="K1020" i="10"/>
  <c r="J1020" i="10"/>
  <c r="I1020" i="10"/>
  <c r="H1020" i="10"/>
  <c r="G1020" i="10"/>
  <c r="Q1019" i="10"/>
  <c r="P1019" i="10"/>
  <c r="L1019" i="10"/>
  <c r="K1019" i="10"/>
  <c r="J1019" i="10"/>
  <c r="I1019" i="10"/>
  <c r="H1019" i="10"/>
  <c r="G1019" i="10"/>
  <c r="Q1018" i="10"/>
  <c r="P1018" i="10"/>
  <c r="L1018" i="10"/>
  <c r="K1018" i="10"/>
  <c r="J1018" i="10"/>
  <c r="I1018" i="10"/>
  <c r="H1018" i="10"/>
  <c r="G1018" i="10"/>
  <c r="Q1017" i="10"/>
  <c r="P1017" i="10"/>
  <c r="L1017" i="10"/>
  <c r="K1017" i="10"/>
  <c r="J1017" i="10"/>
  <c r="I1017" i="10"/>
  <c r="H1017" i="10"/>
  <c r="G1017" i="10"/>
  <c r="Q1016" i="10"/>
  <c r="P1016" i="10"/>
  <c r="L1016" i="10"/>
  <c r="K1016" i="10"/>
  <c r="J1016" i="10"/>
  <c r="I1016" i="10"/>
  <c r="H1016" i="10"/>
  <c r="G1016" i="10"/>
  <c r="Q1015" i="10"/>
  <c r="P1015" i="10"/>
  <c r="L1015" i="10"/>
  <c r="K1015" i="10"/>
  <c r="J1015" i="10"/>
  <c r="I1015" i="10"/>
  <c r="H1015" i="10"/>
  <c r="G1015" i="10"/>
  <c r="Q1014" i="10"/>
  <c r="P1014" i="10"/>
  <c r="L1014" i="10"/>
  <c r="K1014" i="10"/>
  <c r="J1014" i="10"/>
  <c r="I1014" i="10"/>
  <c r="H1014" i="10"/>
  <c r="G1014" i="10"/>
  <c r="Q1013" i="10"/>
  <c r="P1013" i="10"/>
  <c r="L1013" i="10"/>
  <c r="K1013" i="10"/>
  <c r="J1013" i="10"/>
  <c r="I1013" i="10"/>
  <c r="H1013" i="10"/>
  <c r="G1013" i="10"/>
  <c r="Q1012" i="10"/>
  <c r="P1012" i="10"/>
  <c r="L1012" i="10"/>
  <c r="K1012" i="10"/>
  <c r="J1012" i="10"/>
  <c r="I1012" i="10"/>
  <c r="H1012" i="10"/>
  <c r="G1012" i="10"/>
  <c r="Q1011" i="10"/>
  <c r="P1011" i="10"/>
  <c r="L1011" i="10"/>
  <c r="K1011" i="10"/>
  <c r="J1011" i="10"/>
  <c r="I1011" i="10"/>
  <c r="H1011" i="10"/>
  <c r="G1011" i="10"/>
  <c r="Q1010" i="10"/>
  <c r="P1010" i="10"/>
  <c r="L1010" i="10"/>
  <c r="K1010" i="10"/>
  <c r="J1010" i="10"/>
  <c r="I1010" i="10"/>
  <c r="H1010" i="10"/>
  <c r="G1010" i="10"/>
  <c r="Q1009" i="10"/>
  <c r="P1009" i="10"/>
  <c r="L1009" i="10"/>
  <c r="K1009" i="10"/>
  <c r="J1009" i="10"/>
  <c r="I1009" i="10"/>
  <c r="H1009" i="10"/>
  <c r="G1009" i="10"/>
  <c r="Q1008" i="10"/>
  <c r="P1008" i="10"/>
  <c r="L1008" i="10"/>
  <c r="K1008" i="10"/>
  <c r="J1008" i="10"/>
  <c r="I1008" i="10"/>
  <c r="H1008" i="10"/>
  <c r="G1008" i="10"/>
  <c r="Q1007" i="10"/>
  <c r="P1007" i="10"/>
  <c r="L1007" i="10"/>
  <c r="K1007" i="10"/>
  <c r="J1007" i="10"/>
  <c r="I1007" i="10"/>
  <c r="H1007" i="10"/>
  <c r="G1007" i="10"/>
  <c r="Q1006" i="10"/>
  <c r="P1006" i="10"/>
  <c r="L1006" i="10"/>
  <c r="K1006" i="10"/>
  <c r="J1006" i="10"/>
  <c r="I1006" i="10"/>
  <c r="H1006" i="10"/>
  <c r="G1006" i="10"/>
  <c r="Q1005" i="10"/>
  <c r="P1005" i="10"/>
  <c r="L1005" i="10"/>
  <c r="K1005" i="10"/>
  <c r="J1005" i="10"/>
  <c r="I1005" i="10"/>
  <c r="H1005" i="10"/>
  <c r="G1005" i="10"/>
  <c r="Q1004" i="10"/>
  <c r="P1004" i="10"/>
  <c r="L1004" i="10"/>
  <c r="K1004" i="10"/>
  <c r="J1004" i="10"/>
  <c r="I1004" i="10"/>
  <c r="H1004" i="10"/>
  <c r="G1004" i="10"/>
  <c r="Q1003" i="10"/>
  <c r="P1003" i="10"/>
  <c r="L1003" i="10"/>
  <c r="K1003" i="10"/>
  <c r="J1003" i="10"/>
  <c r="I1003" i="10"/>
  <c r="H1003" i="10"/>
  <c r="G1003" i="10"/>
  <c r="Q1002" i="10"/>
  <c r="P1002" i="10"/>
  <c r="L1002" i="10"/>
  <c r="K1002" i="10"/>
  <c r="J1002" i="10"/>
  <c r="I1002" i="10"/>
  <c r="H1002" i="10"/>
  <c r="G1002" i="10"/>
  <c r="Q1001" i="10"/>
  <c r="P1001" i="10"/>
  <c r="L1001" i="10"/>
  <c r="K1001" i="10"/>
  <c r="J1001" i="10"/>
  <c r="I1001" i="10"/>
  <c r="H1001" i="10"/>
  <c r="G1001" i="10"/>
  <c r="Q1000" i="10"/>
  <c r="P1000" i="10"/>
  <c r="L1000" i="10"/>
  <c r="K1000" i="10"/>
  <c r="J1000" i="10"/>
  <c r="I1000" i="10"/>
  <c r="H1000" i="10"/>
  <c r="G1000" i="10"/>
  <c r="Q999" i="10"/>
  <c r="P999" i="10"/>
  <c r="L999" i="10"/>
  <c r="K999" i="10"/>
  <c r="J999" i="10"/>
  <c r="I999" i="10"/>
  <c r="H999" i="10"/>
  <c r="G999" i="10"/>
  <c r="Q998" i="10"/>
  <c r="P998" i="10"/>
  <c r="L998" i="10"/>
  <c r="K998" i="10"/>
  <c r="J998" i="10"/>
  <c r="I998" i="10"/>
  <c r="H998" i="10"/>
  <c r="G998" i="10"/>
  <c r="Q997" i="10"/>
  <c r="P997" i="10"/>
  <c r="L997" i="10"/>
  <c r="K997" i="10"/>
  <c r="J997" i="10"/>
  <c r="I997" i="10"/>
  <c r="H997" i="10"/>
  <c r="G997" i="10"/>
  <c r="Q996" i="10"/>
  <c r="P996" i="10"/>
  <c r="L996" i="10"/>
  <c r="K996" i="10"/>
  <c r="J996" i="10"/>
  <c r="I996" i="10"/>
  <c r="H996" i="10"/>
  <c r="G996" i="10"/>
  <c r="Q995" i="10"/>
  <c r="P995" i="10"/>
  <c r="L995" i="10"/>
  <c r="K995" i="10"/>
  <c r="J995" i="10"/>
  <c r="I995" i="10"/>
  <c r="H995" i="10"/>
  <c r="G995" i="10"/>
  <c r="Q994" i="10"/>
  <c r="P994" i="10"/>
  <c r="L994" i="10"/>
  <c r="K994" i="10"/>
  <c r="J994" i="10"/>
  <c r="I994" i="10"/>
  <c r="H994" i="10"/>
  <c r="G994" i="10"/>
  <c r="Q993" i="10"/>
  <c r="P993" i="10"/>
  <c r="L993" i="10"/>
  <c r="K993" i="10"/>
  <c r="J993" i="10"/>
  <c r="I993" i="10"/>
  <c r="H993" i="10"/>
  <c r="G993" i="10"/>
  <c r="Q992" i="10"/>
  <c r="P992" i="10"/>
  <c r="L992" i="10"/>
  <c r="K992" i="10"/>
  <c r="J992" i="10"/>
  <c r="I992" i="10"/>
  <c r="H992" i="10"/>
  <c r="G992" i="10"/>
  <c r="Q991" i="10"/>
  <c r="P991" i="10"/>
  <c r="L991" i="10"/>
  <c r="K991" i="10"/>
  <c r="J991" i="10"/>
  <c r="I991" i="10"/>
  <c r="H991" i="10"/>
  <c r="G991" i="10"/>
  <c r="Q990" i="10"/>
  <c r="P990" i="10"/>
  <c r="L990" i="10"/>
  <c r="K990" i="10"/>
  <c r="J990" i="10"/>
  <c r="I990" i="10"/>
  <c r="H990" i="10"/>
  <c r="G990" i="10"/>
  <c r="Q989" i="10"/>
  <c r="P989" i="10"/>
  <c r="L989" i="10"/>
  <c r="K989" i="10"/>
  <c r="J989" i="10"/>
  <c r="I989" i="10"/>
  <c r="H989" i="10"/>
  <c r="G989" i="10"/>
  <c r="Q988" i="10"/>
  <c r="P988" i="10"/>
  <c r="L988" i="10"/>
  <c r="K988" i="10"/>
  <c r="J988" i="10"/>
  <c r="I988" i="10"/>
  <c r="H988" i="10"/>
  <c r="G988" i="10"/>
  <c r="Q987" i="10"/>
  <c r="P987" i="10"/>
  <c r="L987" i="10"/>
  <c r="K987" i="10"/>
  <c r="J987" i="10"/>
  <c r="I987" i="10"/>
  <c r="H987" i="10"/>
  <c r="G987" i="10"/>
  <c r="Q986" i="10"/>
  <c r="P986" i="10"/>
  <c r="L986" i="10"/>
  <c r="K986" i="10"/>
  <c r="J986" i="10"/>
  <c r="I986" i="10"/>
  <c r="H986" i="10"/>
  <c r="G986" i="10"/>
  <c r="Q985" i="10"/>
  <c r="P985" i="10"/>
  <c r="L985" i="10"/>
  <c r="K985" i="10"/>
  <c r="J985" i="10"/>
  <c r="I985" i="10"/>
  <c r="H985" i="10"/>
  <c r="G985" i="10"/>
  <c r="Q984" i="10"/>
  <c r="P984" i="10"/>
  <c r="L984" i="10"/>
  <c r="K984" i="10"/>
  <c r="J984" i="10"/>
  <c r="I984" i="10"/>
  <c r="H984" i="10"/>
  <c r="G984" i="10"/>
  <c r="Q983" i="10"/>
  <c r="P983" i="10"/>
  <c r="L983" i="10"/>
  <c r="K983" i="10"/>
  <c r="J983" i="10"/>
  <c r="I983" i="10"/>
  <c r="H983" i="10"/>
  <c r="G983" i="10"/>
  <c r="Q982" i="10"/>
  <c r="P982" i="10"/>
  <c r="L982" i="10"/>
  <c r="K982" i="10"/>
  <c r="J982" i="10"/>
  <c r="I982" i="10"/>
  <c r="H982" i="10"/>
  <c r="G982" i="10"/>
  <c r="Q981" i="10"/>
  <c r="P981" i="10"/>
  <c r="L981" i="10"/>
  <c r="K981" i="10"/>
  <c r="J981" i="10"/>
  <c r="I981" i="10"/>
  <c r="H981" i="10"/>
  <c r="G981" i="10"/>
  <c r="Q980" i="10"/>
  <c r="P980" i="10"/>
  <c r="L980" i="10"/>
  <c r="K980" i="10"/>
  <c r="J980" i="10"/>
  <c r="I980" i="10"/>
  <c r="H980" i="10"/>
  <c r="G980" i="10"/>
  <c r="Q979" i="10"/>
  <c r="P979" i="10"/>
  <c r="L979" i="10"/>
  <c r="K979" i="10"/>
  <c r="J979" i="10"/>
  <c r="I979" i="10"/>
  <c r="H979" i="10"/>
  <c r="G979" i="10"/>
  <c r="Q978" i="10"/>
  <c r="P978" i="10"/>
  <c r="L978" i="10"/>
  <c r="K978" i="10"/>
  <c r="J978" i="10"/>
  <c r="I978" i="10"/>
  <c r="H978" i="10"/>
  <c r="G978" i="10"/>
  <c r="Q977" i="10"/>
  <c r="P977" i="10"/>
  <c r="L977" i="10"/>
  <c r="K977" i="10"/>
  <c r="J977" i="10"/>
  <c r="I977" i="10"/>
  <c r="H977" i="10"/>
  <c r="G977" i="10"/>
  <c r="Q976" i="10"/>
  <c r="P976" i="10"/>
  <c r="L976" i="10"/>
  <c r="K976" i="10"/>
  <c r="J976" i="10"/>
  <c r="I976" i="10"/>
  <c r="H976" i="10"/>
  <c r="G976" i="10"/>
  <c r="Q975" i="10"/>
  <c r="P975" i="10"/>
  <c r="L975" i="10"/>
  <c r="K975" i="10"/>
  <c r="J975" i="10"/>
  <c r="I975" i="10"/>
  <c r="H975" i="10"/>
  <c r="G975" i="10"/>
  <c r="Q974" i="10"/>
  <c r="P974" i="10"/>
  <c r="L974" i="10"/>
  <c r="K974" i="10"/>
  <c r="J974" i="10"/>
  <c r="I974" i="10"/>
  <c r="H974" i="10"/>
  <c r="G974" i="10"/>
  <c r="Q973" i="10"/>
  <c r="P973" i="10"/>
  <c r="L973" i="10"/>
  <c r="K973" i="10"/>
  <c r="J973" i="10"/>
  <c r="I973" i="10"/>
  <c r="H973" i="10"/>
  <c r="G973" i="10"/>
  <c r="Q972" i="10"/>
  <c r="P972" i="10"/>
  <c r="L972" i="10"/>
  <c r="K972" i="10"/>
  <c r="J972" i="10"/>
  <c r="I972" i="10"/>
  <c r="H972" i="10"/>
  <c r="G972" i="10"/>
  <c r="Q971" i="10"/>
  <c r="P971" i="10"/>
  <c r="L971" i="10"/>
  <c r="K971" i="10"/>
  <c r="J971" i="10"/>
  <c r="I971" i="10"/>
  <c r="H971" i="10"/>
  <c r="G971" i="10"/>
  <c r="Q970" i="10"/>
  <c r="P970" i="10"/>
  <c r="L970" i="10"/>
  <c r="K970" i="10"/>
  <c r="J970" i="10"/>
  <c r="I970" i="10"/>
  <c r="H970" i="10"/>
  <c r="G970" i="10"/>
  <c r="Q969" i="10"/>
  <c r="P969" i="10"/>
  <c r="L969" i="10"/>
  <c r="K969" i="10"/>
  <c r="J969" i="10"/>
  <c r="I969" i="10"/>
  <c r="H969" i="10"/>
  <c r="G969" i="10"/>
  <c r="Q968" i="10"/>
  <c r="P968" i="10"/>
  <c r="L968" i="10"/>
  <c r="K968" i="10"/>
  <c r="J968" i="10"/>
  <c r="I968" i="10"/>
  <c r="H968" i="10"/>
  <c r="G968" i="10"/>
  <c r="Q967" i="10"/>
  <c r="P967" i="10"/>
  <c r="L967" i="10"/>
  <c r="K967" i="10"/>
  <c r="J967" i="10"/>
  <c r="I967" i="10"/>
  <c r="H967" i="10"/>
  <c r="G967" i="10"/>
  <c r="Q966" i="10"/>
  <c r="P966" i="10"/>
  <c r="L966" i="10"/>
  <c r="K966" i="10"/>
  <c r="J966" i="10"/>
  <c r="I966" i="10"/>
  <c r="H966" i="10"/>
  <c r="G966" i="10"/>
  <c r="Q965" i="10"/>
  <c r="P965" i="10"/>
  <c r="L965" i="10"/>
  <c r="K965" i="10"/>
  <c r="J965" i="10"/>
  <c r="I965" i="10"/>
  <c r="H965" i="10"/>
  <c r="G965" i="10"/>
  <c r="Q964" i="10"/>
  <c r="P964" i="10"/>
  <c r="L964" i="10"/>
  <c r="K964" i="10"/>
  <c r="J964" i="10"/>
  <c r="I964" i="10"/>
  <c r="H964" i="10"/>
  <c r="G964" i="10"/>
  <c r="Q963" i="10"/>
  <c r="P963" i="10"/>
  <c r="L963" i="10"/>
  <c r="K963" i="10"/>
  <c r="J963" i="10"/>
  <c r="I963" i="10"/>
  <c r="H963" i="10"/>
  <c r="G963" i="10"/>
  <c r="Q962" i="10"/>
  <c r="P962" i="10"/>
  <c r="L962" i="10"/>
  <c r="K962" i="10"/>
  <c r="J962" i="10"/>
  <c r="I962" i="10"/>
  <c r="H962" i="10"/>
  <c r="G962" i="10"/>
  <c r="Q961" i="10"/>
  <c r="P961" i="10"/>
  <c r="L961" i="10"/>
  <c r="K961" i="10"/>
  <c r="J961" i="10"/>
  <c r="I961" i="10"/>
  <c r="H961" i="10"/>
  <c r="G961" i="10"/>
  <c r="Q960" i="10"/>
  <c r="P960" i="10"/>
  <c r="L960" i="10"/>
  <c r="Q959" i="10"/>
  <c r="P959" i="10"/>
  <c r="L959" i="10"/>
  <c r="Q958" i="10"/>
  <c r="P958" i="10"/>
  <c r="L958" i="10"/>
  <c r="Q957" i="10"/>
  <c r="P957" i="10"/>
  <c r="L957" i="10"/>
  <c r="Q956" i="10"/>
  <c r="P956" i="10"/>
  <c r="L956" i="10"/>
  <c r="Q955" i="10"/>
  <c r="P955" i="10"/>
  <c r="L955" i="10"/>
  <c r="Q954" i="10"/>
  <c r="P954" i="10"/>
  <c r="L954" i="10"/>
  <c r="Q953" i="10"/>
  <c r="P953" i="10"/>
  <c r="L953" i="10"/>
  <c r="Q952" i="10"/>
  <c r="P952" i="10"/>
  <c r="L952" i="10"/>
  <c r="Q951" i="10"/>
  <c r="P951" i="10"/>
  <c r="L951" i="10"/>
  <c r="Q950" i="10"/>
  <c r="P950" i="10"/>
  <c r="L950" i="10"/>
  <c r="Q949" i="10"/>
  <c r="P949" i="10"/>
  <c r="L949" i="10"/>
  <c r="Q948" i="10"/>
  <c r="P948" i="10"/>
  <c r="L948" i="10"/>
  <c r="Q947" i="10"/>
  <c r="P947" i="10"/>
  <c r="L947" i="10"/>
  <c r="K947" i="10"/>
  <c r="J947" i="10"/>
  <c r="I947" i="10"/>
  <c r="H947" i="10"/>
  <c r="G947" i="10"/>
  <c r="Q946" i="10"/>
  <c r="P946" i="10"/>
  <c r="L946" i="10"/>
  <c r="K946" i="10"/>
  <c r="J946" i="10"/>
  <c r="I946" i="10"/>
  <c r="H946" i="10"/>
  <c r="G946" i="10"/>
  <c r="Q945" i="10"/>
  <c r="P945" i="10"/>
  <c r="L945" i="10"/>
  <c r="K945" i="10"/>
  <c r="J945" i="10"/>
  <c r="I945" i="10"/>
  <c r="H945" i="10"/>
  <c r="G945" i="10"/>
  <c r="Q944" i="10"/>
  <c r="P944" i="10"/>
  <c r="L944" i="10"/>
  <c r="K944" i="10"/>
  <c r="J944" i="10"/>
  <c r="I944" i="10"/>
  <c r="H944" i="10"/>
  <c r="G944" i="10"/>
  <c r="Q943" i="10"/>
  <c r="P943" i="10"/>
  <c r="L943" i="10"/>
  <c r="K943" i="10"/>
  <c r="J943" i="10"/>
  <c r="I943" i="10"/>
  <c r="H943" i="10"/>
  <c r="G943" i="10"/>
  <c r="Q942" i="10"/>
  <c r="P942" i="10"/>
  <c r="L942" i="10"/>
  <c r="K942" i="10"/>
  <c r="J942" i="10"/>
  <c r="I942" i="10"/>
  <c r="H942" i="10"/>
  <c r="G942" i="10"/>
  <c r="Q941" i="10"/>
  <c r="P941" i="10"/>
  <c r="L941" i="10"/>
  <c r="K941" i="10"/>
  <c r="J941" i="10"/>
  <c r="I941" i="10"/>
  <c r="H941" i="10"/>
  <c r="G941" i="10"/>
  <c r="Q940" i="10"/>
  <c r="P940" i="10"/>
  <c r="L940" i="10"/>
  <c r="K940" i="10"/>
  <c r="J940" i="10"/>
  <c r="I940" i="10"/>
  <c r="H940" i="10"/>
  <c r="G940" i="10"/>
  <c r="Q939" i="10"/>
  <c r="P939" i="10"/>
  <c r="L939" i="10"/>
  <c r="K939" i="10"/>
  <c r="J939" i="10"/>
  <c r="I939" i="10"/>
  <c r="H939" i="10"/>
  <c r="G939" i="10"/>
  <c r="Q938" i="10"/>
  <c r="P938" i="10"/>
  <c r="L938" i="10"/>
  <c r="K938" i="10"/>
  <c r="J938" i="10"/>
  <c r="I938" i="10"/>
  <c r="H938" i="10"/>
  <c r="G938" i="10"/>
  <c r="Q937" i="10"/>
  <c r="P937" i="10"/>
  <c r="L937" i="10"/>
  <c r="K937" i="10"/>
  <c r="J937" i="10"/>
  <c r="I937" i="10"/>
  <c r="H937" i="10"/>
  <c r="G937" i="10"/>
  <c r="Q936" i="10"/>
  <c r="P936" i="10"/>
  <c r="L936" i="10"/>
  <c r="K936" i="10"/>
  <c r="J936" i="10"/>
  <c r="I936" i="10"/>
  <c r="H936" i="10"/>
  <c r="G936" i="10"/>
  <c r="Q935" i="10"/>
  <c r="P935" i="10"/>
  <c r="L935" i="10"/>
  <c r="K935" i="10"/>
  <c r="J935" i="10"/>
  <c r="I935" i="10"/>
  <c r="H935" i="10"/>
  <c r="G935" i="10"/>
  <c r="Q934" i="10"/>
  <c r="P934" i="10"/>
  <c r="L934" i="10"/>
  <c r="K934" i="10"/>
  <c r="J934" i="10"/>
  <c r="I934" i="10"/>
  <c r="H934" i="10"/>
  <c r="G934" i="10"/>
  <c r="Q933" i="10"/>
  <c r="P933" i="10"/>
  <c r="L933" i="10"/>
  <c r="K933" i="10"/>
  <c r="J933" i="10"/>
  <c r="I933" i="10"/>
  <c r="H933" i="10"/>
  <c r="G933" i="10"/>
  <c r="Q932" i="10"/>
  <c r="P932" i="10"/>
  <c r="L932" i="10"/>
  <c r="K932" i="10"/>
  <c r="J932" i="10"/>
  <c r="I932" i="10"/>
  <c r="H932" i="10"/>
  <c r="G932" i="10"/>
  <c r="Q931" i="10"/>
  <c r="P931" i="10"/>
  <c r="L931" i="10"/>
  <c r="K931" i="10"/>
  <c r="J931" i="10"/>
  <c r="I931" i="10"/>
  <c r="H931" i="10"/>
  <c r="G931" i="10"/>
  <c r="Q930" i="10"/>
  <c r="P930" i="10"/>
  <c r="L930" i="10"/>
  <c r="K930" i="10"/>
  <c r="J930" i="10"/>
  <c r="I930" i="10"/>
  <c r="H930" i="10"/>
  <c r="G930" i="10"/>
  <c r="Q929" i="10"/>
  <c r="P929" i="10"/>
  <c r="L929" i="10"/>
  <c r="K929" i="10"/>
  <c r="J929" i="10"/>
  <c r="I929" i="10"/>
  <c r="H929" i="10"/>
  <c r="G929" i="10"/>
  <c r="Q928" i="10"/>
  <c r="P928" i="10"/>
  <c r="L928" i="10"/>
  <c r="K928" i="10"/>
  <c r="J928" i="10"/>
  <c r="I928" i="10"/>
  <c r="H928" i="10"/>
  <c r="G928" i="10"/>
  <c r="Q927" i="10"/>
  <c r="P927" i="10"/>
  <c r="L927" i="10"/>
  <c r="K927" i="10"/>
  <c r="J927" i="10"/>
  <c r="I927" i="10"/>
  <c r="H927" i="10"/>
  <c r="G927" i="10"/>
  <c r="Q926" i="10"/>
  <c r="P926" i="10"/>
  <c r="L926" i="10"/>
  <c r="K926" i="10"/>
  <c r="J926" i="10"/>
  <c r="I926" i="10"/>
  <c r="H926" i="10"/>
  <c r="G926" i="10"/>
  <c r="Q925" i="10"/>
  <c r="P925" i="10"/>
  <c r="L925" i="10"/>
  <c r="K925" i="10"/>
  <c r="J925" i="10"/>
  <c r="I925" i="10"/>
  <c r="H925" i="10"/>
  <c r="G925" i="10"/>
  <c r="Q924" i="10"/>
  <c r="P924" i="10"/>
  <c r="L924" i="10"/>
  <c r="K924" i="10"/>
  <c r="J924" i="10"/>
  <c r="I924" i="10"/>
  <c r="H924" i="10"/>
  <c r="G924" i="10"/>
  <c r="Q923" i="10"/>
  <c r="P923" i="10"/>
  <c r="L923" i="10"/>
  <c r="K923" i="10"/>
  <c r="J923" i="10"/>
  <c r="I923" i="10"/>
  <c r="H923" i="10"/>
  <c r="G923" i="10"/>
  <c r="Q922" i="10"/>
  <c r="P922" i="10"/>
  <c r="L922" i="10"/>
  <c r="K922" i="10"/>
  <c r="J922" i="10"/>
  <c r="I922" i="10"/>
  <c r="H922" i="10"/>
  <c r="G922" i="10"/>
  <c r="Q921" i="10"/>
  <c r="P921" i="10"/>
  <c r="L921" i="10"/>
  <c r="K921" i="10"/>
  <c r="J921" i="10"/>
  <c r="I921" i="10"/>
  <c r="H921" i="10"/>
  <c r="G921" i="10"/>
  <c r="Q920" i="10"/>
  <c r="P920" i="10"/>
  <c r="L920" i="10"/>
  <c r="K920" i="10"/>
  <c r="J920" i="10"/>
  <c r="I920" i="10"/>
  <c r="H920" i="10"/>
  <c r="G920" i="10"/>
  <c r="Q919" i="10"/>
  <c r="P919" i="10"/>
  <c r="L919" i="10"/>
  <c r="K919" i="10"/>
  <c r="J919" i="10"/>
  <c r="I919" i="10"/>
  <c r="H919" i="10"/>
  <c r="G919" i="10"/>
  <c r="Q918" i="10"/>
  <c r="P918" i="10"/>
  <c r="L918" i="10"/>
  <c r="K918" i="10"/>
  <c r="J918" i="10"/>
  <c r="I918" i="10"/>
  <c r="H918" i="10"/>
  <c r="G918" i="10"/>
  <c r="Q917" i="10"/>
  <c r="P917" i="10"/>
  <c r="L917" i="10"/>
  <c r="K917" i="10"/>
  <c r="J917" i="10"/>
  <c r="I917" i="10"/>
  <c r="H917" i="10"/>
  <c r="G917" i="10"/>
  <c r="Q916" i="10"/>
  <c r="P916" i="10"/>
  <c r="L916" i="10"/>
  <c r="K916" i="10"/>
  <c r="J916" i="10"/>
  <c r="I916" i="10"/>
  <c r="H916" i="10"/>
  <c r="G916" i="10"/>
  <c r="Q915" i="10"/>
  <c r="P915" i="10"/>
  <c r="L915" i="10"/>
  <c r="K915" i="10"/>
  <c r="J915" i="10"/>
  <c r="I915" i="10"/>
  <c r="H915" i="10"/>
  <c r="G915" i="10"/>
  <c r="Q914" i="10"/>
  <c r="P914" i="10"/>
  <c r="L914" i="10"/>
  <c r="K914" i="10"/>
  <c r="J914" i="10"/>
  <c r="I914" i="10"/>
  <c r="H914" i="10"/>
  <c r="G914" i="10"/>
  <c r="Q913" i="10"/>
  <c r="P913" i="10"/>
  <c r="L913" i="10"/>
  <c r="K913" i="10"/>
  <c r="J913" i="10"/>
  <c r="I913" i="10"/>
  <c r="H913" i="10"/>
  <c r="G913" i="10"/>
  <c r="Q912" i="10"/>
  <c r="P912" i="10"/>
  <c r="L912" i="10"/>
  <c r="K912" i="10"/>
  <c r="J912" i="10"/>
  <c r="I912" i="10"/>
  <c r="H912" i="10"/>
  <c r="G912" i="10"/>
  <c r="Q911" i="10"/>
  <c r="P911" i="10"/>
  <c r="L911" i="10"/>
  <c r="K911" i="10"/>
  <c r="J911" i="10"/>
  <c r="I911" i="10"/>
  <c r="H911" i="10"/>
  <c r="G911" i="10"/>
  <c r="Q910" i="10"/>
  <c r="P910" i="10"/>
  <c r="L910" i="10"/>
  <c r="K910" i="10"/>
  <c r="J910" i="10"/>
  <c r="I910" i="10"/>
  <c r="H910" i="10"/>
  <c r="G910" i="10"/>
  <c r="Q909" i="10"/>
  <c r="P909" i="10"/>
  <c r="L909" i="10"/>
  <c r="K909" i="10"/>
  <c r="J909" i="10"/>
  <c r="I909" i="10"/>
  <c r="H909" i="10"/>
  <c r="G909" i="10"/>
  <c r="Q908" i="10"/>
  <c r="P908" i="10"/>
  <c r="L908" i="10"/>
  <c r="K908" i="10"/>
  <c r="J908" i="10"/>
  <c r="I908" i="10"/>
  <c r="H908" i="10"/>
  <c r="G908" i="10"/>
  <c r="Q907" i="10"/>
  <c r="P907" i="10"/>
  <c r="L907" i="10"/>
  <c r="K907" i="10"/>
  <c r="J907" i="10"/>
  <c r="I907" i="10"/>
  <c r="H907" i="10"/>
  <c r="G907" i="10"/>
  <c r="Q906" i="10"/>
  <c r="P906" i="10"/>
  <c r="L906" i="10"/>
  <c r="K906" i="10"/>
  <c r="J906" i="10"/>
  <c r="I906" i="10"/>
  <c r="H906" i="10"/>
  <c r="G906" i="10"/>
  <c r="Q905" i="10"/>
  <c r="P905" i="10"/>
  <c r="L905" i="10"/>
  <c r="K905" i="10"/>
  <c r="J905" i="10"/>
  <c r="I905" i="10"/>
  <c r="H905" i="10"/>
  <c r="G905" i="10"/>
  <c r="Q904" i="10"/>
  <c r="P904" i="10"/>
  <c r="L904" i="10"/>
  <c r="K904" i="10"/>
  <c r="J904" i="10"/>
  <c r="I904" i="10"/>
  <c r="H904" i="10"/>
  <c r="G904" i="10"/>
  <c r="Q903" i="10"/>
  <c r="P903" i="10"/>
  <c r="L903" i="10"/>
  <c r="K903" i="10"/>
  <c r="J903" i="10"/>
  <c r="I903" i="10"/>
  <c r="H903" i="10"/>
  <c r="G903" i="10"/>
  <c r="Q902" i="10"/>
  <c r="P902" i="10"/>
  <c r="L902" i="10"/>
  <c r="K902" i="10"/>
  <c r="J902" i="10"/>
  <c r="I902" i="10"/>
  <c r="H902" i="10"/>
  <c r="G902" i="10"/>
  <c r="Q901" i="10"/>
  <c r="P901" i="10"/>
  <c r="L901" i="10"/>
  <c r="K901" i="10"/>
  <c r="J901" i="10"/>
  <c r="I901" i="10"/>
  <c r="H901" i="10"/>
  <c r="G901" i="10"/>
  <c r="Q900" i="10"/>
  <c r="P900" i="10"/>
  <c r="L900" i="10"/>
  <c r="K900" i="10"/>
  <c r="J900" i="10"/>
  <c r="I900" i="10"/>
  <c r="H900" i="10"/>
  <c r="G900" i="10"/>
  <c r="Q899" i="10"/>
  <c r="P899" i="10"/>
  <c r="L899" i="10"/>
  <c r="K899" i="10"/>
  <c r="J899" i="10"/>
  <c r="I899" i="10"/>
  <c r="H899" i="10"/>
  <c r="G899" i="10"/>
  <c r="Q898" i="10"/>
  <c r="P898" i="10"/>
  <c r="L898" i="10"/>
  <c r="K898" i="10"/>
  <c r="J898" i="10"/>
  <c r="I898" i="10"/>
  <c r="H898" i="10"/>
  <c r="G898" i="10"/>
  <c r="Q897" i="10"/>
  <c r="P897" i="10"/>
  <c r="L897" i="10"/>
  <c r="K897" i="10"/>
  <c r="J897" i="10"/>
  <c r="I897" i="10"/>
  <c r="H897" i="10"/>
  <c r="G897" i="10"/>
  <c r="Q896" i="10"/>
  <c r="P896" i="10"/>
  <c r="L896" i="10"/>
  <c r="K896" i="10"/>
  <c r="J896" i="10"/>
  <c r="I896" i="10"/>
  <c r="H896" i="10"/>
  <c r="G896" i="10"/>
  <c r="Q895" i="10"/>
  <c r="P895" i="10"/>
  <c r="L895" i="10"/>
  <c r="K895" i="10"/>
  <c r="J895" i="10"/>
  <c r="I895" i="10"/>
  <c r="H895" i="10"/>
  <c r="G895" i="10"/>
  <c r="Q894" i="10"/>
  <c r="P894" i="10"/>
  <c r="L894" i="10"/>
  <c r="K894" i="10"/>
  <c r="J894" i="10"/>
  <c r="I894" i="10"/>
  <c r="H894" i="10"/>
  <c r="G894" i="10"/>
  <c r="Q893" i="10"/>
  <c r="P893" i="10"/>
  <c r="L893" i="10"/>
  <c r="K893" i="10"/>
  <c r="J893" i="10"/>
  <c r="I893" i="10"/>
  <c r="H893" i="10"/>
  <c r="G893" i="10"/>
  <c r="Q892" i="10"/>
  <c r="P892" i="10"/>
  <c r="L892" i="10"/>
  <c r="K892" i="10"/>
  <c r="J892" i="10"/>
  <c r="I892" i="10"/>
  <c r="H892" i="10"/>
  <c r="G892" i="10"/>
  <c r="Q891" i="10"/>
  <c r="P891" i="10"/>
  <c r="L891" i="10"/>
  <c r="K891" i="10"/>
  <c r="J891" i="10"/>
  <c r="I891" i="10"/>
  <c r="H891" i="10"/>
  <c r="G891" i="10"/>
  <c r="Q890" i="10"/>
  <c r="P890" i="10"/>
  <c r="L890" i="10"/>
  <c r="K890" i="10"/>
  <c r="J890" i="10"/>
  <c r="I890" i="10"/>
  <c r="H890" i="10"/>
  <c r="G890" i="10"/>
  <c r="Q889" i="10"/>
  <c r="P889" i="10"/>
  <c r="L889" i="10"/>
  <c r="K889" i="10"/>
  <c r="J889" i="10"/>
  <c r="I889" i="10"/>
  <c r="H889" i="10"/>
  <c r="G889" i="10"/>
  <c r="Q888" i="10"/>
  <c r="P888" i="10"/>
  <c r="L888" i="10"/>
  <c r="K888" i="10"/>
  <c r="J888" i="10"/>
  <c r="I888" i="10"/>
  <c r="H888" i="10"/>
  <c r="G888" i="10"/>
  <c r="Q887" i="10"/>
  <c r="P887" i="10"/>
  <c r="L887" i="10"/>
  <c r="K887" i="10"/>
  <c r="J887" i="10"/>
  <c r="I887" i="10"/>
  <c r="H887" i="10"/>
  <c r="G887" i="10"/>
  <c r="Q886" i="10"/>
  <c r="P886" i="10"/>
  <c r="L886" i="10"/>
  <c r="K886" i="10"/>
  <c r="J886" i="10"/>
  <c r="I886" i="10"/>
  <c r="H886" i="10"/>
  <c r="G886" i="10"/>
  <c r="Q885" i="10"/>
  <c r="P885" i="10"/>
  <c r="L885" i="10"/>
  <c r="K885" i="10"/>
  <c r="J885" i="10"/>
  <c r="I885" i="10"/>
  <c r="H885" i="10"/>
  <c r="G885" i="10"/>
  <c r="Q884" i="10"/>
  <c r="P884" i="10"/>
  <c r="L884" i="10"/>
  <c r="K884" i="10"/>
  <c r="J884" i="10"/>
  <c r="I884" i="10"/>
  <c r="H884" i="10"/>
  <c r="G884" i="10"/>
  <c r="Q883" i="10"/>
  <c r="P883" i="10"/>
  <c r="L883" i="10"/>
  <c r="K883" i="10"/>
  <c r="J883" i="10"/>
  <c r="I883" i="10"/>
  <c r="H883" i="10"/>
  <c r="G883" i="10"/>
  <c r="Q882" i="10"/>
  <c r="P882" i="10"/>
  <c r="L882" i="10"/>
  <c r="K882" i="10"/>
  <c r="J882" i="10"/>
  <c r="I882" i="10"/>
  <c r="H882" i="10"/>
  <c r="G882" i="10"/>
  <c r="Q881" i="10"/>
  <c r="P881" i="10"/>
  <c r="L881" i="10"/>
  <c r="K881" i="10"/>
  <c r="J881" i="10"/>
  <c r="I881" i="10"/>
  <c r="H881" i="10"/>
  <c r="G881" i="10"/>
  <c r="Q880" i="10"/>
  <c r="P880" i="10"/>
  <c r="L880" i="10"/>
  <c r="K880" i="10"/>
  <c r="J880" i="10"/>
  <c r="I880" i="10"/>
  <c r="H880" i="10"/>
  <c r="G880" i="10"/>
  <c r="Q879" i="10"/>
  <c r="P879" i="10"/>
  <c r="L879" i="10"/>
  <c r="K879" i="10"/>
  <c r="J879" i="10"/>
  <c r="I879" i="10"/>
  <c r="H879" i="10"/>
  <c r="G879" i="10"/>
  <c r="Q878" i="10"/>
  <c r="P878" i="10"/>
  <c r="L878" i="10"/>
  <c r="K878" i="10"/>
  <c r="J878" i="10"/>
  <c r="I878" i="10"/>
  <c r="H878" i="10"/>
  <c r="G878" i="10"/>
  <c r="Q877" i="10"/>
  <c r="P877" i="10"/>
  <c r="L877" i="10"/>
  <c r="K877" i="10"/>
  <c r="J877" i="10"/>
  <c r="I877" i="10"/>
  <c r="H877" i="10"/>
  <c r="G877" i="10"/>
  <c r="Q876" i="10"/>
  <c r="P876" i="10"/>
  <c r="L876" i="10"/>
  <c r="K876" i="10"/>
  <c r="J876" i="10"/>
  <c r="I876" i="10"/>
  <c r="H876" i="10"/>
  <c r="G876" i="10"/>
  <c r="Q875" i="10"/>
  <c r="P875" i="10"/>
  <c r="L875" i="10"/>
  <c r="K875" i="10"/>
  <c r="J875" i="10"/>
  <c r="I875" i="10"/>
  <c r="H875" i="10"/>
  <c r="G875" i="10"/>
  <c r="Q874" i="10"/>
  <c r="P874" i="10"/>
  <c r="L874" i="10"/>
  <c r="K874" i="10"/>
  <c r="J874" i="10"/>
  <c r="I874" i="10"/>
  <c r="H874" i="10"/>
  <c r="G874" i="10"/>
  <c r="Q873" i="10"/>
  <c r="P873" i="10"/>
  <c r="L873" i="10"/>
  <c r="K873" i="10"/>
  <c r="J873" i="10"/>
  <c r="I873" i="10"/>
  <c r="H873" i="10"/>
  <c r="G873" i="10"/>
  <c r="Q872" i="10"/>
  <c r="P872" i="10"/>
  <c r="L872" i="10"/>
  <c r="K872" i="10"/>
  <c r="J872" i="10"/>
  <c r="I872" i="10"/>
  <c r="H872" i="10"/>
  <c r="G872" i="10"/>
  <c r="Q871" i="10"/>
  <c r="P871" i="10"/>
  <c r="L871" i="10"/>
  <c r="K871" i="10"/>
  <c r="J871" i="10"/>
  <c r="I871" i="10"/>
  <c r="H871" i="10"/>
  <c r="G871" i="10"/>
  <c r="Q870" i="10"/>
  <c r="P870" i="10"/>
  <c r="L870" i="10"/>
  <c r="K870" i="10"/>
  <c r="J870" i="10"/>
  <c r="I870" i="10"/>
  <c r="H870" i="10"/>
  <c r="G870" i="10"/>
  <c r="Q869" i="10"/>
  <c r="P869" i="10"/>
  <c r="L869" i="10"/>
  <c r="K869" i="10"/>
  <c r="J869" i="10"/>
  <c r="I869" i="10"/>
  <c r="H869" i="10"/>
  <c r="G869" i="10"/>
  <c r="Q868" i="10"/>
  <c r="P868" i="10"/>
  <c r="L868" i="10"/>
  <c r="K868" i="10"/>
  <c r="J868" i="10"/>
  <c r="I868" i="10"/>
  <c r="H868" i="10"/>
  <c r="G868" i="10"/>
  <c r="Q867" i="10"/>
  <c r="P867" i="10"/>
  <c r="L867" i="10"/>
  <c r="K867" i="10"/>
  <c r="J867" i="10"/>
  <c r="I867" i="10"/>
  <c r="H867" i="10"/>
  <c r="G867" i="10"/>
  <c r="Q866" i="10"/>
  <c r="P866" i="10"/>
  <c r="L866" i="10"/>
  <c r="K866" i="10"/>
  <c r="J866" i="10"/>
  <c r="I866" i="10"/>
  <c r="H866" i="10"/>
  <c r="G866" i="10"/>
  <c r="Q865" i="10"/>
  <c r="P865" i="10"/>
  <c r="L865" i="10"/>
  <c r="K865" i="10"/>
  <c r="J865" i="10"/>
  <c r="I865" i="10"/>
  <c r="H865" i="10"/>
  <c r="G865" i="10"/>
  <c r="Q864" i="10"/>
  <c r="P864" i="10"/>
  <c r="L864" i="10"/>
  <c r="K864" i="10"/>
  <c r="J864" i="10"/>
  <c r="I864" i="10"/>
  <c r="H864" i="10"/>
  <c r="G864" i="10"/>
  <c r="Q863" i="10"/>
  <c r="P863" i="10"/>
  <c r="L863" i="10"/>
  <c r="K863" i="10"/>
  <c r="J863" i="10"/>
  <c r="I863" i="10"/>
  <c r="H863" i="10"/>
  <c r="G863" i="10"/>
  <c r="Q862" i="10"/>
  <c r="P862" i="10"/>
  <c r="L862" i="10"/>
  <c r="K862" i="10"/>
  <c r="J862" i="10"/>
  <c r="I862" i="10"/>
  <c r="H862" i="10"/>
  <c r="G862" i="10"/>
  <c r="Q861" i="10"/>
  <c r="P861" i="10"/>
  <c r="L861" i="10"/>
  <c r="K861" i="10"/>
  <c r="J861" i="10"/>
  <c r="I861" i="10"/>
  <c r="H861" i="10"/>
  <c r="G861" i="10"/>
  <c r="Q860" i="10"/>
  <c r="P860" i="10"/>
  <c r="L860" i="10"/>
  <c r="K860" i="10"/>
  <c r="J860" i="10"/>
  <c r="I860" i="10"/>
  <c r="H860" i="10"/>
  <c r="G860" i="10"/>
  <c r="Q859" i="10"/>
  <c r="P859" i="10"/>
  <c r="L859" i="10"/>
  <c r="K859" i="10"/>
  <c r="J859" i="10"/>
  <c r="I859" i="10"/>
  <c r="H859" i="10"/>
  <c r="G859" i="10"/>
  <c r="Q858" i="10"/>
  <c r="P858" i="10"/>
  <c r="L858" i="10"/>
  <c r="K858" i="10"/>
  <c r="J858" i="10"/>
  <c r="I858" i="10"/>
  <c r="H858" i="10"/>
  <c r="G858" i="10"/>
  <c r="Q857" i="10"/>
  <c r="P857" i="10"/>
  <c r="L857" i="10"/>
  <c r="K857" i="10"/>
  <c r="J857" i="10"/>
  <c r="I857" i="10"/>
  <c r="H857" i="10"/>
  <c r="G857" i="10"/>
  <c r="Q856" i="10"/>
  <c r="P856" i="10"/>
  <c r="L856" i="10"/>
  <c r="K856" i="10"/>
  <c r="J856" i="10"/>
  <c r="I856" i="10"/>
  <c r="H856" i="10"/>
  <c r="G856" i="10"/>
  <c r="Q855" i="10"/>
  <c r="P855" i="10"/>
  <c r="L855" i="10"/>
  <c r="K855" i="10"/>
  <c r="J855" i="10"/>
  <c r="I855" i="10"/>
  <c r="H855" i="10"/>
  <c r="G855" i="10"/>
  <c r="Q854" i="10"/>
  <c r="P854" i="10"/>
  <c r="L854" i="10"/>
  <c r="K854" i="10"/>
  <c r="J854" i="10"/>
  <c r="I854" i="10"/>
  <c r="H854" i="10"/>
  <c r="G854" i="10"/>
  <c r="Q853" i="10"/>
  <c r="P853" i="10"/>
  <c r="L853" i="10"/>
  <c r="K853" i="10"/>
  <c r="J853" i="10"/>
  <c r="I853" i="10"/>
  <c r="H853" i="10"/>
  <c r="G853" i="10"/>
  <c r="Q852" i="10"/>
  <c r="P852" i="10"/>
  <c r="L852" i="10"/>
  <c r="K852" i="10"/>
  <c r="J852" i="10"/>
  <c r="I852" i="10"/>
  <c r="H852" i="10"/>
  <c r="G852" i="10"/>
  <c r="Q851" i="10"/>
  <c r="P851" i="10"/>
  <c r="L851" i="10"/>
  <c r="K851" i="10"/>
  <c r="J851" i="10"/>
  <c r="I851" i="10"/>
  <c r="H851" i="10"/>
  <c r="G851" i="10"/>
  <c r="Q850" i="10"/>
  <c r="P850" i="10"/>
  <c r="L850" i="10"/>
  <c r="K850" i="10"/>
  <c r="J850" i="10"/>
  <c r="I850" i="10"/>
  <c r="H850" i="10"/>
  <c r="G850" i="10"/>
  <c r="Q849" i="10"/>
  <c r="P849" i="10"/>
  <c r="L849" i="10"/>
  <c r="K849" i="10"/>
  <c r="J849" i="10"/>
  <c r="I849" i="10"/>
  <c r="H849" i="10"/>
  <c r="G849" i="10"/>
  <c r="Q848" i="10"/>
  <c r="P848" i="10"/>
  <c r="L848" i="10"/>
  <c r="K848" i="10"/>
  <c r="J848" i="10"/>
  <c r="I848" i="10"/>
  <c r="H848" i="10"/>
  <c r="G848" i="10"/>
  <c r="Q847" i="10"/>
  <c r="P847" i="10"/>
  <c r="L847" i="10"/>
  <c r="K847" i="10"/>
  <c r="J847" i="10"/>
  <c r="I847" i="10"/>
  <c r="H847" i="10"/>
  <c r="G847" i="10"/>
  <c r="Q846" i="10"/>
  <c r="P846" i="10"/>
  <c r="L846" i="10"/>
  <c r="K846" i="10"/>
  <c r="J846" i="10"/>
  <c r="I846" i="10"/>
  <c r="H846" i="10"/>
  <c r="G846" i="10"/>
  <c r="Q845" i="10"/>
  <c r="P845" i="10"/>
  <c r="L845" i="10"/>
  <c r="K845" i="10"/>
  <c r="Q844" i="10"/>
  <c r="P844" i="10"/>
  <c r="L844" i="10"/>
  <c r="Q843" i="10"/>
  <c r="P843" i="10"/>
  <c r="L843" i="10"/>
  <c r="Q842" i="10"/>
  <c r="P842" i="10"/>
  <c r="L842" i="10"/>
  <c r="Q841" i="10"/>
  <c r="P841" i="10"/>
  <c r="L841" i="10"/>
  <c r="Q840" i="10"/>
  <c r="P840" i="10"/>
  <c r="L840" i="10"/>
  <c r="Q839" i="10"/>
  <c r="P839" i="10"/>
  <c r="L839" i="10"/>
  <c r="Q838" i="10"/>
  <c r="P838" i="10"/>
  <c r="L838" i="10"/>
  <c r="Q837" i="10"/>
  <c r="P837" i="10"/>
  <c r="L837" i="10"/>
  <c r="Q836" i="10"/>
  <c r="P836" i="10"/>
  <c r="L836" i="10"/>
  <c r="Q835" i="10"/>
  <c r="P835" i="10"/>
  <c r="L835" i="10"/>
  <c r="Q834" i="10"/>
  <c r="P834" i="10"/>
  <c r="L834" i="10"/>
  <c r="Q833" i="10"/>
  <c r="P833" i="10"/>
  <c r="L833" i="10"/>
  <c r="Q832" i="10"/>
  <c r="P832" i="10"/>
  <c r="L832" i="10"/>
  <c r="Q831" i="10"/>
  <c r="P831" i="10"/>
  <c r="L831" i="10"/>
  <c r="Q830" i="10"/>
  <c r="P830" i="10"/>
  <c r="L830" i="10"/>
  <c r="Q829" i="10"/>
  <c r="P829" i="10"/>
  <c r="L829" i="10"/>
  <c r="Q828" i="10"/>
  <c r="P828" i="10"/>
  <c r="L828" i="10"/>
  <c r="Q827" i="10"/>
  <c r="P827" i="10"/>
  <c r="L827" i="10"/>
  <c r="Q826" i="10"/>
  <c r="P826" i="10"/>
  <c r="L826" i="10"/>
  <c r="Q825" i="10"/>
  <c r="P825" i="10"/>
  <c r="L825" i="10"/>
  <c r="Q824" i="10"/>
  <c r="P824" i="10"/>
  <c r="L824" i="10"/>
  <c r="Q823" i="10"/>
  <c r="P823" i="10"/>
  <c r="L823" i="10"/>
  <c r="Q822" i="10"/>
  <c r="P822" i="10"/>
  <c r="L822" i="10"/>
  <c r="Q821" i="10"/>
  <c r="P821" i="10"/>
  <c r="L821" i="10"/>
  <c r="Q820" i="10"/>
  <c r="P820" i="10"/>
  <c r="L820" i="10"/>
  <c r="Q819" i="10"/>
  <c r="P819" i="10"/>
  <c r="L819" i="10"/>
  <c r="Q818" i="10"/>
  <c r="P818" i="10"/>
  <c r="L818" i="10"/>
  <c r="Q817" i="10"/>
  <c r="P817" i="10"/>
  <c r="L817" i="10"/>
  <c r="Q816" i="10"/>
  <c r="P816" i="10"/>
  <c r="L816" i="10"/>
  <c r="Q815" i="10"/>
  <c r="P815" i="10"/>
  <c r="L815" i="10"/>
  <c r="Q814" i="10"/>
  <c r="P814" i="10"/>
  <c r="L814" i="10"/>
  <c r="Q813" i="10"/>
  <c r="P813" i="10"/>
  <c r="L813" i="10"/>
  <c r="Q812" i="10"/>
  <c r="P812" i="10"/>
  <c r="L812" i="10"/>
  <c r="Q811" i="10"/>
  <c r="P811" i="10"/>
  <c r="L811" i="10"/>
  <c r="Q810" i="10"/>
  <c r="P810" i="10"/>
  <c r="L810" i="10"/>
  <c r="Q809" i="10"/>
  <c r="P809" i="10"/>
  <c r="L809" i="10"/>
  <c r="Q808" i="10"/>
  <c r="P808" i="10"/>
  <c r="L808" i="10"/>
  <c r="Q807" i="10"/>
  <c r="P807" i="10"/>
  <c r="L807" i="10"/>
  <c r="Q806" i="10"/>
  <c r="P806" i="10"/>
  <c r="L806" i="10"/>
  <c r="Q805" i="10"/>
  <c r="P805" i="10"/>
  <c r="L805" i="10"/>
  <c r="Q804" i="10"/>
  <c r="P804" i="10"/>
  <c r="L804" i="10"/>
  <c r="Q803" i="10"/>
  <c r="P803" i="10"/>
  <c r="L803" i="10"/>
  <c r="Q802" i="10"/>
  <c r="P802" i="10"/>
  <c r="L802" i="10"/>
  <c r="Q801" i="10"/>
  <c r="P801" i="10"/>
  <c r="L801" i="10"/>
  <c r="Q800" i="10"/>
  <c r="P800" i="10"/>
  <c r="L800" i="10"/>
  <c r="Q799" i="10"/>
  <c r="P799" i="10"/>
  <c r="L799" i="10"/>
  <c r="Q798" i="10"/>
  <c r="P798" i="10"/>
  <c r="L798" i="10"/>
  <c r="Q797" i="10"/>
  <c r="P797" i="10"/>
  <c r="L797" i="10"/>
  <c r="Q796" i="10"/>
  <c r="P796" i="10"/>
  <c r="L796" i="10"/>
  <c r="Q795" i="10"/>
  <c r="P795" i="10"/>
  <c r="L795" i="10"/>
  <c r="Q794" i="10"/>
  <c r="P794" i="10"/>
  <c r="L794" i="10"/>
  <c r="Q793" i="10"/>
  <c r="P793" i="10"/>
  <c r="L793" i="10"/>
  <c r="Q792" i="10"/>
  <c r="P792" i="10"/>
  <c r="L792" i="10"/>
  <c r="Q791" i="10"/>
  <c r="P791" i="10"/>
  <c r="L791" i="10"/>
  <c r="Q790" i="10"/>
  <c r="P790" i="10"/>
  <c r="L790" i="10"/>
  <c r="Q789" i="10"/>
  <c r="P789" i="10"/>
  <c r="L789" i="10"/>
  <c r="Q788" i="10"/>
  <c r="P788" i="10"/>
  <c r="L788" i="10"/>
  <c r="Q787" i="10"/>
  <c r="P787" i="10"/>
  <c r="L787" i="10"/>
  <c r="Q786" i="10"/>
  <c r="P786" i="10"/>
  <c r="L786" i="10"/>
  <c r="Q785" i="10"/>
  <c r="P785" i="10"/>
  <c r="L785" i="10"/>
  <c r="Q784" i="10"/>
  <c r="P784" i="10"/>
  <c r="L784" i="10"/>
  <c r="Q783" i="10"/>
  <c r="P783" i="10"/>
  <c r="L783" i="10"/>
  <c r="Q782" i="10"/>
  <c r="P782" i="10"/>
  <c r="L782" i="10"/>
  <c r="Q781" i="10"/>
  <c r="P781" i="10"/>
  <c r="L781" i="10"/>
  <c r="Q780" i="10"/>
  <c r="P780" i="10"/>
  <c r="L780" i="10"/>
  <c r="Q779" i="10"/>
  <c r="P779" i="10"/>
  <c r="L779" i="10"/>
  <c r="Q778" i="10"/>
  <c r="P778" i="10"/>
  <c r="L778" i="10"/>
  <c r="Q777" i="10"/>
  <c r="P777" i="10"/>
  <c r="L777" i="10"/>
  <c r="Q776" i="10"/>
  <c r="P776" i="10"/>
  <c r="L776" i="10"/>
  <c r="Q775" i="10"/>
  <c r="P775" i="10"/>
  <c r="L775" i="10"/>
  <c r="Q774" i="10"/>
  <c r="P774" i="10"/>
  <c r="L774" i="10"/>
  <c r="K774" i="10"/>
  <c r="J774" i="10"/>
  <c r="I774" i="10"/>
  <c r="H774" i="10"/>
  <c r="G774" i="10"/>
  <c r="Q773" i="10"/>
  <c r="P773" i="10"/>
  <c r="L773" i="10"/>
  <c r="K773" i="10"/>
  <c r="J773" i="10"/>
  <c r="I773" i="10"/>
  <c r="H773" i="10"/>
  <c r="G773" i="10"/>
  <c r="Q772" i="10"/>
  <c r="P772" i="10"/>
  <c r="L772" i="10"/>
  <c r="K772" i="10"/>
  <c r="J772" i="10"/>
  <c r="I772" i="10"/>
  <c r="H772" i="10"/>
  <c r="G772" i="10"/>
  <c r="Q771" i="10"/>
  <c r="P771" i="10"/>
  <c r="L771" i="10"/>
  <c r="K771" i="10"/>
  <c r="J771" i="10"/>
  <c r="I771" i="10"/>
  <c r="H771" i="10"/>
  <c r="G771" i="10"/>
  <c r="Q770" i="10"/>
  <c r="P770" i="10"/>
  <c r="L770" i="10"/>
  <c r="K770" i="10"/>
  <c r="J770" i="10"/>
  <c r="I770" i="10"/>
  <c r="H770" i="10"/>
  <c r="G770" i="10"/>
  <c r="Q769" i="10"/>
  <c r="P769" i="10"/>
  <c r="L769" i="10"/>
  <c r="K769" i="10"/>
  <c r="J769" i="10"/>
  <c r="I769" i="10"/>
  <c r="H769" i="10"/>
  <c r="G769" i="10"/>
  <c r="Q768" i="10"/>
  <c r="P768" i="10"/>
  <c r="L768" i="10"/>
  <c r="K768" i="10"/>
  <c r="J768" i="10"/>
  <c r="I768" i="10"/>
  <c r="H768" i="10"/>
  <c r="G768" i="10"/>
  <c r="Q767" i="10"/>
  <c r="P767" i="10"/>
  <c r="L767" i="10"/>
  <c r="K767" i="10"/>
  <c r="J767" i="10"/>
  <c r="I767" i="10"/>
  <c r="H767" i="10"/>
  <c r="G767" i="10"/>
  <c r="Q766" i="10"/>
  <c r="P766" i="10"/>
  <c r="L766" i="10"/>
  <c r="K766" i="10"/>
  <c r="J766" i="10"/>
  <c r="I766" i="10"/>
  <c r="H766" i="10"/>
  <c r="G766" i="10"/>
  <c r="Q765" i="10"/>
  <c r="P765" i="10"/>
  <c r="L765" i="10"/>
  <c r="K765" i="10"/>
  <c r="J765" i="10"/>
  <c r="I765" i="10"/>
  <c r="H765" i="10"/>
  <c r="G765" i="10"/>
  <c r="Q764" i="10"/>
  <c r="P764" i="10"/>
  <c r="L764" i="10"/>
  <c r="K764" i="10"/>
  <c r="J764" i="10"/>
  <c r="I764" i="10"/>
  <c r="H764" i="10"/>
  <c r="G764" i="10"/>
  <c r="Q763" i="10"/>
  <c r="P763" i="10"/>
  <c r="L763" i="10"/>
  <c r="K763" i="10"/>
  <c r="J763" i="10"/>
  <c r="I763" i="10"/>
  <c r="H763" i="10"/>
  <c r="G763" i="10"/>
  <c r="Q762" i="10"/>
  <c r="P762" i="10"/>
  <c r="L762" i="10"/>
  <c r="K762" i="10"/>
  <c r="J762" i="10"/>
  <c r="I762" i="10"/>
  <c r="H762" i="10"/>
  <c r="G762" i="10"/>
  <c r="Q761" i="10"/>
  <c r="P761" i="10"/>
  <c r="L761" i="10"/>
  <c r="K761" i="10"/>
  <c r="J761" i="10"/>
  <c r="I761" i="10"/>
  <c r="H761" i="10"/>
  <c r="G761" i="10"/>
  <c r="Q760" i="10"/>
  <c r="P760" i="10"/>
  <c r="L760" i="10"/>
  <c r="K760" i="10"/>
  <c r="J760" i="10"/>
  <c r="I760" i="10"/>
  <c r="H760" i="10"/>
  <c r="G760" i="10"/>
  <c r="Q759" i="10"/>
  <c r="P759" i="10"/>
  <c r="L759" i="10"/>
  <c r="K759" i="10"/>
  <c r="J759" i="10"/>
  <c r="I759" i="10"/>
  <c r="H759" i="10"/>
  <c r="G759" i="10"/>
  <c r="Q758" i="10"/>
  <c r="P758" i="10"/>
  <c r="L758" i="10"/>
  <c r="K758" i="10"/>
  <c r="J758" i="10"/>
  <c r="I758" i="10"/>
  <c r="H758" i="10"/>
  <c r="G758" i="10"/>
  <c r="Q757" i="10"/>
  <c r="P757" i="10"/>
  <c r="L757" i="10"/>
  <c r="K757" i="10"/>
  <c r="J757" i="10"/>
  <c r="I757" i="10"/>
  <c r="H757" i="10"/>
  <c r="G757" i="10"/>
  <c r="Q756" i="10"/>
  <c r="P756" i="10"/>
  <c r="L756" i="10"/>
  <c r="K756" i="10"/>
  <c r="J756" i="10"/>
  <c r="I756" i="10"/>
  <c r="H756" i="10"/>
  <c r="G756" i="10"/>
  <c r="Q755" i="10"/>
  <c r="P755" i="10"/>
  <c r="L755" i="10"/>
  <c r="K755" i="10"/>
  <c r="J755" i="10"/>
  <c r="I755" i="10"/>
  <c r="H755" i="10"/>
  <c r="G755" i="10"/>
  <c r="Q754" i="10"/>
  <c r="P754" i="10"/>
  <c r="L754" i="10"/>
  <c r="K754" i="10"/>
  <c r="J754" i="10"/>
  <c r="I754" i="10"/>
  <c r="H754" i="10"/>
  <c r="G754" i="10"/>
  <c r="Q753" i="10"/>
  <c r="P753" i="10"/>
  <c r="L753" i="10"/>
  <c r="K753" i="10"/>
  <c r="J753" i="10"/>
  <c r="I753" i="10"/>
  <c r="H753" i="10"/>
  <c r="G753" i="10"/>
  <c r="Q752" i="10"/>
  <c r="P752" i="10"/>
  <c r="L752" i="10"/>
  <c r="K752" i="10"/>
  <c r="J752" i="10"/>
  <c r="I752" i="10"/>
  <c r="H752" i="10"/>
  <c r="G752" i="10"/>
  <c r="Q751" i="10"/>
  <c r="P751" i="10"/>
  <c r="L751" i="10"/>
  <c r="K751" i="10"/>
  <c r="J751" i="10"/>
  <c r="I751" i="10"/>
  <c r="H751" i="10"/>
  <c r="G751" i="10"/>
  <c r="Q750" i="10"/>
  <c r="P750" i="10"/>
  <c r="L750" i="10"/>
  <c r="K750" i="10"/>
  <c r="J750" i="10"/>
  <c r="I750" i="10"/>
  <c r="H750" i="10"/>
  <c r="G750" i="10"/>
  <c r="Q749" i="10"/>
  <c r="P749" i="10"/>
  <c r="L749" i="10"/>
  <c r="K749" i="10"/>
  <c r="J749" i="10"/>
  <c r="I749" i="10"/>
  <c r="H749" i="10"/>
  <c r="G749" i="10"/>
  <c r="Q748" i="10"/>
  <c r="P748" i="10"/>
  <c r="L748" i="10"/>
  <c r="K748" i="10"/>
  <c r="J748" i="10"/>
  <c r="I748" i="10"/>
  <c r="H748" i="10"/>
  <c r="G748" i="10"/>
  <c r="Q747" i="10"/>
  <c r="P747" i="10"/>
  <c r="L747" i="10"/>
  <c r="K747" i="10"/>
  <c r="J747" i="10"/>
  <c r="I747" i="10"/>
  <c r="H747" i="10"/>
  <c r="G747" i="10"/>
  <c r="Q746" i="10"/>
  <c r="P746" i="10"/>
  <c r="L746" i="10"/>
  <c r="K746" i="10"/>
  <c r="J746" i="10"/>
  <c r="I746" i="10"/>
  <c r="H746" i="10"/>
  <c r="G746" i="10"/>
  <c r="Q745" i="10"/>
  <c r="P745" i="10"/>
  <c r="L745" i="10"/>
  <c r="K745" i="10"/>
  <c r="J745" i="10"/>
  <c r="I745" i="10"/>
  <c r="H745" i="10"/>
  <c r="G745" i="10"/>
  <c r="Q744" i="10"/>
  <c r="P744" i="10"/>
  <c r="L744" i="10"/>
  <c r="K744" i="10"/>
  <c r="J744" i="10"/>
  <c r="I744" i="10"/>
  <c r="H744" i="10"/>
  <c r="G744" i="10"/>
  <c r="Q743" i="10"/>
  <c r="P743" i="10"/>
  <c r="L743" i="10"/>
  <c r="K743" i="10"/>
  <c r="J743" i="10"/>
  <c r="I743" i="10"/>
  <c r="H743" i="10"/>
  <c r="G743" i="10"/>
  <c r="Q742" i="10"/>
  <c r="P742" i="10"/>
  <c r="L742" i="10"/>
  <c r="K742" i="10"/>
  <c r="J742" i="10"/>
  <c r="I742" i="10"/>
  <c r="H742" i="10"/>
  <c r="G742" i="10"/>
  <c r="Q741" i="10"/>
  <c r="P741" i="10"/>
  <c r="L741" i="10"/>
  <c r="K741" i="10"/>
  <c r="J741" i="10"/>
  <c r="I741" i="10"/>
  <c r="H741" i="10"/>
  <c r="G741" i="10"/>
  <c r="Q740" i="10"/>
  <c r="P740" i="10"/>
  <c r="L740" i="10"/>
  <c r="K740" i="10"/>
  <c r="J740" i="10"/>
  <c r="I740" i="10"/>
  <c r="H740" i="10"/>
  <c r="G740" i="10"/>
  <c r="Q739" i="10"/>
  <c r="P739" i="10"/>
  <c r="L739" i="10"/>
  <c r="K739" i="10"/>
  <c r="J739" i="10"/>
  <c r="I739" i="10"/>
  <c r="H739" i="10"/>
  <c r="G739" i="10"/>
  <c r="Q738" i="10"/>
  <c r="P738" i="10"/>
  <c r="L738" i="10"/>
  <c r="K738" i="10"/>
  <c r="J738" i="10"/>
  <c r="I738" i="10"/>
  <c r="H738" i="10"/>
  <c r="G738" i="10"/>
  <c r="Q737" i="10"/>
  <c r="P737" i="10"/>
  <c r="L737" i="10"/>
  <c r="K737" i="10"/>
  <c r="J737" i="10"/>
  <c r="I737" i="10"/>
  <c r="H737" i="10"/>
  <c r="G737" i="10"/>
  <c r="Q736" i="10"/>
  <c r="P736" i="10"/>
  <c r="L736" i="10"/>
  <c r="K736" i="10"/>
  <c r="J736" i="10"/>
  <c r="I736" i="10"/>
  <c r="H736" i="10"/>
  <c r="G736" i="10"/>
  <c r="Q735" i="10"/>
  <c r="P735" i="10"/>
  <c r="L735" i="10"/>
  <c r="K735" i="10"/>
  <c r="J735" i="10"/>
  <c r="I735" i="10"/>
  <c r="H735" i="10"/>
  <c r="G735" i="10"/>
  <c r="Q734" i="10"/>
  <c r="P734" i="10"/>
  <c r="L734" i="10"/>
  <c r="K734" i="10"/>
  <c r="J734" i="10"/>
  <c r="I734" i="10"/>
  <c r="H734" i="10"/>
  <c r="G734" i="10"/>
  <c r="Q733" i="10"/>
  <c r="P733" i="10"/>
  <c r="L733" i="10"/>
  <c r="Q732" i="10"/>
  <c r="P732" i="10"/>
  <c r="L732" i="10"/>
  <c r="Q731" i="10"/>
  <c r="P731" i="10"/>
  <c r="L731" i="10"/>
  <c r="Q730" i="10"/>
  <c r="P730" i="10"/>
  <c r="L730" i="10"/>
  <c r="Q729" i="10"/>
  <c r="P729" i="10"/>
  <c r="L729" i="10"/>
  <c r="Q728" i="10"/>
  <c r="P728" i="10"/>
  <c r="L728" i="10"/>
  <c r="Q727" i="10"/>
  <c r="P727" i="10"/>
  <c r="L727" i="10"/>
  <c r="Q726" i="10"/>
  <c r="P726" i="10"/>
  <c r="L726" i="10"/>
  <c r="Q725" i="10"/>
  <c r="P725" i="10"/>
  <c r="L725" i="10"/>
  <c r="Q724" i="10"/>
  <c r="P724" i="10"/>
  <c r="L724" i="10"/>
  <c r="Q723" i="10"/>
  <c r="P723" i="10"/>
  <c r="L723" i="10"/>
  <c r="Q722" i="10"/>
  <c r="P722" i="10"/>
  <c r="L722" i="10"/>
  <c r="Q721" i="10"/>
  <c r="P721" i="10"/>
  <c r="L721" i="10"/>
  <c r="Q720" i="10"/>
  <c r="P720" i="10"/>
  <c r="L720" i="10"/>
  <c r="Q719" i="10"/>
  <c r="P719" i="10"/>
  <c r="L719" i="10"/>
  <c r="Q718" i="10"/>
  <c r="P718" i="10"/>
  <c r="L718" i="10"/>
  <c r="Q717" i="10"/>
  <c r="P717" i="10"/>
  <c r="L717" i="10"/>
  <c r="Q716" i="10"/>
  <c r="P716" i="10"/>
  <c r="L716" i="10"/>
  <c r="Q715" i="10"/>
  <c r="P715" i="10"/>
  <c r="L715" i="10"/>
  <c r="Q714" i="10"/>
  <c r="P714" i="10"/>
  <c r="L714" i="10"/>
  <c r="Q713" i="10"/>
  <c r="P713" i="10"/>
  <c r="L713" i="10"/>
  <c r="Q712" i="10"/>
  <c r="P712" i="10"/>
  <c r="L712" i="10"/>
  <c r="Q711" i="10"/>
  <c r="P711" i="10"/>
  <c r="L711" i="10"/>
  <c r="Q710" i="10"/>
  <c r="P710" i="10"/>
  <c r="L710" i="10"/>
  <c r="Q709" i="10"/>
  <c r="P709" i="10"/>
  <c r="L709" i="10"/>
  <c r="Q708" i="10"/>
  <c r="P708" i="10"/>
  <c r="L708" i="10"/>
  <c r="Q707" i="10"/>
  <c r="P707" i="10"/>
  <c r="L707" i="10"/>
  <c r="Q706" i="10"/>
  <c r="P706" i="10"/>
  <c r="L706" i="10"/>
  <c r="Q705" i="10"/>
  <c r="P705" i="10"/>
  <c r="L705" i="10"/>
  <c r="Q704" i="10"/>
  <c r="P704" i="10"/>
  <c r="L704" i="10"/>
  <c r="Q703" i="10"/>
  <c r="P703" i="10"/>
  <c r="L703" i="10"/>
  <c r="Q702" i="10"/>
  <c r="P702" i="10"/>
  <c r="L702" i="10"/>
  <c r="Q701" i="10"/>
  <c r="P701" i="10"/>
  <c r="L701" i="10"/>
  <c r="Q700" i="10"/>
  <c r="P700" i="10"/>
  <c r="L700" i="10"/>
  <c r="Q699" i="10"/>
  <c r="P699" i="10"/>
  <c r="L699" i="10"/>
  <c r="Q698" i="10"/>
  <c r="P698" i="10"/>
  <c r="L698" i="10"/>
  <c r="Q697" i="10"/>
  <c r="P697" i="10"/>
  <c r="L697" i="10"/>
  <c r="Q696" i="10"/>
  <c r="P696" i="10"/>
  <c r="L696" i="10"/>
  <c r="Q695" i="10"/>
  <c r="P695" i="10"/>
  <c r="L695" i="10"/>
  <c r="Q694" i="10"/>
  <c r="P694" i="10"/>
  <c r="L694" i="10"/>
  <c r="Q693" i="10"/>
  <c r="P693" i="10"/>
  <c r="L693" i="10"/>
  <c r="Q692" i="10"/>
  <c r="P692" i="10"/>
  <c r="L692" i="10"/>
  <c r="Q691" i="10"/>
  <c r="P691" i="10"/>
  <c r="L691" i="10"/>
  <c r="Q690" i="10"/>
  <c r="P690" i="10"/>
  <c r="L690" i="10"/>
  <c r="Q689" i="10"/>
  <c r="P689" i="10"/>
  <c r="L689" i="10"/>
  <c r="Q688" i="10"/>
  <c r="P688" i="10"/>
  <c r="L688" i="10"/>
  <c r="Q687" i="10"/>
  <c r="P687" i="10"/>
  <c r="L687" i="10"/>
  <c r="Q686" i="10"/>
  <c r="P686" i="10"/>
  <c r="L686" i="10"/>
  <c r="Q685" i="10"/>
  <c r="P685" i="10"/>
  <c r="L685" i="10"/>
  <c r="Q684" i="10"/>
  <c r="P684" i="10"/>
  <c r="L684" i="10"/>
  <c r="Q683" i="10"/>
  <c r="P683" i="10"/>
  <c r="L683" i="10"/>
  <c r="Q682" i="10"/>
  <c r="P682" i="10"/>
  <c r="L682" i="10"/>
  <c r="Q681" i="10"/>
  <c r="P681" i="10"/>
  <c r="L681" i="10"/>
  <c r="Q680" i="10"/>
  <c r="P680" i="10"/>
  <c r="L680" i="10"/>
  <c r="Q679" i="10"/>
  <c r="P679" i="10"/>
  <c r="L679" i="10"/>
  <c r="Q678" i="10"/>
  <c r="P678" i="10"/>
  <c r="L678" i="10"/>
  <c r="Q677" i="10"/>
  <c r="P677" i="10"/>
  <c r="L677" i="10"/>
  <c r="Q676" i="10"/>
  <c r="P676" i="10"/>
  <c r="L676" i="10"/>
  <c r="Q675" i="10"/>
  <c r="P675" i="10"/>
  <c r="L675" i="10"/>
  <c r="Q674" i="10"/>
  <c r="P674" i="10"/>
  <c r="L674" i="10"/>
  <c r="Q673" i="10"/>
  <c r="P673" i="10"/>
  <c r="L673" i="10"/>
  <c r="Q672" i="10"/>
  <c r="P672" i="10"/>
  <c r="L672" i="10"/>
  <c r="Q671" i="10"/>
  <c r="P671" i="10"/>
  <c r="L671" i="10"/>
  <c r="Q670" i="10"/>
  <c r="P670" i="10"/>
  <c r="L670" i="10"/>
  <c r="Q669" i="10"/>
  <c r="P669" i="10"/>
  <c r="L669" i="10"/>
  <c r="Q668" i="10"/>
  <c r="P668" i="10"/>
  <c r="L668" i="10"/>
  <c r="Q667" i="10"/>
  <c r="P667" i="10"/>
  <c r="L667" i="10"/>
  <c r="Q666" i="10"/>
  <c r="P666" i="10"/>
  <c r="L666" i="10"/>
  <c r="Q665" i="10"/>
  <c r="P665" i="10"/>
  <c r="L665" i="10"/>
  <c r="Q664" i="10"/>
  <c r="P664" i="10"/>
  <c r="L664" i="10"/>
  <c r="Q663" i="10"/>
  <c r="P663" i="10"/>
  <c r="L663" i="10"/>
  <c r="Q662" i="10"/>
  <c r="P662" i="10"/>
  <c r="L662" i="10"/>
  <c r="K662" i="10"/>
  <c r="J662" i="10"/>
  <c r="I662" i="10"/>
  <c r="H662" i="10"/>
  <c r="G662" i="10"/>
  <c r="Q661" i="10"/>
  <c r="P661" i="10"/>
  <c r="L661" i="10"/>
  <c r="K661" i="10"/>
  <c r="J661" i="10"/>
  <c r="I661" i="10"/>
  <c r="H661" i="10"/>
  <c r="G661" i="10"/>
  <c r="Q660" i="10"/>
  <c r="P660" i="10"/>
  <c r="L660" i="10"/>
  <c r="K660" i="10"/>
  <c r="J660" i="10"/>
  <c r="I660" i="10"/>
  <c r="H660" i="10"/>
  <c r="G660" i="10"/>
  <c r="Q659" i="10"/>
  <c r="P659" i="10"/>
  <c r="L659" i="10"/>
  <c r="K659" i="10"/>
  <c r="J659" i="10"/>
  <c r="I659" i="10"/>
  <c r="H659" i="10"/>
  <c r="G659" i="10"/>
  <c r="Q658" i="10"/>
  <c r="P658" i="10"/>
  <c r="L658" i="10"/>
  <c r="K658" i="10"/>
  <c r="J658" i="10"/>
  <c r="I658" i="10"/>
  <c r="H658" i="10"/>
  <c r="G658" i="10"/>
  <c r="Q657" i="10"/>
  <c r="P657" i="10"/>
  <c r="L657" i="10"/>
  <c r="K657" i="10"/>
  <c r="J657" i="10"/>
  <c r="I657" i="10"/>
  <c r="H657" i="10"/>
  <c r="G657" i="10"/>
  <c r="Q656" i="10"/>
  <c r="P656" i="10"/>
  <c r="L656" i="10"/>
  <c r="K656" i="10"/>
  <c r="J656" i="10"/>
  <c r="I656" i="10"/>
  <c r="H656" i="10"/>
  <c r="G656" i="10"/>
  <c r="Q655" i="10"/>
  <c r="P655" i="10"/>
  <c r="L655" i="10"/>
  <c r="K655" i="10"/>
  <c r="J655" i="10"/>
  <c r="I655" i="10"/>
  <c r="H655" i="10"/>
  <c r="G655" i="10"/>
  <c r="Q654" i="10"/>
  <c r="P654" i="10"/>
  <c r="L654" i="10"/>
  <c r="K654" i="10"/>
  <c r="J654" i="10"/>
  <c r="I654" i="10"/>
  <c r="H654" i="10"/>
  <c r="G654" i="10"/>
  <c r="Q653" i="10"/>
  <c r="P653" i="10"/>
  <c r="L653" i="10"/>
  <c r="K653" i="10"/>
  <c r="J653" i="10"/>
  <c r="I653" i="10"/>
  <c r="H653" i="10"/>
  <c r="G653" i="10"/>
  <c r="Q652" i="10"/>
  <c r="P652" i="10"/>
  <c r="L652" i="10"/>
  <c r="K652" i="10"/>
  <c r="J652" i="10"/>
  <c r="I652" i="10"/>
  <c r="H652" i="10"/>
  <c r="G652" i="10"/>
  <c r="Q651" i="10"/>
  <c r="P651" i="10"/>
  <c r="L651" i="10"/>
  <c r="K651" i="10"/>
  <c r="J651" i="10"/>
  <c r="I651" i="10"/>
  <c r="H651" i="10"/>
  <c r="G651" i="10"/>
  <c r="Q650" i="10"/>
  <c r="P650" i="10"/>
  <c r="L650" i="10"/>
  <c r="K650" i="10"/>
  <c r="J650" i="10"/>
  <c r="I650" i="10"/>
  <c r="H650" i="10"/>
  <c r="G650" i="10"/>
  <c r="Q649" i="10"/>
  <c r="P649" i="10"/>
  <c r="L649" i="10"/>
  <c r="K649" i="10"/>
  <c r="J649" i="10"/>
  <c r="I649" i="10"/>
  <c r="H649" i="10"/>
  <c r="G649" i="10"/>
  <c r="Q648" i="10"/>
  <c r="P648" i="10"/>
  <c r="L648" i="10"/>
  <c r="K648" i="10"/>
  <c r="J648" i="10"/>
  <c r="I648" i="10"/>
  <c r="H648" i="10"/>
  <c r="G648" i="10"/>
  <c r="Q647" i="10"/>
  <c r="P647" i="10"/>
  <c r="L647" i="10"/>
  <c r="K647" i="10"/>
  <c r="J647" i="10"/>
  <c r="I647" i="10"/>
  <c r="H647" i="10"/>
  <c r="G647" i="10"/>
  <c r="Q646" i="10"/>
  <c r="P646" i="10"/>
  <c r="L646" i="10"/>
  <c r="K646" i="10"/>
  <c r="J646" i="10"/>
  <c r="I646" i="10"/>
  <c r="H646" i="10"/>
  <c r="G646" i="10"/>
  <c r="Q645" i="10"/>
  <c r="P645" i="10"/>
  <c r="L645" i="10"/>
  <c r="K645" i="10"/>
  <c r="J645" i="10"/>
  <c r="I645" i="10"/>
  <c r="H645" i="10"/>
  <c r="G645" i="10"/>
  <c r="Q644" i="10"/>
  <c r="P644" i="10"/>
  <c r="L644" i="10"/>
  <c r="K644" i="10"/>
  <c r="J644" i="10"/>
  <c r="I644" i="10"/>
  <c r="H644" i="10"/>
  <c r="G644" i="10"/>
  <c r="Q643" i="10"/>
  <c r="P643" i="10"/>
  <c r="L643" i="10"/>
  <c r="K643" i="10"/>
  <c r="J643" i="10"/>
  <c r="I643" i="10"/>
  <c r="H643" i="10"/>
  <c r="G643" i="10"/>
  <c r="Q642" i="10"/>
  <c r="P642" i="10"/>
  <c r="L642" i="10"/>
  <c r="K642" i="10"/>
  <c r="J642" i="10"/>
  <c r="I642" i="10"/>
  <c r="H642" i="10"/>
  <c r="G642" i="10"/>
  <c r="Q641" i="10"/>
  <c r="P641" i="10"/>
  <c r="L641" i="10"/>
  <c r="K641" i="10"/>
  <c r="J641" i="10"/>
  <c r="I641" i="10"/>
  <c r="H641" i="10"/>
  <c r="G641" i="10"/>
  <c r="Q640" i="10"/>
  <c r="P640" i="10"/>
  <c r="L640" i="10"/>
  <c r="K640" i="10"/>
  <c r="J640" i="10"/>
  <c r="I640" i="10"/>
  <c r="H640" i="10"/>
  <c r="G640" i="10"/>
  <c r="Q639" i="10"/>
  <c r="P639" i="10"/>
  <c r="L639" i="10"/>
  <c r="K639" i="10"/>
  <c r="J639" i="10"/>
  <c r="I639" i="10"/>
  <c r="H639" i="10"/>
  <c r="G639" i="10"/>
  <c r="Q638" i="10"/>
  <c r="P638" i="10"/>
  <c r="L638" i="10"/>
  <c r="K638" i="10"/>
  <c r="J638" i="10"/>
  <c r="I638" i="10"/>
  <c r="H638" i="10"/>
  <c r="G638" i="10"/>
  <c r="Q637" i="10"/>
  <c r="P637" i="10"/>
  <c r="L637" i="10"/>
  <c r="K637" i="10"/>
  <c r="J637" i="10"/>
  <c r="I637" i="10"/>
  <c r="H637" i="10"/>
  <c r="G637" i="10"/>
  <c r="Q636" i="10"/>
  <c r="P636" i="10"/>
  <c r="L636" i="10"/>
  <c r="K636" i="10"/>
  <c r="J636" i="10"/>
  <c r="I636" i="10"/>
  <c r="H636" i="10"/>
  <c r="G636" i="10"/>
  <c r="Q635" i="10"/>
  <c r="P635" i="10"/>
  <c r="L635" i="10"/>
  <c r="K635" i="10"/>
  <c r="J635" i="10"/>
  <c r="I635" i="10"/>
  <c r="H635" i="10"/>
  <c r="G635" i="10"/>
  <c r="Q634" i="10"/>
  <c r="P634" i="10"/>
  <c r="L634" i="10"/>
  <c r="K634" i="10"/>
  <c r="J634" i="10"/>
  <c r="I634" i="10"/>
  <c r="H634" i="10"/>
  <c r="G634" i="10"/>
  <c r="Q633" i="10"/>
  <c r="P633" i="10"/>
  <c r="L633" i="10"/>
  <c r="K633" i="10"/>
  <c r="J633" i="10"/>
  <c r="I633" i="10"/>
  <c r="H633" i="10"/>
  <c r="G633" i="10"/>
  <c r="Q632" i="10"/>
  <c r="P632" i="10"/>
  <c r="L632" i="10"/>
  <c r="K632" i="10"/>
  <c r="J632" i="10"/>
  <c r="I632" i="10"/>
  <c r="H632" i="10"/>
  <c r="G632" i="10"/>
  <c r="Q631" i="10"/>
  <c r="P631" i="10"/>
  <c r="L631" i="10"/>
  <c r="K631" i="10"/>
  <c r="J631" i="10"/>
  <c r="I631" i="10"/>
  <c r="H631" i="10"/>
  <c r="G631" i="10"/>
  <c r="Q630" i="10"/>
  <c r="P630" i="10"/>
  <c r="L630" i="10"/>
  <c r="K630" i="10"/>
  <c r="J630" i="10"/>
  <c r="I630" i="10"/>
  <c r="H630" i="10"/>
  <c r="G630" i="10"/>
  <c r="Q629" i="10"/>
  <c r="P629" i="10"/>
  <c r="L629" i="10"/>
  <c r="K629" i="10"/>
  <c r="J629" i="10"/>
  <c r="I629" i="10"/>
  <c r="H629" i="10"/>
  <c r="G629" i="10"/>
  <c r="Q628" i="10"/>
  <c r="P628" i="10"/>
  <c r="L628" i="10"/>
  <c r="K628" i="10"/>
  <c r="J628" i="10"/>
  <c r="I628" i="10"/>
  <c r="H628" i="10"/>
  <c r="G628" i="10"/>
  <c r="Q627" i="10"/>
  <c r="P627" i="10"/>
  <c r="L627" i="10"/>
  <c r="K627" i="10"/>
  <c r="J627" i="10"/>
  <c r="I627" i="10"/>
  <c r="H627" i="10"/>
  <c r="G627" i="10"/>
  <c r="Q626" i="10"/>
  <c r="P626" i="10"/>
  <c r="L626" i="10"/>
  <c r="K626" i="10"/>
  <c r="J626" i="10"/>
  <c r="I626" i="10"/>
  <c r="H626" i="10"/>
  <c r="G626" i="10"/>
  <c r="Q625" i="10"/>
  <c r="P625" i="10"/>
  <c r="L625" i="10"/>
  <c r="K625" i="10"/>
  <c r="J625" i="10"/>
  <c r="I625" i="10"/>
  <c r="H625" i="10"/>
  <c r="G625" i="10"/>
  <c r="Q624" i="10"/>
  <c r="P624" i="10"/>
  <c r="L624" i="10"/>
  <c r="K624" i="10"/>
  <c r="J624" i="10"/>
  <c r="I624" i="10"/>
  <c r="H624" i="10"/>
  <c r="G624" i="10"/>
  <c r="Q623" i="10"/>
  <c r="P623" i="10"/>
  <c r="L623" i="10"/>
  <c r="K623" i="10"/>
  <c r="J623" i="10"/>
  <c r="I623" i="10"/>
  <c r="H623" i="10"/>
  <c r="G623" i="10"/>
  <c r="Q622" i="10"/>
  <c r="P622" i="10"/>
  <c r="L622" i="10"/>
  <c r="K622" i="10"/>
  <c r="J622" i="10"/>
  <c r="I622" i="10"/>
  <c r="H622" i="10"/>
  <c r="G622" i="10"/>
  <c r="Q621" i="10"/>
  <c r="P621" i="10"/>
  <c r="L621" i="10"/>
  <c r="Q620" i="10"/>
  <c r="P620" i="10"/>
  <c r="L620" i="10"/>
  <c r="Q619" i="10"/>
  <c r="P619" i="10"/>
  <c r="L619" i="10"/>
  <c r="Q618" i="10"/>
  <c r="P618" i="10"/>
  <c r="L618" i="10"/>
  <c r="Q617" i="10"/>
  <c r="P617" i="10"/>
  <c r="L617" i="10"/>
  <c r="Q616" i="10"/>
  <c r="P616" i="10"/>
  <c r="L616" i="10"/>
  <c r="Q615" i="10"/>
  <c r="P615" i="10"/>
  <c r="L615" i="10"/>
  <c r="Q614" i="10"/>
  <c r="P614" i="10"/>
  <c r="L614" i="10"/>
  <c r="Q613" i="10"/>
  <c r="P613" i="10"/>
  <c r="L613" i="10"/>
  <c r="Q612" i="10"/>
  <c r="P612" i="10"/>
  <c r="L612" i="10"/>
  <c r="Q611" i="10"/>
  <c r="P611" i="10"/>
  <c r="L611" i="10"/>
  <c r="Q610" i="10"/>
  <c r="P610" i="10"/>
  <c r="L610" i="10"/>
  <c r="Q609" i="10"/>
  <c r="P609" i="10"/>
  <c r="L609" i="10"/>
  <c r="Q608" i="10"/>
  <c r="P608" i="10"/>
  <c r="L608" i="10"/>
  <c r="Q607" i="10"/>
  <c r="P607" i="10"/>
  <c r="L607" i="10"/>
  <c r="Q606" i="10"/>
  <c r="P606" i="10"/>
  <c r="L606" i="10"/>
  <c r="Q605" i="10"/>
  <c r="P605" i="10"/>
  <c r="L605" i="10"/>
  <c r="Q604" i="10"/>
  <c r="P604" i="10"/>
  <c r="L604" i="10"/>
  <c r="Q603" i="10"/>
  <c r="P603" i="10"/>
  <c r="L603" i="10"/>
  <c r="Q602" i="10"/>
  <c r="P602" i="10"/>
  <c r="L602" i="10"/>
  <c r="Q601" i="10"/>
  <c r="P601" i="10"/>
  <c r="L601" i="10"/>
  <c r="Q600" i="10"/>
  <c r="P600" i="10"/>
  <c r="L600" i="10"/>
  <c r="Q599" i="10"/>
  <c r="P599" i="10"/>
  <c r="L599" i="10"/>
  <c r="Q598" i="10"/>
  <c r="P598" i="10"/>
  <c r="L598" i="10"/>
  <c r="Q597" i="10"/>
  <c r="P597" i="10"/>
  <c r="L597" i="10"/>
  <c r="Q596" i="10"/>
  <c r="P596" i="10"/>
  <c r="L596" i="10"/>
  <c r="Q595" i="10"/>
  <c r="P595" i="10"/>
  <c r="L595" i="10"/>
  <c r="Q594" i="10"/>
  <c r="P594" i="10"/>
  <c r="L594" i="10"/>
  <c r="Q593" i="10"/>
  <c r="P593" i="10"/>
  <c r="L593" i="10"/>
  <c r="Q592" i="10"/>
  <c r="P592" i="10"/>
  <c r="L592" i="10"/>
  <c r="Q591" i="10"/>
  <c r="P591" i="10"/>
  <c r="L591" i="10"/>
  <c r="Q590" i="10"/>
  <c r="P590" i="10"/>
  <c r="L590" i="10"/>
  <c r="Q589" i="10"/>
  <c r="P589" i="10"/>
  <c r="L589" i="10"/>
  <c r="Q588" i="10"/>
  <c r="P588" i="10"/>
  <c r="L588" i="10"/>
  <c r="Q587" i="10"/>
  <c r="P587" i="10"/>
  <c r="L587" i="10"/>
  <c r="Q586" i="10"/>
  <c r="P586" i="10"/>
  <c r="L586" i="10"/>
  <c r="Q585" i="10"/>
  <c r="P585" i="10"/>
  <c r="L585" i="10"/>
  <c r="Q584" i="10"/>
  <c r="P584" i="10"/>
  <c r="L584" i="10"/>
  <c r="Q583" i="10"/>
  <c r="P583" i="10"/>
  <c r="L583" i="10"/>
  <c r="Q582" i="10"/>
  <c r="P582" i="10"/>
  <c r="L582" i="10"/>
  <c r="Q581" i="10"/>
  <c r="P581" i="10"/>
  <c r="L581" i="10"/>
  <c r="Q580" i="10"/>
  <c r="P580" i="10"/>
  <c r="L580" i="10"/>
  <c r="Q579" i="10"/>
  <c r="P579" i="10"/>
  <c r="L579" i="10"/>
  <c r="Q578" i="10"/>
  <c r="P578" i="10"/>
  <c r="L578" i="10"/>
  <c r="Q577" i="10"/>
  <c r="P577" i="10"/>
  <c r="L577" i="10"/>
  <c r="Q576" i="10"/>
  <c r="P576" i="10"/>
  <c r="L576" i="10"/>
  <c r="Q575" i="10"/>
  <c r="P575" i="10"/>
  <c r="L575" i="10"/>
  <c r="Q574" i="10"/>
  <c r="P574" i="10"/>
  <c r="L574" i="10"/>
  <c r="Q573" i="10"/>
  <c r="P573" i="10"/>
  <c r="L573" i="10"/>
  <c r="Q572" i="10"/>
  <c r="P572" i="10"/>
  <c r="L572" i="10"/>
  <c r="Q571" i="10"/>
  <c r="P571" i="10"/>
  <c r="L571" i="10"/>
  <c r="Q570" i="10"/>
  <c r="P570" i="10"/>
  <c r="L570" i="10"/>
  <c r="Q569" i="10"/>
  <c r="P569" i="10"/>
  <c r="L569" i="10"/>
  <c r="Q568" i="10"/>
  <c r="P568" i="10"/>
  <c r="L568" i="10"/>
  <c r="Q567" i="10"/>
  <c r="P567" i="10"/>
  <c r="L567" i="10"/>
  <c r="Q566" i="10"/>
  <c r="P566" i="10"/>
  <c r="L566" i="10"/>
  <c r="Q565" i="10"/>
  <c r="P565" i="10"/>
  <c r="L565" i="10"/>
  <c r="Q564" i="10"/>
  <c r="P564" i="10"/>
  <c r="L564" i="10"/>
  <c r="Q563" i="10"/>
  <c r="P563" i="10"/>
  <c r="L563" i="10"/>
  <c r="Q562" i="10"/>
  <c r="P562" i="10"/>
  <c r="L562" i="10"/>
  <c r="Q561" i="10"/>
  <c r="P561" i="10"/>
  <c r="L561" i="10"/>
  <c r="Q560" i="10"/>
  <c r="P560" i="10"/>
  <c r="L560" i="10"/>
  <c r="Q559" i="10"/>
  <c r="P559" i="10"/>
  <c r="L559" i="10"/>
  <c r="Q558" i="10"/>
  <c r="P558" i="10"/>
  <c r="L558" i="10"/>
  <c r="Q557" i="10"/>
  <c r="P557" i="10"/>
  <c r="L557" i="10"/>
  <c r="Q556" i="10"/>
  <c r="P556" i="10"/>
  <c r="L556" i="10"/>
  <c r="Q555" i="10"/>
  <c r="P555" i="10"/>
  <c r="L555" i="10"/>
  <c r="Q554" i="10"/>
  <c r="P554" i="10"/>
  <c r="L554" i="10"/>
  <c r="Q553" i="10"/>
  <c r="P553" i="10"/>
  <c r="L553" i="10"/>
  <c r="Q552" i="10"/>
  <c r="P552" i="10"/>
  <c r="L552" i="10"/>
  <c r="Q551" i="10"/>
  <c r="P551" i="10"/>
  <c r="L551" i="10"/>
  <c r="Q550" i="10"/>
  <c r="P550" i="10"/>
  <c r="L550" i="10"/>
  <c r="Q549" i="10"/>
  <c r="P549" i="10"/>
  <c r="L549" i="10"/>
  <c r="Q548" i="10"/>
  <c r="P548" i="10"/>
  <c r="L548" i="10"/>
  <c r="Q547" i="10"/>
  <c r="P547" i="10"/>
  <c r="L547" i="10"/>
  <c r="Q546" i="10"/>
  <c r="P546" i="10"/>
  <c r="L546" i="10"/>
  <c r="Q545" i="10"/>
  <c r="P545" i="10"/>
  <c r="L545" i="10"/>
  <c r="Q544" i="10"/>
  <c r="P544" i="10"/>
  <c r="L544" i="10"/>
  <c r="Q543" i="10"/>
  <c r="P543" i="10"/>
  <c r="L543" i="10"/>
  <c r="Q542" i="10"/>
  <c r="P542" i="10"/>
  <c r="L542" i="10"/>
  <c r="Q541" i="10"/>
  <c r="P541" i="10"/>
  <c r="L541" i="10"/>
  <c r="Q540" i="10"/>
  <c r="P540" i="10"/>
  <c r="L540" i="10"/>
  <c r="Q539" i="10"/>
  <c r="P539" i="10"/>
  <c r="L539" i="10"/>
  <c r="Q538" i="10"/>
  <c r="P538" i="10"/>
  <c r="L538" i="10"/>
  <c r="Q537" i="10"/>
  <c r="P537" i="10"/>
  <c r="L537" i="10"/>
  <c r="Q536" i="10"/>
  <c r="P536" i="10"/>
  <c r="L536" i="10"/>
  <c r="Q535" i="10"/>
  <c r="P535" i="10"/>
  <c r="L535" i="10"/>
  <c r="Q534" i="10"/>
  <c r="P534" i="10"/>
  <c r="L534" i="10"/>
  <c r="Q533" i="10"/>
  <c r="P533" i="10"/>
  <c r="L533" i="10"/>
  <c r="Q532" i="10"/>
  <c r="P532" i="10"/>
  <c r="L532" i="10"/>
  <c r="Q531" i="10"/>
  <c r="P531" i="10"/>
  <c r="L531" i="10"/>
  <c r="Q530" i="10"/>
  <c r="P530" i="10"/>
  <c r="L530" i="10"/>
  <c r="Q529" i="10"/>
  <c r="P529" i="10"/>
  <c r="L529" i="10"/>
  <c r="Q528" i="10"/>
  <c r="P528" i="10"/>
  <c r="L528" i="10"/>
  <c r="Q527" i="10"/>
  <c r="P527" i="10"/>
  <c r="L527" i="10"/>
  <c r="Q526" i="10"/>
  <c r="P526" i="10"/>
  <c r="L526" i="10"/>
  <c r="Q525" i="10"/>
  <c r="P525" i="10"/>
  <c r="L525" i="10"/>
  <c r="Q524" i="10"/>
  <c r="P524" i="10"/>
  <c r="L524" i="10"/>
  <c r="Q523" i="10"/>
  <c r="P523" i="10"/>
  <c r="L523" i="10"/>
  <c r="Q522" i="10"/>
  <c r="P522" i="10"/>
  <c r="L522" i="10"/>
  <c r="Q521" i="10"/>
  <c r="P521" i="10"/>
  <c r="L521" i="10"/>
  <c r="Q520" i="10"/>
  <c r="P520" i="10"/>
  <c r="L520" i="10"/>
  <c r="Q519" i="10"/>
  <c r="P519" i="10"/>
  <c r="L519" i="10"/>
  <c r="Q518" i="10"/>
  <c r="P518" i="10"/>
  <c r="L518" i="10"/>
  <c r="Q517" i="10"/>
  <c r="P517" i="10"/>
  <c r="L517" i="10"/>
  <c r="Q516" i="10"/>
  <c r="P516" i="10"/>
  <c r="L516" i="10"/>
  <c r="Q515" i="10"/>
  <c r="P515" i="10"/>
  <c r="L515" i="10"/>
  <c r="Q514" i="10"/>
  <c r="P514" i="10"/>
  <c r="L514" i="10"/>
  <c r="Q513" i="10"/>
  <c r="P513" i="10"/>
  <c r="L513" i="10"/>
  <c r="Q512" i="10"/>
  <c r="P512" i="10"/>
  <c r="L512" i="10"/>
  <c r="Q511" i="10"/>
  <c r="P511" i="10"/>
  <c r="L511" i="10"/>
  <c r="Q510" i="10"/>
  <c r="P510" i="10"/>
  <c r="L510" i="10"/>
  <c r="Q509" i="10"/>
  <c r="P509" i="10"/>
  <c r="L509" i="10"/>
  <c r="Q508" i="10"/>
  <c r="P508" i="10"/>
  <c r="L508" i="10"/>
  <c r="Q507" i="10"/>
  <c r="P507" i="10"/>
  <c r="L507" i="10"/>
  <c r="Q506" i="10"/>
  <c r="P506" i="10"/>
  <c r="L506" i="10"/>
  <c r="K506" i="10"/>
  <c r="J506" i="10"/>
  <c r="I506" i="10"/>
  <c r="H506" i="10"/>
  <c r="G506" i="10"/>
  <c r="Q505" i="10"/>
  <c r="P505" i="10"/>
  <c r="L505" i="10"/>
  <c r="K505" i="10"/>
  <c r="J505" i="10"/>
  <c r="I505" i="10"/>
  <c r="H505" i="10"/>
  <c r="G505" i="10"/>
  <c r="Q504" i="10"/>
  <c r="P504" i="10"/>
  <c r="L504" i="10"/>
  <c r="K504" i="10"/>
  <c r="J504" i="10"/>
  <c r="I504" i="10"/>
  <c r="H504" i="10"/>
  <c r="G504" i="10"/>
  <c r="Q503" i="10"/>
  <c r="P503" i="10"/>
  <c r="L503" i="10"/>
  <c r="K503" i="10"/>
  <c r="J503" i="10"/>
  <c r="I503" i="10"/>
  <c r="H503" i="10"/>
  <c r="G503" i="10"/>
  <c r="Q502" i="10"/>
  <c r="P502" i="10"/>
  <c r="L502" i="10"/>
  <c r="K502" i="10"/>
  <c r="J502" i="10"/>
  <c r="I502" i="10"/>
  <c r="H502" i="10"/>
  <c r="G502" i="10"/>
  <c r="Q501" i="10"/>
  <c r="P501" i="10"/>
  <c r="L501" i="10"/>
  <c r="K501" i="10"/>
  <c r="J501" i="10"/>
  <c r="I501" i="10"/>
  <c r="H501" i="10"/>
  <c r="G501" i="10"/>
  <c r="Q500" i="10"/>
  <c r="P500" i="10"/>
  <c r="L500" i="10"/>
  <c r="K500" i="10"/>
  <c r="J500" i="10"/>
  <c r="I500" i="10"/>
  <c r="H500" i="10"/>
  <c r="G500" i="10"/>
  <c r="Q499" i="10"/>
  <c r="P499" i="10"/>
  <c r="L499" i="10"/>
  <c r="K499" i="10"/>
  <c r="J499" i="10"/>
  <c r="I499" i="10"/>
  <c r="H499" i="10"/>
  <c r="G499" i="10"/>
  <c r="Q498" i="10"/>
  <c r="P498" i="10"/>
  <c r="L498" i="10"/>
  <c r="K498" i="10"/>
  <c r="J498" i="10"/>
  <c r="I498" i="10"/>
  <c r="H498" i="10"/>
  <c r="G498" i="10"/>
  <c r="Q497" i="10"/>
  <c r="P497" i="10"/>
  <c r="L497" i="10"/>
  <c r="K497" i="10"/>
  <c r="J497" i="10"/>
  <c r="I497" i="10"/>
  <c r="H497" i="10"/>
  <c r="G497" i="10"/>
  <c r="Q496" i="10"/>
  <c r="P496" i="10"/>
  <c r="L496" i="10"/>
  <c r="K496" i="10"/>
  <c r="J496" i="10"/>
  <c r="I496" i="10"/>
  <c r="H496" i="10"/>
  <c r="G496" i="10"/>
  <c r="Q495" i="10"/>
  <c r="P495" i="10"/>
  <c r="L495" i="10"/>
  <c r="K495" i="10"/>
  <c r="J495" i="10"/>
  <c r="I495" i="10"/>
  <c r="H495" i="10"/>
  <c r="G495" i="10"/>
  <c r="Q494" i="10"/>
  <c r="P494" i="10"/>
  <c r="L494" i="10"/>
  <c r="K494" i="10"/>
  <c r="J494" i="10"/>
  <c r="I494" i="10"/>
  <c r="H494" i="10"/>
  <c r="G494" i="10"/>
  <c r="Q493" i="10"/>
  <c r="P493" i="10"/>
  <c r="L493" i="10"/>
  <c r="K493" i="10"/>
  <c r="J493" i="10"/>
  <c r="I493" i="10"/>
  <c r="H493" i="10"/>
  <c r="G493" i="10"/>
  <c r="Q492" i="10"/>
  <c r="P492" i="10"/>
  <c r="L492" i="10"/>
  <c r="K492" i="10"/>
  <c r="J492" i="10"/>
  <c r="I492" i="10"/>
  <c r="H492" i="10"/>
  <c r="G492" i="10"/>
  <c r="Q491" i="10"/>
  <c r="P491" i="10"/>
  <c r="L491" i="10"/>
  <c r="K491" i="10"/>
  <c r="J491" i="10"/>
  <c r="I491" i="10"/>
  <c r="H491" i="10"/>
  <c r="G491" i="10"/>
  <c r="Q490" i="10"/>
  <c r="P490" i="10"/>
  <c r="L490" i="10"/>
  <c r="K490" i="10"/>
  <c r="J490" i="10"/>
  <c r="I490" i="10"/>
  <c r="H490" i="10"/>
  <c r="G490" i="10"/>
  <c r="Q489" i="10"/>
  <c r="P489" i="10"/>
  <c r="L489" i="10"/>
  <c r="K489" i="10"/>
  <c r="J489" i="10"/>
  <c r="I489" i="10"/>
  <c r="H489" i="10"/>
  <c r="G489" i="10"/>
  <c r="Q488" i="10"/>
  <c r="P488" i="10"/>
  <c r="L488" i="10"/>
  <c r="K488" i="10"/>
  <c r="J488" i="10"/>
  <c r="I488" i="10"/>
  <c r="H488" i="10"/>
  <c r="G488" i="10"/>
  <c r="Q487" i="10"/>
  <c r="P487" i="10"/>
  <c r="L487" i="10"/>
  <c r="K487" i="10"/>
  <c r="J487" i="10"/>
  <c r="I487" i="10"/>
  <c r="H487" i="10"/>
  <c r="G487" i="10"/>
  <c r="Q486" i="10"/>
  <c r="P486" i="10"/>
  <c r="L486" i="10"/>
  <c r="K486" i="10"/>
  <c r="J486" i="10"/>
  <c r="I486" i="10"/>
  <c r="H486" i="10"/>
  <c r="G486" i="10"/>
  <c r="Q485" i="10"/>
  <c r="P485" i="10"/>
  <c r="L485" i="10"/>
  <c r="K485" i="10"/>
  <c r="J485" i="10"/>
  <c r="I485" i="10"/>
  <c r="H485" i="10"/>
  <c r="G485" i="10"/>
  <c r="Q484" i="10"/>
  <c r="P484" i="10"/>
  <c r="L484" i="10"/>
  <c r="K484" i="10"/>
  <c r="J484" i="10"/>
  <c r="I484" i="10"/>
  <c r="H484" i="10"/>
  <c r="G484" i="10"/>
  <c r="Q483" i="10"/>
  <c r="P483" i="10"/>
  <c r="L483" i="10"/>
  <c r="K483" i="10"/>
  <c r="J483" i="10"/>
  <c r="I483" i="10"/>
  <c r="H483" i="10"/>
  <c r="G483" i="10"/>
  <c r="Q482" i="10"/>
  <c r="P482" i="10"/>
  <c r="L482" i="10"/>
  <c r="K482" i="10"/>
  <c r="J482" i="10"/>
  <c r="I482" i="10"/>
  <c r="H482" i="10"/>
  <c r="G482" i="10"/>
  <c r="Q481" i="10"/>
  <c r="P481" i="10"/>
  <c r="L481" i="10"/>
  <c r="K481" i="10"/>
  <c r="J481" i="10"/>
  <c r="I481" i="10"/>
  <c r="H481" i="10"/>
  <c r="G481" i="10"/>
  <c r="Q480" i="10"/>
  <c r="P480" i="10"/>
  <c r="L480" i="10"/>
  <c r="K480" i="10"/>
  <c r="J480" i="10"/>
  <c r="I480" i="10"/>
  <c r="H480" i="10"/>
  <c r="G480" i="10"/>
  <c r="Q479" i="10"/>
  <c r="P479" i="10"/>
  <c r="L479" i="10"/>
  <c r="K479" i="10"/>
  <c r="J479" i="10"/>
  <c r="I479" i="10"/>
  <c r="H479" i="10"/>
  <c r="G479" i="10"/>
  <c r="Q478" i="10"/>
  <c r="P478" i="10"/>
  <c r="L478" i="10"/>
  <c r="K478" i="10"/>
  <c r="J478" i="10"/>
  <c r="I478" i="10"/>
  <c r="H478" i="10"/>
  <c r="G478" i="10"/>
  <c r="Q477" i="10"/>
  <c r="P477" i="10"/>
  <c r="L477" i="10"/>
  <c r="K477" i="10"/>
  <c r="J477" i="10"/>
  <c r="I477" i="10"/>
  <c r="H477" i="10"/>
  <c r="G477" i="10"/>
  <c r="Q476" i="10"/>
  <c r="P476" i="10"/>
  <c r="L476" i="10"/>
  <c r="K476" i="10"/>
  <c r="J476" i="10"/>
  <c r="I476" i="10"/>
  <c r="H476" i="10"/>
  <c r="G476" i="10"/>
  <c r="Q475" i="10"/>
  <c r="P475" i="10"/>
  <c r="L475" i="10"/>
  <c r="K475" i="10"/>
  <c r="J475" i="10"/>
  <c r="I475" i="10"/>
  <c r="H475" i="10"/>
  <c r="G475" i="10"/>
  <c r="Q474" i="10"/>
  <c r="P474" i="10"/>
  <c r="L474" i="10"/>
  <c r="K474" i="10"/>
  <c r="J474" i="10"/>
  <c r="I474" i="10"/>
  <c r="H474" i="10"/>
  <c r="G474" i="10"/>
  <c r="Q473" i="10"/>
  <c r="P473" i="10"/>
  <c r="L473" i="10"/>
  <c r="K473" i="10"/>
  <c r="J473" i="10"/>
  <c r="I473" i="10"/>
  <c r="H473" i="10"/>
  <c r="G473" i="10"/>
  <c r="Q472" i="10"/>
  <c r="P472" i="10"/>
  <c r="L472" i="10"/>
  <c r="K472" i="10"/>
  <c r="J472" i="10"/>
  <c r="I472" i="10"/>
  <c r="H472" i="10"/>
  <c r="G472" i="10"/>
  <c r="Q471" i="10"/>
  <c r="P471" i="10"/>
  <c r="L471" i="10"/>
  <c r="K471" i="10"/>
  <c r="J471" i="10"/>
  <c r="I471" i="10"/>
  <c r="H471" i="10"/>
  <c r="G471" i="10"/>
  <c r="Q470" i="10"/>
  <c r="P470" i="10"/>
  <c r="L470" i="10"/>
  <c r="K470" i="10"/>
  <c r="J470" i="10"/>
  <c r="I470" i="10"/>
  <c r="H470" i="10"/>
  <c r="G470" i="10"/>
  <c r="Q469" i="10"/>
  <c r="P469" i="10"/>
  <c r="L469" i="10"/>
  <c r="K469" i="10"/>
  <c r="J469" i="10"/>
  <c r="I469" i="10"/>
  <c r="H469" i="10"/>
  <c r="G469" i="10"/>
  <c r="Q468" i="10"/>
  <c r="P468" i="10"/>
  <c r="L468" i="10"/>
  <c r="K468" i="10"/>
  <c r="J468" i="10"/>
  <c r="I468" i="10"/>
  <c r="H468" i="10"/>
  <c r="G468" i="10"/>
  <c r="Q467" i="10"/>
  <c r="P467" i="10"/>
  <c r="L467" i="10"/>
  <c r="K467" i="10"/>
  <c r="J467" i="10"/>
  <c r="I467" i="10"/>
  <c r="H467" i="10"/>
  <c r="G467" i="10"/>
  <c r="Q466" i="10"/>
  <c r="P466" i="10"/>
  <c r="L466" i="10"/>
  <c r="K466" i="10"/>
  <c r="J466" i="10"/>
  <c r="I466" i="10"/>
  <c r="H466" i="10"/>
  <c r="G466" i="10"/>
  <c r="Q465" i="10"/>
  <c r="P465" i="10"/>
  <c r="L465" i="10"/>
  <c r="K465" i="10"/>
  <c r="J465" i="10"/>
  <c r="I465" i="10"/>
  <c r="H465" i="10"/>
  <c r="G465" i="10"/>
  <c r="Q464" i="10"/>
  <c r="P464" i="10"/>
  <c r="L464" i="10"/>
  <c r="K464" i="10"/>
  <c r="J464" i="10"/>
  <c r="I464" i="10"/>
  <c r="H464" i="10"/>
  <c r="G464" i="10"/>
  <c r="Q463" i="10"/>
  <c r="P463" i="10"/>
  <c r="L463" i="10"/>
  <c r="K463" i="10"/>
  <c r="J463" i="10"/>
  <c r="I463" i="10"/>
  <c r="H463" i="10"/>
  <c r="G463" i="10"/>
  <c r="Q462" i="10"/>
  <c r="P462" i="10"/>
  <c r="L462" i="10"/>
  <c r="K462" i="10"/>
  <c r="J462" i="10"/>
  <c r="I462" i="10"/>
  <c r="H462" i="10"/>
  <c r="G462" i="10"/>
  <c r="Q461" i="10"/>
  <c r="P461" i="10"/>
  <c r="L461" i="10"/>
  <c r="K461" i="10"/>
  <c r="J461" i="10"/>
  <c r="I461" i="10"/>
  <c r="H461" i="10"/>
  <c r="G461" i="10"/>
  <c r="Q460" i="10"/>
  <c r="P460" i="10"/>
  <c r="L460" i="10"/>
  <c r="K460" i="10"/>
  <c r="J460" i="10"/>
  <c r="I460" i="10"/>
  <c r="H460" i="10"/>
  <c r="G460" i="10"/>
  <c r="Q459" i="10"/>
  <c r="P459" i="10"/>
  <c r="L459" i="10"/>
  <c r="K459" i="10"/>
  <c r="J459" i="10"/>
  <c r="I459" i="10"/>
  <c r="H459" i="10"/>
  <c r="G459" i="10"/>
  <c r="Q458" i="10"/>
  <c r="P458" i="10"/>
  <c r="L458" i="10"/>
  <c r="K458" i="10"/>
  <c r="J458" i="10"/>
  <c r="I458" i="10"/>
  <c r="H458" i="10"/>
  <c r="G458" i="10"/>
  <c r="Q457" i="10"/>
  <c r="P457" i="10"/>
  <c r="L457" i="10"/>
  <c r="K457" i="10"/>
  <c r="J457" i="10"/>
  <c r="I457" i="10"/>
  <c r="H457" i="10"/>
  <c r="G457" i="10"/>
  <c r="Q456" i="10"/>
  <c r="P456" i="10"/>
  <c r="L456" i="10"/>
  <c r="K456" i="10"/>
  <c r="J456" i="10"/>
  <c r="I456" i="10"/>
  <c r="H456" i="10"/>
  <c r="G456" i="10"/>
  <c r="Q455" i="10"/>
  <c r="P455" i="10"/>
  <c r="L455" i="10"/>
  <c r="K455" i="10"/>
  <c r="J455" i="10"/>
  <c r="I455" i="10"/>
  <c r="H455" i="10"/>
  <c r="G455" i="10"/>
  <c r="Q454" i="10"/>
  <c r="P454" i="10"/>
  <c r="L454" i="10"/>
  <c r="K454" i="10"/>
  <c r="J454" i="10"/>
  <c r="I454" i="10"/>
  <c r="H454" i="10"/>
  <c r="G454" i="10"/>
  <c r="Q453" i="10"/>
  <c r="P453" i="10"/>
  <c r="L453" i="10"/>
  <c r="K453" i="10"/>
  <c r="J453" i="10"/>
  <c r="I453" i="10"/>
  <c r="H453" i="10"/>
  <c r="G453" i="10"/>
  <c r="Q452" i="10"/>
  <c r="P452" i="10"/>
  <c r="L452" i="10"/>
  <c r="K452" i="10"/>
  <c r="J452" i="10"/>
  <c r="I452" i="10"/>
  <c r="H452" i="10"/>
  <c r="G452" i="10"/>
  <c r="Q451" i="10"/>
  <c r="P451" i="10"/>
  <c r="L451" i="10"/>
  <c r="K451" i="10"/>
  <c r="J451" i="10"/>
  <c r="I451" i="10"/>
  <c r="H451" i="10"/>
  <c r="G451" i="10"/>
  <c r="Q450" i="10"/>
  <c r="P450" i="10"/>
  <c r="L450" i="10"/>
  <c r="K450" i="10"/>
  <c r="J450" i="10"/>
  <c r="I450" i="10"/>
  <c r="H450" i="10"/>
  <c r="G450" i="10"/>
  <c r="Q449" i="10"/>
  <c r="P449" i="10"/>
  <c r="L449" i="10"/>
  <c r="K449" i="10"/>
  <c r="J449" i="10"/>
  <c r="I449" i="10"/>
  <c r="H449" i="10"/>
  <c r="G449" i="10"/>
  <c r="Q448" i="10"/>
  <c r="P448" i="10"/>
  <c r="L448" i="10"/>
  <c r="K448" i="10"/>
  <c r="J448" i="10"/>
  <c r="I448" i="10"/>
  <c r="H448" i="10"/>
  <c r="G448" i="10"/>
  <c r="Q447" i="10"/>
  <c r="P447" i="10"/>
  <c r="L447" i="10"/>
  <c r="K447" i="10"/>
  <c r="J447" i="10"/>
  <c r="I447" i="10"/>
  <c r="H447" i="10"/>
  <c r="G447" i="10"/>
  <c r="Q446" i="10"/>
  <c r="P446" i="10"/>
  <c r="L446" i="10"/>
  <c r="K446" i="10"/>
  <c r="J446" i="10"/>
  <c r="I446" i="10"/>
  <c r="H446" i="10"/>
  <c r="G446" i="10"/>
  <c r="Q445" i="10"/>
  <c r="P445" i="10"/>
  <c r="L445" i="10"/>
  <c r="K445" i="10"/>
  <c r="J445" i="10"/>
  <c r="I445" i="10"/>
  <c r="H445" i="10"/>
  <c r="G445" i="10"/>
  <c r="Q444" i="10"/>
  <c r="P444" i="10"/>
  <c r="L444" i="10"/>
  <c r="K444" i="10"/>
  <c r="J444" i="10"/>
  <c r="I444" i="10"/>
  <c r="H444" i="10"/>
  <c r="G444" i="10"/>
  <c r="Q443" i="10"/>
  <c r="P443" i="10"/>
  <c r="L443" i="10"/>
  <c r="K443" i="10"/>
  <c r="J443" i="10"/>
  <c r="I443" i="10"/>
  <c r="H443" i="10"/>
  <c r="G443" i="10"/>
  <c r="Q442" i="10"/>
  <c r="P442" i="10"/>
  <c r="L442" i="10"/>
  <c r="K442" i="10"/>
  <c r="J442" i="10"/>
  <c r="I442" i="10"/>
  <c r="H442" i="10"/>
  <c r="G442" i="10"/>
  <c r="Q441" i="10"/>
  <c r="P441" i="10"/>
  <c r="L441" i="10"/>
  <c r="K441" i="10"/>
  <c r="J441" i="10"/>
  <c r="I441" i="10"/>
  <c r="H441" i="10"/>
  <c r="G441" i="10"/>
  <c r="Q440" i="10"/>
  <c r="P440" i="10"/>
  <c r="L440" i="10"/>
  <c r="K440" i="10"/>
  <c r="J440" i="10"/>
  <c r="I440" i="10"/>
  <c r="H440" i="10"/>
  <c r="G440" i="10"/>
  <c r="Q439" i="10"/>
  <c r="P439" i="10"/>
  <c r="L439" i="10"/>
  <c r="K439" i="10"/>
  <c r="J439" i="10"/>
  <c r="I439" i="10"/>
  <c r="H439" i="10"/>
  <c r="G439" i="10"/>
  <c r="Q438" i="10"/>
  <c r="P438" i="10"/>
  <c r="L438" i="10"/>
  <c r="K438" i="10"/>
  <c r="J438" i="10"/>
  <c r="I438" i="10"/>
  <c r="H438" i="10"/>
  <c r="G438" i="10"/>
  <c r="Q437" i="10"/>
  <c r="P437" i="10"/>
  <c r="L437" i="10"/>
  <c r="K437" i="10"/>
  <c r="J437" i="10"/>
  <c r="I437" i="10"/>
  <c r="H437" i="10"/>
  <c r="G437" i="10"/>
  <c r="Q436" i="10"/>
  <c r="P436" i="10"/>
  <c r="L436" i="10"/>
  <c r="K436" i="10"/>
  <c r="J436" i="10"/>
  <c r="I436" i="10"/>
  <c r="H436" i="10"/>
  <c r="G436" i="10"/>
  <c r="Q435" i="10"/>
  <c r="P435" i="10"/>
  <c r="L435" i="10"/>
  <c r="K435" i="10"/>
  <c r="J435" i="10"/>
  <c r="I435" i="10"/>
  <c r="H435" i="10"/>
  <c r="G435" i="10"/>
  <c r="Q434" i="10"/>
  <c r="P434" i="10"/>
  <c r="L434" i="10"/>
  <c r="K434" i="10"/>
  <c r="J434" i="10"/>
  <c r="I434" i="10"/>
  <c r="H434" i="10"/>
  <c r="G434" i="10"/>
  <c r="Q433" i="10"/>
  <c r="P433" i="10"/>
  <c r="L433" i="10"/>
  <c r="K433" i="10"/>
  <c r="J433" i="10"/>
  <c r="I433" i="10"/>
  <c r="H433" i="10"/>
  <c r="G433" i="10"/>
  <c r="Q432" i="10"/>
  <c r="P432" i="10"/>
  <c r="L432" i="10"/>
  <c r="K432" i="10"/>
  <c r="J432" i="10"/>
  <c r="I432" i="10"/>
  <c r="H432" i="10"/>
  <c r="G432" i="10"/>
  <c r="Q431" i="10"/>
  <c r="P431" i="10"/>
  <c r="L431" i="10"/>
  <c r="K431" i="10"/>
  <c r="J431" i="10"/>
  <c r="I431" i="10"/>
  <c r="H431" i="10"/>
  <c r="G431" i="10"/>
  <c r="Q430" i="10"/>
  <c r="P430" i="10"/>
  <c r="L430" i="10"/>
  <c r="K430" i="10"/>
  <c r="J430" i="10"/>
  <c r="I430" i="10"/>
  <c r="H430" i="10"/>
  <c r="G430" i="10"/>
  <c r="Q429" i="10"/>
  <c r="P429" i="10"/>
  <c r="L429" i="10"/>
  <c r="K429" i="10"/>
  <c r="J429" i="10"/>
  <c r="I429" i="10"/>
  <c r="H429" i="10"/>
  <c r="G429" i="10"/>
  <c r="Q428" i="10"/>
  <c r="P428" i="10"/>
  <c r="L428" i="10"/>
  <c r="K428" i="10"/>
  <c r="J428" i="10"/>
  <c r="I428" i="10"/>
  <c r="H428" i="10"/>
  <c r="G428" i="10"/>
  <c r="Q427" i="10"/>
  <c r="P427" i="10"/>
  <c r="L427" i="10"/>
  <c r="K427" i="10"/>
  <c r="J427" i="10"/>
  <c r="I427" i="10"/>
  <c r="H427" i="10"/>
  <c r="G427" i="10"/>
  <c r="Q426" i="10"/>
  <c r="P426" i="10"/>
  <c r="L426" i="10"/>
  <c r="K426" i="10"/>
  <c r="J426" i="10"/>
  <c r="I426" i="10"/>
  <c r="H426" i="10"/>
  <c r="G426" i="10"/>
  <c r="Q425" i="10"/>
  <c r="P425" i="10"/>
  <c r="L425" i="10"/>
  <c r="K425" i="10"/>
  <c r="J425" i="10"/>
  <c r="I425" i="10"/>
  <c r="H425" i="10"/>
  <c r="G425" i="10"/>
  <c r="Q424" i="10"/>
  <c r="P424" i="10"/>
  <c r="L424" i="10"/>
  <c r="K424" i="10"/>
  <c r="J424" i="10"/>
  <c r="I424" i="10"/>
  <c r="H424" i="10"/>
  <c r="G424" i="10"/>
  <c r="Q423" i="10"/>
  <c r="P423" i="10"/>
  <c r="L423" i="10"/>
  <c r="K423" i="10"/>
  <c r="J423" i="10"/>
  <c r="I423" i="10"/>
  <c r="H423" i="10"/>
  <c r="G423" i="10"/>
  <c r="Q422" i="10"/>
  <c r="P422" i="10"/>
  <c r="L422" i="10"/>
  <c r="K422" i="10"/>
  <c r="J422" i="10"/>
  <c r="I422" i="10"/>
  <c r="H422" i="10"/>
  <c r="G422" i="10"/>
  <c r="Q421" i="10"/>
  <c r="P421" i="10"/>
  <c r="L421" i="10"/>
  <c r="K421" i="10"/>
  <c r="J421" i="10"/>
  <c r="I421" i="10"/>
  <c r="H421" i="10"/>
  <c r="G421" i="10"/>
  <c r="Q420" i="10"/>
  <c r="P420" i="10"/>
  <c r="L420" i="10"/>
  <c r="K420" i="10"/>
  <c r="J420" i="10"/>
  <c r="I420" i="10"/>
  <c r="H420" i="10"/>
  <c r="G420" i="10"/>
  <c r="Q419" i="10"/>
  <c r="P419" i="10"/>
  <c r="L419" i="10"/>
  <c r="K419" i="10"/>
  <c r="J419" i="10"/>
  <c r="I419" i="10"/>
  <c r="H419" i="10"/>
  <c r="G419" i="10"/>
  <c r="Q418" i="10"/>
  <c r="P418" i="10"/>
  <c r="L418" i="10"/>
  <c r="K418" i="10"/>
  <c r="J418" i="10"/>
  <c r="I418" i="10"/>
  <c r="H418" i="10"/>
  <c r="G418" i="10"/>
  <c r="Q417" i="10"/>
  <c r="P417" i="10"/>
  <c r="L417" i="10"/>
  <c r="K417" i="10"/>
  <c r="J417" i="10"/>
  <c r="I417" i="10"/>
  <c r="H417" i="10"/>
  <c r="G417" i="10"/>
  <c r="Q416" i="10"/>
  <c r="P416" i="10"/>
  <c r="L416" i="10"/>
  <c r="K416" i="10"/>
  <c r="J416" i="10"/>
  <c r="I416" i="10"/>
  <c r="H416" i="10"/>
  <c r="G416" i="10"/>
  <c r="Q415" i="10"/>
  <c r="P415" i="10"/>
  <c r="L415" i="10"/>
  <c r="K415" i="10"/>
  <c r="J415" i="10"/>
  <c r="I415" i="10"/>
  <c r="H415" i="10"/>
  <c r="G415" i="10"/>
  <c r="Q414" i="10"/>
  <c r="P414" i="10"/>
  <c r="L414" i="10"/>
  <c r="K414" i="10"/>
  <c r="J414" i="10"/>
  <c r="I414" i="10"/>
  <c r="H414" i="10"/>
  <c r="G414" i="10"/>
  <c r="Q413" i="10"/>
  <c r="P413" i="10"/>
  <c r="L413" i="10"/>
  <c r="K413" i="10"/>
  <c r="J413" i="10"/>
  <c r="I413" i="10"/>
  <c r="H413" i="10"/>
  <c r="G413" i="10"/>
  <c r="Q412" i="10"/>
  <c r="P412" i="10"/>
  <c r="L412" i="10"/>
  <c r="K412" i="10"/>
  <c r="J412" i="10"/>
  <c r="I412" i="10"/>
  <c r="H412" i="10"/>
  <c r="G412" i="10"/>
  <c r="Q411" i="10"/>
  <c r="P411" i="10"/>
  <c r="L411" i="10"/>
  <c r="K411" i="10"/>
  <c r="J411" i="10"/>
  <c r="I411" i="10"/>
  <c r="H411" i="10"/>
  <c r="G411" i="10"/>
  <c r="Q410" i="10"/>
  <c r="P410" i="10"/>
  <c r="L410" i="10"/>
  <c r="K410" i="10"/>
  <c r="J410" i="10"/>
  <c r="I410" i="10"/>
  <c r="H410" i="10"/>
  <c r="G410" i="10"/>
  <c r="Q409" i="10"/>
  <c r="P409" i="10"/>
  <c r="L409" i="10"/>
  <c r="K409" i="10"/>
  <c r="J409" i="10"/>
  <c r="I409" i="10"/>
  <c r="H409" i="10"/>
  <c r="G409" i="10"/>
  <c r="Q408" i="10"/>
  <c r="P408" i="10"/>
  <c r="L408" i="10"/>
  <c r="K408" i="10"/>
  <c r="J408" i="10"/>
  <c r="I408" i="10"/>
  <c r="H408" i="10"/>
  <c r="G408" i="10"/>
  <c r="Q407" i="10"/>
  <c r="P407" i="10"/>
  <c r="L407" i="10"/>
  <c r="K407" i="10"/>
  <c r="J407" i="10"/>
  <c r="I407" i="10"/>
  <c r="H407" i="10"/>
  <c r="G407" i="10"/>
  <c r="Q406" i="10"/>
  <c r="P406" i="10"/>
  <c r="L406" i="10"/>
  <c r="K406" i="10"/>
  <c r="J406" i="10"/>
  <c r="I406" i="10"/>
  <c r="H406" i="10"/>
  <c r="G406" i="10"/>
  <c r="Q405" i="10"/>
  <c r="P405" i="10"/>
  <c r="L405" i="10"/>
  <c r="K405" i="10"/>
  <c r="J405" i="10"/>
  <c r="I405" i="10"/>
  <c r="H405" i="10"/>
  <c r="G405" i="10"/>
  <c r="Q404" i="10"/>
  <c r="P404" i="10"/>
  <c r="L404" i="10"/>
  <c r="K404" i="10"/>
  <c r="J404" i="10"/>
  <c r="I404" i="10"/>
  <c r="H404" i="10"/>
  <c r="G404" i="10"/>
  <c r="Q403" i="10"/>
  <c r="P403" i="10"/>
  <c r="L403" i="10"/>
  <c r="K403" i="10"/>
  <c r="J403" i="10"/>
  <c r="I403" i="10"/>
  <c r="H403" i="10"/>
  <c r="G403" i="10"/>
  <c r="Q402" i="10"/>
  <c r="P402" i="10"/>
  <c r="L402" i="10"/>
  <c r="K402" i="10"/>
  <c r="J402" i="10"/>
  <c r="I402" i="10"/>
  <c r="H402" i="10"/>
  <c r="G402" i="10"/>
  <c r="Q401" i="10"/>
  <c r="P401" i="10"/>
  <c r="L401" i="10"/>
  <c r="K401" i="10"/>
  <c r="J401" i="10"/>
  <c r="I401" i="10"/>
  <c r="H401" i="10"/>
  <c r="G401" i="10"/>
  <c r="Q400" i="10"/>
  <c r="P400" i="10"/>
  <c r="L400" i="10"/>
  <c r="K400" i="10"/>
  <c r="J400" i="10"/>
  <c r="I400" i="10"/>
  <c r="H400" i="10"/>
  <c r="G400" i="10"/>
  <c r="Q399" i="10"/>
  <c r="P399" i="10"/>
  <c r="L399" i="10"/>
  <c r="K399" i="10"/>
  <c r="J399" i="10"/>
  <c r="I399" i="10"/>
  <c r="H399" i="10"/>
  <c r="G399" i="10"/>
  <c r="Q398" i="10"/>
  <c r="P398" i="10"/>
  <c r="L398" i="10"/>
  <c r="K398" i="10"/>
  <c r="J398" i="10"/>
  <c r="I398" i="10"/>
  <c r="H398" i="10"/>
  <c r="G398" i="10"/>
  <c r="Q397" i="10"/>
  <c r="P397" i="10"/>
  <c r="L397" i="10"/>
  <c r="K397" i="10"/>
  <c r="J397" i="10"/>
  <c r="I397" i="10"/>
  <c r="H397" i="10"/>
  <c r="G397" i="10"/>
  <c r="Q396" i="10"/>
  <c r="P396" i="10"/>
  <c r="L396" i="10"/>
  <c r="K396" i="10"/>
  <c r="J396" i="10"/>
  <c r="I396" i="10"/>
  <c r="H396" i="10"/>
  <c r="G396" i="10"/>
  <c r="Q395" i="10"/>
  <c r="P395" i="10"/>
  <c r="L395" i="10"/>
  <c r="K395" i="10"/>
  <c r="J395" i="10"/>
  <c r="I395" i="10"/>
  <c r="H395" i="10"/>
  <c r="G395" i="10"/>
  <c r="Q394" i="10"/>
  <c r="P394" i="10"/>
  <c r="L394" i="10"/>
  <c r="K394" i="10"/>
  <c r="J394" i="10"/>
  <c r="I394" i="10"/>
  <c r="H394" i="10"/>
  <c r="G394" i="10"/>
  <c r="Q393" i="10"/>
  <c r="P393" i="10"/>
  <c r="L393" i="10"/>
  <c r="K393" i="10"/>
  <c r="J393" i="10"/>
  <c r="I393" i="10"/>
  <c r="H393" i="10"/>
  <c r="G393" i="10"/>
  <c r="Q392" i="10"/>
  <c r="P392" i="10"/>
  <c r="L392" i="10"/>
  <c r="K392" i="10"/>
  <c r="J392" i="10"/>
  <c r="I392" i="10"/>
  <c r="H392" i="10"/>
  <c r="G392" i="10"/>
  <c r="Q391" i="10"/>
  <c r="P391" i="10"/>
  <c r="L391" i="10"/>
  <c r="K391" i="10"/>
  <c r="J391" i="10"/>
  <c r="I391" i="10"/>
  <c r="H391" i="10"/>
  <c r="G391" i="10"/>
  <c r="Q390" i="10"/>
  <c r="P390" i="10"/>
  <c r="L390" i="10"/>
  <c r="K390" i="10"/>
  <c r="J390" i="10"/>
  <c r="I390" i="10"/>
  <c r="H390" i="10"/>
  <c r="G390" i="10"/>
  <c r="Q389" i="10"/>
  <c r="P389" i="10"/>
  <c r="L389" i="10"/>
  <c r="K389" i="10"/>
  <c r="J389" i="10"/>
  <c r="I389" i="10"/>
  <c r="H389" i="10"/>
  <c r="G389" i="10"/>
  <c r="Q388" i="10"/>
  <c r="P388" i="10"/>
  <c r="L388" i="10"/>
  <c r="K388" i="10"/>
  <c r="J388" i="10"/>
  <c r="I388" i="10"/>
  <c r="H388" i="10"/>
  <c r="G388" i="10"/>
  <c r="Q387" i="10"/>
  <c r="P387" i="10"/>
  <c r="L387" i="10"/>
  <c r="K387" i="10"/>
  <c r="J387" i="10"/>
  <c r="I387" i="10"/>
  <c r="H387" i="10"/>
  <c r="G387" i="10"/>
  <c r="Q386" i="10"/>
  <c r="P386" i="10"/>
  <c r="L386" i="10"/>
  <c r="K386" i="10"/>
  <c r="J386" i="10"/>
  <c r="I386" i="10"/>
  <c r="H386" i="10"/>
  <c r="G386" i="10"/>
  <c r="Q385" i="10"/>
  <c r="P385" i="10"/>
  <c r="L385" i="10"/>
  <c r="K385" i="10"/>
  <c r="J385" i="10"/>
  <c r="I385" i="10"/>
  <c r="H385" i="10"/>
  <c r="G385" i="10"/>
  <c r="Q384" i="10"/>
  <c r="P384" i="10"/>
  <c r="L384" i="10"/>
  <c r="K384" i="10"/>
  <c r="J384" i="10"/>
  <c r="I384" i="10"/>
  <c r="H384" i="10"/>
  <c r="G384" i="10"/>
  <c r="Q383" i="10"/>
  <c r="P383" i="10"/>
  <c r="L383" i="10"/>
  <c r="K383" i="10"/>
  <c r="J383" i="10"/>
  <c r="I383" i="10"/>
  <c r="H383" i="10"/>
  <c r="G383" i="10"/>
  <c r="Q382" i="10"/>
  <c r="P382" i="10"/>
  <c r="L382" i="10"/>
  <c r="K382" i="10"/>
  <c r="J382" i="10"/>
  <c r="I382" i="10"/>
  <c r="H382" i="10"/>
  <c r="G382" i="10"/>
  <c r="Q381" i="10"/>
  <c r="P381" i="10"/>
  <c r="L381" i="10"/>
  <c r="K381" i="10"/>
  <c r="J381" i="10"/>
  <c r="I381" i="10"/>
  <c r="H381" i="10"/>
  <c r="G381" i="10"/>
  <c r="Q380" i="10"/>
  <c r="P380" i="10"/>
  <c r="L380" i="10"/>
  <c r="K380" i="10"/>
  <c r="J380" i="10"/>
  <c r="I380" i="10"/>
  <c r="H380" i="10"/>
  <c r="G380" i="10"/>
  <c r="Q379" i="10"/>
  <c r="P379" i="10"/>
  <c r="L379" i="10"/>
  <c r="K379" i="10"/>
  <c r="J379" i="10"/>
  <c r="I379" i="10"/>
  <c r="H379" i="10"/>
  <c r="G379" i="10"/>
  <c r="Q378" i="10"/>
  <c r="P378" i="10"/>
  <c r="L378" i="10"/>
  <c r="K378" i="10"/>
  <c r="J378" i="10"/>
  <c r="I378" i="10"/>
  <c r="H378" i="10"/>
  <c r="G378" i="10"/>
  <c r="Q377" i="10"/>
  <c r="P377" i="10"/>
  <c r="L377" i="10"/>
  <c r="K377" i="10"/>
  <c r="J377" i="10"/>
  <c r="I377" i="10"/>
  <c r="H377" i="10"/>
  <c r="G377" i="10"/>
  <c r="Q376" i="10"/>
  <c r="P376" i="10"/>
  <c r="L376" i="10"/>
  <c r="K376" i="10"/>
  <c r="J376" i="10"/>
  <c r="I376" i="10"/>
  <c r="H376" i="10"/>
  <c r="G376" i="10"/>
  <c r="Q375" i="10"/>
  <c r="P375" i="10"/>
  <c r="L375" i="10"/>
  <c r="K375" i="10"/>
  <c r="J375" i="10"/>
  <c r="I375" i="10"/>
  <c r="H375" i="10"/>
  <c r="G375" i="10"/>
  <c r="Q374" i="10"/>
  <c r="P374" i="10"/>
  <c r="L374" i="10"/>
  <c r="K374" i="10"/>
  <c r="J374" i="10"/>
  <c r="I374" i="10"/>
  <c r="H374" i="10"/>
  <c r="G374" i="10"/>
  <c r="Q373" i="10"/>
  <c r="P373" i="10"/>
  <c r="L373" i="10"/>
  <c r="K373" i="10"/>
  <c r="J373" i="10"/>
  <c r="I373" i="10"/>
  <c r="H373" i="10"/>
  <c r="G373" i="10"/>
  <c r="Q372" i="10"/>
  <c r="P372" i="10"/>
  <c r="L372" i="10"/>
  <c r="K372" i="10"/>
  <c r="J372" i="10"/>
  <c r="I372" i="10"/>
  <c r="H372" i="10"/>
  <c r="G372" i="10"/>
  <c r="Q371" i="10"/>
  <c r="P371" i="10"/>
  <c r="L371" i="10"/>
  <c r="K371" i="10"/>
  <c r="J371" i="10"/>
  <c r="I371" i="10"/>
  <c r="H371" i="10"/>
  <c r="G371" i="10"/>
  <c r="Q370" i="10"/>
  <c r="P370" i="10"/>
  <c r="L370" i="10"/>
  <c r="K370" i="10"/>
  <c r="J370" i="10"/>
  <c r="I370" i="10"/>
  <c r="H370" i="10"/>
  <c r="G370" i="10"/>
  <c r="Q369" i="10"/>
  <c r="P369" i="10"/>
  <c r="L369" i="10"/>
  <c r="K369" i="10"/>
  <c r="J369" i="10"/>
  <c r="I369" i="10"/>
  <c r="H369" i="10"/>
  <c r="G369" i="10"/>
  <c r="Q368" i="10"/>
  <c r="P368" i="10"/>
  <c r="L368" i="10"/>
  <c r="K368" i="10"/>
  <c r="J368" i="10"/>
  <c r="I368" i="10"/>
  <c r="H368" i="10"/>
  <c r="G368" i="10"/>
  <c r="Q367" i="10"/>
  <c r="P367" i="10"/>
  <c r="L367" i="10"/>
  <c r="K367" i="10"/>
  <c r="J367" i="10"/>
  <c r="I367" i="10"/>
  <c r="H367" i="10"/>
  <c r="G367" i="10"/>
  <c r="Q366" i="10"/>
  <c r="P366" i="10"/>
  <c r="L366" i="10"/>
  <c r="K366" i="10"/>
  <c r="J366" i="10"/>
  <c r="I366" i="10"/>
  <c r="H366" i="10"/>
  <c r="G366" i="10"/>
  <c r="Q365" i="10"/>
  <c r="P365" i="10"/>
  <c r="L365" i="10"/>
  <c r="K365" i="10"/>
  <c r="J365" i="10"/>
  <c r="I365" i="10"/>
  <c r="H365" i="10"/>
  <c r="G365" i="10"/>
  <c r="Q364" i="10"/>
  <c r="P364" i="10"/>
  <c r="L364" i="10"/>
  <c r="K364" i="10"/>
  <c r="J364" i="10"/>
  <c r="I364" i="10"/>
  <c r="H364" i="10"/>
  <c r="G364" i="10"/>
  <c r="Q363" i="10"/>
  <c r="P363" i="10"/>
  <c r="L363" i="10"/>
  <c r="K363" i="10"/>
  <c r="J363" i="10"/>
  <c r="I363" i="10"/>
  <c r="H363" i="10"/>
  <c r="G363" i="10"/>
  <c r="Q362" i="10"/>
  <c r="P362" i="10"/>
  <c r="L362" i="10"/>
  <c r="K362" i="10"/>
  <c r="J362" i="10"/>
  <c r="I362" i="10"/>
  <c r="H362" i="10"/>
  <c r="G362" i="10"/>
  <c r="Q361" i="10"/>
  <c r="P361" i="10"/>
  <c r="L361" i="10"/>
  <c r="K361" i="10"/>
  <c r="J361" i="10"/>
  <c r="I361" i="10"/>
  <c r="H361" i="10"/>
  <c r="G361" i="10"/>
  <c r="Q360" i="10"/>
  <c r="P360" i="10"/>
  <c r="L360" i="10"/>
  <c r="K360" i="10"/>
  <c r="J360" i="10"/>
  <c r="I360" i="10"/>
  <c r="H360" i="10"/>
  <c r="G360" i="10"/>
  <c r="Q359" i="10"/>
  <c r="P359" i="10"/>
  <c r="L359" i="10"/>
  <c r="K359" i="10"/>
  <c r="J359" i="10"/>
  <c r="I359" i="10"/>
  <c r="H359" i="10"/>
  <c r="G359" i="10"/>
  <c r="Q358" i="10"/>
  <c r="P358" i="10"/>
  <c r="L358" i="10"/>
  <c r="K358" i="10"/>
  <c r="J358" i="10"/>
  <c r="I358" i="10"/>
  <c r="H358" i="10"/>
  <c r="G358" i="10"/>
  <c r="Q357" i="10"/>
  <c r="P357" i="10"/>
  <c r="L357" i="10"/>
  <c r="K357" i="10"/>
  <c r="J357" i="10"/>
  <c r="I357" i="10"/>
  <c r="H357" i="10"/>
  <c r="G357" i="10"/>
  <c r="Q356" i="10"/>
  <c r="P356" i="10"/>
  <c r="L356" i="10"/>
  <c r="K356" i="10"/>
  <c r="J356" i="10"/>
  <c r="I356" i="10"/>
  <c r="H356" i="10"/>
  <c r="G356" i="10"/>
  <c r="Q355" i="10"/>
  <c r="P355" i="10"/>
  <c r="L355" i="10"/>
  <c r="K355" i="10"/>
  <c r="J355" i="10"/>
  <c r="I355" i="10"/>
  <c r="H355" i="10"/>
  <c r="G355" i="10"/>
  <c r="Q354" i="10"/>
  <c r="P354" i="10"/>
  <c r="L354" i="10"/>
  <c r="K354" i="10"/>
  <c r="J354" i="10"/>
  <c r="I354" i="10"/>
  <c r="H354" i="10"/>
  <c r="G354" i="10"/>
  <c r="Q353" i="10"/>
  <c r="P353" i="10"/>
  <c r="L353" i="10"/>
  <c r="K353" i="10"/>
  <c r="J353" i="10"/>
  <c r="I353" i="10"/>
  <c r="H353" i="10"/>
  <c r="G353" i="10"/>
  <c r="Q352" i="10"/>
  <c r="P352" i="10"/>
  <c r="L352" i="10"/>
  <c r="K352" i="10"/>
  <c r="J352" i="10"/>
  <c r="I352" i="10"/>
  <c r="H352" i="10"/>
  <c r="G352" i="10"/>
  <c r="Q351" i="10"/>
  <c r="P351" i="10"/>
  <c r="L351" i="10"/>
  <c r="K351" i="10"/>
  <c r="J351" i="10"/>
  <c r="I351" i="10"/>
  <c r="H351" i="10"/>
  <c r="G351" i="10"/>
  <c r="Q350" i="10"/>
  <c r="P350" i="10"/>
  <c r="L350" i="10"/>
  <c r="K350" i="10"/>
  <c r="J350" i="10"/>
  <c r="I350" i="10"/>
  <c r="H350" i="10"/>
  <c r="G350" i="10"/>
  <c r="Q349" i="10"/>
  <c r="P349" i="10"/>
  <c r="L349" i="10"/>
  <c r="K349" i="10"/>
  <c r="J349" i="10"/>
  <c r="I349" i="10"/>
  <c r="H349" i="10"/>
  <c r="G349" i="10"/>
  <c r="Q348" i="10"/>
  <c r="P348" i="10"/>
  <c r="L348" i="10"/>
  <c r="K348" i="10"/>
  <c r="J348" i="10"/>
  <c r="I348" i="10"/>
  <c r="H348" i="10"/>
  <c r="G348" i="10"/>
  <c r="Q347" i="10"/>
  <c r="P347" i="10"/>
  <c r="L347" i="10"/>
  <c r="K347" i="10"/>
  <c r="J347" i="10"/>
  <c r="I347" i="10"/>
  <c r="H347" i="10"/>
  <c r="G347" i="10"/>
  <c r="Q346" i="10"/>
  <c r="P346" i="10"/>
  <c r="L346" i="10"/>
  <c r="K346" i="10"/>
  <c r="J346" i="10"/>
  <c r="I346" i="10"/>
  <c r="H346" i="10"/>
  <c r="G346" i="10"/>
  <c r="Q345" i="10"/>
  <c r="P345" i="10"/>
  <c r="L345" i="10"/>
  <c r="K345" i="10"/>
  <c r="J345" i="10"/>
  <c r="I345" i="10"/>
  <c r="H345" i="10"/>
  <c r="G345" i="10"/>
  <c r="Q344" i="10"/>
  <c r="P344" i="10"/>
  <c r="L344" i="10"/>
  <c r="K344" i="10"/>
  <c r="J344" i="10"/>
  <c r="I344" i="10"/>
  <c r="H344" i="10"/>
  <c r="G344" i="10"/>
  <c r="Q343" i="10"/>
  <c r="P343" i="10"/>
  <c r="L343" i="10"/>
  <c r="K343" i="10"/>
  <c r="J343" i="10"/>
  <c r="I343" i="10"/>
  <c r="H343" i="10"/>
  <c r="G343" i="10"/>
  <c r="Q342" i="10"/>
  <c r="P342" i="10"/>
  <c r="L342" i="10"/>
  <c r="K342" i="10"/>
  <c r="J342" i="10"/>
  <c r="I342" i="10"/>
  <c r="H342" i="10"/>
  <c r="G342" i="10"/>
  <c r="Q341" i="10"/>
  <c r="P341" i="10"/>
  <c r="L341" i="10"/>
  <c r="K341" i="10"/>
  <c r="J341" i="10"/>
  <c r="I341" i="10"/>
  <c r="H341" i="10"/>
  <c r="G341" i="10"/>
  <c r="Q340" i="10"/>
  <c r="P340" i="10"/>
  <c r="L340" i="10"/>
  <c r="K340" i="10"/>
  <c r="J340" i="10"/>
  <c r="I340" i="10"/>
  <c r="H340" i="10"/>
  <c r="G340" i="10"/>
  <c r="Q339" i="10"/>
  <c r="P339" i="10"/>
  <c r="L339" i="10"/>
  <c r="K339" i="10"/>
  <c r="J339" i="10"/>
  <c r="I339" i="10"/>
  <c r="H339" i="10"/>
  <c r="G339" i="10"/>
  <c r="Q338" i="10"/>
  <c r="P338" i="10"/>
  <c r="L338" i="10"/>
  <c r="K338" i="10"/>
  <c r="J338" i="10"/>
  <c r="I338" i="10"/>
  <c r="H338" i="10"/>
  <c r="G338" i="10"/>
  <c r="Q337" i="10"/>
  <c r="P337" i="10"/>
  <c r="L337" i="10"/>
  <c r="K337" i="10"/>
  <c r="J337" i="10"/>
  <c r="I337" i="10"/>
  <c r="H337" i="10"/>
  <c r="G337" i="10"/>
  <c r="Q336" i="10"/>
  <c r="P336" i="10"/>
  <c r="L336" i="10"/>
  <c r="K336" i="10"/>
  <c r="J336" i="10"/>
  <c r="I336" i="10"/>
  <c r="H336" i="10"/>
  <c r="G336" i="10"/>
  <c r="Q335" i="10"/>
  <c r="P335" i="10"/>
  <c r="L335" i="10"/>
  <c r="K335" i="10"/>
  <c r="J335" i="10"/>
  <c r="I335" i="10"/>
  <c r="H335" i="10"/>
  <c r="G335" i="10"/>
  <c r="Q334" i="10"/>
  <c r="P334" i="10"/>
  <c r="L334" i="10"/>
  <c r="K334" i="10"/>
  <c r="J334" i="10"/>
  <c r="I334" i="10"/>
  <c r="H334" i="10"/>
  <c r="G334" i="10"/>
  <c r="Q333" i="10"/>
  <c r="P333" i="10"/>
  <c r="L333" i="10"/>
  <c r="K333" i="10"/>
  <c r="J333" i="10"/>
  <c r="I333" i="10"/>
  <c r="H333" i="10"/>
  <c r="G333" i="10"/>
  <c r="Q332" i="10"/>
  <c r="P332" i="10"/>
  <c r="L332" i="10"/>
  <c r="K332" i="10"/>
  <c r="J332" i="10"/>
  <c r="I332" i="10"/>
  <c r="H332" i="10"/>
  <c r="G332" i="10"/>
  <c r="Q331" i="10"/>
  <c r="P331" i="10"/>
  <c r="L331" i="10"/>
  <c r="K331" i="10"/>
  <c r="J331" i="10"/>
  <c r="I331" i="10"/>
  <c r="H331" i="10"/>
  <c r="G331" i="10"/>
  <c r="Q330" i="10"/>
  <c r="P330" i="10"/>
  <c r="L330" i="10"/>
  <c r="K330" i="10"/>
  <c r="J330" i="10"/>
  <c r="I330" i="10"/>
  <c r="H330" i="10"/>
  <c r="G330" i="10"/>
  <c r="Q329" i="10"/>
  <c r="P329" i="10"/>
  <c r="L329" i="10"/>
  <c r="K329" i="10"/>
  <c r="J329" i="10"/>
  <c r="I329" i="10"/>
  <c r="H329" i="10"/>
  <c r="G329" i="10"/>
  <c r="Q328" i="10"/>
  <c r="P328" i="10"/>
  <c r="L328" i="10"/>
  <c r="K328" i="10"/>
  <c r="J328" i="10"/>
  <c r="I328" i="10"/>
  <c r="H328" i="10"/>
  <c r="G328" i="10"/>
  <c r="Q327" i="10"/>
  <c r="P327" i="10"/>
  <c r="L327" i="10"/>
  <c r="K327" i="10"/>
  <c r="J327" i="10"/>
  <c r="I327" i="10"/>
  <c r="H327" i="10"/>
  <c r="G327" i="10"/>
  <c r="Q326" i="10"/>
  <c r="P326" i="10"/>
  <c r="L326" i="10"/>
  <c r="K326" i="10"/>
  <c r="J326" i="10"/>
  <c r="I326" i="10"/>
  <c r="H326" i="10"/>
  <c r="G326" i="10"/>
  <c r="Q325" i="10"/>
  <c r="P325" i="10"/>
  <c r="L325" i="10"/>
  <c r="K325" i="10"/>
  <c r="J325" i="10"/>
  <c r="I325" i="10"/>
  <c r="H325" i="10"/>
  <c r="G325" i="10"/>
  <c r="Q324" i="10"/>
  <c r="P324" i="10"/>
  <c r="L324" i="10"/>
  <c r="K324" i="10"/>
  <c r="J324" i="10"/>
  <c r="I324" i="10"/>
  <c r="H324" i="10"/>
  <c r="G324" i="10"/>
  <c r="Q323" i="10"/>
  <c r="P323" i="10"/>
  <c r="L323" i="10"/>
  <c r="K323" i="10"/>
  <c r="J323" i="10"/>
  <c r="I323" i="10"/>
  <c r="H323" i="10"/>
  <c r="G323" i="10"/>
  <c r="Q322" i="10"/>
  <c r="P322" i="10"/>
  <c r="L322" i="10"/>
  <c r="K322" i="10"/>
  <c r="J322" i="10"/>
  <c r="I322" i="10"/>
  <c r="H322" i="10"/>
  <c r="G322" i="10"/>
  <c r="Q321" i="10"/>
  <c r="P321" i="10"/>
  <c r="L321" i="10"/>
  <c r="K321" i="10"/>
  <c r="J321" i="10"/>
  <c r="I321" i="10"/>
  <c r="H321" i="10"/>
  <c r="G321" i="10"/>
  <c r="Q320" i="10"/>
  <c r="P320" i="10"/>
  <c r="L320" i="10"/>
  <c r="K320" i="10"/>
  <c r="J320" i="10"/>
  <c r="I320" i="10"/>
  <c r="H320" i="10"/>
  <c r="G320" i="10"/>
  <c r="Q319" i="10"/>
  <c r="P319" i="10"/>
  <c r="L319" i="10"/>
  <c r="K319" i="10"/>
  <c r="J319" i="10"/>
  <c r="I319" i="10"/>
  <c r="H319" i="10"/>
  <c r="G319" i="10"/>
  <c r="Q318" i="10"/>
  <c r="P318" i="10"/>
  <c r="L318" i="10"/>
  <c r="K318" i="10"/>
  <c r="J318" i="10"/>
  <c r="I318" i="10"/>
  <c r="H318" i="10"/>
  <c r="G318" i="10"/>
  <c r="Q317" i="10"/>
  <c r="P317" i="10"/>
  <c r="L317" i="10"/>
  <c r="K317" i="10"/>
  <c r="J317" i="10"/>
  <c r="I317" i="10"/>
  <c r="H317" i="10"/>
  <c r="G317" i="10"/>
  <c r="Q316" i="10"/>
  <c r="P316" i="10"/>
  <c r="L316" i="10"/>
  <c r="K316" i="10"/>
  <c r="J316" i="10"/>
  <c r="I316" i="10"/>
  <c r="H316" i="10"/>
  <c r="G316" i="10"/>
  <c r="Q315" i="10"/>
  <c r="P315" i="10"/>
  <c r="L315" i="10"/>
  <c r="K315" i="10"/>
  <c r="J315" i="10"/>
  <c r="I315" i="10"/>
  <c r="H315" i="10"/>
  <c r="G315" i="10"/>
  <c r="Q314" i="10"/>
  <c r="P314" i="10"/>
  <c r="L314" i="10"/>
  <c r="K314" i="10"/>
  <c r="J314" i="10"/>
  <c r="I314" i="10"/>
  <c r="H314" i="10"/>
  <c r="G314" i="10"/>
  <c r="Q313" i="10"/>
  <c r="P313" i="10"/>
  <c r="L313" i="10"/>
  <c r="K313" i="10"/>
  <c r="J313" i="10"/>
  <c r="I313" i="10"/>
  <c r="H313" i="10"/>
  <c r="G313" i="10"/>
  <c r="Q312" i="10"/>
  <c r="P312" i="10"/>
  <c r="L312" i="10"/>
  <c r="K312" i="10"/>
  <c r="J312" i="10"/>
  <c r="I312" i="10"/>
  <c r="H312" i="10"/>
  <c r="G312" i="10"/>
  <c r="Q311" i="10"/>
  <c r="P311" i="10"/>
  <c r="L311" i="10"/>
  <c r="K311" i="10"/>
  <c r="J311" i="10"/>
  <c r="I311" i="10"/>
  <c r="H311" i="10"/>
  <c r="G311" i="10"/>
  <c r="Q310" i="10"/>
  <c r="P310" i="10"/>
  <c r="L310" i="10"/>
  <c r="K310" i="10"/>
  <c r="J310" i="10"/>
  <c r="I310" i="10"/>
  <c r="H310" i="10"/>
  <c r="G310" i="10"/>
  <c r="Q309" i="10"/>
  <c r="P309" i="10"/>
  <c r="L309" i="10"/>
  <c r="K309" i="10"/>
  <c r="J309" i="10"/>
  <c r="I309" i="10"/>
  <c r="H309" i="10"/>
  <c r="G309" i="10"/>
  <c r="Q308" i="10"/>
  <c r="P308" i="10"/>
  <c r="L308" i="10"/>
  <c r="K308" i="10"/>
  <c r="J308" i="10"/>
  <c r="I308" i="10"/>
  <c r="H308" i="10"/>
  <c r="G308" i="10"/>
  <c r="Q307" i="10"/>
  <c r="P307" i="10"/>
  <c r="L307" i="10"/>
  <c r="K307" i="10"/>
  <c r="J307" i="10"/>
  <c r="I307" i="10"/>
  <c r="H307" i="10"/>
  <c r="G307" i="10"/>
  <c r="Q306" i="10"/>
  <c r="P306" i="10"/>
  <c r="L306" i="10"/>
  <c r="K306" i="10"/>
  <c r="J306" i="10"/>
  <c r="I306" i="10"/>
  <c r="H306" i="10"/>
  <c r="G306" i="10"/>
  <c r="Q305" i="10"/>
  <c r="P305" i="10"/>
  <c r="L305" i="10"/>
  <c r="K305" i="10"/>
  <c r="J305" i="10"/>
  <c r="I305" i="10"/>
  <c r="H305" i="10"/>
  <c r="G305" i="10"/>
  <c r="Q304" i="10"/>
  <c r="P304" i="10"/>
  <c r="L304" i="10"/>
  <c r="K304" i="10"/>
  <c r="J304" i="10"/>
  <c r="I304" i="10"/>
  <c r="H304" i="10"/>
  <c r="G304" i="10"/>
  <c r="Q303" i="10"/>
  <c r="P303" i="10"/>
  <c r="L303" i="10"/>
  <c r="K303" i="10"/>
  <c r="J303" i="10"/>
  <c r="I303" i="10"/>
  <c r="H303" i="10"/>
  <c r="G303" i="10"/>
  <c r="Q302" i="10"/>
  <c r="P302" i="10"/>
  <c r="L302" i="10"/>
  <c r="K302" i="10"/>
  <c r="J302" i="10"/>
  <c r="I302" i="10"/>
  <c r="H302" i="10"/>
  <c r="G302" i="10"/>
  <c r="Q301" i="10"/>
  <c r="P301" i="10"/>
  <c r="L301" i="10"/>
  <c r="K301" i="10"/>
  <c r="J301" i="10"/>
  <c r="I301" i="10"/>
  <c r="H301" i="10"/>
  <c r="G301" i="10"/>
  <c r="Q300" i="10"/>
  <c r="P300" i="10"/>
  <c r="L300" i="10"/>
  <c r="K300" i="10"/>
  <c r="J300" i="10"/>
  <c r="I300" i="10"/>
  <c r="H300" i="10"/>
  <c r="G300" i="10"/>
  <c r="Q299" i="10"/>
  <c r="P299" i="10"/>
  <c r="L299" i="10"/>
  <c r="K299" i="10"/>
  <c r="J299" i="10"/>
  <c r="I299" i="10"/>
  <c r="H299" i="10"/>
  <c r="G299" i="10"/>
  <c r="Q298" i="10"/>
  <c r="P298" i="10"/>
  <c r="L298" i="10"/>
  <c r="K298" i="10"/>
  <c r="J298" i="10"/>
  <c r="I298" i="10"/>
  <c r="H298" i="10"/>
  <c r="G298" i="10"/>
  <c r="Q297" i="10"/>
  <c r="P297" i="10"/>
  <c r="L297" i="10"/>
  <c r="K297" i="10"/>
  <c r="J297" i="10"/>
  <c r="I297" i="10"/>
  <c r="H297" i="10"/>
  <c r="G297" i="10"/>
  <c r="Q296" i="10"/>
  <c r="P296" i="10"/>
  <c r="L296" i="10"/>
  <c r="K296" i="10"/>
  <c r="J296" i="10"/>
  <c r="I296" i="10"/>
  <c r="H296" i="10"/>
  <c r="G296" i="10"/>
  <c r="Q295" i="10"/>
  <c r="P295" i="10"/>
  <c r="L295" i="10"/>
  <c r="K295" i="10"/>
  <c r="J295" i="10"/>
  <c r="I295" i="10"/>
  <c r="H295" i="10"/>
  <c r="G295" i="10"/>
  <c r="Q294" i="10"/>
  <c r="P294" i="10"/>
  <c r="L294" i="10"/>
  <c r="K294" i="10"/>
  <c r="J294" i="10"/>
  <c r="I294" i="10"/>
  <c r="H294" i="10"/>
  <c r="G294" i="10"/>
  <c r="Q293" i="10"/>
  <c r="P293" i="10"/>
  <c r="L293" i="10"/>
  <c r="K293" i="10"/>
  <c r="J293" i="10"/>
  <c r="I293" i="10"/>
  <c r="H293" i="10"/>
  <c r="G293" i="10"/>
  <c r="Q292" i="10"/>
  <c r="P292" i="10"/>
  <c r="L292" i="10"/>
  <c r="K292" i="10"/>
  <c r="J292" i="10"/>
  <c r="I292" i="10"/>
  <c r="H292" i="10"/>
  <c r="G292" i="10"/>
  <c r="Q291" i="10"/>
  <c r="P291" i="10"/>
  <c r="L291" i="10"/>
  <c r="K291" i="10"/>
  <c r="J291" i="10"/>
  <c r="I291" i="10"/>
  <c r="H291" i="10"/>
  <c r="G291" i="10"/>
  <c r="Q290" i="10"/>
  <c r="P290" i="10"/>
  <c r="L290" i="10"/>
  <c r="K290" i="10"/>
  <c r="J290" i="10"/>
  <c r="I290" i="10"/>
  <c r="H290" i="10"/>
  <c r="G290" i="10"/>
  <c r="Q289" i="10"/>
  <c r="P289" i="10"/>
  <c r="L289" i="10"/>
  <c r="K289" i="10"/>
  <c r="J289" i="10"/>
  <c r="I289" i="10"/>
  <c r="H289" i="10"/>
  <c r="G289" i="10"/>
  <c r="Q288" i="10"/>
  <c r="P288" i="10"/>
  <c r="L288" i="10"/>
  <c r="K288" i="10"/>
  <c r="J288" i="10"/>
  <c r="I288" i="10"/>
  <c r="H288" i="10"/>
  <c r="G288" i="10"/>
  <c r="Q287" i="10"/>
  <c r="P287" i="10"/>
  <c r="L287" i="10"/>
  <c r="K287" i="10"/>
  <c r="J287" i="10"/>
  <c r="I287" i="10"/>
  <c r="H287" i="10"/>
  <c r="G287" i="10"/>
  <c r="Q286" i="10"/>
  <c r="P286" i="10"/>
  <c r="L286" i="10"/>
  <c r="K286" i="10"/>
  <c r="J286" i="10"/>
  <c r="I286" i="10"/>
  <c r="H286" i="10"/>
  <c r="G286" i="10"/>
  <c r="Q285" i="10"/>
  <c r="P285" i="10"/>
  <c r="L285" i="10"/>
  <c r="K285" i="10"/>
  <c r="J285" i="10"/>
  <c r="I285" i="10"/>
  <c r="H285" i="10"/>
  <c r="G285" i="10"/>
  <c r="Q284" i="10"/>
  <c r="P284" i="10"/>
  <c r="L284" i="10"/>
  <c r="K284" i="10"/>
  <c r="J284" i="10"/>
  <c r="I284" i="10"/>
  <c r="H284" i="10"/>
  <c r="G284" i="10"/>
  <c r="Q283" i="10"/>
  <c r="P283" i="10"/>
  <c r="L283" i="10"/>
  <c r="K283" i="10"/>
  <c r="J283" i="10"/>
  <c r="I283" i="10"/>
  <c r="H283" i="10"/>
  <c r="G283" i="10"/>
  <c r="Q282" i="10"/>
  <c r="P282" i="10"/>
  <c r="L282" i="10"/>
  <c r="K282" i="10"/>
  <c r="J282" i="10"/>
  <c r="I282" i="10"/>
  <c r="H282" i="10"/>
  <c r="G282" i="10"/>
  <c r="Q281" i="10"/>
  <c r="P281" i="10"/>
  <c r="L281" i="10"/>
  <c r="K281" i="10"/>
  <c r="J281" i="10"/>
  <c r="I281" i="10"/>
  <c r="H281" i="10"/>
  <c r="G281" i="10"/>
  <c r="Q280" i="10"/>
  <c r="P280" i="10"/>
  <c r="L280" i="10"/>
  <c r="K280" i="10"/>
  <c r="J280" i="10"/>
  <c r="I280" i="10"/>
  <c r="H280" i="10"/>
  <c r="G280" i="10"/>
  <c r="Q279" i="10"/>
  <c r="P279" i="10"/>
  <c r="L279" i="10"/>
  <c r="K279" i="10"/>
  <c r="J279" i="10"/>
  <c r="I279" i="10"/>
  <c r="H279" i="10"/>
  <c r="G279" i="10"/>
  <c r="Q278" i="10"/>
  <c r="P278" i="10"/>
  <c r="L278" i="10"/>
  <c r="K278" i="10"/>
  <c r="J278" i="10"/>
  <c r="I278" i="10"/>
  <c r="H278" i="10"/>
  <c r="G278" i="10"/>
  <c r="Q277" i="10"/>
  <c r="P277" i="10"/>
  <c r="L277" i="10"/>
  <c r="K277" i="10"/>
  <c r="J277" i="10"/>
  <c r="I277" i="10"/>
  <c r="H277" i="10"/>
  <c r="G277" i="10"/>
  <c r="Q276" i="10"/>
  <c r="P276" i="10"/>
  <c r="L276" i="10"/>
  <c r="K276" i="10"/>
  <c r="J276" i="10"/>
  <c r="I276" i="10"/>
  <c r="H276" i="10"/>
  <c r="G276" i="10"/>
  <c r="Q275" i="10"/>
  <c r="P275" i="10"/>
  <c r="L275" i="10"/>
  <c r="K275" i="10"/>
  <c r="J275" i="10"/>
  <c r="I275" i="10"/>
  <c r="H275" i="10"/>
  <c r="G275" i="10"/>
  <c r="Q274" i="10"/>
  <c r="P274" i="10"/>
  <c r="L274" i="10"/>
  <c r="K274" i="10"/>
  <c r="J274" i="10"/>
  <c r="I274" i="10"/>
  <c r="H274" i="10"/>
  <c r="G274" i="10"/>
  <c r="Q273" i="10"/>
  <c r="P273" i="10"/>
  <c r="L273" i="10"/>
  <c r="K273" i="10"/>
  <c r="J273" i="10"/>
  <c r="I273" i="10"/>
  <c r="H273" i="10"/>
  <c r="G273" i="10"/>
  <c r="Q272" i="10"/>
  <c r="P272" i="10"/>
  <c r="L272" i="10"/>
  <c r="K272" i="10"/>
  <c r="J272" i="10"/>
  <c r="I272" i="10"/>
  <c r="H272" i="10"/>
  <c r="G272" i="10"/>
  <c r="Q271" i="10"/>
  <c r="P271" i="10"/>
  <c r="L271" i="10"/>
  <c r="K271" i="10"/>
  <c r="J271" i="10"/>
  <c r="I271" i="10"/>
  <c r="H271" i="10"/>
  <c r="G271" i="10"/>
  <c r="Q270" i="10"/>
  <c r="P270" i="10"/>
  <c r="L270" i="10"/>
  <c r="K270" i="10"/>
  <c r="J270" i="10"/>
  <c r="I270" i="10"/>
  <c r="H270" i="10"/>
  <c r="G270" i="10"/>
  <c r="Q269" i="10"/>
  <c r="P269" i="10"/>
  <c r="L269" i="10"/>
  <c r="K269" i="10"/>
  <c r="J269" i="10"/>
  <c r="I269" i="10"/>
  <c r="H269" i="10"/>
  <c r="G269" i="10"/>
  <c r="Q268" i="10"/>
  <c r="P268" i="10"/>
  <c r="L268" i="10"/>
  <c r="K268" i="10"/>
  <c r="J268" i="10"/>
  <c r="I268" i="10"/>
  <c r="H268" i="10"/>
  <c r="G268" i="10"/>
  <c r="Q267" i="10"/>
  <c r="P267" i="10"/>
  <c r="L267" i="10"/>
  <c r="K267" i="10"/>
  <c r="J267" i="10"/>
  <c r="I267" i="10"/>
  <c r="H267" i="10"/>
  <c r="G267" i="10"/>
  <c r="AE266" i="10"/>
  <c r="Q266" i="10"/>
  <c r="P266" i="10"/>
  <c r="L266" i="10"/>
  <c r="K266" i="10"/>
  <c r="J266" i="10"/>
  <c r="I266" i="10"/>
  <c r="H266" i="10"/>
  <c r="G266" i="10"/>
  <c r="AE265" i="10"/>
  <c r="Q265" i="10"/>
  <c r="P265" i="10"/>
  <c r="L265" i="10"/>
  <c r="K265" i="10"/>
  <c r="J265" i="10"/>
  <c r="I265" i="10"/>
  <c r="H265" i="10"/>
  <c r="G265" i="10"/>
  <c r="AE264" i="10"/>
  <c r="Q264" i="10"/>
  <c r="P264" i="10"/>
  <c r="L264" i="10"/>
  <c r="K264" i="10"/>
  <c r="J264" i="10"/>
  <c r="I264" i="10"/>
  <c r="H264" i="10"/>
  <c r="G264" i="10"/>
  <c r="AE263" i="10"/>
  <c r="Q263" i="10"/>
  <c r="P263" i="10"/>
  <c r="L263" i="10"/>
  <c r="K263" i="10"/>
  <c r="J263" i="10"/>
  <c r="I263" i="10"/>
  <c r="H263" i="10"/>
  <c r="G263" i="10"/>
  <c r="AE262" i="10"/>
  <c r="Q262" i="10"/>
  <c r="P262" i="10"/>
  <c r="L262" i="10"/>
  <c r="K262" i="10"/>
  <c r="J262" i="10"/>
  <c r="I262" i="10"/>
  <c r="H262" i="10"/>
  <c r="G262" i="10"/>
  <c r="AE261" i="10"/>
  <c r="Q261" i="10"/>
  <c r="P261" i="10"/>
  <c r="L261" i="10"/>
  <c r="K261" i="10"/>
  <c r="J261" i="10"/>
  <c r="I261" i="10"/>
  <c r="H261" i="10"/>
  <c r="G261" i="10"/>
  <c r="AE260" i="10"/>
  <c r="Q260" i="10"/>
  <c r="P260" i="10"/>
  <c r="L260" i="10"/>
  <c r="K260" i="10"/>
  <c r="J260" i="10"/>
  <c r="I260" i="10"/>
  <c r="H260" i="10"/>
  <c r="G260" i="10"/>
  <c r="AE259" i="10"/>
  <c r="Q259" i="10"/>
  <c r="P259" i="10"/>
  <c r="L259" i="10"/>
  <c r="K259" i="10"/>
  <c r="J259" i="10"/>
  <c r="I259" i="10"/>
  <c r="H259" i="10"/>
  <c r="G259" i="10"/>
  <c r="AE258" i="10"/>
  <c r="Q258" i="10"/>
  <c r="P258" i="10"/>
  <c r="L258" i="10"/>
  <c r="K258" i="10"/>
  <c r="J258" i="10"/>
  <c r="I258" i="10"/>
  <c r="H258" i="10"/>
  <c r="G258" i="10"/>
  <c r="AE257" i="10"/>
  <c r="Q257" i="10"/>
  <c r="P257" i="10"/>
  <c r="L257" i="10"/>
  <c r="K257" i="10"/>
  <c r="J257" i="10"/>
  <c r="I257" i="10"/>
  <c r="H257" i="10"/>
  <c r="G257" i="10"/>
  <c r="AE256" i="10"/>
  <c r="Q256" i="10"/>
  <c r="P256" i="10"/>
  <c r="L256" i="10"/>
  <c r="K256" i="10"/>
  <c r="J256" i="10"/>
  <c r="I256" i="10"/>
  <c r="H256" i="10"/>
  <c r="G256" i="10"/>
  <c r="AE255" i="10"/>
  <c r="Q255" i="10"/>
  <c r="P255" i="10"/>
  <c r="L255" i="10"/>
  <c r="K255" i="10"/>
  <c r="J255" i="10"/>
  <c r="I255" i="10"/>
  <c r="H255" i="10"/>
  <c r="G255" i="10"/>
  <c r="AE254" i="10"/>
  <c r="Q254" i="10"/>
  <c r="P254" i="10"/>
  <c r="L254" i="10"/>
  <c r="K254" i="10"/>
  <c r="J254" i="10"/>
  <c r="I254" i="10"/>
  <c r="H254" i="10"/>
  <c r="G254" i="10"/>
  <c r="AE253" i="10"/>
  <c r="Q253" i="10"/>
  <c r="P253" i="10"/>
  <c r="L253" i="10"/>
  <c r="K253" i="10"/>
  <c r="J253" i="10"/>
  <c r="I253" i="10"/>
  <c r="H253" i="10"/>
  <c r="G253" i="10"/>
  <c r="AE252" i="10"/>
  <c r="Q252" i="10"/>
  <c r="P252" i="10"/>
  <c r="L252" i="10"/>
  <c r="K252" i="10"/>
  <c r="J252" i="10"/>
  <c r="I252" i="10"/>
  <c r="H252" i="10"/>
  <c r="G252" i="10"/>
  <c r="AE251" i="10"/>
  <c r="Q251" i="10"/>
  <c r="P251" i="10"/>
  <c r="L251" i="10"/>
  <c r="K251" i="10"/>
  <c r="J251" i="10"/>
  <c r="I251" i="10"/>
  <c r="H251" i="10"/>
  <c r="G251" i="10"/>
  <c r="AE250" i="10"/>
  <c r="Q250" i="10"/>
  <c r="P250" i="10"/>
  <c r="L250" i="10"/>
  <c r="K250" i="10"/>
  <c r="J250" i="10"/>
  <c r="I250" i="10"/>
  <c r="H250" i="10"/>
  <c r="G250" i="10"/>
  <c r="AE249" i="10"/>
  <c r="Q249" i="10"/>
  <c r="P249" i="10"/>
  <c r="L249" i="10"/>
  <c r="K249" i="10"/>
  <c r="J249" i="10"/>
  <c r="I249" i="10"/>
  <c r="H249" i="10"/>
  <c r="G249" i="10"/>
  <c r="AE248" i="10"/>
  <c r="Q248" i="10"/>
  <c r="P248" i="10"/>
  <c r="L248" i="10"/>
  <c r="K248" i="10"/>
  <c r="J248" i="10"/>
  <c r="I248" i="10"/>
  <c r="H248" i="10"/>
  <c r="G248" i="10"/>
  <c r="AE247" i="10"/>
  <c r="Q247" i="10"/>
  <c r="P247" i="10"/>
  <c r="L247" i="10"/>
  <c r="K247" i="10"/>
  <c r="J247" i="10"/>
  <c r="I247" i="10"/>
  <c r="H247" i="10"/>
  <c r="G247" i="10"/>
  <c r="AE246" i="10"/>
  <c r="Q246" i="10"/>
  <c r="P246" i="10"/>
  <c r="L246" i="10"/>
  <c r="K246" i="10"/>
  <c r="J246" i="10"/>
  <c r="I246" i="10"/>
  <c r="H246" i="10"/>
  <c r="G246" i="10"/>
  <c r="AE245" i="10"/>
  <c r="Q245" i="10"/>
  <c r="P245" i="10"/>
  <c r="L245" i="10"/>
  <c r="K245" i="10"/>
  <c r="J245" i="10"/>
  <c r="I245" i="10"/>
  <c r="H245" i="10"/>
  <c r="G245" i="10"/>
  <c r="AE244" i="10"/>
  <c r="Q244" i="10"/>
  <c r="P244" i="10"/>
  <c r="N244" i="10"/>
  <c r="N315" i="10" s="1"/>
  <c r="N386" i="10" s="1"/>
  <c r="N457" i="10" s="1"/>
  <c r="N528" i="10" s="1"/>
  <c r="N599" i="10" s="1"/>
  <c r="N670" i="10" s="1"/>
  <c r="N741" i="10" s="1"/>
  <c r="N812" i="10" s="1"/>
  <c r="N883" i="10" s="1"/>
  <c r="N954" i="10" s="1"/>
  <c r="N1025" i="10" s="1"/>
  <c r="L244" i="10"/>
  <c r="K244" i="10"/>
  <c r="J244" i="10"/>
  <c r="I244" i="10"/>
  <c r="H244" i="10"/>
  <c r="G244" i="10"/>
  <c r="AE243" i="10"/>
  <c r="Q243" i="10"/>
  <c r="P243" i="10"/>
  <c r="N243" i="10"/>
  <c r="N314" i="10" s="1"/>
  <c r="N385" i="10" s="1"/>
  <c r="N456" i="10" s="1"/>
  <c r="N527" i="10" s="1"/>
  <c r="N598" i="10" s="1"/>
  <c r="N669" i="10" s="1"/>
  <c r="N740" i="10" s="1"/>
  <c r="N811" i="10" s="1"/>
  <c r="N882" i="10" s="1"/>
  <c r="N953" i="10" s="1"/>
  <c r="N1024" i="10" s="1"/>
  <c r="L243" i="10"/>
  <c r="K243" i="10"/>
  <c r="J243" i="10"/>
  <c r="I243" i="10"/>
  <c r="H243" i="10"/>
  <c r="G243" i="10"/>
  <c r="AE242" i="10"/>
  <c r="Q242" i="10"/>
  <c r="P242" i="10"/>
  <c r="N242" i="10"/>
  <c r="N313" i="10" s="1"/>
  <c r="N384" i="10" s="1"/>
  <c r="N455" i="10" s="1"/>
  <c r="N526" i="10" s="1"/>
  <c r="N597" i="10" s="1"/>
  <c r="N668" i="10" s="1"/>
  <c r="N739" i="10" s="1"/>
  <c r="N810" i="10" s="1"/>
  <c r="N881" i="10" s="1"/>
  <c r="N952" i="10" s="1"/>
  <c r="N1023" i="10" s="1"/>
  <c r="L242" i="10"/>
  <c r="K242" i="10"/>
  <c r="J242" i="10"/>
  <c r="I242" i="10"/>
  <c r="H242" i="10"/>
  <c r="G242" i="10"/>
  <c r="AE241" i="10"/>
  <c r="Q241" i="10"/>
  <c r="P241" i="10"/>
  <c r="N241" i="10"/>
  <c r="N312" i="10" s="1"/>
  <c r="N383" i="10" s="1"/>
  <c r="N454" i="10" s="1"/>
  <c r="N525" i="10" s="1"/>
  <c r="N596" i="10" s="1"/>
  <c r="N667" i="10" s="1"/>
  <c r="N738" i="10" s="1"/>
  <c r="N809" i="10" s="1"/>
  <c r="N880" i="10" s="1"/>
  <c r="N951" i="10" s="1"/>
  <c r="N1022" i="10" s="1"/>
  <c r="L241" i="10"/>
  <c r="K241" i="10"/>
  <c r="J241" i="10"/>
  <c r="I241" i="10"/>
  <c r="H241" i="10"/>
  <c r="G241" i="10"/>
  <c r="AE240" i="10"/>
  <c r="Q240" i="10"/>
  <c r="P240" i="10"/>
  <c r="N240" i="10"/>
  <c r="N311" i="10" s="1"/>
  <c r="N382" i="10" s="1"/>
  <c r="N453" i="10" s="1"/>
  <c r="N524" i="10" s="1"/>
  <c r="N595" i="10" s="1"/>
  <c r="N666" i="10" s="1"/>
  <c r="N737" i="10" s="1"/>
  <c r="N808" i="10" s="1"/>
  <c r="N879" i="10" s="1"/>
  <c r="N950" i="10" s="1"/>
  <c r="N1021" i="10" s="1"/>
  <c r="L240" i="10"/>
  <c r="K240" i="10"/>
  <c r="J240" i="10"/>
  <c r="I240" i="10"/>
  <c r="H240" i="10"/>
  <c r="G240" i="10"/>
  <c r="AE239" i="10"/>
  <c r="Q239" i="10"/>
  <c r="P239" i="10"/>
  <c r="N239" i="10"/>
  <c r="N310" i="10" s="1"/>
  <c r="N381" i="10" s="1"/>
  <c r="N452" i="10" s="1"/>
  <c r="N523" i="10" s="1"/>
  <c r="N594" i="10" s="1"/>
  <c r="N665" i="10" s="1"/>
  <c r="N736" i="10" s="1"/>
  <c r="N807" i="10" s="1"/>
  <c r="N878" i="10" s="1"/>
  <c r="N949" i="10" s="1"/>
  <c r="N1020" i="10" s="1"/>
  <c r="L239" i="10"/>
  <c r="K239" i="10"/>
  <c r="J239" i="10"/>
  <c r="I239" i="10"/>
  <c r="H239" i="10"/>
  <c r="G239" i="10"/>
  <c r="AE238" i="10"/>
  <c r="Q238" i="10"/>
  <c r="P238" i="10"/>
  <c r="N238" i="10"/>
  <c r="N309" i="10" s="1"/>
  <c r="N380" i="10" s="1"/>
  <c r="N451" i="10" s="1"/>
  <c r="N522" i="10" s="1"/>
  <c r="N593" i="10" s="1"/>
  <c r="N664" i="10" s="1"/>
  <c r="N735" i="10" s="1"/>
  <c r="N806" i="10" s="1"/>
  <c r="N877" i="10" s="1"/>
  <c r="N948" i="10" s="1"/>
  <c r="N1019" i="10" s="1"/>
  <c r="L238" i="10"/>
  <c r="K238" i="10"/>
  <c r="J238" i="10"/>
  <c r="I238" i="10"/>
  <c r="H238" i="10"/>
  <c r="G238" i="10"/>
  <c r="AE237" i="10"/>
  <c r="Q237" i="10"/>
  <c r="P237" i="10"/>
  <c r="N237" i="10"/>
  <c r="N308" i="10" s="1"/>
  <c r="N379" i="10" s="1"/>
  <c r="N450" i="10" s="1"/>
  <c r="N521" i="10" s="1"/>
  <c r="N592" i="10" s="1"/>
  <c r="N663" i="10" s="1"/>
  <c r="N734" i="10" s="1"/>
  <c r="N805" i="10" s="1"/>
  <c r="N876" i="10" s="1"/>
  <c r="N947" i="10" s="1"/>
  <c r="N1018" i="10" s="1"/>
  <c r="L237" i="10"/>
  <c r="K237" i="10"/>
  <c r="J237" i="10"/>
  <c r="I237" i="10"/>
  <c r="H237" i="10"/>
  <c r="G237" i="10"/>
  <c r="AE236" i="10"/>
  <c r="Q236" i="10"/>
  <c r="P236" i="10"/>
  <c r="N236" i="10"/>
  <c r="N307" i="10" s="1"/>
  <c r="N378" i="10" s="1"/>
  <c r="N449" i="10" s="1"/>
  <c r="N520" i="10" s="1"/>
  <c r="N591" i="10" s="1"/>
  <c r="N662" i="10" s="1"/>
  <c r="N733" i="10" s="1"/>
  <c r="N804" i="10" s="1"/>
  <c r="N875" i="10" s="1"/>
  <c r="N946" i="10" s="1"/>
  <c r="N1017" i="10" s="1"/>
  <c r="L236" i="10"/>
  <c r="K236" i="10"/>
  <c r="J236" i="10"/>
  <c r="I236" i="10"/>
  <c r="H236" i="10"/>
  <c r="G236" i="10"/>
  <c r="AE235" i="10"/>
  <c r="Q235" i="10"/>
  <c r="P235" i="10"/>
  <c r="N235" i="10"/>
  <c r="N306" i="10" s="1"/>
  <c r="N377" i="10" s="1"/>
  <c r="N448" i="10" s="1"/>
  <c r="N519" i="10" s="1"/>
  <c r="N590" i="10" s="1"/>
  <c r="N661" i="10" s="1"/>
  <c r="N732" i="10" s="1"/>
  <c r="N803" i="10" s="1"/>
  <c r="N874" i="10" s="1"/>
  <c r="N945" i="10" s="1"/>
  <c r="N1016" i="10" s="1"/>
  <c r="L235" i="10"/>
  <c r="K235" i="10"/>
  <c r="J235" i="10"/>
  <c r="I235" i="10"/>
  <c r="H235" i="10"/>
  <c r="G235" i="10"/>
  <c r="AE234" i="10"/>
  <c r="Q234" i="10"/>
  <c r="P234" i="10"/>
  <c r="N234" i="10"/>
  <c r="N305" i="10" s="1"/>
  <c r="N376" i="10" s="1"/>
  <c r="N447" i="10" s="1"/>
  <c r="N518" i="10" s="1"/>
  <c r="N589" i="10" s="1"/>
  <c r="N660" i="10" s="1"/>
  <c r="N731" i="10" s="1"/>
  <c r="N802" i="10" s="1"/>
  <c r="N873" i="10" s="1"/>
  <c r="N944" i="10" s="1"/>
  <c r="N1015" i="10" s="1"/>
  <c r="L234" i="10"/>
  <c r="K234" i="10"/>
  <c r="J234" i="10"/>
  <c r="I234" i="10"/>
  <c r="H234" i="10"/>
  <c r="G234" i="10"/>
  <c r="AE233" i="10"/>
  <c r="Q233" i="10"/>
  <c r="P233" i="10"/>
  <c r="N233" i="10"/>
  <c r="N304" i="10" s="1"/>
  <c r="N375" i="10" s="1"/>
  <c r="N446" i="10" s="1"/>
  <c r="N517" i="10" s="1"/>
  <c r="N588" i="10" s="1"/>
  <c r="N659" i="10" s="1"/>
  <c r="N730" i="10" s="1"/>
  <c r="N801" i="10" s="1"/>
  <c r="N872" i="10" s="1"/>
  <c r="N943" i="10" s="1"/>
  <c r="N1014" i="10" s="1"/>
  <c r="L233" i="10"/>
  <c r="K233" i="10"/>
  <c r="J233" i="10"/>
  <c r="I233" i="10"/>
  <c r="H233" i="10"/>
  <c r="G233" i="10"/>
  <c r="AE232" i="10"/>
  <c r="Q232" i="10"/>
  <c r="P232" i="10"/>
  <c r="N232" i="10"/>
  <c r="N303" i="10" s="1"/>
  <c r="N374" i="10" s="1"/>
  <c r="N445" i="10" s="1"/>
  <c r="N516" i="10" s="1"/>
  <c r="N587" i="10" s="1"/>
  <c r="N658" i="10" s="1"/>
  <c r="N729" i="10" s="1"/>
  <c r="N800" i="10" s="1"/>
  <c r="N871" i="10" s="1"/>
  <c r="N942" i="10" s="1"/>
  <c r="N1013" i="10" s="1"/>
  <c r="L232" i="10"/>
  <c r="K232" i="10"/>
  <c r="J232" i="10"/>
  <c r="I232" i="10"/>
  <c r="H232" i="10"/>
  <c r="G232" i="10"/>
  <c r="AE231" i="10"/>
  <c r="Q231" i="10"/>
  <c r="P231" i="10"/>
  <c r="N231" i="10"/>
  <c r="N302" i="10" s="1"/>
  <c r="N373" i="10" s="1"/>
  <c r="N444" i="10" s="1"/>
  <c r="N515" i="10" s="1"/>
  <c r="N586" i="10" s="1"/>
  <c r="N657" i="10" s="1"/>
  <c r="N728" i="10" s="1"/>
  <c r="N799" i="10" s="1"/>
  <c r="N870" i="10" s="1"/>
  <c r="N941" i="10" s="1"/>
  <c r="N1012" i="10" s="1"/>
  <c r="L231" i="10"/>
  <c r="K231" i="10"/>
  <c r="J231" i="10"/>
  <c r="I231" i="10"/>
  <c r="H231" i="10"/>
  <c r="G231" i="10"/>
  <c r="AE230" i="10"/>
  <c r="Q230" i="10"/>
  <c r="P230" i="10"/>
  <c r="N230" i="10"/>
  <c r="N301" i="10" s="1"/>
  <c r="N372" i="10" s="1"/>
  <c r="N443" i="10" s="1"/>
  <c r="N514" i="10" s="1"/>
  <c r="N585" i="10" s="1"/>
  <c r="N656" i="10" s="1"/>
  <c r="N727" i="10" s="1"/>
  <c r="N798" i="10" s="1"/>
  <c r="N869" i="10" s="1"/>
  <c r="N940" i="10" s="1"/>
  <c r="N1011" i="10" s="1"/>
  <c r="L230" i="10"/>
  <c r="K230" i="10"/>
  <c r="J230" i="10"/>
  <c r="I230" i="10"/>
  <c r="H230" i="10"/>
  <c r="G230" i="10"/>
  <c r="AE229" i="10"/>
  <c r="Q229" i="10"/>
  <c r="P229" i="10"/>
  <c r="N229" i="10"/>
  <c r="N300" i="10" s="1"/>
  <c r="N371" i="10" s="1"/>
  <c r="N442" i="10" s="1"/>
  <c r="N513" i="10" s="1"/>
  <c r="N584" i="10" s="1"/>
  <c r="N655" i="10" s="1"/>
  <c r="N726" i="10" s="1"/>
  <c r="N797" i="10" s="1"/>
  <c r="N868" i="10" s="1"/>
  <c r="N939" i="10" s="1"/>
  <c r="N1010" i="10" s="1"/>
  <c r="L229" i="10"/>
  <c r="K229" i="10"/>
  <c r="J229" i="10"/>
  <c r="I229" i="10"/>
  <c r="H229" i="10"/>
  <c r="G229" i="10"/>
  <c r="AE228" i="10"/>
  <c r="Q228" i="10"/>
  <c r="P228" i="10"/>
  <c r="N228" i="10"/>
  <c r="N299" i="10" s="1"/>
  <c r="N370" i="10" s="1"/>
  <c r="N441" i="10" s="1"/>
  <c r="N512" i="10" s="1"/>
  <c r="N583" i="10" s="1"/>
  <c r="N654" i="10" s="1"/>
  <c r="N725" i="10" s="1"/>
  <c r="N796" i="10" s="1"/>
  <c r="N867" i="10" s="1"/>
  <c r="N938" i="10" s="1"/>
  <c r="N1009" i="10" s="1"/>
  <c r="L228" i="10"/>
  <c r="K228" i="10"/>
  <c r="J228" i="10"/>
  <c r="I228" i="10"/>
  <c r="H228" i="10"/>
  <c r="G228" i="10"/>
  <c r="AE227" i="10"/>
  <c r="Q227" i="10"/>
  <c r="P227" i="10"/>
  <c r="N227" i="10"/>
  <c r="N298" i="10" s="1"/>
  <c r="N369" i="10" s="1"/>
  <c r="N440" i="10" s="1"/>
  <c r="N511" i="10" s="1"/>
  <c r="N582" i="10" s="1"/>
  <c r="N653" i="10" s="1"/>
  <c r="N724" i="10" s="1"/>
  <c r="N795" i="10" s="1"/>
  <c r="N866" i="10" s="1"/>
  <c r="N937" i="10" s="1"/>
  <c r="N1008" i="10" s="1"/>
  <c r="L227" i="10"/>
  <c r="K227" i="10"/>
  <c r="J227" i="10"/>
  <c r="I227" i="10"/>
  <c r="H227" i="10"/>
  <c r="G227" i="10"/>
  <c r="AE226" i="10"/>
  <c r="Q226" i="10"/>
  <c r="P226" i="10"/>
  <c r="N226" i="10"/>
  <c r="N297" i="10" s="1"/>
  <c r="N368" i="10" s="1"/>
  <c r="N439" i="10" s="1"/>
  <c r="N510" i="10" s="1"/>
  <c r="N581" i="10" s="1"/>
  <c r="N652" i="10" s="1"/>
  <c r="N723" i="10" s="1"/>
  <c r="N794" i="10" s="1"/>
  <c r="N865" i="10" s="1"/>
  <c r="N936" i="10" s="1"/>
  <c r="N1007" i="10" s="1"/>
  <c r="L226" i="10"/>
  <c r="K226" i="10"/>
  <c r="J226" i="10"/>
  <c r="I226" i="10"/>
  <c r="H226" i="10"/>
  <c r="G226" i="10"/>
  <c r="AE225" i="10"/>
  <c r="Q225" i="10"/>
  <c r="P225" i="10"/>
  <c r="N225" i="10"/>
  <c r="N296" i="10" s="1"/>
  <c r="N367" i="10" s="1"/>
  <c r="N438" i="10" s="1"/>
  <c r="N509" i="10" s="1"/>
  <c r="N580" i="10" s="1"/>
  <c r="N651" i="10" s="1"/>
  <c r="N722" i="10" s="1"/>
  <c r="N793" i="10" s="1"/>
  <c r="N864" i="10" s="1"/>
  <c r="N935" i="10" s="1"/>
  <c r="N1006" i="10" s="1"/>
  <c r="L225" i="10"/>
  <c r="K225" i="10"/>
  <c r="J225" i="10"/>
  <c r="I225" i="10"/>
  <c r="H225" i="10"/>
  <c r="G225" i="10"/>
  <c r="AE224" i="10"/>
  <c r="Q224" i="10"/>
  <c r="P224" i="10"/>
  <c r="N224" i="10"/>
  <c r="N295" i="10" s="1"/>
  <c r="N366" i="10" s="1"/>
  <c r="N437" i="10" s="1"/>
  <c r="N508" i="10" s="1"/>
  <c r="N579" i="10" s="1"/>
  <c r="N650" i="10" s="1"/>
  <c r="N721" i="10" s="1"/>
  <c r="N792" i="10" s="1"/>
  <c r="N863" i="10" s="1"/>
  <c r="N934" i="10" s="1"/>
  <c r="N1005" i="10" s="1"/>
  <c r="L224" i="10"/>
  <c r="K224" i="10"/>
  <c r="J224" i="10"/>
  <c r="I224" i="10"/>
  <c r="H224" i="10"/>
  <c r="G224" i="10"/>
  <c r="AE223" i="10"/>
  <c r="Q223" i="10"/>
  <c r="P223" i="10"/>
  <c r="N223" i="10"/>
  <c r="N294" i="10" s="1"/>
  <c r="N365" i="10" s="1"/>
  <c r="N436" i="10" s="1"/>
  <c r="N507" i="10" s="1"/>
  <c r="N578" i="10" s="1"/>
  <c r="N649" i="10" s="1"/>
  <c r="N720" i="10" s="1"/>
  <c r="N791" i="10" s="1"/>
  <c r="N862" i="10" s="1"/>
  <c r="N933" i="10" s="1"/>
  <c r="N1004" i="10" s="1"/>
  <c r="L223" i="10"/>
  <c r="K223" i="10"/>
  <c r="J223" i="10"/>
  <c r="I223" i="10"/>
  <c r="H223" i="10"/>
  <c r="G223" i="10"/>
  <c r="AE222" i="10"/>
  <c r="Q222" i="10"/>
  <c r="P222" i="10"/>
  <c r="N222" i="10"/>
  <c r="N293" i="10" s="1"/>
  <c r="N364" i="10" s="1"/>
  <c r="N435" i="10" s="1"/>
  <c r="N506" i="10" s="1"/>
  <c r="N577" i="10" s="1"/>
  <c r="N648" i="10" s="1"/>
  <c r="N719" i="10" s="1"/>
  <c r="N790" i="10" s="1"/>
  <c r="N861" i="10" s="1"/>
  <c r="N932" i="10" s="1"/>
  <c r="N1003" i="10" s="1"/>
  <c r="L222" i="10"/>
  <c r="K222" i="10"/>
  <c r="J222" i="10"/>
  <c r="I222" i="10"/>
  <c r="H222" i="10"/>
  <c r="G222" i="10"/>
  <c r="AE221" i="10"/>
  <c r="Q221" i="10"/>
  <c r="P221" i="10"/>
  <c r="N221" i="10"/>
  <c r="N292" i="10" s="1"/>
  <c r="N363" i="10" s="1"/>
  <c r="N434" i="10" s="1"/>
  <c r="N505" i="10" s="1"/>
  <c r="N576" i="10" s="1"/>
  <c r="N647" i="10" s="1"/>
  <c r="N718" i="10" s="1"/>
  <c r="N789" i="10" s="1"/>
  <c r="N860" i="10" s="1"/>
  <c r="N931" i="10" s="1"/>
  <c r="N1002" i="10" s="1"/>
  <c r="L221" i="10"/>
  <c r="K221" i="10"/>
  <c r="J221" i="10"/>
  <c r="I221" i="10"/>
  <c r="H221" i="10"/>
  <c r="G221" i="10"/>
  <c r="AE220" i="10"/>
  <c r="Q220" i="10"/>
  <c r="P220" i="10"/>
  <c r="N220" i="10"/>
  <c r="N291" i="10" s="1"/>
  <c r="N362" i="10" s="1"/>
  <c r="N433" i="10" s="1"/>
  <c r="N504" i="10" s="1"/>
  <c r="N575" i="10" s="1"/>
  <c r="N646" i="10" s="1"/>
  <c r="N717" i="10" s="1"/>
  <c r="N788" i="10" s="1"/>
  <c r="N859" i="10" s="1"/>
  <c r="N930" i="10" s="1"/>
  <c r="N1001" i="10" s="1"/>
  <c r="L220" i="10"/>
  <c r="K220" i="10"/>
  <c r="J220" i="10"/>
  <c r="I220" i="10"/>
  <c r="H220" i="10"/>
  <c r="G220" i="10"/>
  <c r="AE219" i="10"/>
  <c r="Q219" i="10"/>
  <c r="P219" i="10"/>
  <c r="N219" i="10"/>
  <c r="N290" i="10" s="1"/>
  <c r="N361" i="10" s="1"/>
  <c r="N432" i="10" s="1"/>
  <c r="N503" i="10" s="1"/>
  <c r="N574" i="10" s="1"/>
  <c r="N645" i="10" s="1"/>
  <c r="N716" i="10" s="1"/>
  <c r="N787" i="10" s="1"/>
  <c r="N858" i="10" s="1"/>
  <c r="N929" i="10" s="1"/>
  <c r="N1000" i="10" s="1"/>
  <c r="L219" i="10"/>
  <c r="K219" i="10"/>
  <c r="J219" i="10"/>
  <c r="I219" i="10"/>
  <c r="H219" i="10"/>
  <c r="G219" i="10"/>
  <c r="AE218" i="10"/>
  <c r="Q218" i="10"/>
  <c r="P218" i="10"/>
  <c r="N218" i="10"/>
  <c r="N289" i="10" s="1"/>
  <c r="N360" i="10" s="1"/>
  <c r="N431" i="10" s="1"/>
  <c r="N502" i="10" s="1"/>
  <c r="N573" i="10" s="1"/>
  <c r="N644" i="10" s="1"/>
  <c r="N715" i="10" s="1"/>
  <c r="N786" i="10" s="1"/>
  <c r="N857" i="10" s="1"/>
  <c r="N928" i="10" s="1"/>
  <c r="N999" i="10" s="1"/>
  <c r="L218" i="10"/>
  <c r="K218" i="10"/>
  <c r="J218" i="10"/>
  <c r="I218" i="10"/>
  <c r="H218" i="10"/>
  <c r="G218" i="10"/>
  <c r="AE217" i="10"/>
  <c r="Q217" i="10"/>
  <c r="P217" i="10"/>
  <c r="N217" i="10"/>
  <c r="L217" i="10"/>
  <c r="K217" i="10"/>
  <c r="J217" i="10"/>
  <c r="I217" i="10"/>
  <c r="H217" i="10"/>
  <c r="G217" i="10"/>
  <c r="AH216" i="10"/>
  <c r="AG216" i="10"/>
  <c r="AF216" i="10"/>
  <c r="AE216" i="10"/>
  <c r="AD216" i="10"/>
  <c r="Q216" i="10"/>
  <c r="P216" i="10"/>
  <c r="N216" i="10"/>
  <c r="N287" i="10" s="1"/>
  <c r="N358" i="10" s="1"/>
  <c r="N429" i="10" s="1"/>
  <c r="N500" i="10" s="1"/>
  <c r="N571" i="10" s="1"/>
  <c r="N642" i="10" s="1"/>
  <c r="N713" i="10" s="1"/>
  <c r="N784" i="10" s="1"/>
  <c r="N855" i="10" s="1"/>
  <c r="N926" i="10" s="1"/>
  <c r="N997" i="10" s="1"/>
  <c r="N1068" i="10" s="1"/>
  <c r="L216" i="10"/>
  <c r="K216" i="10"/>
  <c r="J216" i="10"/>
  <c r="I216" i="10"/>
  <c r="H216" i="10"/>
  <c r="G216" i="10"/>
  <c r="F216" i="10"/>
  <c r="AH215" i="10"/>
  <c r="AG215" i="10"/>
  <c r="AF215" i="10"/>
  <c r="AE215" i="10"/>
  <c r="AD215" i="10"/>
  <c r="Q215" i="10"/>
  <c r="P215" i="10"/>
  <c r="N215" i="10"/>
  <c r="N286" i="10" s="1"/>
  <c r="N357" i="10" s="1"/>
  <c r="N428" i="10" s="1"/>
  <c r="N499" i="10" s="1"/>
  <c r="N570" i="10" s="1"/>
  <c r="N641" i="10" s="1"/>
  <c r="N712" i="10" s="1"/>
  <c r="N783" i="10" s="1"/>
  <c r="N854" i="10" s="1"/>
  <c r="N925" i="10" s="1"/>
  <c r="N996" i="10" s="1"/>
  <c r="N1067" i="10" s="1"/>
  <c r="L215" i="10"/>
  <c r="K215" i="10"/>
  <c r="J215" i="10"/>
  <c r="I215" i="10"/>
  <c r="H215" i="10"/>
  <c r="G215" i="10"/>
  <c r="F215" i="10"/>
  <c r="AH214" i="10"/>
  <c r="AG214" i="10"/>
  <c r="AF214" i="10"/>
  <c r="AE214" i="10"/>
  <c r="AD214" i="10"/>
  <c r="Q214" i="10"/>
  <c r="P214" i="10"/>
  <c r="N214" i="10"/>
  <c r="N285" i="10" s="1"/>
  <c r="N356" i="10" s="1"/>
  <c r="N427" i="10" s="1"/>
  <c r="N498" i="10" s="1"/>
  <c r="N569" i="10" s="1"/>
  <c r="N640" i="10" s="1"/>
  <c r="N711" i="10" s="1"/>
  <c r="N782" i="10" s="1"/>
  <c r="N853" i="10" s="1"/>
  <c r="N924" i="10" s="1"/>
  <c r="N995" i="10" s="1"/>
  <c r="N1066" i="10" s="1"/>
  <c r="L214" i="10"/>
  <c r="K214" i="10"/>
  <c r="J214" i="10"/>
  <c r="I214" i="10"/>
  <c r="H214" i="10"/>
  <c r="G214" i="10"/>
  <c r="F214" i="10"/>
  <c r="AH213" i="10"/>
  <c r="AG213" i="10"/>
  <c r="AF213" i="10"/>
  <c r="AE213" i="10"/>
  <c r="AD213" i="10"/>
  <c r="Q213" i="10"/>
  <c r="P213" i="10"/>
  <c r="N213" i="10"/>
  <c r="N284" i="10" s="1"/>
  <c r="N355" i="10" s="1"/>
  <c r="N426" i="10" s="1"/>
  <c r="N497" i="10" s="1"/>
  <c r="N568" i="10" s="1"/>
  <c r="N639" i="10" s="1"/>
  <c r="N710" i="10" s="1"/>
  <c r="N781" i="10" s="1"/>
  <c r="N852" i="10" s="1"/>
  <c r="N923" i="10" s="1"/>
  <c r="N994" i="10" s="1"/>
  <c r="N1065" i="10" s="1"/>
  <c r="L213" i="10"/>
  <c r="K213" i="10"/>
  <c r="J213" i="10"/>
  <c r="I213" i="10"/>
  <c r="H213" i="10"/>
  <c r="G213" i="10"/>
  <c r="F213" i="10"/>
  <c r="AH212" i="10"/>
  <c r="AG212" i="10"/>
  <c r="AF212" i="10"/>
  <c r="AE212" i="10"/>
  <c r="AD212" i="10"/>
  <c r="Q212" i="10"/>
  <c r="P212" i="10"/>
  <c r="N212" i="10"/>
  <c r="N283" i="10" s="1"/>
  <c r="N354" i="10" s="1"/>
  <c r="N425" i="10" s="1"/>
  <c r="N496" i="10" s="1"/>
  <c r="N567" i="10" s="1"/>
  <c r="N638" i="10" s="1"/>
  <c r="N709" i="10" s="1"/>
  <c r="N780" i="10" s="1"/>
  <c r="N851" i="10" s="1"/>
  <c r="N922" i="10" s="1"/>
  <c r="N993" i="10" s="1"/>
  <c r="N1064" i="10" s="1"/>
  <c r="L212" i="10"/>
  <c r="K212" i="10"/>
  <c r="J212" i="10"/>
  <c r="I212" i="10"/>
  <c r="H212" i="10"/>
  <c r="G212" i="10"/>
  <c r="F212" i="10"/>
  <c r="AH211" i="10"/>
  <c r="AG211" i="10"/>
  <c r="AF211" i="10"/>
  <c r="AE211" i="10"/>
  <c r="AD211" i="10"/>
  <c r="Q211" i="10"/>
  <c r="P211" i="10"/>
  <c r="N211" i="10"/>
  <c r="N282" i="10" s="1"/>
  <c r="N353" i="10" s="1"/>
  <c r="N424" i="10" s="1"/>
  <c r="N495" i="10" s="1"/>
  <c r="N566" i="10" s="1"/>
  <c r="N637" i="10" s="1"/>
  <c r="N708" i="10" s="1"/>
  <c r="N779" i="10" s="1"/>
  <c r="N850" i="10" s="1"/>
  <c r="N921" i="10" s="1"/>
  <c r="N992" i="10" s="1"/>
  <c r="N1063" i="10" s="1"/>
  <c r="L211" i="10"/>
  <c r="K211" i="10"/>
  <c r="J211" i="10"/>
  <c r="I211" i="10"/>
  <c r="H211" i="10"/>
  <c r="G211" i="10"/>
  <c r="F211" i="10"/>
  <c r="AH210" i="10"/>
  <c r="AG210" i="10"/>
  <c r="AF210" i="10"/>
  <c r="AE210" i="10"/>
  <c r="AD210" i="10"/>
  <c r="Q210" i="10"/>
  <c r="P210" i="10"/>
  <c r="N210" i="10"/>
  <c r="N281" i="10" s="1"/>
  <c r="N352" i="10" s="1"/>
  <c r="N423" i="10" s="1"/>
  <c r="N494" i="10" s="1"/>
  <c r="N565" i="10" s="1"/>
  <c r="N636" i="10" s="1"/>
  <c r="N707" i="10" s="1"/>
  <c r="N778" i="10" s="1"/>
  <c r="N849" i="10" s="1"/>
  <c r="N920" i="10" s="1"/>
  <c r="N991" i="10" s="1"/>
  <c r="N1062" i="10" s="1"/>
  <c r="L210" i="10"/>
  <c r="K210" i="10"/>
  <c r="J210" i="10"/>
  <c r="I210" i="10"/>
  <c r="H210" i="10"/>
  <c r="G210" i="10"/>
  <c r="F210" i="10"/>
  <c r="AH209" i="10"/>
  <c r="AG209" i="10"/>
  <c r="AF209" i="10"/>
  <c r="AE209" i="10"/>
  <c r="AD209" i="10"/>
  <c r="Q209" i="10"/>
  <c r="P209" i="10"/>
  <c r="N209" i="10"/>
  <c r="N280" i="10" s="1"/>
  <c r="N351" i="10" s="1"/>
  <c r="N422" i="10" s="1"/>
  <c r="N493" i="10" s="1"/>
  <c r="N564" i="10" s="1"/>
  <c r="N635" i="10" s="1"/>
  <c r="N706" i="10" s="1"/>
  <c r="N777" i="10" s="1"/>
  <c r="N848" i="10" s="1"/>
  <c r="N919" i="10" s="1"/>
  <c r="N990" i="10" s="1"/>
  <c r="N1061" i="10" s="1"/>
  <c r="L209" i="10"/>
  <c r="K209" i="10"/>
  <c r="J209" i="10"/>
  <c r="I209" i="10"/>
  <c r="H209" i="10"/>
  <c r="G209" i="10"/>
  <c r="F209" i="10"/>
  <c r="AH208" i="10"/>
  <c r="AG208" i="10"/>
  <c r="AF208" i="10"/>
  <c r="AE208" i="10"/>
  <c r="AD208" i="10"/>
  <c r="Q208" i="10"/>
  <c r="P208" i="10"/>
  <c r="N208" i="10"/>
  <c r="N279" i="10" s="1"/>
  <c r="N350" i="10" s="1"/>
  <c r="N421" i="10" s="1"/>
  <c r="N492" i="10" s="1"/>
  <c r="N563" i="10" s="1"/>
  <c r="N634" i="10" s="1"/>
  <c r="N705" i="10" s="1"/>
  <c r="N776" i="10" s="1"/>
  <c r="N847" i="10" s="1"/>
  <c r="N918" i="10" s="1"/>
  <c r="N989" i="10" s="1"/>
  <c r="N1060" i="10" s="1"/>
  <c r="L208" i="10"/>
  <c r="K208" i="10"/>
  <c r="J208" i="10"/>
  <c r="I208" i="10"/>
  <c r="H208" i="10"/>
  <c r="G208" i="10"/>
  <c r="F208" i="10"/>
  <c r="AH207" i="10"/>
  <c r="AG207" i="10"/>
  <c r="AF207" i="10"/>
  <c r="AE207" i="10"/>
  <c r="AD207" i="10"/>
  <c r="Q207" i="10"/>
  <c r="P207" i="10"/>
  <c r="N207" i="10"/>
  <c r="N278" i="10" s="1"/>
  <c r="N349" i="10" s="1"/>
  <c r="N420" i="10" s="1"/>
  <c r="N491" i="10" s="1"/>
  <c r="N562" i="10" s="1"/>
  <c r="N633" i="10" s="1"/>
  <c r="N704" i="10" s="1"/>
  <c r="N775" i="10" s="1"/>
  <c r="N846" i="10" s="1"/>
  <c r="N917" i="10" s="1"/>
  <c r="N988" i="10" s="1"/>
  <c r="N1059" i="10" s="1"/>
  <c r="L207" i="10"/>
  <c r="K207" i="10"/>
  <c r="J207" i="10"/>
  <c r="I207" i="10"/>
  <c r="H207" i="10"/>
  <c r="G207" i="10"/>
  <c r="F207" i="10"/>
  <c r="AH206" i="10"/>
  <c r="AG206" i="10"/>
  <c r="AF206" i="10"/>
  <c r="AE206" i="10"/>
  <c r="AD206" i="10"/>
  <c r="Q206" i="10"/>
  <c r="P206" i="10"/>
  <c r="N206" i="10"/>
  <c r="N277" i="10" s="1"/>
  <c r="N348" i="10" s="1"/>
  <c r="N419" i="10" s="1"/>
  <c r="N490" i="10" s="1"/>
  <c r="N561" i="10" s="1"/>
  <c r="N632" i="10" s="1"/>
  <c r="N703" i="10" s="1"/>
  <c r="N774" i="10" s="1"/>
  <c r="N845" i="10" s="1"/>
  <c r="N916" i="10" s="1"/>
  <c r="N987" i="10" s="1"/>
  <c r="N1058" i="10" s="1"/>
  <c r="L206" i="10"/>
  <c r="K206" i="10"/>
  <c r="J206" i="10"/>
  <c r="I206" i="10"/>
  <c r="H206" i="10"/>
  <c r="G206" i="10"/>
  <c r="F206" i="10"/>
  <c r="AH205" i="10"/>
  <c r="AG205" i="10"/>
  <c r="AF205" i="10"/>
  <c r="AE205" i="10"/>
  <c r="AD205" i="10"/>
  <c r="Q205" i="10"/>
  <c r="P205" i="10"/>
  <c r="N205" i="10"/>
  <c r="N276" i="10" s="1"/>
  <c r="N347" i="10" s="1"/>
  <c r="N418" i="10" s="1"/>
  <c r="N489" i="10" s="1"/>
  <c r="N560" i="10" s="1"/>
  <c r="N631" i="10" s="1"/>
  <c r="N702" i="10" s="1"/>
  <c r="N773" i="10" s="1"/>
  <c r="N844" i="10" s="1"/>
  <c r="N915" i="10" s="1"/>
  <c r="N986" i="10" s="1"/>
  <c r="N1057" i="10" s="1"/>
  <c r="L205" i="10"/>
  <c r="K205" i="10"/>
  <c r="J205" i="10"/>
  <c r="I205" i="10"/>
  <c r="H205" i="10"/>
  <c r="G205" i="10"/>
  <c r="F205" i="10"/>
  <c r="AH204" i="10"/>
  <c r="AG204" i="10"/>
  <c r="AF204" i="10"/>
  <c r="AE204" i="10"/>
  <c r="AD204" i="10"/>
  <c r="Q204" i="10"/>
  <c r="P204" i="10"/>
  <c r="N204" i="10"/>
  <c r="N275" i="10" s="1"/>
  <c r="N346" i="10" s="1"/>
  <c r="N417" i="10" s="1"/>
  <c r="N488" i="10" s="1"/>
  <c r="N559" i="10" s="1"/>
  <c r="N630" i="10" s="1"/>
  <c r="N701" i="10" s="1"/>
  <c r="N772" i="10" s="1"/>
  <c r="N843" i="10" s="1"/>
  <c r="N914" i="10" s="1"/>
  <c r="N985" i="10" s="1"/>
  <c r="N1056" i="10" s="1"/>
  <c r="L204" i="10"/>
  <c r="K204" i="10"/>
  <c r="J204" i="10"/>
  <c r="I204" i="10"/>
  <c r="H204" i="10"/>
  <c r="G204" i="10"/>
  <c r="F204" i="10"/>
  <c r="AH203" i="10"/>
  <c r="AG203" i="10"/>
  <c r="AF203" i="10"/>
  <c r="AE203" i="10"/>
  <c r="AD203" i="10"/>
  <c r="Q203" i="10"/>
  <c r="P203" i="10"/>
  <c r="N203" i="10"/>
  <c r="N274" i="10" s="1"/>
  <c r="N345" i="10" s="1"/>
  <c r="N416" i="10" s="1"/>
  <c r="N487" i="10" s="1"/>
  <c r="N558" i="10" s="1"/>
  <c r="N629" i="10" s="1"/>
  <c r="N700" i="10" s="1"/>
  <c r="N771" i="10" s="1"/>
  <c r="N842" i="10" s="1"/>
  <c r="N913" i="10" s="1"/>
  <c r="N984" i="10" s="1"/>
  <c r="N1055" i="10" s="1"/>
  <c r="L203" i="10"/>
  <c r="K203" i="10"/>
  <c r="J203" i="10"/>
  <c r="I203" i="10"/>
  <c r="H203" i="10"/>
  <c r="G203" i="10"/>
  <c r="F203" i="10"/>
  <c r="AH202" i="10"/>
  <c r="AG202" i="10"/>
  <c r="AF202" i="10"/>
  <c r="AE202" i="10"/>
  <c r="AD202" i="10"/>
  <c r="Q202" i="10"/>
  <c r="P202" i="10"/>
  <c r="N202" i="10"/>
  <c r="N273" i="10" s="1"/>
  <c r="N344" i="10" s="1"/>
  <c r="N415" i="10" s="1"/>
  <c r="N486" i="10" s="1"/>
  <c r="N557" i="10" s="1"/>
  <c r="N628" i="10" s="1"/>
  <c r="N699" i="10" s="1"/>
  <c r="N770" i="10" s="1"/>
  <c r="N841" i="10" s="1"/>
  <c r="N912" i="10" s="1"/>
  <c r="N983" i="10" s="1"/>
  <c r="N1054" i="10" s="1"/>
  <c r="L202" i="10"/>
  <c r="K202" i="10"/>
  <c r="J202" i="10"/>
  <c r="I202" i="10"/>
  <c r="H202" i="10"/>
  <c r="G202" i="10"/>
  <c r="F202" i="10"/>
  <c r="AH201" i="10"/>
  <c r="AG201" i="10"/>
  <c r="AF201" i="10"/>
  <c r="AE201" i="10"/>
  <c r="AD201" i="10"/>
  <c r="Q201" i="10"/>
  <c r="P201" i="10"/>
  <c r="N201" i="10"/>
  <c r="N272" i="10" s="1"/>
  <c r="N343" i="10" s="1"/>
  <c r="N414" i="10" s="1"/>
  <c r="N485" i="10" s="1"/>
  <c r="N556" i="10" s="1"/>
  <c r="N627" i="10" s="1"/>
  <c r="N698" i="10" s="1"/>
  <c r="N769" i="10" s="1"/>
  <c r="N840" i="10" s="1"/>
  <c r="N911" i="10" s="1"/>
  <c r="N982" i="10" s="1"/>
  <c r="N1053" i="10" s="1"/>
  <c r="L201" i="10"/>
  <c r="K201" i="10"/>
  <c r="J201" i="10"/>
  <c r="I201" i="10"/>
  <c r="H201" i="10"/>
  <c r="G201" i="10"/>
  <c r="F201" i="10"/>
  <c r="AH200" i="10"/>
  <c r="AG200" i="10"/>
  <c r="AF200" i="10"/>
  <c r="AE200" i="10"/>
  <c r="AD200" i="10"/>
  <c r="Q200" i="10"/>
  <c r="P200" i="10"/>
  <c r="N200" i="10"/>
  <c r="N271" i="10" s="1"/>
  <c r="N342" i="10" s="1"/>
  <c r="N413" i="10" s="1"/>
  <c r="N484" i="10" s="1"/>
  <c r="N555" i="10" s="1"/>
  <c r="N626" i="10" s="1"/>
  <c r="N697" i="10" s="1"/>
  <c r="N768" i="10" s="1"/>
  <c r="N839" i="10" s="1"/>
  <c r="N910" i="10" s="1"/>
  <c r="N981" i="10" s="1"/>
  <c r="N1052" i="10" s="1"/>
  <c r="L200" i="10"/>
  <c r="K200" i="10"/>
  <c r="J200" i="10"/>
  <c r="I200" i="10"/>
  <c r="H200" i="10"/>
  <c r="G200" i="10"/>
  <c r="F200" i="10"/>
  <c r="AH199" i="10"/>
  <c r="AG199" i="10"/>
  <c r="AF199" i="10"/>
  <c r="AE199" i="10"/>
  <c r="AD199" i="10"/>
  <c r="Q199" i="10"/>
  <c r="P199" i="10"/>
  <c r="N199" i="10"/>
  <c r="N270" i="10" s="1"/>
  <c r="N341" i="10" s="1"/>
  <c r="N412" i="10" s="1"/>
  <c r="N483" i="10" s="1"/>
  <c r="N554" i="10" s="1"/>
  <c r="N625" i="10" s="1"/>
  <c r="N696" i="10" s="1"/>
  <c r="N767" i="10" s="1"/>
  <c r="N838" i="10" s="1"/>
  <c r="N909" i="10" s="1"/>
  <c r="N980" i="10" s="1"/>
  <c r="N1051" i="10" s="1"/>
  <c r="L199" i="10"/>
  <c r="K199" i="10"/>
  <c r="J199" i="10"/>
  <c r="I199" i="10"/>
  <c r="H199" i="10"/>
  <c r="G199" i="10"/>
  <c r="F199" i="10"/>
  <c r="AH198" i="10"/>
  <c r="AG198" i="10"/>
  <c r="AF198" i="10"/>
  <c r="AE198" i="10"/>
  <c r="AD198" i="10"/>
  <c r="Q198" i="10"/>
  <c r="P198" i="10"/>
  <c r="N198" i="10"/>
  <c r="N269" i="10" s="1"/>
  <c r="N340" i="10" s="1"/>
  <c r="N411" i="10" s="1"/>
  <c r="N482" i="10" s="1"/>
  <c r="N553" i="10" s="1"/>
  <c r="N624" i="10" s="1"/>
  <c r="N695" i="10" s="1"/>
  <c r="N766" i="10" s="1"/>
  <c r="N837" i="10" s="1"/>
  <c r="N908" i="10" s="1"/>
  <c r="N979" i="10" s="1"/>
  <c r="N1050" i="10" s="1"/>
  <c r="L198" i="10"/>
  <c r="K198" i="10"/>
  <c r="J198" i="10"/>
  <c r="I198" i="10"/>
  <c r="H198" i="10"/>
  <c r="G198" i="10"/>
  <c r="F198" i="10"/>
  <c r="AH197" i="10"/>
  <c r="AG197" i="10"/>
  <c r="AF197" i="10"/>
  <c r="AE197" i="10"/>
  <c r="AD197" i="10"/>
  <c r="Q197" i="10"/>
  <c r="P197" i="10"/>
  <c r="N197" i="10"/>
  <c r="N268" i="10" s="1"/>
  <c r="N339" i="10" s="1"/>
  <c r="N410" i="10" s="1"/>
  <c r="N481" i="10" s="1"/>
  <c r="N552" i="10" s="1"/>
  <c r="N623" i="10" s="1"/>
  <c r="N694" i="10" s="1"/>
  <c r="N765" i="10" s="1"/>
  <c r="N836" i="10" s="1"/>
  <c r="N907" i="10" s="1"/>
  <c r="N978" i="10" s="1"/>
  <c r="N1049" i="10" s="1"/>
  <c r="L197" i="10"/>
  <c r="K197" i="10"/>
  <c r="J197" i="10"/>
  <c r="I197" i="10"/>
  <c r="H197" i="10"/>
  <c r="G197" i="10"/>
  <c r="F197" i="10"/>
  <c r="AH196" i="10"/>
  <c r="AG196" i="10"/>
  <c r="AF196" i="10"/>
  <c r="AE196" i="10"/>
  <c r="AD196" i="10"/>
  <c r="Q196" i="10"/>
  <c r="P196" i="10"/>
  <c r="N196" i="10"/>
  <c r="N267" i="10" s="1"/>
  <c r="N338" i="10" s="1"/>
  <c r="N409" i="10" s="1"/>
  <c r="N480" i="10" s="1"/>
  <c r="N551" i="10" s="1"/>
  <c r="N622" i="10" s="1"/>
  <c r="N693" i="10" s="1"/>
  <c r="N764" i="10" s="1"/>
  <c r="N835" i="10" s="1"/>
  <c r="N906" i="10" s="1"/>
  <c r="N977" i="10" s="1"/>
  <c r="N1048" i="10" s="1"/>
  <c r="L196" i="10"/>
  <c r="K196" i="10"/>
  <c r="J196" i="10"/>
  <c r="I196" i="10"/>
  <c r="H196" i="10"/>
  <c r="G196" i="10"/>
  <c r="F196" i="10"/>
  <c r="AH195" i="10"/>
  <c r="AG195" i="10"/>
  <c r="AF195" i="10"/>
  <c r="AE195" i="10"/>
  <c r="AD195" i="10"/>
  <c r="Q195" i="10"/>
  <c r="P195" i="10"/>
  <c r="N195" i="10"/>
  <c r="N266" i="10" s="1"/>
  <c r="N337" i="10" s="1"/>
  <c r="N408" i="10" s="1"/>
  <c r="N479" i="10" s="1"/>
  <c r="N550" i="10" s="1"/>
  <c r="N621" i="10" s="1"/>
  <c r="N692" i="10" s="1"/>
  <c r="N763" i="10" s="1"/>
  <c r="N834" i="10" s="1"/>
  <c r="N905" i="10" s="1"/>
  <c r="N976" i="10" s="1"/>
  <c r="N1047" i="10" s="1"/>
  <c r="L195" i="10"/>
  <c r="K195" i="10"/>
  <c r="J195" i="10"/>
  <c r="I195" i="10"/>
  <c r="H195" i="10"/>
  <c r="G195" i="10"/>
  <c r="F195" i="10"/>
  <c r="AH194" i="10"/>
  <c r="AG194" i="10"/>
  <c r="AF194" i="10"/>
  <c r="AE194" i="10"/>
  <c r="AD194" i="10"/>
  <c r="Q194" i="10"/>
  <c r="P194" i="10"/>
  <c r="N194" i="10"/>
  <c r="N265" i="10" s="1"/>
  <c r="N336" i="10" s="1"/>
  <c r="N407" i="10" s="1"/>
  <c r="N478" i="10" s="1"/>
  <c r="N549" i="10" s="1"/>
  <c r="N620" i="10" s="1"/>
  <c r="N691" i="10" s="1"/>
  <c r="N762" i="10" s="1"/>
  <c r="N833" i="10" s="1"/>
  <c r="N904" i="10" s="1"/>
  <c r="N975" i="10" s="1"/>
  <c r="N1046" i="10" s="1"/>
  <c r="L194" i="10"/>
  <c r="K194" i="10"/>
  <c r="J194" i="10"/>
  <c r="I194" i="10"/>
  <c r="H194" i="10"/>
  <c r="G194" i="10"/>
  <c r="F194" i="10"/>
  <c r="AH193" i="10"/>
  <c r="AG193" i="10"/>
  <c r="AF193" i="10"/>
  <c r="AE193" i="10"/>
  <c r="AD193" i="10"/>
  <c r="Q193" i="10"/>
  <c r="P193" i="10"/>
  <c r="N193" i="10"/>
  <c r="N264" i="10" s="1"/>
  <c r="N335" i="10" s="1"/>
  <c r="N406" i="10" s="1"/>
  <c r="N477" i="10" s="1"/>
  <c r="N548" i="10" s="1"/>
  <c r="N619" i="10" s="1"/>
  <c r="N690" i="10" s="1"/>
  <c r="N761" i="10" s="1"/>
  <c r="N832" i="10" s="1"/>
  <c r="N903" i="10" s="1"/>
  <c r="N974" i="10" s="1"/>
  <c r="N1045" i="10" s="1"/>
  <c r="L193" i="10"/>
  <c r="K193" i="10"/>
  <c r="J193" i="10"/>
  <c r="I193" i="10"/>
  <c r="H193" i="10"/>
  <c r="G193" i="10"/>
  <c r="F193" i="10"/>
  <c r="AH192" i="10"/>
  <c r="AG192" i="10"/>
  <c r="AF192" i="10"/>
  <c r="AE192" i="10"/>
  <c r="AD192" i="10"/>
  <c r="Q192" i="10"/>
  <c r="P192" i="10"/>
  <c r="N192" i="10"/>
  <c r="N263" i="10" s="1"/>
  <c r="N334" i="10" s="1"/>
  <c r="N405" i="10" s="1"/>
  <c r="N476" i="10" s="1"/>
  <c r="N547" i="10" s="1"/>
  <c r="N618" i="10" s="1"/>
  <c r="N689" i="10" s="1"/>
  <c r="N760" i="10" s="1"/>
  <c r="N831" i="10" s="1"/>
  <c r="N902" i="10" s="1"/>
  <c r="N973" i="10" s="1"/>
  <c r="N1044" i="10" s="1"/>
  <c r="L192" i="10"/>
  <c r="K192" i="10"/>
  <c r="J192" i="10"/>
  <c r="I192" i="10"/>
  <c r="H192" i="10"/>
  <c r="G192" i="10"/>
  <c r="F192" i="10"/>
  <c r="AH191" i="10"/>
  <c r="AG191" i="10"/>
  <c r="AF191" i="10"/>
  <c r="AE191" i="10"/>
  <c r="AD191" i="10"/>
  <c r="Q191" i="10"/>
  <c r="P191" i="10"/>
  <c r="N191" i="10"/>
  <c r="N262" i="10" s="1"/>
  <c r="N333" i="10" s="1"/>
  <c r="N404" i="10" s="1"/>
  <c r="N475" i="10" s="1"/>
  <c r="N546" i="10" s="1"/>
  <c r="N617" i="10" s="1"/>
  <c r="N688" i="10" s="1"/>
  <c r="N759" i="10" s="1"/>
  <c r="N830" i="10" s="1"/>
  <c r="N901" i="10" s="1"/>
  <c r="N972" i="10" s="1"/>
  <c r="N1043" i="10" s="1"/>
  <c r="L191" i="10"/>
  <c r="K191" i="10"/>
  <c r="J191" i="10"/>
  <c r="I191" i="10"/>
  <c r="H191" i="10"/>
  <c r="G191" i="10"/>
  <c r="F191" i="10"/>
  <c r="AH190" i="10"/>
  <c r="AG190" i="10"/>
  <c r="AF190" i="10"/>
  <c r="AE190" i="10"/>
  <c r="AD190" i="10"/>
  <c r="Q190" i="10"/>
  <c r="P190" i="10"/>
  <c r="N190" i="10"/>
  <c r="N261" i="10" s="1"/>
  <c r="N332" i="10" s="1"/>
  <c r="N403" i="10" s="1"/>
  <c r="N474" i="10" s="1"/>
  <c r="N545" i="10" s="1"/>
  <c r="N616" i="10" s="1"/>
  <c r="N687" i="10" s="1"/>
  <c r="N758" i="10" s="1"/>
  <c r="N829" i="10" s="1"/>
  <c r="N900" i="10" s="1"/>
  <c r="N971" i="10" s="1"/>
  <c r="N1042" i="10" s="1"/>
  <c r="L190" i="10"/>
  <c r="K190" i="10"/>
  <c r="J190" i="10"/>
  <c r="I190" i="10"/>
  <c r="H190" i="10"/>
  <c r="G190" i="10"/>
  <c r="F190" i="10"/>
  <c r="AH189" i="10"/>
  <c r="AG189" i="10"/>
  <c r="AF189" i="10"/>
  <c r="AE189" i="10"/>
  <c r="AD189" i="10"/>
  <c r="Q189" i="10"/>
  <c r="P189" i="10"/>
  <c r="N189" i="10"/>
  <c r="N260" i="10" s="1"/>
  <c r="N331" i="10" s="1"/>
  <c r="N402" i="10" s="1"/>
  <c r="N473" i="10" s="1"/>
  <c r="N544" i="10" s="1"/>
  <c r="N615" i="10" s="1"/>
  <c r="N686" i="10" s="1"/>
  <c r="N757" i="10" s="1"/>
  <c r="N828" i="10" s="1"/>
  <c r="N899" i="10" s="1"/>
  <c r="N970" i="10" s="1"/>
  <c r="N1041" i="10" s="1"/>
  <c r="L189" i="10"/>
  <c r="K189" i="10"/>
  <c r="J189" i="10"/>
  <c r="I189" i="10"/>
  <c r="H189" i="10"/>
  <c r="G189" i="10"/>
  <c r="F189" i="10"/>
  <c r="AH188" i="10"/>
  <c r="AG188" i="10"/>
  <c r="AF188" i="10"/>
  <c r="AE188" i="10"/>
  <c r="AD188" i="10"/>
  <c r="Q188" i="10"/>
  <c r="P188" i="10"/>
  <c r="N188" i="10"/>
  <c r="N259" i="10" s="1"/>
  <c r="N330" i="10" s="1"/>
  <c r="N401" i="10" s="1"/>
  <c r="N472" i="10" s="1"/>
  <c r="N543" i="10" s="1"/>
  <c r="N614" i="10" s="1"/>
  <c r="N685" i="10" s="1"/>
  <c r="N756" i="10" s="1"/>
  <c r="N827" i="10" s="1"/>
  <c r="N898" i="10" s="1"/>
  <c r="N969" i="10" s="1"/>
  <c r="N1040" i="10" s="1"/>
  <c r="L188" i="10"/>
  <c r="K188" i="10"/>
  <c r="J188" i="10"/>
  <c r="I188" i="10"/>
  <c r="H188" i="10"/>
  <c r="G188" i="10"/>
  <c r="F188" i="10"/>
  <c r="AH187" i="10"/>
  <c r="AG187" i="10"/>
  <c r="AF187" i="10"/>
  <c r="AE187" i="10"/>
  <c r="AD187" i="10"/>
  <c r="Q187" i="10"/>
  <c r="P187" i="10"/>
  <c r="N187" i="10"/>
  <c r="N258" i="10" s="1"/>
  <c r="N329" i="10" s="1"/>
  <c r="N400" i="10" s="1"/>
  <c r="N471" i="10" s="1"/>
  <c r="N542" i="10" s="1"/>
  <c r="N613" i="10" s="1"/>
  <c r="N684" i="10" s="1"/>
  <c r="N755" i="10" s="1"/>
  <c r="N826" i="10" s="1"/>
  <c r="N897" i="10" s="1"/>
  <c r="N968" i="10" s="1"/>
  <c r="N1039" i="10" s="1"/>
  <c r="L187" i="10"/>
  <c r="K187" i="10"/>
  <c r="J187" i="10"/>
  <c r="I187" i="10"/>
  <c r="H187" i="10"/>
  <c r="G187" i="10"/>
  <c r="F187" i="10"/>
  <c r="AH186" i="10"/>
  <c r="AG186" i="10"/>
  <c r="AF186" i="10"/>
  <c r="AE186" i="10"/>
  <c r="AD186" i="10"/>
  <c r="Q186" i="10"/>
  <c r="P186" i="10"/>
  <c r="N186" i="10"/>
  <c r="N257" i="10" s="1"/>
  <c r="N328" i="10" s="1"/>
  <c r="N399" i="10" s="1"/>
  <c r="N470" i="10" s="1"/>
  <c r="N541" i="10" s="1"/>
  <c r="N612" i="10" s="1"/>
  <c r="N683" i="10" s="1"/>
  <c r="N754" i="10" s="1"/>
  <c r="N825" i="10" s="1"/>
  <c r="N896" i="10" s="1"/>
  <c r="N967" i="10" s="1"/>
  <c r="N1038" i="10" s="1"/>
  <c r="L186" i="10"/>
  <c r="K186" i="10"/>
  <c r="J186" i="10"/>
  <c r="I186" i="10"/>
  <c r="H186" i="10"/>
  <c r="G186" i="10"/>
  <c r="F186" i="10"/>
  <c r="AH185" i="10"/>
  <c r="AG185" i="10"/>
  <c r="AF185" i="10"/>
  <c r="AE185" i="10"/>
  <c r="AD185" i="10"/>
  <c r="Q185" i="10"/>
  <c r="P185" i="10"/>
  <c r="N185" i="10"/>
  <c r="N256" i="10" s="1"/>
  <c r="N327" i="10" s="1"/>
  <c r="N398" i="10" s="1"/>
  <c r="N469" i="10" s="1"/>
  <c r="N540" i="10" s="1"/>
  <c r="N611" i="10" s="1"/>
  <c r="N682" i="10" s="1"/>
  <c r="N753" i="10" s="1"/>
  <c r="N824" i="10" s="1"/>
  <c r="N895" i="10" s="1"/>
  <c r="N966" i="10" s="1"/>
  <c r="N1037" i="10" s="1"/>
  <c r="L185" i="10"/>
  <c r="K185" i="10"/>
  <c r="J185" i="10"/>
  <c r="I185" i="10"/>
  <c r="H185" i="10"/>
  <c r="G185" i="10"/>
  <c r="F185" i="10"/>
  <c r="AH184" i="10"/>
  <c r="AG184" i="10"/>
  <c r="AF184" i="10"/>
  <c r="AE184" i="10"/>
  <c r="AD184" i="10"/>
  <c r="Q184" i="10"/>
  <c r="P184" i="10"/>
  <c r="N184" i="10"/>
  <c r="N255" i="10" s="1"/>
  <c r="N326" i="10" s="1"/>
  <c r="N397" i="10" s="1"/>
  <c r="N468" i="10" s="1"/>
  <c r="N539" i="10" s="1"/>
  <c r="N610" i="10" s="1"/>
  <c r="N681" i="10" s="1"/>
  <c r="N752" i="10" s="1"/>
  <c r="N823" i="10" s="1"/>
  <c r="N894" i="10" s="1"/>
  <c r="N965" i="10" s="1"/>
  <c r="N1036" i="10" s="1"/>
  <c r="L184" i="10"/>
  <c r="K184" i="10"/>
  <c r="J184" i="10"/>
  <c r="I184" i="10"/>
  <c r="H184" i="10"/>
  <c r="G184" i="10"/>
  <c r="F184" i="10"/>
  <c r="AH183" i="10"/>
  <c r="AG183" i="10"/>
  <c r="AF183" i="10"/>
  <c r="AE183" i="10"/>
  <c r="AD183" i="10"/>
  <c r="Q183" i="10"/>
  <c r="P183" i="10"/>
  <c r="N183" i="10"/>
  <c r="N254" i="10" s="1"/>
  <c r="N325" i="10" s="1"/>
  <c r="N396" i="10" s="1"/>
  <c r="N467" i="10" s="1"/>
  <c r="N538" i="10" s="1"/>
  <c r="N609" i="10" s="1"/>
  <c r="N680" i="10" s="1"/>
  <c r="N751" i="10" s="1"/>
  <c r="N822" i="10" s="1"/>
  <c r="N893" i="10" s="1"/>
  <c r="N964" i="10" s="1"/>
  <c r="N1035" i="10" s="1"/>
  <c r="L183" i="10"/>
  <c r="K183" i="10"/>
  <c r="J183" i="10"/>
  <c r="I183" i="10"/>
  <c r="H183" i="10"/>
  <c r="G183" i="10"/>
  <c r="F183" i="10"/>
  <c r="AH182" i="10"/>
  <c r="AG182" i="10"/>
  <c r="AF182" i="10"/>
  <c r="AE182" i="10"/>
  <c r="AD182" i="10"/>
  <c r="Q182" i="10"/>
  <c r="P182" i="10"/>
  <c r="N182" i="10"/>
  <c r="N253" i="10" s="1"/>
  <c r="N324" i="10" s="1"/>
  <c r="N395" i="10" s="1"/>
  <c r="N466" i="10" s="1"/>
  <c r="N537" i="10" s="1"/>
  <c r="N608" i="10" s="1"/>
  <c r="N679" i="10" s="1"/>
  <c r="N750" i="10" s="1"/>
  <c r="N821" i="10" s="1"/>
  <c r="N892" i="10" s="1"/>
  <c r="N963" i="10" s="1"/>
  <c r="N1034" i="10" s="1"/>
  <c r="L182" i="10"/>
  <c r="K182" i="10"/>
  <c r="J182" i="10"/>
  <c r="I182" i="10"/>
  <c r="H182" i="10"/>
  <c r="G182" i="10"/>
  <c r="F182" i="10"/>
  <c r="AH181" i="10"/>
  <c r="AG181" i="10"/>
  <c r="AF181" i="10"/>
  <c r="AE181" i="10"/>
  <c r="AD181" i="10"/>
  <c r="Q181" i="10"/>
  <c r="P181" i="10"/>
  <c r="N181" i="10"/>
  <c r="N252" i="10" s="1"/>
  <c r="N323" i="10" s="1"/>
  <c r="N394" i="10" s="1"/>
  <c r="N465" i="10" s="1"/>
  <c r="N536" i="10" s="1"/>
  <c r="N607" i="10" s="1"/>
  <c r="N678" i="10" s="1"/>
  <c r="N749" i="10" s="1"/>
  <c r="N820" i="10" s="1"/>
  <c r="N891" i="10" s="1"/>
  <c r="N962" i="10" s="1"/>
  <c r="N1033" i="10" s="1"/>
  <c r="L181" i="10"/>
  <c r="K181" i="10"/>
  <c r="J181" i="10"/>
  <c r="I181" i="10"/>
  <c r="H181" i="10"/>
  <c r="G181" i="10"/>
  <c r="F181" i="10"/>
  <c r="AH180" i="10"/>
  <c r="AG180" i="10"/>
  <c r="AF180" i="10"/>
  <c r="AE180" i="10"/>
  <c r="AD180" i="10"/>
  <c r="Q180" i="10"/>
  <c r="P180" i="10"/>
  <c r="N180" i="10"/>
  <c r="N251" i="10" s="1"/>
  <c r="N322" i="10" s="1"/>
  <c r="N393" i="10" s="1"/>
  <c r="N464" i="10" s="1"/>
  <c r="N535" i="10" s="1"/>
  <c r="N606" i="10" s="1"/>
  <c r="N677" i="10" s="1"/>
  <c r="N748" i="10" s="1"/>
  <c r="N819" i="10" s="1"/>
  <c r="N890" i="10" s="1"/>
  <c r="N961" i="10" s="1"/>
  <c r="N1032" i="10" s="1"/>
  <c r="L180" i="10"/>
  <c r="K180" i="10"/>
  <c r="J180" i="10"/>
  <c r="I180" i="10"/>
  <c r="H180" i="10"/>
  <c r="G180" i="10"/>
  <c r="F180" i="10"/>
  <c r="AH179" i="10"/>
  <c r="AG179" i="10"/>
  <c r="AF179" i="10"/>
  <c r="AE179" i="10"/>
  <c r="AD179" i="10"/>
  <c r="Q179" i="10"/>
  <c r="P179" i="10"/>
  <c r="N179" i="10"/>
  <c r="N250" i="10" s="1"/>
  <c r="N321" i="10" s="1"/>
  <c r="N392" i="10" s="1"/>
  <c r="N463" i="10" s="1"/>
  <c r="N534" i="10" s="1"/>
  <c r="N605" i="10" s="1"/>
  <c r="N676" i="10" s="1"/>
  <c r="N747" i="10" s="1"/>
  <c r="N818" i="10" s="1"/>
  <c r="N889" i="10" s="1"/>
  <c r="N960" i="10" s="1"/>
  <c r="N1031" i="10" s="1"/>
  <c r="L179" i="10"/>
  <c r="K179" i="10"/>
  <c r="J179" i="10"/>
  <c r="I179" i="10"/>
  <c r="H179" i="10"/>
  <c r="G179" i="10"/>
  <c r="F179" i="10"/>
  <c r="AH178" i="10"/>
  <c r="AG178" i="10"/>
  <c r="AF178" i="10"/>
  <c r="AE178" i="10"/>
  <c r="AD178" i="10"/>
  <c r="Q178" i="10"/>
  <c r="P178" i="10"/>
  <c r="N178" i="10"/>
  <c r="N249" i="10" s="1"/>
  <c r="N320" i="10" s="1"/>
  <c r="N391" i="10" s="1"/>
  <c r="N462" i="10" s="1"/>
  <c r="N533" i="10" s="1"/>
  <c r="N604" i="10" s="1"/>
  <c r="N675" i="10" s="1"/>
  <c r="N746" i="10" s="1"/>
  <c r="N817" i="10" s="1"/>
  <c r="N888" i="10" s="1"/>
  <c r="N959" i="10" s="1"/>
  <c r="N1030" i="10" s="1"/>
  <c r="L178" i="10"/>
  <c r="K178" i="10"/>
  <c r="J178" i="10"/>
  <c r="I178" i="10"/>
  <c r="H178" i="10"/>
  <c r="G178" i="10"/>
  <c r="F178" i="10"/>
  <c r="AH177" i="10"/>
  <c r="AG177" i="10"/>
  <c r="AF177" i="10"/>
  <c r="AE177" i="10"/>
  <c r="AD177" i="10"/>
  <c r="Q177" i="10"/>
  <c r="P177" i="10"/>
  <c r="N177" i="10"/>
  <c r="N248" i="10" s="1"/>
  <c r="N319" i="10" s="1"/>
  <c r="N390" i="10" s="1"/>
  <c r="N461" i="10" s="1"/>
  <c r="N532" i="10" s="1"/>
  <c r="N603" i="10" s="1"/>
  <c r="N674" i="10" s="1"/>
  <c r="N745" i="10" s="1"/>
  <c r="N816" i="10" s="1"/>
  <c r="N887" i="10" s="1"/>
  <c r="N958" i="10" s="1"/>
  <c r="N1029" i="10" s="1"/>
  <c r="L177" i="10"/>
  <c r="K177" i="10"/>
  <c r="J177" i="10"/>
  <c r="I177" i="10"/>
  <c r="H177" i="10"/>
  <c r="G177" i="10"/>
  <c r="F177" i="10"/>
  <c r="AH176" i="10"/>
  <c r="AG176" i="10"/>
  <c r="AF176" i="10"/>
  <c r="AE176" i="10"/>
  <c r="AD176" i="10"/>
  <c r="Q176" i="10"/>
  <c r="P176" i="10"/>
  <c r="N176" i="10"/>
  <c r="N247" i="10" s="1"/>
  <c r="N318" i="10" s="1"/>
  <c r="N389" i="10" s="1"/>
  <c r="N460" i="10" s="1"/>
  <c r="N531" i="10" s="1"/>
  <c r="N602" i="10" s="1"/>
  <c r="N673" i="10" s="1"/>
  <c r="N744" i="10" s="1"/>
  <c r="N815" i="10" s="1"/>
  <c r="N886" i="10" s="1"/>
  <c r="N957" i="10" s="1"/>
  <c r="N1028" i="10" s="1"/>
  <c r="L176" i="10"/>
  <c r="K176" i="10"/>
  <c r="J176" i="10"/>
  <c r="I176" i="10"/>
  <c r="H176" i="10"/>
  <c r="G176" i="10"/>
  <c r="F176" i="10"/>
  <c r="AH175" i="10"/>
  <c r="AG175" i="10"/>
  <c r="AF175" i="10"/>
  <c r="AE175" i="10"/>
  <c r="AD175" i="10"/>
  <c r="Q175" i="10"/>
  <c r="P175" i="10"/>
  <c r="N175" i="10"/>
  <c r="N246" i="10" s="1"/>
  <c r="N317" i="10" s="1"/>
  <c r="N388" i="10" s="1"/>
  <c r="N459" i="10" s="1"/>
  <c r="N530" i="10" s="1"/>
  <c r="N601" i="10" s="1"/>
  <c r="N672" i="10" s="1"/>
  <c r="N743" i="10" s="1"/>
  <c r="N814" i="10" s="1"/>
  <c r="N885" i="10" s="1"/>
  <c r="N956" i="10" s="1"/>
  <c r="N1027" i="10" s="1"/>
  <c r="L175" i="10"/>
  <c r="K175" i="10"/>
  <c r="J175" i="10"/>
  <c r="I175" i="10"/>
  <c r="H175" i="10"/>
  <c r="G175" i="10"/>
  <c r="F175" i="10"/>
  <c r="AH174" i="10"/>
  <c r="AG174" i="10"/>
  <c r="AF174" i="10"/>
  <c r="AE174" i="10"/>
  <c r="AD174" i="10"/>
  <c r="Q174" i="10"/>
  <c r="P174" i="10"/>
  <c r="N174" i="10"/>
  <c r="L174" i="10"/>
  <c r="K174" i="10"/>
  <c r="J174" i="10"/>
  <c r="I174" i="10"/>
  <c r="H174" i="10"/>
  <c r="G174" i="10"/>
  <c r="F174" i="10"/>
  <c r="AH173" i="10"/>
  <c r="AG173" i="10"/>
  <c r="AF173" i="10"/>
  <c r="AE173" i="10"/>
  <c r="AD173" i="10"/>
  <c r="AB173" i="10"/>
  <c r="V173" i="10"/>
  <c r="Q173" i="10"/>
  <c r="P173" i="10"/>
  <c r="N173" i="10"/>
  <c r="L173" i="10"/>
  <c r="F173" i="10"/>
  <c r="AH172" i="10"/>
  <c r="AG172" i="10"/>
  <c r="AF172" i="10"/>
  <c r="AE172" i="10"/>
  <c r="AD172" i="10"/>
  <c r="Q172" i="10"/>
  <c r="P172" i="10"/>
  <c r="N172" i="10"/>
  <c r="L172" i="10"/>
  <c r="F172" i="10"/>
  <c r="AH171" i="10"/>
  <c r="AG171" i="10"/>
  <c r="AF171" i="10"/>
  <c r="AE171" i="10"/>
  <c r="AD171" i="10"/>
  <c r="Q171" i="10"/>
  <c r="P171" i="10"/>
  <c r="N171" i="10"/>
  <c r="L171" i="10"/>
  <c r="F171" i="10"/>
  <c r="AH170" i="10"/>
  <c r="AG170" i="10"/>
  <c r="AF170" i="10"/>
  <c r="AE170" i="10"/>
  <c r="AD170" i="10"/>
  <c r="Q170" i="10"/>
  <c r="P170" i="10"/>
  <c r="N170" i="10"/>
  <c r="L170" i="10"/>
  <c r="F170" i="10"/>
  <c r="AH169" i="10"/>
  <c r="AG169" i="10"/>
  <c r="AF169" i="10"/>
  <c r="AE169" i="10"/>
  <c r="AD169" i="10"/>
  <c r="Q169" i="10"/>
  <c r="P169" i="10"/>
  <c r="N169" i="10"/>
  <c r="L169" i="10"/>
  <c r="F169" i="10"/>
  <c r="AH168" i="10"/>
  <c r="AG168" i="10"/>
  <c r="AF168" i="10"/>
  <c r="AE168" i="10"/>
  <c r="AD168" i="10"/>
  <c r="Q168" i="10"/>
  <c r="P168" i="10"/>
  <c r="N168" i="10"/>
  <c r="L168" i="10"/>
  <c r="F168" i="10"/>
  <c r="AH167" i="10"/>
  <c r="AG167" i="10"/>
  <c r="AF167" i="10"/>
  <c r="AE167" i="10"/>
  <c r="AD167" i="10"/>
  <c r="Q167" i="10"/>
  <c r="P167" i="10"/>
  <c r="N167" i="10"/>
  <c r="L167" i="10"/>
  <c r="F167" i="10"/>
  <c r="AH166" i="10"/>
  <c r="AG166" i="10"/>
  <c r="AF166" i="10"/>
  <c r="AE166" i="10"/>
  <c r="AD166" i="10"/>
  <c r="Q166" i="10"/>
  <c r="P166" i="10"/>
  <c r="N166" i="10"/>
  <c r="L166" i="10"/>
  <c r="F166" i="10"/>
  <c r="AH165" i="10"/>
  <c r="AG165" i="10"/>
  <c r="AF165" i="10"/>
  <c r="AE165" i="10"/>
  <c r="AD165" i="10"/>
  <c r="Q165" i="10"/>
  <c r="P165" i="10"/>
  <c r="N165" i="10"/>
  <c r="L165" i="10"/>
  <c r="F165" i="10"/>
  <c r="AH164" i="10"/>
  <c r="AG164" i="10"/>
  <c r="AF164" i="10"/>
  <c r="AE164" i="10"/>
  <c r="AD164" i="10"/>
  <c r="Q164" i="10"/>
  <c r="P164" i="10"/>
  <c r="N164" i="10"/>
  <c r="L164" i="10"/>
  <c r="F164" i="10"/>
  <c r="AH163" i="10"/>
  <c r="AG163" i="10"/>
  <c r="AF163" i="10"/>
  <c r="AE163" i="10"/>
  <c r="AD163" i="10"/>
  <c r="Q163" i="10"/>
  <c r="P163" i="10"/>
  <c r="N163" i="10"/>
  <c r="L163" i="10"/>
  <c r="F163" i="10"/>
  <c r="AH162" i="10"/>
  <c r="AG162" i="10"/>
  <c r="AF162" i="10"/>
  <c r="AE162" i="10"/>
  <c r="AD162" i="10"/>
  <c r="Q162" i="10"/>
  <c r="P162" i="10"/>
  <c r="N162" i="10"/>
  <c r="L162" i="10"/>
  <c r="F162" i="10"/>
  <c r="AH161" i="10"/>
  <c r="AG161" i="10"/>
  <c r="AF161" i="10"/>
  <c r="AE161" i="10"/>
  <c r="AD161" i="10"/>
  <c r="Q161" i="10"/>
  <c r="P161" i="10"/>
  <c r="N161" i="10"/>
  <c r="L161" i="10"/>
  <c r="F161" i="10"/>
  <c r="AH160" i="10"/>
  <c r="AG160" i="10"/>
  <c r="AF160" i="10"/>
  <c r="AE160" i="10"/>
  <c r="AD160" i="10"/>
  <c r="Q160" i="10"/>
  <c r="P160" i="10"/>
  <c r="N160" i="10"/>
  <c r="L160" i="10"/>
  <c r="F160" i="10"/>
  <c r="AH159" i="10"/>
  <c r="AG159" i="10"/>
  <c r="AF159" i="10"/>
  <c r="AE159" i="10"/>
  <c r="AD159" i="10"/>
  <c r="Q159" i="10"/>
  <c r="P159" i="10"/>
  <c r="N159" i="10"/>
  <c r="L159" i="10"/>
  <c r="F159" i="10"/>
  <c r="AH158" i="10"/>
  <c r="AG158" i="10"/>
  <c r="AF158" i="10"/>
  <c r="AE158" i="10"/>
  <c r="AD158" i="10"/>
  <c r="Q158" i="10"/>
  <c r="P158" i="10"/>
  <c r="N158" i="10"/>
  <c r="L158" i="10"/>
  <c r="F158" i="10"/>
  <c r="AH157" i="10"/>
  <c r="AG157" i="10"/>
  <c r="AF157" i="10"/>
  <c r="AE157" i="10"/>
  <c r="AD157" i="10"/>
  <c r="Q157" i="10"/>
  <c r="P157" i="10"/>
  <c r="N157" i="10"/>
  <c r="L157" i="10"/>
  <c r="F157" i="10"/>
  <c r="AH156" i="10"/>
  <c r="AG156" i="10"/>
  <c r="AF156" i="10"/>
  <c r="AE156" i="10"/>
  <c r="AD156" i="10"/>
  <c r="Q156" i="10"/>
  <c r="P156" i="10"/>
  <c r="N156" i="10"/>
  <c r="L156" i="10"/>
  <c r="F156" i="10"/>
  <c r="AH155" i="10"/>
  <c r="AG155" i="10"/>
  <c r="AF155" i="10"/>
  <c r="AE155" i="10"/>
  <c r="AD155" i="10"/>
  <c r="Q155" i="10"/>
  <c r="P155" i="10"/>
  <c r="N155" i="10"/>
  <c r="L155" i="10"/>
  <c r="F155" i="10"/>
  <c r="AH154" i="10"/>
  <c r="AG154" i="10"/>
  <c r="AF154" i="10"/>
  <c r="AE154" i="10"/>
  <c r="AD154" i="10"/>
  <c r="Q154" i="10"/>
  <c r="P154" i="10"/>
  <c r="N154" i="10"/>
  <c r="L154" i="10"/>
  <c r="F154" i="10"/>
  <c r="AH153" i="10"/>
  <c r="AG153" i="10"/>
  <c r="AF153" i="10"/>
  <c r="AE153" i="10"/>
  <c r="AD153" i="10"/>
  <c r="Q153" i="10"/>
  <c r="P153" i="10"/>
  <c r="N153" i="10"/>
  <c r="L153" i="10"/>
  <c r="F153" i="10"/>
  <c r="AH152" i="10"/>
  <c r="AG152" i="10"/>
  <c r="AF152" i="10"/>
  <c r="AE152" i="10"/>
  <c r="AD152" i="10"/>
  <c r="Q152" i="10"/>
  <c r="P152" i="10"/>
  <c r="N152" i="10"/>
  <c r="L152" i="10"/>
  <c r="F152" i="10"/>
  <c r="AH151" i="10"/>
  <c r="AG151" i="10"/>
  <c r="AF151" i="10"/>
  <c r="AE151" i="10"/>
  <c r="AD151" i="10"/>
  <c r="Q151" i="10"/>
  <c r="P151" i="10"/>
  <c r="N151" i="10"/>
  <c r="L151" i="10"/>
  <c r="F151" i="10"/>
  <c r="AH150" i="10"/>
  <c r="AG150" i="10"/>
  <c r="AF150" i="10"/>
  <c r="AE150" i="10"/>
  <c r="AD150" i="10"/>
  <c r="Q150" i="10"/>
  <c r="P150" i="10"/>
  <c r="N150" i="10"/>
  <c r="L150" i="10"/>
  <c r="F150" i="10"/>
  <c r="AH149" i="10"/>
  <c r="AG149" i="10"/>
  <c r="AF149" i="10"/>
  <c r="AE149" i="10"/>
  <c r="AD149" i="10"/>
  <c r="Q149" i="10"/>
  <c r="P149" i="10"/>
  <c r="N149" i="10"/>
  <c r="L149" i="10"/>
  <c r="F149" i="10"/>
  <c r="AH148" i="10"/>
  <c r="AG148" i="10"/>
  <c r="AF148" i="10"/>
  <c r="AE148" i="10"/>
  <c r="AD148" i="10"/>
  <c r="Q148" i="10"/>
  <c r="P148" i="10"/>
  <c r="N148" i="10"/>
  <c r="L148" i="10"/>
  <c r="F148" i="10"/>
  <c r="AH147" i="10"/>
  <c r="AG147" i="10"/>
  <c r="AF147" i="10"/>
  <c r="AE147" i="10"/>
  <c r="AD147" i="10"/>
  <c r="Q147" i="10"/>
  <c r="P147" i="10"/>
  <c r="N147" i="10"/>
  <c r="L147" i="10"/>
  <c r="F147" i="10"/>
  <c r="AH146" i="10"/>
  <c r="AG146" i="10"/>
  <c r="AF146" i="10"/>
  <c r="AE146" i="10"/>
  <c r="AD146" i="10"/>
  <c r="Q146" i="10"/>
  <c r="P146" i="10"/>
  <c r="N146" i="10"/>
  <c r="L146" i="10"/>
  <c r="F146" i="10"/>
  <c r="AH145" i="10"/>
  <c r="AG145" i="10"/>
  <c r="AF145" i="10"/>
  <c r="AE145" i="10"/>
  <c r="AD145" i="10"/>
  <c r="Q145" i="10"/>
  <c r="P145" i="10"/>
  <c r="N145" i="10"/>
  <c r="L145" i="10"/>
  <c r="F145" i="10"/>
  <c r="AH144" i="10"/>
  <c r="AG144" i="10"/>
  <c r="AF144" i="10"/>
  <c r="AE144" i="10"/>
  <c r="AD144" i="10"/>
  <c r="Q144" i="10"/>
  <c r="P144" i="10"/>
  <c r="N144" i="10"/>
  <c r="L144" i="10"/>
  <c r="F144" i="10"/>
  <c r="AH143" i="10"/>
  <c r="AG143" i="10"/>
  <c r="AF143" i="10"/>
  <c r="AE143" i="10"/>
  <c r="AD143" i="10"/>
  <c r="Q143" i="10"/>
  <c r="P143" i="10"/>
  <c r="N143" i="10"/>
  <c r="L143" i="10"/>
  <c r="F143" i="10"/>
  <c r="AH142" i="10"/>
  <c r="AG142" i="10"/>
  <c r="AF142" i="10"/>
  <c r="AE142" i="10"/>
  <c r="AD142" i="10"/>
  <c r="Q142" i="10"/>
  <c r="P142" i="10"/>
  <c r="N142" i="10"/>
  <c r="L142" i="10"/>
  <c r="F142" i="10"/>
  <c r="AH141" i="10"/>
  <c r="AG141" i="10"/>
  <c r="AF141" i="10"/>
  <c r="AE141" i="10"/>
  <c r="AD141" i="10"/>
  <c r="Q141" i="10"/>
  <c r="P141" i="10"/>
  <c r="N141" i="10"/>
  <c r="L141" i="10"/>
  <c r="F141" i="10"/>
  <c r="AH140" i="10"/>
  <c r="AG140" i="10"/>
  <c r="AF140" i="10"/>
  <c r="AE140" i="10"/>
  <c r="AD140" i="10"/>
  <c r="Q140" i="10"/>
  <c r="P140" i="10"/>
  <c r="N140" i="10"/>
  <c r="L140" i="10"/>
  <c r="F140" i="10"/>
  <c r="AH139" i="10"/>
  <c r="AG139" i="10"/>
  <c r="AF139" i="10"/>
  <c r="AE139" i="10"/>
  <c r="AD139" i="10"/>
  <c r="Q139" i="10"/>
  <c r="P139" i="10"/>
  <c r="N139" i="10"/>
  <c r="L139" i="10"/>
  <c r="F139" i="10"/>
  <c r="AH138" i="10"/>
  <c r="AG138" i="10"/>
  <c r="AF138" i="10"/>
  <c r="AE138" i="10"/>
  <c r="AD138" i="10"/>
  <c r="Q138" i="10"/>
  <c r="P138" i="10"/>
  <c r="N138" i="10"/>
  <c r="L138" i="10"/>
  <c r="F138" i="10"/>
  <c r="AH137" i="10"/>
  <c r="AG137" i="10"/>
  <c r="AF137" i="10"/>
  <c r="AE137" i="10"/>
  <c r="AD137" i="10"/>
  <c r="Q137" i="10"/>
  <c r="P137" i="10"/>
  <c r="N137" i="10"/>
  <c r="L137" i="10"/>
  <c r="F137" i="10"/>
  <c r="AH136" i="10"/>
  <c r="AG136" i="10"/>
  <c r="AF136" i="10"/>
  <c r="AE136" i="10"/>
  <c r="AD136" i="10"/>
  <c r="Q136" i="10"/>
  <c r="P136" i="10"/>
  <c r="N136" i="10"/>
  <c r="L136" i="10"/>
  <c r="F136" i="10"/>
  <c r="AH135" i="10"/>
  <c r="AG135" i="10"/>
  <c r="AF135" i="10"/>
  <c r="AE135" i="10"/>
  <c r="AD135" i="10"/>
  <c r="Q135" i="10"/>
  <c r="P135" i="10"/>
  <c r="N135" i="10"/>
  <c r="L135" i="10"/>
  <c r="F135" i="10"/>
  <c r="AH134" i="10"/>
  <c r="AG134" i="10"/>
  <c r="AF134" i="10"/>
  <c r="AE134" i="10"/>
  <c r="AD134" i="10"/>
  <c r="Q134" i="10"/>
  <c r="P134" i="10"/>
  <c r="N134" i="10"/>
  <c r="L134" i="10"/>
  <c r="F134" i="10"/>
  <c r="AH133" i="10"/>
  <c r="AG133" i="10"/>
  <c r="AF133" i="10"/>
  <c r="AE133" i="10"/>
  <c r="AD133" i="10"/>
  <c r="Q133" i="10"/>
  <c r="P133" i="10"/>
  <c r="N133" i="10"/>
  <c r="L133" i="10"/>
  <c r="F133" i="10"/>
  <c r="AH132" i="10"/>
  <c r="AG132" i="10"/>
  <c r="AF132" i="10"/>
  <c r="AE132" i="10"/>
  <c r="AD132" i="10"/>
  <c r="Q132" i="10"/>
  <c r="P132" i="10"/>
  <c r="N132" i="10"/>
  <c r="L132" i="10"/>
  <c r="F132" i="10"/>
  <c r="AH131" i="10"/>
  <c r="AG131" i="10"/>
  <c r="AF131" i="10"/>
  <c r="AE131" i="10"/>
  <c r="AD131" i="10"/>
  <c r="Q131" i="10"/>
  <c r="P131" i="10"/>
  <c r="N131" i="10"/>
  <c r="L131" i="10"/>
  <c r="F131" i="10"/>
  <c r="AH130" i="10"/>
  <c r="AG130" i="10"/>
  <c r="AF130" i="10"/>
  <c r="AE130" i="10"/>
  <c r="AD130" i="10"/>
  <c r="Q130" i="10"/>
  <c r="P130" i="10"/>
  <c r="N130" i="10"/>
  <c r="L130" i="10"/>
  <c r="F130" i="10"/>
  <c r="AH129" i="10"/>
  <c r="AG129" i="10"/>
  <c r="AF129" i="10"/>
  <c r="AE129" i="10"/>
  <c r="AD129" i="10"/>
  <c r="Q129" i="10"/>
  <c r="P129" i="10"/>
  <c r="N129" i="10"/>
  <c r="L129" i="10"/>
  <c r="F129" i="10"/>
  <c r="AH128" i="10"/>
  <c r="AG128" i="10"/>
  <c r="AF128" i="10"/>
  <c r="AE128" i="10"/>
  <c r="AD128" i="10"/>
  <c r="Q128" i="10"/>
  <c r="P128" i="10"/>
  <c r="N128" i="10"/>
  <c r="L128" i="10"/>
  <c r="F128" i="10"/>
  <c r="AH127" i="10"/>
  <c r="AG127" i="10"/>
  <c r="AF127" i="10"/>
  <c r="AE127" i="10"/>
  <c r="AD127" i="10"/>
  <c r="Q127" i="10"/>
  <c r="P127" i="10"/>
  <c r="N127" i="10"/>
  <c r="L127" i="10"/>
  <c r="F127" i="10"/>
  <c r="AH126" i="10"/>
  <c r="AG126" i="10"/>
  <c r="AF126" i="10"/>
  <c r="AE126" i="10"/>
  <c r="AD126" i="10"/>
  <c r="Q126" i="10"/>
  <c r="P126" i="10"/>
  <c r="N126" i="10"/>
  <c r="L126" i="10"/>
  <c r="F126" i="10"/>
  <c r="AH125" i="10"/>
  <c r="AG125" i="10"/>
  <c r="AF125" i="10"/>
  <c r="AE125" i="10"/>
  <c r="AD125" i="10"/>
  <c r="Q125" i="10"/>
  <c r="P125" i="10"/>
  <c r="N125" i="10"/>
  <c r="L125" i="10"/>
  <c r="F125" i="10"/>
  <c r="AH124" i="10"/>
  <c r="AG124" i="10"/>
  <c r="AF124" i="10"/>
  <c r="AE124" i="10"/>
  <c r="AD124" i="10"/>
  <c r="Q124" i="10"/>
  <c r="P124" i="10"/>
  <c r="N124" i="10"/>
  <c r="L124" i="10"/>
  <c r="F124" i="10"/>
  <c r="AH123" i="10"/>
  <c r="AG123" i="10"/>
  <c r="AF123" i="10"/>
  <c r="AE123" i="10"/>
  <c r="AD123" i="10"/>
  <c r="Q123" i="10"/>
  <c r="P123" i="10"/>
  <c r="N123" i="10"/>
  <c r="L123" i="10"/>
  <c r="F123" i="10"/>
  <c r="AH122" i="10"/>
  <c r="AG122" i="10"/>
  <c r="AF122" i="10"/>
  <c r="AE122" i="10"/>
  <c r="AD122" i="10"/>
  <c r="Q122" i="10"/>
  <c r="P122" i="10"/>
  <c r="N122" i="10"/>
  <c r="L122" i="10"/>
  <c r="F122" i="10"/>
  <c r="AH121" i="10"/>
  <c r="AG121" i="10"/>
  <c r="AF121" i="10"/>
  <c r="AE121" i="10"/>
  <c r="AD121" i="10"/>
  <c r="Q121" i="10"/>
  <c r="P121" i="10"/>
  <c r="N121" i="10"/>
  <c r="L121" i="10"/>
  <c r="F121" i="10"/>
  <c r="AH120" i="10"/>
  <c r="AG120" i="10"/>
  <c r="AF120" i="10"/>
  <c r="AE120" i="10"/>
  <c r="AD120" i="10"/>
  <c r="Q120" i="10"/>
  <c r="P120" i="10"/>
  <c r="N120" i="10"/>
  <c r="L120" i="10"/>
  <c r="F120" i="10"/>
  <c r="AH119" i="10"/>
  <c r="AG119" i="10"/>
  <c r="AF119" i="10"/>
  <c r="AE119" i="10"/>
  <c r="AD119" i="10"/>
  <c r="Q119" i="10"/>
  <c r="P119" i="10"/>
  <c r="N119" i="10"/>
  <c r="L119" i="10"/>
  <c r="F119" i="10"/>
  <c r="AH118" i="10"/>
  <c r="AG118" i="10"/>
  <c r="AF118" i="10"/>
  <c r="AE118" i="10"/>
  <c r="AD118" i="10"/>
  <c r="Q118" i="10"/>
  <c r="P118" i="10"/>
  <c r="N118" i="10"/>
  <c r="L118" i="10"/>
  <c r="F118" i="10"/>
  <c r="AH117" i="10"/>
  <c r="AG117" i="10"/>
  <c r="AF117" i="10"/>
  <c r="AE117" i="10"/>
  <c r="AD117" i="10"/>
  <c r="Q117" i="10"/>
  <c r="P117" i="10"/>
  <c r="N117" i="10"/>
  <c r="L117" i="10"/>
  <c r="F117" i="10"/>
  <c r="AH116" i="10"/>
  <c r="AG116" i="10"/>
  <c r="AF116" i="10"/>
  <c r="AE116" i="10"/>
  <c r="AD116" i="10"/>
  <c r="Q116" i="10"/>
  <c r="P116" i="10"/>
  <c r="N116" i="10"/>
  <c r="L116" i="10"/>
  <c r="F116" i="10"/>
  <c r="AH115" i="10"/>
  <c r="AG115" i="10"/>
  <c r="AF115" i="10"/>
  <c r="AE115" i="10"/>
  <c r="AD115" i="10"/>
  <c r="Q115" i="10"/>
  <c r="P115" i="10"/>
  <c r="N115" i="10"/>
  <c r="L115" i="10"/>
  <c r="F115" i="10"/>
  <c r="AH114" i="10"/>
  <c r="AG114" i="10"/>
  <c r="AF114" i="10"/>
  <c r="AE114" i="10"/>
  <c r="AD114" i="10"/>
  <c r="Q114" i="10"/>
  <c r="P114" i="10"/>
  <c r="N114" i="10"/>
  <c r="L114" i="10"/>
  <c r="F114" i="10"/>
  <c r="AH113" i="10"/>
  <c r="AG113" i="10"/>
  <c r="AF113" i="10"/>
  <c r="AE113" i="10"/>
  <c r="AD113" i="10"/>
  <c r="Q113" i="10"/>
  <c r="P113" i="10"/>
  <c r="N113" i="10"/>
  <c r="L113" i="10"/>
  <c r="F113" i="10"/>
  <c r="AH112" i="10"/>
  <c r="AG112" i="10"/>
  <c r="AF112" i="10"/>
  <c r="AE112" i="10"/>
  <c r="AD112" i="10"/>
  <c r="Q112" i="10"/>
  <c r="P112" i="10"/>
  <c r="N112" i="10"/>
  <c r="L112" i="10"/>
  <c r="K112" i="10"/>
  <c r="J112" i="10"/>
  <c r="I112" i="10"/>
  <c r="H112" i="10"/>
  <c r="G112" i="10"/>
  <c r="F112" i="10"/>
  <c r="AH111" i="10"/>
  <c r="AG111" i="10"/>
  <c r="AF111" i="10"/>
  <c r="AE111" i="10"/>
  <c r="AD111" i="10"/>
  <c r="Q111" i="10"/>
  <c r="P111" i="10"/>
  <c r="N111" i="10"/>
  <c r="L111" i="10"/>
  <c r="K111" i="10"/>
  <c r="J111" i="10"/>
  <c r="I111" i="10"/>
  <c r="H111" i="10"/>
  <c r="G111" i="10"/>
  <c r="F111" i="10"/>
  <c r="AH110" i="10"/>
  <c r="AG110" i="10"/>
  <c r="AF110" i="10"/>
  <c r="AE110" i="10"/>
  <c r="AD110" i="10"/>
  <c r="Q110" i="10"/>
  <c r="P110" i="10"/>
  <c r="N110" i="10"/>
  <c r="L110" i="10"/>
  <c r="K110" i="10"/>
  <c r="J110" i="10"/>
  <c r="I110" i="10"/>
  <c r="H110" i="10"/>
  <c r="G110" i="10"/>
  <c r="F110" i="10"/>
  <c r="AH109" i="10"/>
  <c r="AG109" i="10"/>
  <c r="AF109" i="10"/>
  <c r="AE109" i="10"/>
  <c r="AD109" i="10"/>
  <c r="Q109" i="10"/>
  <c r="P109" i="10"/>
  <c r="N109" i="10"/>
  <c r="L109" i="10"/>
  <c r="K109" i="10"/>
  <c r="J109" i="10"/>
  <c r="I109" i="10"/>
  <c r="H109" i="10"/>
  <c r="G109" i="10"/>
  <c r="F109" i="10"/>
  <c r="AH108" i="10"/>
  <c r="AG108" i="10"/>
  <c r="AF108" i="10"/>
  <c r="AE108" i="10"/>
  <c r="AD108" i="10"/>
  <c r="Q108" i="10"/>
  <c r="P108" i="10"/>
  <c r="N108" i="10"/>
  <c r="L108" i="10"/>
  <c r="K108" i="10"/>
  <c r="J108" i="10"/>
  <c r="I108" i="10"/>
  <c r="H108" i="10"/>
  <c r="G108" i="10"/>
  <c r="F108" i="10"/>
  <c r="AH107" i="10"/>
  <c r="AG107" i="10"/>
  <c r="AF107" i="10"/>
  <c r="AE107" i="10"/>
  <c r="AD107" i="10"/>
  <c r="Q107" i="10"/>
  <c r="P107" i="10"/>
  <c r="N107" i="10"/>
  <c r="L107" i="10"/>
  <c r="K107" i="10"/>
  <c r="J107" i="10"/>
  <c r="I107" i="10"/>
  <c r="H107" i="10"/>
  <c r="G107" i="10"/>
  <c r="F107" i="10"/>
  <c r="AH106" i="10"/>
  <c r="AG106" i="10"/>
  <c r="AF106" i="10"/>
  <c r="AE106" i="10"/>
  <c r="AD106" i="10"/>
  <c r="Q106" i="10"/>
  <c r="P106" i="10"/>
  <c r="N106" i="10"/>
  <c r="L106" i="10"/>
  <c r="K106" i="10"/>
  <c r="J106" i="10"/>
  <c r="I106" i="10"/>
  <c r="H106" i="10"/>
  <c r="G106" i="10"/>
  <c r="F106" i="10"/>
  <c r="AH105" i="10"/>
  <c r="AG105" i="10"/>
  <c r="AF105" i="10"/>
  <c r="AE105" i="10"/>
  <c r="AD105" i="10"/>
  <c r="Q105" i="10"/>
  <c r="P105" i="10"/>
  <c r="N105" i="10"/>
  <c r="L105" i="10"/>
  <c r="K105" i="10"/>
  <c r="J105" i="10"/>
  <c r="I105" i="10"/>
  <c r="H105" i="10"/>
  <c r="G105" i="10"/>
  <c r="F105" i="10"/>
  <c r="AH104" i="10"/>
  <c r="AG104" i="10"/>
  <c r="AF104" i="10"/>
  <c r="AE104" i="10"/>
  <c r="AD104" i="10"/>
  <c r="Q104" i="10"/>
  <c r="P104" i="10"/>
  <c r="N104" i="10"/>
  <c r="L104" i="10"/>
  <c r="K104" i="10"/>
  <c r="J104" i="10"/>
  <c r="I104" i="10"/>
  <c r="H104" i="10"/>
  <c r="G104" i="10"/>
  <c r="F104" i="10"/>
  <c r="AH103" i="10"/>
  <c r="AG103" i="10"/>
  <c r="AF103" i="10"/>
  <c r="AE103" i="10"/>
  <c r="AD103" i="10"/>
  <c r="Q103" i="10"/>
  <c r="P103" i="10"/>
  <c r="N103" i="10"/>
  <c r="L103" i="10"/>
  <c r="K103" i="10"/>
  <c r="J103" i="10"/>
  <c r="I103" i="10"/>
  <c r="H103" i="10"/>
  <c r="G103" i="10"/>
  <c r="F103" i="10"/>
  <c r="AH102" i="10"/>
  <c r="AG102" i="10"/>
  <c r="AF102" i="10"/>
  <c r="AE102" i="10"/>
  <c r="AD102" i="10"/>
  <c r="Q102" i="10"/>
  <c r="P102" i="10"/>
  <c r="N102" i="10"/>
  <c r="L102" i="10"/>
  <c r="K102" i="10"/>
  <c r="J102" i="10"/>
  <c r="I102" i="10"/>
  <c r="H102" i="10"/>
  <c r="G102" i="10"/>
  <c r="F102" i="10"/>
  <c r="AH101" i="10"/>
  <c r="AG101" i="10"/>
  <c r="AF101" i="10"/>
  <c r="AE101" i="10"/>
  <c r="AD101" i="10"/>
  <c r="Q101" i="10"/>
  <c r="P101" i="10"/>
  <c r="N101" i="10"/>
  <c r="L101" i="10"/>
  <c r="K101" i="10"/>
  <c r="J101" i="10"/>
  <c r="I101" i="10"/>
  <c r="H101" i="10"/>
  <c r="G101" i="10"/>
  <c r="F101" i="10"/>
  <c r="AH100" i="10"/>
  <c r="AG100" i="10"/>
  <c r="AF100" i="10"/>
  <c r="AE100" i="10"/>
  <c r="AD100" i="10"/>
  <c r="Q100" i="10"/>
  <c r="P100" i="10"/>
  <c r="N100" i="10"/>
  <c r="L100" i="10"/>
  <c r="K100" i="10"/>
  <c r="J100" i="10"/>
  <c r="I100" i="10"/>
  <c r="H100" i="10"/>
  <c r="G100" i="10"/>
  <c r="F100" i="10"/>
  <c r="AH99" i="10"/>
  <c r="AG99" i="10"/>
  <c r="AF99" i="10"/>
  <c r="AE99" i="10"/>
  <c r="AD99" i="10"/>
  <c r="Q99" i="10"/>
  <c r="P99" i="10"/>
  <c r="N99" i="10"/>
  <c r="L99" i="10"/>
  <c r="K99" i="10"/>
  <c r="J99" i="10"/>
  <c r="I99" i="10"/>
  <c r="H99" i="10"/>
  <c r="G99" i="10"/>
  <c r="F99" i="10"/>
  <c r="AH98" i="10"/>
  <c r="AG98" i="10"/>
  <c r="AF98" i="10"/>
  <c r="AE98" i="10"/>
  <c r="AD98" i="10"/>
  <c r="Q98" i="10"/>
  <c r="P98" i="10"/>
  <c r="N98" i="10"/>
  <c r="L98" i="10"/>
  <c r="K98" i="10"/>
  <c r="J98" i="10"/>
  <c r="I98" i="10"/>
  <c r="H98" i="10"/>
  <c r="G98" i="10"/>
  <c r="F98" i="10"/>
  <c r="AH97" i="10"/>
  <c r="AG97" i="10"/>
  <c r="AF97" i="10"/>
  <c r="AE97" i="10"/>
  <c r="AD97" i="10"/>
  <c r="Q97" i="10"/>
  <c r="P97" i="10"/>
  <c r="N97" i="10"/>
  <c r="L97" i="10"/>
  <c r="K97" i="10"/>
  <c r="J97" i="10"/>
  <c r="I97" i="10"/>
  <c r="H97" i="10"/>
  <c r="G97" i="10"/>
  <c r="F97" i="10"/>
  <c r="AH96" i="10"/>
  <c r="AG96" i="10"/>
  <c r="AF96" i="10"/>
  <c r="AE96" i="10"/>
  <c r="AD96" i="10"/>
  <c r="Q96" i="10"/>
  <c r="P96" i="10"/>
  <c r="N96" i="10"/>
  <c r="L96" i="10"/>
  <c r="K96" i="10"/>
  <c r="J96" i="10"/>
  <c r="I96" i="10"/>
  <c r="H96" i="10"/>
  <c r="G96" i="10"/>
  <c r="F96" i="10"/>
  <c r="AH95" i="10"/>
  <c r="AG95" i="10"/>
  <c r="AF95" i="10"/>
  <c r="AE95" i="10"/>
  <c r="AD95" i="10"/>
  <c r="Q95" i="10"/>
  <c r="P95" i="10"/>
  <c r="N95" i="10"/>
  <c r="L95" i="10"/>
  <c r="K95" i="10"/>
  <c r="J95" i="10"/>
  <c r="I95" i="10"/>
  <c r="H95" i="10"/>
  <c r="G95" i="10"/>
  <c r="F95" i="10"/>
  <c r="AH94" i="10"/>
  <c r="AG94" i="10"/>
  <c r="AF94" i="10"/>
  <c r="AE94" i="10"/>
  <c r="AD94" i="10"/>
  <c r="Q94" i="10"/>
  <c r="P94" i="10"/>
  <c r="N94" i="10"/>
  <c r="L94" i="10"/>
  <c r="K94" i="10"/>
  <c r="J94" i="10"/>
  <c r="I94" i="10"/>
  <c r="H94" i="10"/>
  <c r="G94" i="10"/>
  <c r="F94" i="10"/>
  <c r="AH93" i="10"/>
  <c r="AG93" i="10"/>
  <c r="AF93" i="10"/>
  <c r="AE93" i="10"/>
  <c r="AD93" i="10"/>
  <c r="Q93" i="10"/>
  <c r="P93" i="10"/>
  <c r="N93" i="10"/>
  <c r="L93" i="10"/>
  <c r="K93" i="10"/>
  <c r="J93" i="10"/>
  <c r="I93" i="10"/>
  <c r="H93" i="10"/>
  <c r="G93" i="10"/>
  <c r="F93" i="10"/>
  <c r="AH92" i="10"/>
  <c r="AG92" i="10"/>
  <c r="AF92" i="10"/>
  <c r="AE92" i="10"/>
  <c r="AD92" i="10"/>
  <c r="Q92" i="10"/>
  <c r="P92" i="10"/>
  <c r="N92" i="10"/>
  <c r="L92" i="10"/>
  <c r="K92" i="10"/>
  <c r="J92" i="10"/>
  <c r="I92" i="10"/>
  <c r="H92" i="10"/>
  <c r="G92" i="10"/>
  <c r="F92" i="10"/>
  <c r="AH91" i="10"/>
  <c r="AG91" i="10"/>
  <c r="AF91" i="10"/>
  <c r="AE91" i="10"/>
  <c r="AD91" i="10"/>
  <c r="Q91" i="10"/>
  <c r="P91" i="10"/>
  <c r="N91" i="10"/>
  <c r="L91" i="10"/>
  <c r="K91" i="10"/>
  <c r="J91" i="10"/>
  <c r="I91" i="10"/>
  <c r="H91" i="10"/>
  <c r="G91" i="10"/>
  <c r="F91" i="10"/>
  <c r="AH90" i="10"/>
  <c r="AG90" i="10"/>
  <c r="AF90" i="10"/>
  <c r="AE90" i="10"/>
  <c r="AD90" i="10"/>
  <c r="Q90" i="10"/>
  <c r="P90" i="10"/>
  <c r="N90" i="10"/>
  <c r="L90" i="10"/>
  <c r="K90" i="10"/>
  <c r="J90" i="10"/>
  <c r="I90" i="10"/>
  <c r="H90" i="10"/>
  <c r="G90" i="10"/>
  <c r="F90" i="10"/>
  <c r="AH89" i="10"/>
  <c r="AG89" i="10"/>
  <c r="AF89" i="10"/>
  <c r="AE89" i="10"/>
  <c r="AD89" i="10"/>
  <c r="Q89" i="10"/>
  <c r="P89" i="10"/>
  <c r="N89" i="10"/>
  <c r="L89" i="10"/>
  <c r="K89" i="10"/>
  <c r="J89" i="10"/>
  <c r="I89" i="10"/>
  <c r="H89" i="10"/>
  <c r="G89" i="10"/>
  <c r="F89" i="10"/>
  <c r="AH88" i="10"/>
  <c r="AG88" i="10"/>
  <c r="AF88" i="10"/>
  <c r="AE88" i="10"/>
  <c r="AD88" i="10"/>
  <c r="Q88" i="10"/>
  <c r="P88" i="10"/>
  <c r="N88" i="10"/>
  <c r="L88" i="10"/>
  <c r="K88" i="10"/>
  <c r="J88" i="10"/>
  <c r="I88" i="10"/>
  <c r="H88" i="10"/>
  <c r="G88" i="10"/>
  <c r="F88" i="10"/>
  <c r="AH87" i="10"/>
  <c r="AG87" i="10"/>
  <c r="AF87" i="10"/>
  <c r="AE87" i="10"/>
  <c r="AD87" i="10"/>
  <c r="Q87" i="10"/>
  <c r="P87" i="10"/>
  <c r="N87" i="10"/>
  <c r="L87" i="10"/>
  <c r="K87" i="10"/>
  <c r="J87" i="10"/>
  <c r="I87" i="10"/>
  <c r="H87" i="10"/>
  <c r="G87" i="10"/>
  <c r="F87" i="10"/>
  <c r="AH86" i="10"/>
  <c r="AG86" i="10"/>
  <c r="AF86" i="10"/>
  <c r="AE86" i="10"/>
  <c r="AD86" i="10"/>
  <c r="Q86" i="10"/>
  <c r="P86" i="10"/>
  <c r="N86" i="10"/>
  <c r="L86" i="10"/>
  <c r="K86" i="10"/>
  <c r="J86" i="10"/>
  <c r="I86" i="10"/>
  <c r="H86" i="10"/>
  <c r="G86" i="10"/>
  <c r="F86" i="10"/>
  <c r="AH85" i="10"/>
  <c r="AG85" i="10"/>
  <c r="AF85" i="10"/>
  <c r="AE85" i="10"/>
  <c r="AD85" i="10"/>
  <c r="Q85" i="10"/>
  <c r="P85" i="10"/>
  <c r="N85" i="10"/>
  <c r="L85" i="10"/>
  <c r="K85" i="10"/>
  <c r="J85" i="10"/>
  <c r="I85" i="10"/>
  <c r="H85" i="10"/>
  <c r="G85" i="10"/>
  <c r="F85" i="10"/>
  <c r="AH84" i="10"/>
  <c r="AG84" i="10"/>
  <c r="AF84" i="10"/>
  <c r="AE84" i="10"/>
  <c r="AD84" i="10"/>
  <c r="Q84" i="10"/>
  <c r="P84" i="10"/>
  <c r="N84" i="10"/>
  <c r="L84" i="10"/>
  <c r="K84" i="10"/>
  <c r="J84" i="10"/>
  <c r="I84" i="10"/>
  <c r="H84" i="10"/>
  <c r="G84" i="10"/>
  <c r="F84" i="10"/>
  <c r="AH83" i="10"/>
  <c r="AG83" i="10"/>
  <c r="AF83" i="10"/>
  <c r="AE83" i="10"/>
  <c r="AD83" i="10"/>
  <c r="Q83" i="10"/>
  <c r="P83" i="10"/>
  <c r="N83" i="10"/>
  <c r="L83" i="10"/>
  <c r="K83" i="10"/>
  <c r="J83" i="10"/>
  <c r="I83" i="10"/>
  <c r="H83" i="10"/>
  <c r="G83" i="10"/>
  <c r="F83" i="10"/>
  <c r="AH82" i="10"/>
  <c r="AG82" i="10"/>
  <c r="AF82" i="10"/>
  <c r="AE82" i="10"/>
  <c r="AD82" i="10"/>
  <c r="Q82" i="10"/>
  <c r="P82" i="10"/>
  <c r="N82" i="10"/>
  <c r="L82" i="10"/>
  <c r="K82" i="10"/>
  <c r="J82" i="10"/>
  <c r="I82" i="10"/>
  <c r="H82" i="10"/>
  <c r="G82" i="10"/>
  <c r="F82" i="10"/>
  <c r="AH81" i="10"/>
  <c r="AG81" i="10"/>
  <c r="AF81" i="10"/>
  <c r="AE81" i="10"/>
  <c r="AD81" i="10"/>
  <c r="Q81" i="10"/>
  <c r="P81" i="10"/>
  <c r="N81" i="10"/>
  <c r="L81" i="10"/>
  <c r="K81" i="10"/>
  <c r="J81" i="10"/>
  <c r="I81" i="10"/>
  <c r="H81" i="10"/>
  <c r="G81" i="10"/>
  <c r="F81" i="10"/>
  <c r="AH80" i="10"/>
  <c r="AG80" i="10"/>
  <c r="AF80" i="10"/>
  <c r="AE80" i="10"/>
  <c r="AD80" i="10"/>
  <c r="Q80" i="10"/>
  <c r="P80" i="10"/>
  <c r="N80" i="10"/>
  <c r="L80" i="10"/>
  <c r="K80" i="10"/>
  <c r="J80" i="10"/>
  <c r="I80" i="10"/>
  <c r="H80" i="10"/>
  <c r="G80" i="10"/>
  <c r="F80" i="10"/>
  <c r="AH79" i="10"/>
  <c r="AG79" i="10"/>
  <c r="AF79" i="10"/>
  <c r="AE79" i="10"/>
  <c r="AD79" i="10"/>
  <c r="Q79" i="10"/>
  <c r="P79" i="10"/>
  <c r="N79" i="10"/>
  <c r="L79" i="10"/>
  <c r="K79" i="10"/>
  <c r="J79" i="10"/>
  <c r="I79" i="10"/>
  <c r="H79" i="10"/>
  <c r="G79" i="10"/>
  <c r="F79" i="10"/>
  <c r="AH78" i="10"/>
  <c r="AG78" i="10"/>
  <c r="AF78" i="10"/>
  <c r="AE78" i="10"/>
  <c r="AD78" i="10"/>
  <c r="Q78" i="10"/>
  <c r="P78" i="10"/>
  <c r="N78" i="10"/>
  <c r="L78" i="10"/>
  <c r="K78" i="10"/>
  <c r="J78" i="10"/>
  <c r="I78" i="10"/>
  <c r="H78" i="10"/>
  <c r="G78" i="10"/>
  <c r="F78" i="10"/>
  <c r="AH77" i="10"/>
  <c r="AG77" i="10"/>
  <c r="AF77" i="10"/>
  <c r="AE77" i="10"/>
  <c r="AD77" i="10"/>
  <c r="Q77" i="10"/>
  <c r="P77" i="10"/>
  <c r="N77" i="10"/>
  <c r="L77" i="10"/>
  <c r="K77" i="10"/>
  <c r="J77" i="10"/>
  <c r="I77" i="10"/>
  <c r="H77" i="10"/>
  <c r="G77" i="10"/>
  <c r="F77" i="10"/>
  <c r="AH76" i="10"/>
  <c r="AG76" i="10"/>
  <c r="AF76" i="10"/>
  <c r="AE76" i="10"/>
  <c r="AD76" i="10"/>
  <c r="Q76" i="10"/>
  <c r="P76" i="10"/>
  <c r="N76" i="10"/>
  <c r="L76" i="10"/>
  <c r="K76" i="10"/>
  <c r="J76" i="10"/>
  <c r="I76" i="10"/>
  <c r="H76" i="10"/>
  <c r="G76" i="10"/>
  <c r="F76" i="10"/>
  <c r="AH75" i="10"/>
  <c r="AG75" i="10"/>
  <c r="AF75" i="10"/>
  <c r="AE75" i="10"/>
  <c r="AD75" i="10"/>
  <c r="Q75" i="10"/>
  <c r="P75" i="10"/>
  <c r="N75" i="10"/>
  <c r="L75" i="10"/>
  <c r="K75" i="10"/>
  <c r="J75" i="10"/>
  <c r="I75" i="10"/>
  <c r="H75" i="10"/>
  <c r="G75" i="10"/>
  <c r="F75" i="10"/>
  <c r="AH74" i="10"/>
  <c r="AG74" i="10"/>
  <c r="AF74" i="10"/>
  <c r="AE74" i="10"/>
  <c r="AD74" i="10"/>
  <c r="Q74" i="10"/>
  <c r="P74" i="10"/>
  <c r="N74" i="10"/>
  <c r="L74" i="10"/>
  <c r="K74" i="10"/>
  <c r="J74" i="10"/>
  <c r="I74" i="10"/>
  <c r="H74" i="10"/>
  <c r="G74" i="10"/>
  <c r="F74" i="10"/>
  <c r="AH73" i="10"/>
  <c r="AG73" i="10"/>
  <c r="AF73" i="10"/>
  <c r="AE73" i="10"/>
  <c r="AD73" i="10"/>
  <c r="Q73" i="10"/>
  <c r="P73" i="10"/>
  <c r="N73" i="10"/>
  <c r="L73" i="10"/>
  <c r="K73" i="10"/>
  <c r="J73" i="10"/>
  <c r="I73" i="10"/>
  <c r="H73" i="10"/>
  <c r="G73" i="10"/>
  <c r="F73" i="10"/>
  <c r="AH72" i="10"/>
  <c r="AG72" i="10"/>
  <c r="AF72" i="10"/>
  <c r="AE72" i="10"/>
  <c r="AD72" i="10"/>
  <c r="Q72" i="10"/>
  <c r="P72" i="10"/>
  <c r="N72" i="10"/>
  <c r="L72" i="10"/>
  <c r="K72" i="10"/>
  <c r="J72" i="10"/>
  <c r="I72" i="10"/>
  <c r="H72" i="10"/>
  <c r="G72" i="10"/>
  <c r="F72" i="10"/>
  <c r="AH71" i="10"/>
  <c r="AG71" i="10"/>
  <c r="AF71" i="10"/>
  <c r="AE71" i="10"/>
  <c r="AD71" i="10"/>
  <c r="Q71" i="10"/>
  <c r="P71" i="10"/>
  <c r="N71" i="10"/>
  <c r="L71" i="10"/>
  <c r="K71" i="10"/>
  <c r="J71" i="10"/>
  <c r="I71" i="10"/>
  <c r="H71" i="10"/>
  <c r="G71" i="10"/>
  <c r="F71" i="10"/>
  <c r="AH70" i="10"/>
  <c r="AG70" i="10"/>
  <c r="AF70" i="10"/>
  <c r="AE70" i="10"/>
  <c r="AD70" i="10"/>
  <c r="Q70" i="10"/>
  <c r="P70" i="10"/>
  <c r="N70" i="10"/>
  <c r="L70" i="10"/>
  <c r="K70" i="10"/>
  <c r="J70" i="10"/>
  <c r="I70" i="10"/>
  <c r="H70" i="10"/>
  <c r="G70" i="10"/>
  <c r="F70" i="10"/>
  <c r="AH69" i="10"/>
  <c r="AG69" i="10"/>
  <c r="AF69" i="10"/>
  <c r="AE69" i="10"/>
  <c r="AD69" i="10"/>
  <c r="Q69" i="10"/>
  <c r="P69" i="10"/>
  <c r="N69" i="10"/>
  <c r="L69" i="10"/>
  <c r="K69" i="10"/>
  <c r="J69" i="10"/>
  <c r="I69" i="10"/>
  <c r="H69" i="10"/>
  <c r="G69" i="10"/>
  <c r="F69" i="10"/>
  <c r="AH68" i="10"/>
  <c r="AG68" i="10"/>
  <c r="AF68" i="10"/>
  <c r="AE68" i="10"/>
  <c r="AD68" i="10"/>
  <c r="Q68" i="10"/>
  <c r="P68" i="10"/>
  <c r="N68" i="10"/>
  <c r="L68" i="10"/>
  <c r="K68" i="10"/>
  <c r="J68" i="10"/>
  <c r="I68" i="10"/>
  <c r="H68" i="10"/>
  <c r="G68" i="10"/>
  <c r="F68" i="10"/>
  <c r="AH67" i="10"/>
  <c r="AG67" i="10"/>
  <c r="AF67" i="10"/>
  <c r="AE67" i="10"/>
  <c r="AD67" i="10"/>
  <c r="Q67" i="10"/>
  <c r="P67" i="10"/>
  <c r="N67" i="10"/>
  <c r="L67" i="10"/>
  <c r="K67" i="10"/>
  <c r="J67" i="10"/>
  <c r="I67" i="10"/>
  <c r="H67" i="10"/>
  <c r="G67" i="10"/>
  <c r="F67" i="10"/>
  <c r="AH66" i="10"/>
  <c r="AG66" i="10"/>
  <c r="AF66" i="10"/>
  <c r="AE66" i="10"/>
  <c r="AD66" i="10"/>
  <c r="Q66" i="10"/>
  <c r="P66" i="10"/>
  <c r="N66" i="10"/>
  <c r="L66" i="10"/>
  <c r="K66" i="10"/>
  <c r="J66" i="10"/>
  <c r="I66" i="10"/>
  <c r="H66" i="10"/>
  <c r="G66" i="10"/>
  <c r="F66" i="10"/>
  <c r="AH65" i="10"/>
  <c r="AG65" i="10"/>
  <c r="AF65" i="10"/>
  <c r="AE65" i="10"/>
  <c r="AD65" i="10"/>
  <c r="Q65" i="10"/>
  <c r="P65" i="10"/>
  <c r="N65" i="10"/>
  <c r="L65" i="10"/>
  <c r="K65" i="10"/>
  <c r="J65" i="10"/>
  <c r="I65" i="10"/>
  <c r="H65" i="10"/>
  <c r="G65" i="10"/>
  <c r="F65" i="10"/>
  <c r="AH64" i="10"/>
  <c r="AG64" i="10"/>
  <c r="AF64" i="10"/>
  <c r="AE64" i="10"/>
  <c r="AD64" i="10"/>
  <c r="Q64" i="10"/>
  <c r="P64" i="10"/>
  <c r="N64" i="10"/>
  <c r="L64" i="10"/>
  <c r="K64" i="10"/>
  <c r="J64" i="10"/>
  <c r="I64" i="10"/>
  <c r="H64" i="10"/>
  <c r="G64" i="10"/>
  <c r="F64" i="10"/>
  <c r="AH63" i="10"/>
  <c r="AG63" i="10"/>
  <c r="AF63" i="10"/>
  <c r="AE63" i="10"/>
  <c r="AD63" i="10"/>
  <c r="Q63" i="10"/>
  <c r="P63" i="10"/>
  <c r="N63" i="10"/>
  <c r="L63" i="10"/>
  <c r="K63" i="10"/>
  <c r="J63" i="10"/>
  <c r="I63" i="10"/>
  <c r="H63" i="10"/>
  <c r="G63" i="10"/>
  <c r="F63" i="10"/>
  <c r="AH62" i="10"/>
  <c r="AG62" i="10"/>
  <c r="AF62" i="10"/>
  <c r="AE62" i="10"/>
  <c r="AD62" i="10"/>
  <c r="Q62" i="10"/>
  <c r="P62" i="10"/>
  <c r="N62" i="10"/>
  <c r="L62" i="10"/>
  <c r="K62" i="10"/>
  <c r="J62" i="10"/>
  <c r="I62" i="10"/>
  <c r="H62" i="10"/>
  <c r="G62" i="10"/>
  <c r="F62" i="10"/>
  <c r="AH61" i="10"/>
  <c r="AG61" i="10"/>
  <c r="AF61" i="10"/>
  <c r="AE61" i="10"/>
  <c r="AD61" i="10"/>
  <c r="Q61" i="10"/>
  <c r="P61" i="10"/>
  <c r="N61" i="10"/>
  <c r="L61" i="10"/>
  <c r="K61" i="10"/>
  <c r="J61" i="10"/>
  <c r="I61" i="10"/>
  <c r="H61" i="10"/>
  <c r="G61" i="10"/>
  <c r="F61" i="10"/>
  <c r="AH60" i="10"/>
  <c r="AG60" i="10"/>
  <c r="AF60" i="10"/>
  <c r="AE60" i="10"/>
  <c r="AD60" i="10"/>
  <c r="Q60" i="10"/>
  <c r="P60" i="10"/>
  <c r="N60" i="10"/>
  <c r="L60" i="10"/>
  <c r="F60" i="10"/>
  <c r="AH59" i="10"/>
  <c r="AG59" i="10"/>
  <c r="AF59" i="10"/>
  <c r="AE59" i="10"/>
  <c r="AD59" i="10"/>
  <c r="Q59" i="10"/>
  <c r="P59" i="10"/>
  <c r="N59" i="10"/>
  <c r="L59" i="10"/>
  <c r="F59" i="10"/>
  <c r="AH58" i="10"/>
  <c r="AG58" i="10"/>
  <c r="AF58" i="10"/>
  <c r="AE58" i="10"/>
  <c r="AD58" i="10"/>
  <c r="Q58" i="10"/>
  <c r="P58" i="10"/>
  <c r="N58" i="10"/>
  <c r="L58" i="10"/>
  <c r="F58" i="10"/>
  <c r="AH57" i="10"/>
  <c r="AG57" i="10"/>
  <c r="AF57" i="10"/>
  <c r="AE57" i="10"/>
  <c r="AD57" i="10"/>
  <c r="Q57" i="10"/>
  <c r="P57" i="10"/>
  <c r="N57" i="10"/>
  <c r="L57" i="10"/>
  <c r="F57" i="10"/>
  <c r="AH56" i="10"/>
  <c r="AG56" i="10"/>
  <c r="AF56" i="10"/>
  <c r="AE56" i="10"/>
  <c r="AD56" i="10"/>
  <c r="Q56" i="10"/>
  <c r="P56" i="10"/>
  <c r="N56" i="10"/>
  <c r="L56" i="10"/>
  <c r="F56" i="10"/>
  <c r="AH55" i="10"/>
  <c r="AG55" i="10"/>
  <c r="AF55" i="10"/>
  <c r="AE55" i="10"/>
  <c r="AD55" i="10"/>
  <c r="Q55" i="10"/>
  <c r="P55" i="10"/>
  <c r="N55" i="10"/>
  <c r="L55" i="10"/>
  <c r="F55" i="10"/>
  <c r="AH54" i="10"/>
  <c r="AG54" i="10"/>
  <c r="AF54" i="10"/>
  <c r="AE54" i="10"/>
  <c r="AD54" i="10"/>
  <c r="Q54" i="10"/>
  <c r="P54" i="10"/>
  <c r="N54" i="10"/>
  <c r="L54" i="10"/>
  <c r="F54" i="10"/>
  <c r="AH53" i="10"/>
  <c r="AG53" i="10"/>
  <c r="AF53" i="10"/>
  <c r="AE53" i="10"/>
  <c r="AD53" i="10"/>
  <c r="Q53" i="10"/>
  <c r="P53" i="10"/>
  <c r="N53" i="10"/>
  <c r="L53" i="10"/>
  <c r="F53" i="10"/>
  <c r="AH52" i="10"/>
  <c r="AG52" i="10"/>
  <c r="AF52" i="10"/>
  <c r="AE52" i="10"/>
  <c r="AD52" i="10"/>
  <c r="Q52" i="10"/>
  <c r="P52" i="10"/>
  <c r="N52" i="10"/>
  <c r="L52" i="10"/>
  <c r="F52" i="10"/>
  <c r="AH51" i="10"/>
  <c r="AG51" i="10"/>
  <c r="AF51" i="10"/>
  <c r="AE51" i="10"/>
  <c r="AD51" i="10"/>
  <c r="Q51" i="10"/>
  <c r="P51" i="10"/>
  <c r="N51" i="10"/>
  <c r="L51" i="10"/>
  <c r="F51" i="10"/>
  <c r="AH50" i="10"/>
  <c r="AG50" i="10"/>
  <c r="AF50" i="10"/>
  <c r="AE50" i="10"/>
  <c r="AD50" i="10"/>
  <c r="Q50" i="10"/>
  <c r="P50" i="10"/>
  <c r="N50" i="10"/>
  <c r="L50" i="10"/>
  <c r="F50" i="10"/>
  <c r="AH49" i="10"/>
  <c r="AG49" i="10"/>
  <c r="AF49" i="10"/>
  <c r="AE49" i="10"/>
  <c r="AD49" i="10"/>
  <c r="Q49" i="10"/>
  <c r="P49" i="10"/>
  <c r="N49" i="10"/>
  <c r="L49" i="10"/>
  <c r="F49" i="10"/>
  <c r="AH48" i="10"/>
  <c r="AG48" i="10"/>
  <c r="AF48" i="10"/>
  <c r="AE48" i="10"/>
  <c r="AD48" i="10"/>
  <c r="Q48" i="10"/>
  <c r="P48" i="10"/>
  <c r="N48" i="10"/>
  <c r="L48" i="10"/>
  <c r="F48" i="10"/>
  <c r="AH47" i="10"/>
  <c r="AG47" i="10"/>
  <c r="AF47" i="10"/>
  <c r="AE47" i="10"/>
  <c r="AD47" i="10"/>
  <c r="Q47" i="10"/>
  <c r="P47" i="10"/>
  <c r="N47" i="10"/>
  <c r="L47" i="10"/>
  <c r="F47" i="10"/>
  <c r="AH46" i="10"/>
  <c r="AG46" i="10"/>
  <c r="AF46" i="10"/>
  <c r="AE46" i="10"/>
  <c r="AD46" i="10"/>
  <c r="Q46" i="10"/>
  <c r="P46" i="10"/>
  <c r="N46" i="10"/>
  <c r="L46" i="10"/>
  <c r="F46" i="10"/>
  <c r="AH45" i="10"/>
  <c r="AG45" i="10"/>
  <c r="AF45" i="10"/>
  <c r="AE45" i="10"/>
  <c r="AD45" i="10"/>
  <c r="Q45" i="10"/>
  <c r="P45" i="10"/>
  <c r="N45" i="10"/>
  <c r="L45" i="10"/>
  <c r="F45" i="10"/>
  <c r="AH44" i="10"/>
  <c r="AG44" i="10"/>
  <c r="AF44" i="10"/>
  <c r="AE44" i="10"/>
  <c r="AD44" i="10"/>
  <c r="Q44" i="10"/>
  <c r="P44" i="10"/>
  <c r="N44" i="10"/>
  <c r="L44" i="10"/>
  <c r="F44" i="10"/>
  <c r="AH43" i="10"/>
  <c r="AG43" i="10"/>
  <c r="AF43" i="10"/>
  <c r="AE43" i="10"/>
  <c r="AD43" i="10"/>
  <c r="Q43" i="10"/>
  <c r="P43" i="10"/>
  <c r="N43" i="10"/>
  <c r="L43" i="10"/>
  <c r="F43" i="10"/>
  <c r="AH42" i="10"/>
  <c r="AG42" i="10"/>
  <c r="AF42" i="10"/>
  <c r="AE42" i="10"/>
  <c r="AD42" i="10"/>
  <c r="Q42" i="10"/>
  <c r="P42" i="10"/>
  <c r="N42" i="10"/>
  <c r="L42" i="10"/>
  <c r="F42" i="10"/>
  <c r="AH41" i="10"/>
  <c r="AG41" i="10"/>
  <c r="AF41" i="10"/>
  <c r="AE41" i="10"/>
  <c r="AD41" i="10"/>
  <c r="Q41" i="10"/>
  <c r="P41" i="10"/>
  <c r="N41" i="10"/>
  <c r="L41" i="10"/>
  <c r="F41" i="10"/>
  <c r="AH40" i="10"/>
  <c r="AG40" i="10"/>
  <c r="AF40" i="10"/>
  <c r="AE40" i="10"/>
  <c r="AD40" i="10"/>
  <c r="Q40" i="10"/>
  <c r="P40" i="10"/>
  <c r="N40" i="10"/>
  <c r="L40" i="10"/>
  <c r="F40" i="10"/>
  <c r="AH39" i="10"/>
  <c r="AG39" i="10"/>
  <c r="AF39" i="10"/>
  <c r="AE39" i="10"/>
  <c r="AD39" i="10"/>
  <c r="Q39" i="10"/>
  <c r="P39" i="10"/>
  <c r="N39" i="10"/>
  <c r="L39" i="10"/>
  <c r="F39" i="10"/>
  <c r="AH38" i="10"/>
  <c r="AG38" i="10"/>
  <c r="AF38" i="10"/>
  <c r="AE38" i="10"/>
  <c r="AD38" i="10"/>
  <c r="Q38" i="10"/>
  <c r="P38" i="10"/>
  <c r="N38" i="10"/>
  <c r="L38" i="10"/>
  <c r="F38" i="10"/>
  <c r="AH37" i="10"/>
  <c r="AG37" i="10"/>
  <c r="AF37" i="10"/>
  <c r="AE37" i="10"/>
  <c r="AD37" i="10"/>
  <c r="Q37" i="10"/>
  <c r="P37" i="10"/>
  <c r="N37" i="10"/>
  <c r="L37" i="10"/>
  <c r="F37" i="10"/>
  <c r="AH36" i="10"/>
  <c r="AG36" i="10"/>
  <c r="AF36" i="10"/>
  <c r="AE36" i="10"/>
  <c r="AD36" i="10"/>
  <c r="Q36" i="10"/>
  <c r="P36" i="10"/>
  <c r="N36" i="10"/>
  <c r="L36" i="10"/>
  <c r="F36" i="10"/>
  <c r="AH35" i="10"/>
  <c r="AG35" i="10"/>
  <c r="AF35" i="10"/>
  <c r="AE35" i="10"/>
  <c r="AD35" i="10"/>
  <c r="Q35" i="10"/>
  <c r="P35" i="10"/>
  <c r="N35" i="10"/>
  <c r="L35" i="10"/>
  <c r="F35" i="10"/>
  <c r="AH34" i="10"/>
  <c r="AG34" i="10"/>
  <c r="AF34" i="10"/>
  <c r="AE34" i="10"/>
  <c r="AD34" i="10"/>
  <c r="Q34" i="10"/>
  <c r="P34" i="10"/>
  <c r="N34" i="10"/>
  <c r="L34" i="10"/>
  <c r="F34" i="10"/>
  <c r="AH33" i="10"/>
  <c r="AG33" i="10"/>
  <c r="AF33" i="10"/>
  <c r="AE33" i="10"/>
  <c r="AD33" i="10"/>
  <c r="Q33" i="10"/>
  <c r="P33" i="10"/>
  <c r="N33" i="10"/>
  <c r="L33" i="10"/>
  <c r="F33" i="10"/>
  <c r="AH32" i="10"/>
  <c r="AG32" i="10"/>
  <c r="AF32" i="10"/>
  <c r="AE32" i="10"/>
  <c r="AD32" i="10"/>
  <c r="Q32" i="10"/>
  <c r="P32" i="10"/>
  <c r="N32" i="10"/>
  <c r="L32" i="10"/>
  <c r="F32" i="10"/>
  <c r="AH31" i="10"/>
  <c r="AG31" i="10"/>
  <c r="AF31" i="10"/>
  <c r="AE31" i="10"/>
  <c r="AD31" i="10"/>
  <c r="Q31" i="10"/>
  <c r="P31" i="10"/>
  <c r="N31" i="10"/>
  <c r="L31" i="10"/>
  <c r="F31" i="10"/>
  <c r="AH30" i="10"/>
  <c r="AG30" i="10"/>
  <c r="AF30" i="10"/>
  <c r="AE30" i="10"/>
  <c r="AD30" i="10"/>
  <c r="Q30" i="10"/>
  <c r="P30" i="10"/>
  <c r="N30" i="10"/>
  <c r="L30" i="10"/>
  <c r="F30" i="10"/>
  <c r="AH29" i="10"/>
  <c r="AG29" i="10"/>
  <c r="AF29" i="10"/>
  <c r="AE29" i="10"/>
  <c r="AD29" i="10"/>
  <c r="Q29" i="10"/>
  <c r="P29" i="10"/>
  <c r="N29" i="10"/>
  <c r="L29" i="10"/>
  <c r="F29" i="10"/>
  <c r="AH28" i="10"/>
  <c r="AG28" i="10"/>
  <c r="AF28" i="10"/>
  <c r="AE28" i="10"/>
  <c r="AD28" i="10"/>
  <c r="Q28" i="10"/>
  <c r="P28" i="10"/>
  <c r="N28" i="10"/>
  <c r="L28" i="10"/>
  <c r="F28" i="10"/>
  <c r="AH27" i="10"/>
  <c r="AG27" i="10"/>
  <c r="AF27" i="10"/>
  <c r="AE27" i="10"/>
  <c r="AD27" i="10"/>
  <c r="Q27" i="10"/>
  <c r="P27" i="10"/>
  <c r="N27" i="10"/>
  <c r="L27" i="10"/>
  <c r="F27" i="10"/>
  <c r="AH26" i="10"/>
  <c r="AG26" i="10"/>
  <c r="AF26" i="10"/>
  <c r="AE26" i="10"/>
  <c r="AD26" i="10"/>
  <c r="Q26" i="10"/>
  <c r="P26" i="10"/>
  <c r="N26" i="10"/>
  <c r="L26" i="10"/>
  <c r="F26" i="10"/>
  <c r="AH25" i="10"/>
  <c r="AG25" i="10"/>
  <c r="AF25" i="10"/>
  <c r="AE25" i="10"/>
  <c r="AD25" i="10"/>
  <c r="Q25" i="10"/>
  <c r="P25" i="10"/>
  <c r="N25" i="10"/>
  <c r="L25" i="10"/>
  <c r="F25" i="10"/>
  <c r="AH24" i="10"/>
  <c r="AG24" i="10"/>
  <c r="AF24" i="10"/>
  <c r="AE24" i="10"/>
  <c r="AD24" i="10"/>
  <c r="Q24" i="10"/>
  <c r="P24" i="10"/>
  <c r="N24" i="10"/>
  <c r="L24" i="10"/>
  <c r="F24" i="10"/>
  <c r="AH23" i="10"/>
  <c r="AG23" i="10"/>
  <c r="AF23" i="10"/>
  <c r="AE23" i="10"/>
  <c r="AD23" i="10"/>
  <c r="Q23" i="10"/>
  <c r="P23" i="10"/>
  <c r="N23" i="10"/>
  <c r="L23" i="10"/>
  <c r="F23" i="10"/>
  <c r="AH22" i="10"/>
  <c r="AG22" i="10"/>
  <c r="AF22" i="10"/>
  <c r="AE22" i="10"/>
  <c r="AD22" i="10"/>
  <c r="Q22" i="10"/>
  <c r="P22" i="10"/>
  <c r="N22" i="10"/>
  <c r="L22" i="10"/>
  <c r="F22" i="10"/>
  <c r="AH21" i="10"/>
  <c r="AG21" i="10"/>
  <c r="AF21" i="10"/>
  <c r="AE21" i="10"/>
  <c r="AD21" i="10"/>
  <c r="Q21" i="10"/>
  <c r="P21" i="10"/>
  <c r="N21" i="10"/>
  <c r="L21" i="10"/>
  <c r="F21" i="10"/>
  <c r="AH20" i="10"/>
  <c r="AG20" i="10"/>
  <c r="AF20" i="10"/>
  <c r="AE20" i="10"/>
  <c r="AD20" i="10"/>
  <c r="Q20" i="10"/>
  <c r="P20" i="10"/>
  <c r="N20" i="10"/>
  <c r="L20" i="10"/>
  <c r="F20" i="10"/>
  <c r="AH19" i="10"/>
  <c r="AG19" i="10"/>
  <c r="AF19" i="10"/>
  <c r="AE19" i="10"/>
  <c r="AD19" i="10"/>
  <c r="Q19" i="10"/>
  <c r="P19" i="10"/>
  <c r="N19" i="10"/>
  <c r="L19" i="10"/>
  <c r="F19" i="10"/>
  <c r="AH18" i="10"/>
  <c r="AG18" i="10"/>
  <c r="AF18" i="10"/>
  <c r="AE18" i="10"/>
  <c r="AD18" i="10"/>
  <c r="Q18" i="10"/>
  <c r="P18" i="10"/>
  <c r="N18" i="10"/>
  <c r="L18" i="10"/>
  <c r="F18" i="10"/>
  <c r="AH17" i="10"/>
  <c r="AG17" i="10"/>
  <c r="AF17" i="10"/>
  <c r="AE17" i="10"/>
  <c r="AD17" i="10"/>
  <c r="Q17" i="10"/>
  <c r="P17" i="10"/>
  <c r="N17" i="10"/>
  <c r="L17" i="10"/>
  <c r="F17" i="10"/>
  <c r="AH16" i="10"/>
  <c r="AG16" i="10"/>
  <c r="AF16" i="10"/>
  <c r="AE16" i="10"/>
  <c r="AD16" i="10"/>
  <c r="Q16" i="10"/>
  <c r="P16" i="10"/>
  <c r="N16" i="10"/>
  <c r="L16" i="10"/>
  <c r="F16" i="10"/>
  <c r="AH15" i="10"/>
  <c r="AG15" i="10"/>
  <c r="AF15" i="10"/>
  <c r="AE15" i="10"/>
  <c r="AD15" i="10"/>
  <c r="Q15" i="10"/>
  <c r="P15" i="10"/>
  <c r="N15" i="10"/>
  <c r="L15" i="10"/>
  <c r="F15" i="10"/>
  <c r="AH14" i="10"/>
  <c r="AG14" i="10"/>
  <c r="AF14" i="10"/>
  <c r="AE14" i="10"/>
  <c r="AD14" i="10"/>
  <c r="Q14" i="10"/>
  <c r="P14" i="10"/>
  <c r="N14" i="10"/>
  <c r="L14" i="10"/>
  <c r="F14" i="10"/>
  <c r="AH13" i="10"/>
  <c r="AG13" i="10"/>
  <c r="AF13" i="10"/>
  <c r="AE13" i="10"/>
  <c r="AD13" i="10"/>
  <c r="Q13" i="10"/>
  <c r="P13" i="10"/>
  <c r="N13" i="10"/>
  <c r="L13" i="10"/>
  <c r="F13" i="10"/>
  <c r="AH12" i="10"/>
  <c r="AG12" i="10"/>
  <c r="AF12" i="10"/>
  <c r="AE12" i="10"/>
  <c r="AD12" i="10"/>
  <c r="Q12" i="10"/>
  <c r="P12" i="10"/>
  <c r="N12" i="10"/>
  <c r="L12" i="10"/>
  <c r="F12" i="10"/>
  <c r="AH11" i="10"/>
  <c r="AG11" i="10"/>
  <c r="AF11" i="10"/>
  <c r="AE11" i="10"/>
  <c r="AD11" i="10"/>
  <c r="Q11" i="10"/>
  <c r="P11" i="10"/>
  <c r="N11" i="10"/>
  <c r="L11" i="10"/>
  <c r="F11" i="10"/>
  <c r="AH10" i="10"/>
  <c r="AG10" i="10"/>
  <c r="AF10" i="10"/>
  <c r="AE10" i="10"/>
  <c r="AD10" i="10"/>
  <c r="Q10" i="10"/>
  <c r="P10" i="10"/>
  <c r="N10" i="10"/>
  <c r="L10" i="10"/>
  <c r="F10" i="10"/>
  <c r="AH9" i="10"/>
  <c r="AG9" i="10"/>
  <c r="AF9" i="10"/>
  <c r="AE9" i="10"/>
  <c r="AD9" i="10"/>
  <c r="Q9" i="10"/>
  <c r="P9" i="10"/>
  <c r="N9" i="10"/>
  <c r="L9" i="10"/>
  <c r="F9" i="10"/>
  <c r="AH8" i="10"/>
  <c r="AG8" i="10"/>
  <c r="AF8" i="10"/>
  <c r="AE8" i="10"/>
  <c r="AD8" i="10"/>
  <c r="Q8" i="10"/>
  <c r="P8" i="10"/>
  <c r="N8" i="10"/>
  <c r="L8" i="10"/>
  <c r="F8" i="10"/>
  <c r="AH7" i="10"/>
  <c r="AG7" i="10"/>
  <c r="AF7" i="10"/>
  <c r="AE7" i="10"/>
  <c r="AD7" i="10"/>
  <c r="Q7" i="10"/>
  <c r="P7" i="10"/>
  <c r="N7" i="10"/>
  <c r="L7" i="10"/>
  <c r="F7" i="10"/>
  <c r="AH6" i="10"/>
  <c r="AG6" i="10"/>
  <c r="AF6" i="10"/>
  <c r="AE6" i="10"/>
  <c r="AD6" i="10"/>
  <c r="Q6" i="10"/>
  <c r="P6" i="10"/>
  <c r="N6" i="10"/>
  <c r="L6" i="10"/>
  <c r="F6" i="10"/>
  <c r="AH5" i="10"/>
  <c r="AG5" i="10"/>
  <c r="AF5" i="10"/>
  <c r="AE5" i="10"/>
  <c r="AD5" i="10"/>
  <c r="Q5" i="10"/>
  <c r="P5" i="10"/>
  <c r="N5" i="10"/>
  <c r="L5" i="10"/>
  <c r="F5" i="10"/>
  <c r="AH4" i="10"/>
  <c r="AG4" i="10"/>
  <c r="AF4" i="10"/>
  <c r="AE4" i="10"/>
  <c r="AD4" i="10"/>
  <c r="Q4" i="10"/>
  <c r="P4" i="10"/>
  <c r="N4" i="10"/>
  <c r="L4" i="10"/>
  <c r="F4" i="10"/>
  <c r="B11" i="8"/>
  <c r="B10" i="8"/>
  <c r="B9" i="8"/>
  <c r="B8" i="8"/>
  <c r="B7" i="8"/>
  <c r="B6" i="8"/>
  <c r="B5" i="8"/>
  <c r="AY253" i="4"/>
  <c r="AX253" i="4"/>
  <c r="AY252" i="4"/>
  <c r="AX252" i="4"/>
  <c r="AY251" i="4"/>
  <c r="AX251" i="4"/>
  <c r="AY250" i="4"/>
  <c r="AX250" i="4"/>
  <c r="AY249" i="4"/>
  <c r="AX249" i="4"/>
  <c r="AY248" i="4"/>
  <c r="AX248" i="4"/>
  <c r="AY247" i="4"/>
  <c r="AX247" i="4"/>
  <c r="AY246" i="4"/>
  <c r="AX246" i="4"/>
  <c r="AY245" i="4"/>
  <c r="AX245" i="4"/>
  <c r="AY244" i="4"/>
  <c r="AX244" i="4"/>
  <c r="AY243" i="4"/>
  <c r="AX243" i="4"/>
  <c r="AY242" i="4"/>
  <c r="AX242" i="4"/>
  <c r="AY241" i="4"/>
  <c r="AX241" i="4"/>
  <c r="AY240" i="4"/>
  <c r="AX240" i="4"/>
  <c r="AY239" i="4"/>
  <c r="AX239" i="4"/>
  <c r="AY238" i="4"/>
  <c r="AX238" i="4"/>
  <c r="AY237" i="4"/>
  <c r="AX237" i="4"/>
  <c r="AY236" i="4"/>
  <c r="AX236" i="4"/>
  <c r="AY235" i="4"/>
  <c r="AX235" i="4"/>
  <c r="AY234" i="4"/>
  <c r="AX234" i="4"/>
  <c r="AY233" i="4"/>
  <c r="AX233" i="4"/>
  <c r="AY232" i="4"/>
  <c r="AX232" i="4"/>
  <c r="AY231" i="4"/>
  <c r="AX231" i="4"/>
  <c r="AY230" i="4"/>
  <c r="AX230" i="4"/>
  <c r="AY229" i="4"/>
  <c r="AX229" i="4"/>
  <c r="AY228" i="4"/>
  <c r="AX228" i="4"/>
  <c r="AY227" i="4"/>
  <c r="AX227" i="4"/>
  <c r="AY226" i="4"/>
  <c r="AX226" i="4"/>
  <c r="AY225" i="4"/>
  <c r="AX225" i="4"/>
  <c r="AY224" i="4"/>
  <c r="AX224" i="4"/>
  <c r="AY223" i="4"/>
  <c r="AX223" i="4"/>
  <c r="AY222" i="4"/>
  <c r="AX222" i="4"/>
  <c r="AY221" i="4"/>
  <c r="AX221" i="4"/>
  <c r="AY220" i="4"/>
  <c r="AX220" i="4"/>
  <c r="AY219" i="4"/>
  <c r="AX219" i="4"/>
  <c r="AY218" i="4"/>
  <c r="AX218" i="4"/>
  <c r="AY217" i="4"/>
  <c r="AX217" i="4"/>
  <c r="AY216" i="4"/>
  <c r="AX216" i="4"/>
  <c r="AY215" i="4"/>
  <c r="AX215" i="4"/>
  <c r="AY214" i="4"/>
  <c r="AX214" i="4"/>
  <c r="AY213" i="4"/>
  <c r="AX213" i="4"/>
  <c r="AY212" i="4"/>
  <c r="AX212" i="4"/>
  <c r="AY211" i="4"/>
  <c r="AX211" i="4"/>
  <c r="AY210" i="4"/>
  <c r="AX210" i="4"/>
  <c r="AY209" i="4"/>
  <c r="AX209" i="4"/>
  <c r="AY208" i="4"/>
  <c r="AX208" i="4"/>
  <c r="AY207" i="4"/>
  <c r="AX207" i="4"/>
  <c r="AY206" i="4"/>
  <c r="AX206" i="4"/>
  <c r="AY205" i="4"/>
  <c r="AX205" i="4"/>
  <c r="AY204" i="4"/>
  <c r="AX204" i="4"/>
  <c r="AY203" i="4"/>
  <c r="AX203" i="4"/>
  <c r="AY202" i="4"/>
  <c r="AX202" i="4"/>
  <c r="AY201" i="4"/>
  <c r="AX201" i="4"/>
  <c r="AY200" i="4"/>
  <c r="AX200" i="4"/>
  <c r="AY199" i="4"/>
  <c r="AX199" i="4"/>
  <c r="AY198" i="4"/>
  <c r="AX198" i="4"/>
  <c r="AY197" i="4"/>
  <c r="AX197" i="4"/>
  <c r="AY196" i="4"/>
  <c r="AX196" i="4"/>
  <c r="AY195" i="4"/>
  <c r="AX195" i="4"/>
  <c r="AY194" i="4"/>
  <c r="AX194" i="4"/>
  <c r="AY193" i="4"/>
  <c r="AX193" i="4"/>
  <c r="AY192" i="4"/>
  <c r="AX192" i="4"/>
  <c r="AY191" i="4"/>
  <c r="AX191" i="4"/>
  <c r="AY190" i="4"/>
  <c r="AX190" i="4"/>
  <c r="AY189" i="4"/>
  <c r="AX189" i="4"/>
  <c r="AY188" i="4"/>
  <c r="AX188" i="4"/>
  <c r="AY187" i="4"/>
  <c r="AX187" i="4"/>
  <c r="AY186" i="4"/>
  <c r="AX186" i="4"/>
  <c r="AY185" i="4"/>
  <c r="AX185" i="4"/>
  <c r="AY184" i="4"/>
  <c r="AX184" i="4"/>
  <c r="AY183" i="4"/>
  <c r="AX183" i="4"/>
  <c r="AY182" i="4"/>
  <c r="AX182" i="4"/>
  <c r="AY181" i="4"/>
  <c r="AX181" i="4"/>
  <c r="AY180" i="4"/>
  <c r="AX180" i="4"/>
  <c r="AY179" i="4"/>
  <c r="AX179" i="4"/>
  <c r="AY178" i="4"/>
  <c r="AX178" i="4"/>
  <c r="AY177" i="4"/>
  <c r="AX177" i="4"/>
  <c r="AY176" i="4"/>
  <c r="AX176" i="4"/>
  <c r="AY175" i="4"/>
  <c r="AX175" i="4"/>
  <c r="AY174" i="4"/>
  <c r="AX174" i="4"/>
  <c r="AY173" i="4"/>
  <c r="AX173" i="4"/>
  <c r="AY172" i="4"/>
  <c r="AX172" i="4"/>
  <c r="AY171" i="4"/>
  <c r="AX171" i="4"/>
  <c r="AY170" i="4"/>
  <c r="AX170" i="4"/>
  <c r="AY169" i="4"/>
  <c r="AX169" i="4"/>
  <c r="AY168" i="4"/>
  <c r="AX168" i="4"/>
  <c r="AY167" i="4"/>
  <c r="AX167" i="4"/>
  <c r="AY166" i="4"/>
  <c r="AX166" i="4"/>
  <c r="AY165" i="4"/>
  <c r="AX165" i="4"/>
  <c r="AY164" i="4"/>
  <c r="AX164" i="4"/>
  <c r="AY163" i="4"/>
  <c r="AX163" i="4"/>
  <c r="AY162" i="4"/>
  <c r="AX162" i="4"/>
  <c r="AY161" i="4"/>
  <c r="AX161" i="4"/>
  <c r="AY160" i="4"/>
  <c r="AX160" i="4"/>
  <c r="AY159" i="4"/>
  <c r="AX159" i="4"/>
  <c r="AY158" i="4"/>
  <c r="AX158" i="4"/>
  <c r="AY157" i="4"/>
  <c r="AX157" i="4"/>
  <c r="AY156" i="4"/>
  <c r="AX156" i="4"/>
  <c r="AY155" i="4"/>
  <c r="AX155" i="4"/>
  <c r="AY154" i="4"/>
  <c r="AX154" i="4"/>
  <c r="AY153" i="4"/>
  <c r="AX153" i="4"/>
  <c r="AY152" i="4"/>
  <c r="AX152" i="4"/>
  <c r="AY151" i="4"/>
  <c r="AX151" i="4"/>
  <c r="AY150" i="4"/>
  <c r="AX150" i="4"/>
  <c r="AY149" i="4"/>
  <c r="AX149" i="4"/>
  <c r="AY148" i="4"/>
  <c r="AX148" i="4"/>
  <c r="AY147" i="4"/>
  <c r="AX147" i="4"/>
  <c r="AY146" i="4"/>
  <c r="AX146" i="4"/>
  <c r="AY145" i="4"/>
  <c r="AX145" i="4"/>
  <c r="AY144" i="4"/>
  <c r="AX144" i="4"/>
  <c r="AY143" i="4"/>
  <c r="AX143" i="4"/>
  <c r="AY142" i="4"/>
  <c r="AX142" i="4"/>
  <c r="AY141" i="4"/>
  <c r="AX141" i="4"/>
  <c r="AY140" i="4"/>
  <c r="AX140" i="4"/>
  <c r="AY139" i="4"/>
  <c r="AX139" i="4"/>
  <c r="AY138" i="4"/>
  <c r="AX138" i="4"/>
  <c r="AY137" i="4"/>
  <c r="AX137" i="4"/>
  <c r="AY136" i="4"/>
  <c r="AX136" i="4"/>
  <c r="AY135" i="4"/>
  <c r="AX135" i="4"/>
  <c r="AY134" i="4"/>
  <c r="AX134" i="4"/>
  <c r="AY133" i="4"/>
  <c r="AX133" i="4"/>
  <c r="AY132" i="4"/>
  <c r="AX132" i="4"/>
  <c r="AY131" i="4"/>
  <c r="AX131" i="4"/>
  <c r="AY130" i="4"/>
  <c r="AX130" i="4"/>
  <c r="AY129" i="4"/>
  <c r="AX129" i="4"/>
  <c r="AY128" i="4"/>
  <c r="AX128" i="4"/>
  <c r="AY127" i="4"/>
  <c r="AX127" i="4"/>
  <c r="AY126" i="4"/>
  <c r="AX126" i="4"/>
  <c r="AY125" i="4"/>
  <c r="AX125" i="4"/>
  <c r="AY124" i="4"/>
  <c r="AX124" i="4"/>
  <c r="AY123" i="4"/>
  <c r="AX123" i="4"/>
  <c r="AY122" i="4"/>
  <c r="AX122" i="4"/>
  <c r="AY121" i="4"/>
  <c r="AX121" i="4"/>
  <c r="AY120" i="4"/>
  <c r="AX120" i="4"/>
  <c r="AY119" i="4"/>
  <c r="AX119" i="4"/>
  <c r="AY118" i="4"/>
  <c r="AX118" i="4"/>
  <c r="AY117" i="4"/>
  <c r="AX117" i="4"/>
  <c r="AY116" i="4"/>
  <c r="AX116" i="4"/>
  <c r="AY115" i="4"/>
  <c r="AX115" i="4"/>
  <c r="AY114" i="4"/>
  <c r="AX114" i="4"/>
  <c r="AY113" i="4"/>
  <c r="AX113" i="4"/>
  <c r="AY112" i="4"/>
  <c r="AX112" i="4"/>
  <c r="AY111" i="4"/>
  <c r="AX111" i="4"/>
  <c r="AY110" i="4"/>
  <c r="AX110" i="4"/>
  <c r="AY109" i="4"/>
  <c r="AX109" i="4"/>
  <c r="AY108" i="4"/>
  <c r="AX108" i="4"/>
  <c r="AY107" i="4"/>
  <c r="AX107" i="4"/>
  <c r="AY106" i="4"/>
  <c r="AX106" i="4"/>
  <c r="AY105" i="4"/>
  <c r="AX105" i="4"/>
  <c r="AY104" i="4"/>
  <c r="AX104" i="4"/>
  <c r="AY103" i="4"/>
  <c r="AX103" i="4"/>
  <c r="AY102" i="4"/>
  <c r="AX102" i="4"/>
  <c r="AY101" i="4"/>
  <c r="AX101" i="4"/>
  <c r="AY100" i="4"/>
  <c r="AX100" i="4"/>
  <c r="AY99" i="4"/>
  <c r="AX99" i="4"/>
  <c r="AY98" i="4"/>
  <c r="AX98" i="4"/>
  <c r="AY97" i="4"/>
  <c r="AX97" i="4"/>
  <c r="AY96" i="4"/>
  <c r="AX96" i="4"/>
  <c r="AY95" i="4"/>
  <c r="AX95" i="4"/>
  <c r="F95" i="4"/>
  <c r="E95" i="4"/>
  <c r="D95" i="4"/>
  <c r="AY94" i="4"/>
  <c r="AX94" i="4"/>
  <c r="AY93" i="4"/>
  <c r="AX93" i="4"/>
  <c r="AY92" i="4"/>
  <c r="AX92" i="4"/>
  <c r="AY91" i="4"/>
  <c r="AX91" i="4"/>
  <c r="AY90" i="4"/>
  <c r="AX90" i="4"/>
  <c r="AY89" i="4"/>
  <c r="AX89" i="4"/>
  <c r="R89" i="4"/>
  <c r="S89" i="4" s="1"/>
  <c r="T89" i="4" s="1"/>
  <c r="Q89" i="4"/>
  <c r="P89" i="4"/>
  <c r="O89" i="4"/>
  <c r="N89" i="4"/>
  <c r="M89" i="4"/>
  <c r="L89" i="4"/>
  <c r="K89" i="4"/>
  <c r="J89" i="4"/>
  <c r="I89" i="4"/>
  <c r="H89" i="4"/>
  <c r="G89" i="4"/>
  <c r="U89" i="4" s="1"/>
  <c r="AY88" i="4"/>
  <c r="AX88" i="4"/>
  <c r="AY87" i="4"/>
  <c r="AX87" i="4"/>
  <c r="AY86" i="4"/>
  <c r="AX86" i="4"/>
  <c r="AY85" i="4"/>
  <c r="AX85" i="4"/>
  <c r="AY84" i="4"/>
  <c r="AX84" i="4"/>
  <c r="AY83" i="4"/>
  <c r="AX83" i="4"/>
  <c r="AY82" i="4"/>
  <c r="AX82" i="4"/>
  <c r="AY81" i="4"/>
  <c r="AX81" i="4"/>
  <c r="AY80" i="4"/>
  <c r="AX80" i="4"/>
  <c r="R80" i="4"/>
  <c r="S80" i="4" s="1"/>
  <c r="T80" i="4" s="1"/>
  <c r="Q80" i="4"/>
  <c r="P80" i="4"/>
  <c r="O80" i="4"/>
  <c r="N80" i="4"/>
  <c r="M80" i="4"/>
  <c r="L80" i="4"/>
  <c r="K80" i="4"/>
  <c r="J80" i="4"/>
  <c r="I80" i="4"/>
  <c r="H80" i="4"/>
  <c r="G80" i="4"/>
  <c r="U80" i="4" s="1"/>
  <c r="AY79" i="4"/>
  <c r="AX79" i="4"/>
  <c r="AY78" i="4"/>
  <c r="AX78" i="4"/>
  <c r="AY77" i="4"/>
  <c r="AX77" i="4"/>
  <c r="AY76" i="4"/>
  <c r="AX76" i="4"/>
  <c r="AY75" i="4"/>
  <c r="AX75" i="4"/>
  <c r="AY74" i="4"/>
  <c r="AX74" i="4"/>
  <c r="AY73" i="4"/>
  <c r="AX73" i="4"/>
  <c r="R73" i="4"/>
  <c r="S73" i="4" s="1"/>
  <c r="T73" i="4" s="1"/>
  <c r="Q73" i="4"/>
  <c r="P73" i="4"/>
  <c r="O73" i="4"/>
  <c r="N73" i="4"/>
  <c r="M73" i="4"/>
  <c r="L73" i="4"/>
  <c r="K73" i="4"/>
  <c r="J73" i="4"/>
  <c r="I73" i="4"/>
  <c r="H73" i="4"/>
  <c r="G73" i="4"/>
  <c r="U73" i="4" s="1"/>
  <c r="AY72" i="4"/>
  <c r="AX72" i="4"/>
  <c r="AY71" i="4"/>
  <c r="AX71" i="4"/>
  <c r="AY70" i="4"/>
  <c r="AX70" i="4"/>
  <c r="R70" i="4"/>
  <c r="S70" i="4" s="1"/>
  <c r="T70" i="4" s="1"/>
  <c r="Q70" i="4"/>
  <c r="P70" i="4"/>
  <c r="O70" i="4"/>
  <c r="N70" i="4"/>
  <c r="M70" i="4"/>
  <c r="L70" i="4"/>
  <c r="K70" i="4"/>
  <c r="J70" i="4"/>
  <c r="I70" i="4"/>
  <c r="H70" i="4"/>
  <c r="G70" i="4"/>
  <c r="U70" i="4" s="1"/>
  <c r="AY69" i="4"/>
  <c r="AX69" i="4"/>
  <c r="AY68" i="4"/>
  <c r="AX68" i="4"/>
  <c r="AY67" i="4"/>
  <c r="AX67" i="4"/>
  <c r="AY66" i="4"/>
  <c r="AX66" i="4"/>
  <c r="AY65" i="4"/>
  <c r="AX65" i="4"/>
  <c r="AY64" i="4"/>
  <c r="AX64" i="4"/>
  <c r="R64" i="4"/>
  <c r="S64" i="4" s="1"/>
  <c r="T64" i="4" s="1"/>
  <c r="Q64" i="4"/>
  <c r="P64" i="4"/>
  <c r="O64" i="4"/>
  <c r="N64" i="4"/>
  <c r="M64" i="4"/>
  <c r="L64" i="4"/>
  <c r="K64" i="4"/>
  <c r="J64" i="4"/>
  <c r="I64" i="4"/>
  <c r="H64" i="4"/>
  <c r="G64" i="4"/>
  <c r="U64" i="4" s="1"/>
  <c r="AY63" i="4"/>
  <c r="AX63" i="4"/>
  <c r="AY62" i="4"/>
  <c r="AX62" i="4"/>
  <c r="AY61" i="4"/>
  <c r="AX61" i="4"/>
  <c r="AY60" i="4"/>
  <c r="AX60" i="4"/>
  <c r="AY59" i="4"/>
  <c r="AX59" i="4"/>
  <c r="R59" i="4"/>
  <c r="S59" i="4" s="1"/>
  <c r="T59" i="4" s="1"/>
  <c r="Q59" i="4"/>
  <c r="P59" i="4"/>
  <c r="O59" i="4"/>
  <c r="N59" i="4"/>
  <c r="M59" i="4"/>
  <c r="L59" i="4"/>
  <c r="K59" i="4"/>
  <c r="J59" i="4"/>
  <c r="I59" i="4"/>
  <c r="H59" i="4"/>
  <c r="G59" i="4"/>
  <c r="U59" i="4" s="1"/>
  <c r="AY58" i="4"/>
  <c r="AX58" i="4"/>
  <c r="AY57" i="4"/>
  <c r="AX57" i="4"/>
  <c r="AY56" i="4"/>
  <c r="AX56" i="4"/>
  <c r="AY55" i="4"/>
  <c r="AX55" i="4"/>
  <c r="AY54" i="4"/>
  <c r="AX54" i="4"/>
  <c r="AY53" i="4"/>
  <c r="AX53" i="4"/>
  <c r="AY52" i="4"/>
  <c r="AX52" i="4"/>
  <c r="AY51" i="4"/>
  <c r="AX51" i="4"/>
  <c r="AY50" i="4"/>
  <c r="AX50" i="4"/>
  <c r="R50" i="4"/>
  <c r="S50" i="4" s="1"/>
  <c r="T50" i="4" s="1"/>
  <c r="Q50" i="4"/>
  <c r="P50" i="4"/>
  <c r="O50" i="4"/>
  <c r="N50" i="4"/>
  <c r="M50" i="4"/>
  <c r="L50" i="4"/>
  <c r="K50" i="4"/>
  <c r="J50" i="4"/>
  <c r="I50" i="4"/>
  <c r="H50" i="4"/>
  <c r="G50" i="4"/>
  <c r="U50" i="4" s="1"/>
  <c r="AY49" i="4"/>
  <c r="AX49" i="4"/>
  <c r="AY48" i="4"/>
  <c r="AX48" i="4"/>
  <c r="AY47" i="4"/>
  <c r="AX47" i="4"/>
  <c r="AY46" i="4"/>
  <c r="AX46" i="4"/>
  <c r="R46" i="4"/>
  <c r="S46" i="4" s="1"/>
  <c r="T46" i="4" s="1"/>
  <c r="Q46" i="4"/>
  <c r="P46" i="4"/>
  <c r="O46" i="4"/>
  <c r="N46" i="4"/>
  <c r="M46" i="4"/>
  <c r="L46" i="4"/>
  <c r="K46" i="4"/>
  <c r="J46" i="4"/>
  <c r="I46" i="4"/>
  <c r="H46" i="4"/>
  <c r="G46" i="4"/>
  <c r="U46" i="4" s="1"/>
  <c r="AY45" i="4"/>
  <c r="AX45" i="4"/>
  <c r="AY44" i="4"/>
  <c r="AX44" i="4"/>
  <c r="AY43" i="4"/>
  <c r="AX43" i="4"/>
  <c r="AY42" i="4"/>
  <c r="AX42" i="4"/>
  <c r="R42" i="4"/>
  <c r="S42" i="4" s="1"/>
  <c r="T42" i="4" s="1"/>
  <c r="Q42" i="4"/>
  <c r="P42" i="4"/>
  <c r="O42" i="4"/>
  <c r="N42" i="4"/>
  <c r="M42" i="4"/>
  <c r="L42" i="4"/>
  <c r="K42" i="4"/>
  <c r="J42" i="4"/>
  <c r="I42" i="4"/>
  <c r="H42" i="4"/>
  <c r="G42" i="4"/>
  <c r="U42" i="4" s="1"/>
  <c r="AY41" i="4"/>
  <c r="AX41" i="4"/>
  <c r="AY40" i="4"/>
  <c r="AX40" i="4"/>
  <c r="AY39" i="4"/>
  <c r="AX39" i="4"/>
  <c r="AY38" i="4"/>
  <c r="AX38" i="4"/>
  <c r="AY37" i="4"/>
  <c r="AX37" i="4"/>
  <c r="R37" i="4"/>
  <c r="S37" i="4" s="1"/>
  <c r="T37" i="4" s="1"/>
  <c r="Q37" i="4"/>
  <c r="P37" i="4"/>
  <c r="O37" i="4"/>
  <c r="N37" i="4"/>
  <c r="M37" i="4"/>
  <c r="L37" i="4"/>
  <c r="K37" i="4"/>
  <c r="J37" i="4"/>
  <c r="I37" i="4"/>
  <c r="H37" i="4"/>
  <c r="G37" i="4"/>
  <c r="U37" i="4" s="1"/>
  <c r="AY36" i="4"/>
  <c r="AX36" i="4"/>
  <c r="AY35" i="4"/>
  <c r="AX35" i="4"/>
  <c r="AY34" i="4"/>
  <c r="AX34" i="4"/>
  <c r="AY33" i="4"/>
  <c r="AX33" i="4"/>
  <c r="AY32" i="4"/>
  <c r="AX32" i="4"/>
  <c r="R32" i="4"/>
  <c r="S32" i="4" s="1"/>
  <c r="T32" i="4" s="1"/>
  <c r="Q32" i="4"/>
  <c r="P32" i="4"/>
  <c r="O32" i="4"/>
  <c r="N32" i="4"/>
  <c r="M32" i="4"/>
  <c r="L32" i="4"/>
  <c r="K32" i="4"/>
  <c r="J32" i="4"/>
  <c r="I32" i="4"/>
  <c r="H32" i="4"/>
  <c r="G32" i="4"/>
  <c r="U32" i="4" s="1"/>
  <c r="AY31" i="4"/>
  <c r="AX31" i="4"/>
  <c r="AY30" i="4"/>
  <c r="AX30" i="4"/>
  <c r="AY29" i="4"/>
  <c r="AX29" i="4"/>
  <c r="AY28" i="4"/>
  <c r="AX28" i="4"/>
  <c r="AY27" i="4"/>
  <c r="AX27" i="4"/>
  <c r="AY26" i="4"/>
  <c r="AX26" i="4"/>
  <c r="AY25" i="4"/>
  <c r="AX25" i="4"/>
  <c r="AY24" i="4"/>
  <c r="AX24" i="4"/>
  <c r="R24" i="4"/>
  <c r="S24" i="4" s="1"/>
  <c r="T24" i="4" s="1"/>
  <c r="Q24" i="4"/>
  <c r="P24" i="4"/>
  <c r="O24" i="4"/>
  <c r="N24" i="4"/>
  <c r="M24" i="4"/>
  <c r="L24" i="4"/>
  <c r="K24" i="4"/>
  <c r="J24" i="4"/>
  <c r="I24" i="4"/>
  <c r="H24" i="4"/>
  <c r="G24" i="4"/>
  <c r="U24" i="4" s="1"/>
  <c r="AY23" i="4"/>
  <c r="AX23" i="4"/>
  <c r="AY22" i="4"/>
  <c r="AX22" i="4"/>
  <c r="AY21" i="4"/>
  <c r="AX21" i="4"/>
  <c r="AY20" i="4"/>
  <c r="AX20" i="4"/>
  <c r="R20" i="4"/>
  <c r="S20" i="4" s="1"/>
  <c r="T20" i="4" s="1"/>
  <c r="Q20" i="4"/>
  <c r="P20" i="4"/>
  <c r="O20" i="4"/>
  <c r="N20" i="4"/>
  <c r="M20" i="4"/>
  <c r="L20" i="4"/>
  <c r="K20" i="4"/>
  <c r="J20" i="4"/>
  <c r="I20" i="4"/>
  <c r="H20" i="4"/>
  <c r="G20" i="4"/>
  <c r="U20" i="4" s="1"/>
  <c r="AY19" i="4"/>
  <c r="AX19" i="4"/>
  <c r="AY18" i="4"/>
  <c r="AX18" i="4"/>
  <c r="AY17" i="4"/>
  <c r="AX17" i="4"/>
  <c r="AY16" i="4"/>
  <c r="AX16" i="4"/>
  <c r="AY15" i="4"/>
  <c r="AX15" i="4"/>
  <c r="AY14" i="4"/>
  <c r="AX14" i="4"/>
  <c r="AY13" i="4"/>
  <c r="AX13" i="4"/>
  <c r="AY12" i="4"/>
  <c r="AX12" i="4"/>
  <c r="AY11" i="4"/>
  <c r="AX11" i="4"/>
  <c r="AY10" i="4"/>
  <c r="AX10" i="4"/>
  <c r="AY9" i="4"/>
  <c r="AX9" i="4"/>
  <c r="AY8" i="4"/>
  <c r="AX8" i="4"/>
  <c r="AY7" i="4"/>
  <c r="AX7" i="4"/>
  <c r="AY6" i="4"/>
  <c r="AX6" i="4"/>
  <c r="AY5" i="4"/>
  <c r="AX5" i="4"/>
  <c r="AY4" i="4"/>
  <c r="AX4" i="4"/>
  <c r="J4" i="4"/>
  <c r="B4" i="4"/>
  <c r="AY3" i="4"/>
  <c r="AX3" i="4"/>
  <c r="AY2" i="4"/>
  <c r="AX2" i="4"/>
  <c r="H7" i="3"/>
  <c r="F7" i="3"/>
  <c r="D7" i="3"/>
  <c r="B7" i="3"/>
  <c r="H6" i="3"/>
  <c r="B6" i="3"/>
  <c r="O51" i="2"/>
  <c r="M51" i="2"/>
  <c r="K51" i="2"/>
  <c r="I51" i="2"/>
  <c r="G51" i="2"/>
  <c r="E51" i="2"/>
  <c r="C51" i="2"/>
  <c r="O50" i="2"/>
  <c r="M50" i="2"/>
  <c r="K50" i="2"/>
  <c r="I50" i="2"/>
  <c r="G50" i="2"/>
  <c r="E50" i="2"/>
  <c r="C50" i="2"/>
  <c r="O49" i="2"/>
  <c r="M49" i="2"/>
  <c r="K49" i="2"/>
  <c r="I49" i="2"/>
  <c r="G49" i="2"/>
  <c r="E49" i="2"/>
  <c r="C49" i="2"/>
  <c r="A2" i="2"/>
  <c r="E14" i="11" l="1"/>
  <c r="E13" i="11"/>
  <c r="E12" i="11"/>
  <c r="M1068" i="10"/>
  <c r="R1068" i="10"/>
  <c r="M1067" i="10"/>
  <c r="R1067" i="10"/>
  <c r="R1066" i="10"/>
  <c r="M1066" i="10"/>
  <c r="M1065" i="10"/>
  <c r="R1065" i="10"/>
  <c r="M1064" i="10"/>
  <c r="R1064" i="10"/>
  <c r="M1063" i="10"/>
  <c r="R1063" i="10"/>
  <c r="R1062" i="10"/>
  <c r="M1062" i="10"/>
  <c r="R1061" i="10"/>
  <c r="M1061" i="10"/>
  <c r="M1060" i="10"/>
  <c r="R1060" i="10"/>
  <c r="R1059" i="10"/>
  <c r="M1059" i="10"/>
  <c r="R1058" i="10"/>
  <c r="M1058" i="10"/>
  <c r="R1057" i="10"/>
  <c r="M1057" i="10"/>
  <c r="R1056" i="10"/>
  <c r="M1056" i="10"/>
  <c r="R1055" i="10"/>
  <c r="M1055" i="10"/>
  <c r="R1054" i="10"/>
  <c r="M1054" i="10"/>
  <c r="R1053" i="10"/>
  <c r="M1053" i="10"/>
  <c r="R1052" i="10"/>
  <c r="M1052" i="10"/>
  <c r="M1051" i="10"/>
  <c r="R1051" i="10"/>
  <c r="R1050" i="10"/>
  <c r="M1050" i="10"/>
  <c r="R1049" i="10"/>
  <c r="M1049" i="10"/>
  <c r="M1048" i="10"/>
  <c r="R1048" i="10"/>
  <c r="R1047" i="10"/>
  <c r="M1047" i="10"/>
  <c r="M1046" i="10"/>
  <c r="R1046" i="10"/>
  <c r="M1045" i="10"/>
  <c r="R1045" i="10"/>
  <c r="M1044" i="10"/>
  <c r="R1044" i="10"/>
  <c r="R1043" i="10"/>
  <c r="M1043" i="10"/>
  <c r="R1042" i="10"/>
  <c r="M1042" i="10"/>
  <c r="R1041" i="10"/>
  <c r="M1041" i="10"/>
  <c r="R1040" i="10"/>
  <c r="M1040" i="10"/>
  <c r="M1039" i="10"/>
  <c r="R1039" i="10"/>
  <c r="M1038" i="10"/>
  <c r="R1038" i="10"/>
  <c r="M1037" i="10"/>
  <c r="R1037" i="10"/>
  <c r="R1036" i="10"/>
  <c r="M1036" i="10"/>
  <c r="R1035" i="10"/>
  <c r="M1035" i="10"/>
  <c r="R1034" i="10"/>
  <c r="M1034" i="10"/>
  <c r="R1033" i="10"/>
  <c r="M1033" i="10"/>
  <c r="R1032" i="10"/>
  <c r="M1032" i="10"/>
  <c r="R1031" i="10"/>
  <c r="M1031" i="10"/>
  <c r="R1030" i="10"/>
  <c r="M1030" i="10"/>
  <c r="R1029" i="10"/>
  <c r="M1029" i="10"/>
  <c r="R1028" i="10"/>
  <c r="M1028" i="10"/>
  <c r="R1027" i="10"/>
  <c r="M1027" i="10"/>
  <c r="M1026" i="10"/>
  <c r="R1026" i="10"/>
  <c r="M1025" i="10"/>
  <c r="R1025" i="10"/>
  <c r="M1024" i="10"/>
  <c r="R1024" i="10"/>
  <c r="M1023" i="10"/>
  <c r="R1023" i="10"/>
  <c r="M1022" i="10"/>
  <c r="R1022" i="10"/>
  <c r="M1021" i="10"/>
  <c r="R1021" i="10"/>
  <c r="M1020" i="10"/>
  <c r="R1020" i="10"/>
  <c r="M1019" i="10"/>
  <c r="R1019" i="10"/>
  <c r="R1018" i="10"/>
  <c r="M1018" i="10"/>
  <c r="R1017" i="10"/>
  <c r="M1017" i="10"/>
  <c r="M1016" i="10"/>
  <c r="R1016" i="10"/>
  <c r="R1015" i="10"/>
  <c r="M1015" i="10"/>
  <c r="M1014" i="10"/>
  <c r="R1014" i="10"/>
  <c r="M1013" i="10"/>
  <c r="R1013" i="10"/>
  <c r="M1012" i="10"/>
  <c r="R1012" i="10"/>
  <c r="M1011" i="10"/>
  <c r="R1011" i="10"/>
  <c r="R1010" i="10"/>
  <c r="M1010" i="10"/>
  <c r="M1009" i="10"/>
  <c r="R1009" i="10"/>
  <c r="M1008" i="10"/>
  <c r="R1008" i="10"/>
  <c r="R1007" i="10"/>
  <c r="M1007" i="10"/>
  <c r="R1006" i="10"/>
  <c r="M1006" i="10"/>
  <c r="R1005" i="10"/>
  <c r="M1005" i="10"/>
  <c r="M1004" i="10"/>
  <c r="R1004" i="10"/>
  <c r="M1003" i="10"/>
  <c r="R1003" i="10"/>
  <c r="R1002" i="10"/>
  <c r="M1002" i="10"/>
  <c r="M1001" i="10"/>
  <c r="R1001" i="10"/>
  <c r="R1000" i="10"/>
  <c r="M1000" i="10"/>
  <c r="M999" i="10"/>
  <c r="R999" i="10"/>
  <c r="T1014" i="10"/>
  <c r="T1033" i="10"/>
  <c r="T1057" i="10"/>
  <c r="T1058" i="10"/>
  <c r="T1053" i="10"/>
  <c r="T1051" i="10"/>
  <c r="T1050" i="10"/>
  <c r="T1049" i="10"/>
  <c r="T1047" i="10"/>
  <c r="T1046" i="10"/>
  <c r="T1044" i="10"/>
  <c r="T1043" i="10"/>
  <c r="T1042" i="10"/>
  <c r="T1041" i="10"/>
  <c r="T1039" i="10"/>
  <c r="T1037" i="10"/>
  <c r="T1036" i="10"/>
  <c r="T1028" i="10"/>
  <c r="T1004" i="10"/>
  <c r="T1034" i="10"/>
  <c r="T1055" i="10"/>
  <c r="T1065" i="10"/>
  <c r="T1064" i="10"/>
  <c r="T999" i="10"/>
  <c r="T1063" i="10"/>
  <c r="T1026" i="10"/>
  <c r="T1025" i="10"/>
  <c r="T1030" i="10"/>
  <c r="T1023" i="10"/>
  <c r="T1010" i="10"/>
  <c r="T1022" i="10"/>
  <c r="T1048" i="10"/>
  <c r="T1002" i="10"/>
  <c r="T1003" i="10"/>
  <c r="T1061" i="10"/>
  <c r="T1021" i="10"/>
  <c r="T1015" i="10"/>
  <c r="T1020" i="10"/>
  <c r="T1060" i="10"/>
  <c r="T1045" i="10"/>
  <c r="T1038" i="10"/>
  <c r="T1018" i="10"/>
  <c r="T1017" i="10"/>
  <c r="T1035" i="10"/>
  <c r="T1016" i="10"/>
  <c r="T1009" i="10"/>
  <c r="T1008" i="10"/>
  <c r="T1013" i="10"/>
  <c r="T1012" i="10"/>
  <c r="T1001" i="10"/>
  <c r="T1032" i="10"/>
  <c r="T1040" i="10"/>
  <c r="T1066" i="10"/>
  <c r="T1059" i="10"/>
  <c r="T1007" i="10"/>
  <c r="T1006" i="10"/>
  <c r="T1005" i="10"/>
  <c r="T1052" i="10"/>
  <c r="T1019" i="10"/>
  <c r="T1024" i="10"/>
  <c r="T1029" i="10"/>
  <c r="T998" i="10"/>
  <c r="T1000" i="10"/>
  <c r="T1031" i="10"/>
  <c r="T1011" i="10"/>
  <c r="T1027" i="10"/>
  <c r="T1068" i="10"/>
  <c r="T1054" i="10"/>
  <c r="T1062" i="10"/>
  <c r="T1067" i="10"/>
  <c r="T1056" i="10"/>
  <c r="X1056" i="10" s="1"/>
  <c r="S1019" i="10"/>
  <c r="S1056" i="10"/>
  <c r="S1026" i="10"/>
  <c r="S1023" i="10"/>
  <c r="S1030" i="10"/>
  <c r="S1034" i="10"/>
  <c r="S1035" i="10"/>
  <c r="S1022" i="10"/>
  <c r="S1027" i="10"/>
  <c r="S1014" i="10"/>
  <c r="S1036" i="10"/>
  <c r="S1047" i="10"/>
  <c r="S1061" i="10"/>
  <c r="S1037" i="10"/>
  <c r="S1001" i="10"/>
  <c r="S1032" i="10"/>
  <c r="S1018" i="10"/>
  <c r="S1011" i="10"/>
  <c r="S1017" i="10"/>
  <c r="S1016" i="10"/>
  <c r="S1009" i="10"/>
  <c r="S1008" i="10"/>
  <c r="S1015" i="10"/>
  <c r="S1002" i="10"/>
  <c r="S1013" i="10"/>
  <c r="S1012" i="10"/>
  <c r="S1039" i="10"/>
  <c r="S1050" i="10"/>
  <c r="S1064" i="10"/>
  <c r="S1065" i="10"/>
  <c r="S1068" i="10"/>
  <c r="S1040" i="10"/>
  <c r="S1041" i="10"/>
  <c r="S1003" i="10"/>
  <c r="S1029" i="10"/>
  <c r="S1042" i="10"/>
  <c r="S1066" i="10"/>
  <c r="S1054" i="10"/>
  <c r="S1004" i="10"/>
  <c r="S1043" i="10"/>
  <c r="S1010" i="10"/>
  <c r="S1044" i="10"/>
  <c r="S1059" i="10"/>
  <c r="S1045" i="10"/>
  <c r="S1055" i="10"/>
  <c r="S1007" i="10"/>
  <c r="S1046" i="10"/>
  <c r="S1031" i="10"/>
  <c r="S1006" i="10"/>
  <c r="S999" i="10"/>
  <c r="S1062" i="10"/>
  <c r="S1049" i="10"/>
  <c r="S1048" i="10"/>
  <c r="S1052" i="10"/>
  <c r="S1038" i="10"/>
  <c r="S998" i="10"/>
  <c r="S1000" i="10"/>
  <c r="S1063" i="10"/>
  <c r="S1053" i="10"/>
  <c r="S1051" i="10"/>
  <c r="S1005" i="10"/>
  <c r="S1060" i="10"/>
  <c r="S1028" i="10"/>
  <c r="S1024" i="10"/>
  <c r="S1025" i="10"/>
  <c r="S1067" i="10"/>
  <c r="S1033" i="10"/>
  <c r="S1020" i="10"/>
  <c r="S1058" i="10"/>
  <c r="S1021" i="10"/>
  <c r="S1057" i="10"/>
  <c r="W1057" i="10" s="1"/>
  <c r="R998" i="10"/>
  <c r="E7" i="11"/>
  <c r="M998" i="10"/>
  <c r="F26" i="11"/>
  <c r="I6" i="2" s="1"/>
  <c r="C22" i="12"/>
  <c r="R997" i="10"/>
  <c r="M997" i="10"/>
  <c r="R996" i="10"/>
  <c r="M996" i="10"/>
  <c r="M995" i="10"/>
  <c r="R995" i="10"/>
  <c r="R994" i="10"/>
  <c r="M994" i="10"/>
  <c r="M993" i="10"/>
  <c r="R993" i="10"/>
  <c r="R992" i="10"/>
  <c r="M992" i="10"/>
  <c r="M991" i="10"/>
  <c r="R991" i="10"/>
  <c r="M990" i="10"/>
  <c r="R990" i="10"/>
  <c r="M989" i="10"/>
  <c r="R989" i="10"/>
  <c r="M988" i="10"/>
  <c r="R988" i="10"/>
  <c r="R987" i="10"/>
  <c r="M987" i="10"/>
  <c r="R986" i="10"/>
  <c r="M986" i="10"/>
  <c r="R985" i="10"/>
  <c r="M985" i="10"/>
  <c r="R984" i="10"/>
  <c r="M984" i="10"/>
  <c r="R983" i="10"/>
  <c r="M983" i="10"/>
  <c r="R982" i="10"/>
  <c r="M982" i="10"/>
  <c r="M981" i="10"/>
  <c r="R981" i="10"/>
  <c r="R980" i="10"/>
  <c r="M980" i="10"/>
  <c r="M979" i="10"/>
  <c r="R979" i="10"/>
  <c r="M978" i="10"/>
  <c r="R978" i="10"/>
  <c r="R977" i="10"/>
  <c r="M977" i="10"/>
  <c r="M976" i="10"/>
  <c r="R976" i="10"/>
  <c r="R975" i="10"/>
  <c r="M975" i="10"/>
  <c r="M974" i="10"/>
  <c r="R974" i="10"/>
  <c r="R973" i="10"/>
  <c r="M973" i="10"/>
  <c r="M972" i="10"/>
  <c r="R972" i="10"/>
  <c r="R971" i="10"/>
  <c r="M971" i="10"/>
  <c r="M970" i="10"/>
  <c r="R970" i="10"/>
  <c r="R969" i="10"/>
  <c r="M969" i="10"/>
  <c r="M968" i="10"/>
  <c r="R968" i="10"/>
  <c r="M967" i="10"/>
  <c r="R967" i="10"/>
  <c r="M966" i="10"/>
  <c r="R966" i="10"/>
  <c r="R965" i="10"/>
  <c r="M965" i="10"/>
  <c r="M964" i="10"/>
  <c r="R964" i="10"/>
  <c r="R963" i="10"/>
  <c r="M963" i="10"/>
  <c r="R962" i="10"/>
  <c r="M962" i="10"/>
  <c r="R961" i="10"/>
  <c r="M961" i="10"/>
  <c r="M947" i="10"/>
  <c r="R947" i="10"/>
  <c r="R946" i="10"/>
  <c r="M946" i="10"/>
  <c r="R945" i="10"/>
  <c r="M945" i="10"/>
  <c r="M944" i="10"/>
  <c r="R944" i="10"/>
  <c r="R943" i="10"/>
  <c r="M943" i="10"/>
  <c r="R942" i="10"/>
  <c r="M942" i="10"/>
  <c r="R941" i="10"/>
  <c r="M941" i="10"/>
  <c r="R940" i="10"/>
  <c r="M940" i="10"/>
  <c r="M939" i="10"/>
  <c r="R939" i="10"/>
  <c r="M938" i="10"/>
  <c r="R938" i="10"/>
  <c r="R937" i="10"/>
  <c r="M937" i="10"/>
  <c r="M936" i="10"/>
  <c r="R936" i="10"/>
  <c r="M935" i="10"/>
  <c r="R935" i="10"/>
  <c r="M934" i="10"/>
  <c r="R934" i="10"/>
  <c r="R933" i="10"/>
  <c r="M933" i="10"/>
  <c r="R932" i="10"/>
  <c r="M932" i="10"/>
  <c r="M931" i="10"/>
  <c r="R931" i="10"/>
  <c r="M930" i="10"/>
  <c r="R930" i="10"/>
  <c r="M929" i="10"/>
  <c r="R929" i="10"/>
  <c r="R928" i="10"/>
  <c r="M928" i="10"/>
  <c r="F25" i="11"/>
  <c r="C21" i="12"/>
  <c r="M927" i="10"/>
  <c r="R927" i="10"/>
  <c r="R926" i="10"/>
  <c r="M926" i="10"/>
  <c r="M925" i="10"/>
  <c r="R925" i="10"/>
  <c r="M924" i="10"/>
  <c r="R924" i="10"/>
  <c r="R923" i="10"/>
  <c r="M923" i="10"/>
  <c r="M922" i="10"/>
  <c r="R922" i="10"/>
  <c r="M921" i="10"/>
  <c r="R921" i="10"/>
  <c r="M920" i="10"/>
  <c r="R920" i="10"/>
  <c r="R919" i="10"/>
  <c r="M919" i="10"/>
  <c r="R918" i="10"/>
  <c r="M918" i="10"/>
  <c r="R917" i="10"/>
  <c r="M917" i="10"/>
  <c r="M916" i="10"/>
  <c r="R916" i="10"/>
  <c r="M915" i="10"/>
  <c r="R915" i="10"/>
  <c r="M914" i="10"/>
  <c r="R914" i="10"/>
  <c r="R913" i="10"/>
  <c r="M913" i="10"/>
  <c r="M912" i="10"/>
  <c r="R912" i="10"/>
  <c r="R911" i="10"/>
  <c r="M911" i="10"/>
  <c r="M910" i="10"/>
  <c r="R910" i="10"/>
  <c r="R909" i="10"/>
  <c r="M909" i="10"/>
  <c r="R908" i="10"/>
  <c r="M908" i="10"/>
  <c r="M907" i="10"/>
  <c r="R907" i="10"/>
  <c r="M906" i="10"/>
  <c r="R906" i="10"/>
  <c r="R905" i="10"/>
  <c r="M905" i="10"/>
  <c r="R904" i="10"/>
  <c r="M904" i="10"/>
  <c r="R903" i="10"/>
  <c r="M903" i="10"/>
  <c r="R902" i="10"/>
  <c r="M902" i="10"/>
  <c r="M901" i="10"/>
  <c r="R901" i="10"/>
  <c r="M900" i="10"/>
  <c r="R900" i="10"/>
  <c r="R899" i="10"/>
  <c r="M899" i="10"/>
  <c r="M898" i="10"/>
  <c r="R898" i="10"/>
  <c r="M897" i="10"/>
  <c r="R897" i="10"/>
  <c r="M896" i="10"/>
  <c r="R896" i="10"/>
  <c r="R895" i="10"/>
  <c r="M895" i="10"/>
  <c r="M894" i="10"/>
  <c r="R894" i="10"/>
  <c r="R893" i="10"/>
  <c r="M893" i="10"/>
  <c r="M892" i="10"/>
  <c r="R892" i="10"/>
  <c r="R891" i="10"/>
  <c r="M891" i="10"/>
  <c r="R890" i="10"/>
  <c r="M890" i="10"/>
  <c r="M889" i="10"/>
  <c r="R889" i="10"/>
  <c r="R888" i="10"/>
  <c r="M888" i="10"/>
  <c r="M887" i="10"/>
  <c r="R887" i="10"/>
  <c r="M886" i="10"/>
  <c r="R886" i="10"/>
  <c r="R885" i="10"/>
  <c r="M885" i="10"/>
  <c r="M884" i="10"/>
  <c r="R884" i="10"/>
  <c r="M883" i="10"/>
  <c r="R883" i="10"/>
  <c r="M882" i="10"/>
  <c r="R882" i="10"/>
  <c r="R881" i="10"/>
  <c r="M881" i="10"/>
  <c r="M880" i="10"/>
  <c r="R880" i="10"/>
  <c r="M879" i="10"/>
  <c r="R879" i="10"/>
  <c r="M878" i="10"/>
  <c r="R878" i="10"/>
  <c r="M877" i="10"/>
  <c r="R877" i="10"/>
  <c r="R876" i="10"/>
  <c r="M876" i="10"/>
  <c r="M875" i="10"/>
  <c r="R875" i="10"/>
  <c r="R874" i="10"/>
  <c r="M874" i="10"/>
  <c r="M873" i="10"/>
  <c r="R873" i="10"/>
  <c r="R872" i="10"/>
  <c r="M872" i="10"/>
  <c r="M871" i="10"/>
  <c r="R871" i="10"/>
  <c r="M870" i="10"/>
  <c r="R870" i="10"/>
  <c r="M869" i="10"/>
  <c r="R869" i="10"/>
  <c r="M868" i="10"/>
  <c r="R868" i="10"/>
  <c r="R867" i="10"/>
  <c r="M867" i="10"/>
  <c r="R866" i="10"/>
  <c r="M866" i="10"/>
  <c r="M865" i="10"/>
  <c r="R865" i="10"/>
  <c r="R864" i="10"/>
  <c r="M864" i="10"/>
  <c r="M863" i="10"/>
  <c r="R863" i="10"/>
  <c r="R862" i="10"/>
  <c r="M862" i="10"/>
  <c r="R861" i="10"/>
  <c r="M861" i="10"/>
  <c r="R860" i="10"/>
  <c r="M860" i="10"/>
  <c r="M859" i="10"/>
  <c r="R859" i="10"/>
  <c r="M858" i="10"/>
  <c r="R858" i="10"/>
  <c r="R857" i="10"/>
  <c r="M857" i="10"/>
  <c r="T895" i="10"/>
  <c r="T892" i="10"/>
  <c r="T891" i="10"/>
  <c r="T918" i="10"/>
  <c r="T921" i="10"/>
  <c r="T890" i="10"/>
  <c r="T887" i="10"/>
  <c r="T859" i="10"/>
  <c r="T886" i="10"/>
  <c r="T877" i="10"/>
  <c r="T885" i="10"/>
  <c r="T894" i="10"/>
  <c r="T876" i="10"/>
  <c r="T864" i="10"/>
  <c r="T875" i="10"/>
  <c r="T883" i="10"/>
  <c r="T882" i="10"/>
  <c r="T874" i="10"/>
  <c r="T881" i="10"/>
  <c r="T880" i="10"/>
  <c r="T858" i="10"/>
  <c r="T862" i="10"/>
  <c r="T879" i="10"/>
  <c r="T861" i="10"/>
  <c r="T857" i="10"/>
  <c r="T893" i="10"/>
  <c r="T873" i="10"/>
  <c r="T869" i="10"/>
  <c r="T872" i="10"/>
  <c r="T868" i="10"/>
  <c r="T870" i="10"/>
  <c r="T865" i="10"/>
  <c r="T888" i="10"/>
  <c r="T909" i="10"/>
  <c r="T863" i="10"/>
  <c r="T860" i="10"/>
  <c r="T904" i="10"/>
  <c r="T889" i="10"/>
  <c r="T884" i="10"/>
  <c r="T856" i="10"/>
  <c r="T867" i="10"/>
  <c r="T866" i="10"/>
  <c r="T925" i="10"/>
  <c r="T919" i="10"/>
  <c r="T922" i="10"/>
  <c r="T911" i="10"/>
  <c r="T912" i="10"/>
  <c r="T913" i="10"/>
  <c r="T878" i="10"/>
  <c r="T916" i="10"/>
  <c r="T920" i="10"/>
  <c r="T901" i="10"/>
  <c r="T923" i="10"/>
  <c r="T924" i="10"/>
  <c r="T926" i="10"/>
  <c r="T902" i="10"/>
  <c r="T900" i="10"/>
  <c r="T899" i="10"/>
  <c r="T903" i="10"/>
  <c r="T905" i="10"/>
  <c r="T906" i="10"/>
  <c r="T907" i="10"/>
  <c r="T908" i="10"/>
  <c r="T871" i="10"/>
  <c r="T910" i="10"/>
  <c r="T898" i="10"/>
  <c r="T914" i="10"/>
  <c r="T915" i="10"/>
  <c r="T897" i="10"/>
  <c r="T917" i="10"/>
  <c r="T896" i="10"/>
  <c r="X896" i="10" s="1"/>
  <c r="S887" i="10"/>
  <c r="S888" i="10"/>
  <c r="S889" i="10"/>
  <c r="S890" i="10"/>
  <c r="S891" i="10"/>
  <c r="S865" i="10"/>
  <c r="S892" i="10"/>
  <c r="S893" i="10"/>
  <c r="S894" i="10"/>
  <c r="S895" i="10"/>
  <c r="S897" i="10"/>
  <c r="S898" i="10"/>
  <c r="S899" i="10"/>
  <c r="S900" i="10"/>
  <c r="S901" i="10"/>
  <c r="S902" i="10"/>
  <c r="S903" i="10"/>
  <c r="S904" i="10"/>
  <c r="S860" i="10"/>
  <c r="S906" i="10"/>
  <c r="S907" i="10"/>
  <c r="S908" i="10"/>
  <c r="S910" i="10"/>
  <c r="S911" i="10"/>
  <c r="S896" i="10"/>
  <c r="S912" i="10"/>
  <c r="S913" i="10"/>
  <c r="S914" i="10"/>
  <c r="S915" i="10"/>
  <c r="S916" i="10"/>
  <c r="S917" i="10"/>
  <c r="S918" i="10"/>
  <c r="S920" i="10"/>
  <c r="S922" i="10"/>
  <c r="S923" i="10"/>
  <c r="S924" i="10"/>
  <c r="S925" i="10"/>
  <c r="S926" i="10"/>
  <c r="S856" i="10"/>
  <c r="S871" i="10"/>
  <c r="S905" i="10"/>
  <c r="S909" i="10"/>
  <c r="S876" i="10"/>
  <c r="S857" i="10"/>
  <c r="S858" i="10"/>
  <c r="S859" i="10"/>
  <c r="S861" i="10"/>
  <c r="S862" i="10"/>
  <c r="S919" i="10"/>
  <c r="S863" i="10"/>
  <c r="S864" i="10"/>
  <c r="S866" i="10"/>
  <c r="S867" i="10"/>
  <c r="S868" i="10"/>
  <c r="S869" i="10"/>
  <c r="S870" i="10"/>
  <c r="S872" i="10"/>
  <c r="S873" i="10"/>
  <c r="S874" i="10"/>
  <c r="S875" i="10"/>
  <c r="S877" i="10"/>
  <c r="S878" i="10"/>
  <c r="S879" i="10"/>
  <c r="S880" i="10"/>
  <c r="S881" i="10"/>
  <c r="S882" i="10"/>
  <c r="S883" i="10"/>
  <c r="S884" i="10"/>
  <c r="S885" i="10"/>
  <c r="S886" i="10"/>
  <c r="W886" i="10" s="1"/>
  <c r="S921" i="10"/>
  <c r="W921" i="10" s="1"/>
  <c r="R856" i="10"/>
  <c r="F24" i="11"/>
  <c r="C20" i="12"/>
  <c r="M856" i="10"/>
  <c r="R855" i="10"/>
  <c r="M855" i="10"/>
  <c r="R854" i="10"/>
  <c r="M854" i="10"/>
  <c r="R853" i="10"/>
  <c r="M853" i="10"/>
  <c r="M852" i="10"/>
  <c r="R852" i="10"/>
  <c r="M851" i="10"/>
  <c r="R851" i="10"/>
  <c r="R850" i="10"/>
  <c r="M850" i="10"/>
  <c r="R849" i="10"/>
  <c r="M849" i="10"/>
  <c r="R848" i="10"/>
  <c r="M848" i="10"/>
  <c r="R847" i="10"/>
  <c r="M847" i="10"/>
  <c r="M846" i="10"/>
  <c r="R846" i="10"/>
  <c r="R774" i="10"/>
  <c r="M774" i="10"/>
  <c r="R773" i="10"/>
  <c r="M773" i="10"/>
  <c r="M772" i="10"/>
  <c r="R772" i="10"/>
  <c r="M771" i="10"/>
  <c r="R771" i="10"/>
  <c r="M770" i="10"/>
  <c r="R770" i="10"/>
  <c r="M769" i="10"/>
  <c r="R769" i="10"/>
  <c r="R768" i="10"/>
  <c r="M768" i="10"/>
  <c r="R767" i="10"/>
  <c r="M767" i="10"/>
  <c r="R766" i="10"/>
  <c r="M766" i="10"/>
  <c r="M765" i="10"/>
  <c r="R765" i="10"/>
  <c r="M764" i="10"/>
  <c r="R764" i="10"/>
  <c r="R763" i="10"/>
  <c r="M763" i="10"/>
  <c r="R762" i="10"/>
  <c r="M762" i="10"/>
  <c r="M761" i="10"/>
  <c r="R761" i="10"/>
  <c r="R760" i="10"/>
  <c r="M760" i="10"/>
  <c r="R759" i="10"/>
  <c r="M759" i="10"/>
  <c r="R758" i="10"/>
  <c r="M758" i="10"/>
  <c r="R757" i="10"/>
  <c r="M757" i="10"/>
  <c r="M756" i="10"/>
  <c r="R756" i="10"/>
  <c r="R755" i="10"/>
  <c r="M755" i="10"/>
  <c r="M754" i="10"/>
  <c r="R754" i="10"/>
  <c r="M753" i="10"/>
  <c r="R753" i="10"/>
  <c r="M752" i="10"/>
  <c r="R752" i="10"/>
  <c r="R751" i="10"/>
  <c r="M751" i="10"/>
  <c r="M750" i="10"/>
  <c r="R750" i="10"/>
  <c r="M749" i="10"/>
  <c r="R749" i="10"/>
  <c r="M748" i="10"/>
  <c r="R748" i="10"/>
  <c r="M747" i="10"/>
  <c r="R747" i="10"/>
  <c r="M746" i="10"/>
  <c r="R746" i="10"/>
  <c r="R745" i="10"/>
  <c r="M745" i="10"/>
  <c r="M744" i="10"/>
  <c r="R744" i="10"/>
  <c r="M743" i="10"/>
  <c r="R743" i="10"/>
  <c r="M742" i="10"/>
  <c r="R742" i="10"/>
  <c r="M741" i="10"/>
  <c r="R741" i="10"/>
  <c r="M740" i="10"/>
  <c r="R740" i="10"/>
  <c r="M739" i="10"/>
  <c r="R739" i="10"/>
  <c r="M738" i="10"/>
  <c r="R738" i="10"/>
  <c r="M737" i="10"/>
  <c r="R737" i="10"/>
  <c r="M736" i="10"/>
  <c r="R736" i="10"/>
  <c r="R735" i="10"/>
  <c r="M735" i="10"/>
  <c r="R734" i="10"/>
  <c r="M734" i="10"/>
  <c r="R662" i="10"/>
  <c r="M662" i="10"/>
  <c r="M661" i="10"/>
  <c r="R661" i="10"/>
  <c r="R660" i="10"/>
  <c r="M660" i="10"/>
  <c r="M659" i="10"/>
  <c r="R659" i="10"/>
  <c r="M658" i="10"/>
  <c r="R658" i="10"/>
  <c r="M657" i="10"/>
  <c r="R657" i="10"/>
  <c r="M656" i="10"/>
  <c r="R656" i="10"/>
  <c r="M655" i="10"/>
  <c r="R655" i="10"/>
  <c r="R654" i="10"/>
  <c r="M654" i="10"/>
  <c r="R653" i="10"/>
  <c r="M653" i="10"/>
  <c r="M652" i="10"/>
  <c r="R652" i="10"/>
  <c r="M651" i="10"/>
  <c r="R651" i="10"/>
  <c r="R650" i="10"/>
  <c r="M650" i="10"/>
  <c r="R649" i="10"/>
  <c r="M649" i="10"/>
  <c r="M648" i="10"/>
  <c r="R648" i="10"/>
  <c r="R647" i="10"/>
  <c r="M647" i="10"/>
  <c r="M646" i="10"/>
  <c r="R646" i="10"/>
  <c r="R645" i="10"/>
  <c r="M645" i="10"/>
  <c r="R644" i="10"/>
  <c r="M644" i="10"/>
  <c r="R643" i="10"/>
  <c r="M643" i="10"/>
  <c r="R642" i="10"/>
  <c r="M642" i="10"/>
  <c r="R641" i="10"/>
  <c r="M641" i="10"/>
  <c r="R640" i="10"/>
  <c r="M640" i="10"/>
  <c r="R639" i="10"/>
  <c r="M639" i="10"/>
  <c r="M638" i="10"/>
  <c r="M637" i="10"/>
  <c r="M636" i="10"/>
  <c r="M635" i="10"/>
  <c r="M634" i="10"/>
  <c r="M633" i="10"/>
  <c r="M632" i="10"/>
  <c r="M631" i="10"/>
  <c r="M630" i="10"/>
  <c r="M629" i="10"/>
  <c r="M628" i="10"/>
  <c r="M627" i="10"/>
  <c r="M626" i="10"/>
  <c r="M625" i="10"/>
  <c r="M624" i="10"/>
  <c r="M623" i="10"/>
  <c r="M622" i="10"/>
  <c r="M506" i="10"/>
  <c r="R506" i="10"/>
  <c r="R505" i="10"/>
  <c r="M505" i="10"/>
  <c r="M504" i="10"/>
  <c r="R504" i="10"/>
  <c r="R503" i="10"/>
  <c r="M503" i="10"/>
  <c r="R502" i="10"/>
  <c r="M502" i="10"/>
  <c r="S568" i="10"/>
  <c r="S569" i="10"/>
  <c r="S570" i="10"/>
  <c r="S571" i="10"/>
  <c r="S559" i="10"/>
  <c r="S540" i="10"/>
  <c r="S539" i="10"/>
  <c r="S538" i="10"/>
  <c r="S537" i="10"/>
  <c r="S536" i="10"/>
  <c r="S535" i="10"/>
  <c r="S534" i="10"/>
  <c r="S533" i="10"/>
  <c r="S532" i="10"/>
  <c r="S501" i="10"/>
  <c r="S531" i="10"/>
  <c r="S502" i="10"/>
  <c r="S530" i="10"/>
  <c r="S503" i="10"/>
  <c r="S529" i="10"/>
  <c r="S504" i="10"/>
  <c r="S528" i="10"/>
  <c r="S505" i="10"/>
  <c r="S527" i="10"/>
  <c r="S506" i="10"/>
  <c r="S507" i="10"/>
  <c r="S526" i="10"/>
  <c r="S508" i="10"/>
  <c r="S525" i="10"/>
  <c r="S509" i="10"/>
  <c r="S510" i="10"/>
  <c r="S524" i="10"/>
  <c r="S511" i="10"/>
  <c r="S512" i="10"/>
  <c r="S523" i="10"/>
  <c r="S513" i="10"/>
  <c r="S522" i="10"/>
  <c r="S514" i="10"/>
  <c r="S515" i="10"/>
  <c r="S521" i="10"/>
  <c r="S516" i="10"/>
  <c r="S517" i="10"/>
  <c r="S520" i="10"/>
  <c r="S518" i="10"/>
  <c r="S542" i="10"/>
  <c r="S543" i="10"/>
  <c r="S544" i="10"/>
  <c r="S545" i="10"/>
  <c r="S546" i="10"/>
  <c r="S547" i="10"/>
  <c r="S548" i="10"/>
  <c r="S549" i="10"/>
  <c r="S550" i="10"/>
  <c r="S551" i="10"/>
  <c r="S552" i="10"/>
  <c r="S553" i="10"/>
  <c r="S554" i="10"/>
  <c r="S555" i="10"/>
  <c r="S556" i="10"/>
  <c r="S557" i="10"/>
  <c r="S558" i="10"/>
  <c r="S560" i="10"/>
  <c r="S561" i="10"/>
  <c r="S562" i="10"/>
  <c r="S563" i="10"/>
  <c r="S519" i="10"/>
  <c r="S564" i="10"/>
  <c r="S565" i="10"/>
  <c r="S566" i="10"/>
  <c r="S567" i="10"/>
  <c r="W567" i="10" s="1"/>
  <c r="S541" i="10"/>
  <c r="R501" i="10"/>
  <c r="B11" i="13"/>
  <c r="M501" i="10"/>
  <c r="R500" i="10"/>
  <c r="M500" i="10"/>
  <c r="R499" i="10"/>
  <c r="M499" i="10"/>
  <c r="M498" i="10"/>
  <c r="R498" i="10"/>
  <c r="M497" i="10"/>
  <c r="R497" i="10"/>
  <c r="R496" i="10"/>
  <c r="M496" i="10"/>
  <c r="M495" i="10"/>
  <c r="R495" i="10"/>
  <c r="M494" i="10"/>
  <c r="R494" i="10"/>
  <c r="M493" i="10"/>
  <c r="R493" i="10"/>
  <c r="M492" i="10"/>
  <c r="R492" i="10"/>
  <c r="M491" i="10"/>
  <c r="R491" i="10"/>
  <c r="M490" i="10"/>
  <c r="R490" i="10"/>
  <c r="M489" i="10"/>
  <c r="R489" i="10"/>
  <c r="R488" i="10"/>
  <c r="M488" i="10"/>
  <c r="M487" i="10"/>
  <c r="R487" i="10"/>
  <c r="R486" i="10"/>
  <c r="M486" i="10"/>
  <c r="M485" i="10"/>
  <c r="R485" i="10"/>
  <c r="M484" i="10"/>
  <c r="R484" i="10"/>
  <c r="M483" i="10"/>
  <c r="R483" i="10"/>
  <c r="R482" i="10"/>
  <c r="M482" i="10"/>
  <c r="M481" i="10"/>
  <c r="R481" i="10"/>
  <c r="M480" i="10"/>
  <c r="R480" i="10"/>
  <c r="R479" i="10"/>
  <c r="M479" i="10"/>
  <c r="M478" i="10"/>
  <c r="R478" i="10"/>
  <c r="R477" i="10"/>
  <c r="M477" i="10"/>
  <c r="R476" i="10"/>
  <c r="M476" i="10"/>
  <c r="M475" i="10"/>
  <c r="R475" i="10"/>
  <c r="R474" i="10"/>
  <c r="M474" i="10"/>
  <c r="R473" i="10"/>
  <c r="M473" i="10"/>
  <c r="M472" i="10"/>
  <c r="R472" i="10"/>
  <c r="M471" i="10"/>
  <c r="R471" i="10"/>
  <c r="R470" i="10"/>
  <c r="M470" i="10"/>
  <c r="R469" i="10"/>
  <c r="M469" i="10"/>
  <c r="R468" i="10"/>
  <c r="M468" i="10"/>
  <c r="M467" i="10"/>
  <c r="R467" i="10"/>
  <c r="M466" i="10"/>
  <c r="R466" i="10"/>
  <c r="M465" i="10"/>
  <c r="R465" i="10"/>
  <c r="R464" i="10"/>
  <c r="M464" i="10"/>
  <c r="M463" i="10"/>
  <c r="R463" i="10"/>
  <c r="R462" i="10"/>
  <c r="M462" i="10"/>
  <c r="R461" i="10"/>
  <c r="M461" i="10"/>
  <c r="M460" i="10"/>
  <c r="R460" i="10"/>
  <c r="R459" i="10"/>
  <c r="M459" i="10"/>
  <c r="M458" i="10"/>
  <c r="R458" i="10"/>
  <c r="R457" i="10"/>
  <c r="M457" i="10"/>
  <c r="R456" i="10"/>
  <c r="M456" i="10"/>
  <c r="M455" i="10"/>
  <c r="R455" i="10"/>
  <c r="M454" i="10"/>
  <c r="R454" i="10"/>
  <c r="M453" i="10"/>
  <c r="R453" i="10"/>
  <c r="R452" i="10"/>
  <c r="M452" i="10"/>
  <c r="R451" i="10"/>
  <c r="M451" i="10"/>
  <c r="R450" i="10"/>
  <c r="M450" i="10"/>
  <c r="M449" i="10"/>
  <c r="R449" i="10"/>
  <c r="R448" i="10"/>
  <c r="M448" i="10"/>
  <c r="M447" i="10"/>
  <c r="R447" i="10"/>
  <c r="M446" i="10"/>
  <c r="R446" i="10"/>
  <c r="M445" i="10"/>
  <c r="R445" i="10"/>
  <c r="M444" i="10"/>
  <c r="R444" i="10"/>
  <c r="M443" i="10"/>
  <c r="R443" i="10"/>
  <c r="R442" i="10"/>
  <c r="M442" i="10"/>
  <c r="R441" i="10"/>
  <c r="M441" i="10"/>
  <c r="R440" i="10"/>
  <c r="M440" i="10"/>
  <c r="R439" i="10"/>
  <c r="M439" i="10"/>
  <c r="M438" i="10"/>
  <c r="R438" i="10"/>
  <c r="M437" i="10"/>
  <c r="R437" i="10"/>
  <c r="M436" i="10"/>
  <c r="R436" i="10"/>
  <c r="M435" i="10"/>
  <c r="R435" i="10"/>
  <c r="R434" i="10"/>
  <c r="M434" i="10"/>
  <c r="R433" i="10"/>
  <c r="M433" i="10"/>
  <c r="R432" i="10"/>
  <c r="M432" i="10"/>
  <c r="M431" i="10"/>
  <c r="R431" i="10"/>
  <c r="T486" i="10"/>
  <c r="T480" i="10"/>
  <c r="T452" i="10"/>
  <c r="T432" i="10"/>
  <c r="T479" i="10"/>
  <c r="T481" i="10"/>
  <c r="T451" i="10"/>
  <c r="T471" i="10"/>
  <c r="T453" i="10"/>
  <c r="T482" i="10"/>
  <c r="T450" i="10"/>
  <c r="T492" i="10"/>
  <c r="T499" i="10"/>
  <c r="T483" i="10"/>
  <c r="T449" i="10"/>
  <c r="T460" i="10"/>
  <c r="T440" i="10"/>
  <c r="T484" i="10"/>
  <c r="T448" i="10"/>
  <c r="T500" i="10"/>
  <c r="T468" i="10"/>
  <c r="T485" i="10"/>
  <c r="T447" i="10"/>
  <c r="T439" i="10"/>
  <c r="T434" i="10"/>
  <c r="T446" i="10"/>
  <c r="T466" i="10"/>
  <c r="T490" i="10"/>
  <c r="T445" i="10"/>
  <c r="T477" i="10"/>
  <c r="T487" i="10"/>
  <c r="T435" i="10"/>
  <c r="T469" i="10"/>
  <c r="T488" i="10"/>
  <c r="T444" i="10"/>
  <c r="T438" i="10"/>
  <c r="T491" i="10"/>
  <c r="T436" i="10"/>
  <c r="T472" i="10"/>
  <c r="T463" i="10"/>
  <c r="T461" i="10"/>
  <c r="T493" i="10"/>
  <c r="T456" i="10"/>
  <c r="T473" i="10"/>
  <c r="T437" i="10"/>
  <c r="T441" i="10"/>
  <c r="T494" i="10"/>
  <c r="T470" i="10"/>
  <c r="T474" i="10"/>
  <c r="T467" i="10"/>
  <c r="T431" i="10"/>
  <c r="T495" i="10"/>
  <c r="T489" i="10"/>
  <c r="T475" i="10"/>
  <c r="T430" i="10"/>
  <c r="T464" i="10"/>
  <c r="T458" i="10"/>
  <c r="T433" i="10"/>
  <c r="T496" i="10"/>
  <c r="T442" i="10"/>
  <c r="T465" i="10"/>
  <c r="T497" i="10"/>
  <c r="T478" i="10"/>
  <c r="T455" i="10"/>
  <c r="T462" i="10"/>
  <c r="T457" i="10"/>
  <c r="T459" i="10"/>
  <c r="T476" i="10"/>
  <c r="T454" i="10"/>
  <c r="X454" i="10" s="1"/>
  <c r="T498" i="10"/>
  <c r="X498" i="10" s="1"/>
  <c r="T443" i="10"/>
  <c r="X443" i="10" s="1"/>
  <c r="S452" i="10"/>
  <c r="S481" i="10"/>
  <c r="S451" i="10"/>
  <c r="S482" i="10"/>
  <c r="S450" i="10"/>
  <c r="S483" i="10"/>
  <c r="S449" i="10"/>
  <c r="S484" i="10"/>
  <c r="S448" i="10"/>
  <c r="S485" i="10"/>
  <c r="S447" i="10"/>
  <c r="S486" i="10"/>
  <c r="S446" i="10"/>
  <c r="S480" i="10"/>
  <c r="S487" i="10"/>
  <c r="S445" i="10"/>
  <c r="S488" i="10"/>
  <c r="S459" i="10"/>
  <c r="S432" i="10"/>
  <c r="S472" i="10"/>
  <c r="S493" i="10"/>
  <c r="S473" i="10"/>
  <c r="S467" i="10"/>
  <c r="S494" i="10"/>
  <c r="S474" i="10"/>
  <c r="S495" i="10"/>
  <c r="S475" i="10"/>
  <c r="S496" i="10"/>
  <c r="S463" i="10"/>
  <c r="S497" i="10"/>
  <c r="S476" i="10"/>
  <c r="S498" i="10"/>
  <c r="S457" i="10"/>
  <c r="S468" i="10"/>
  <c r="S499" i="10"/>
  <c r="S470" i="10"/>
  <c r="S456" i="10"/>
  <c r="S433" i="10"/>
  <c r="S458" i="10"/>
  <c r="S441" i="10"/>
  <c r="S435" i="10"/>
  <c r="S434" i="10"/>
  <c r="S440" i="10"/>
  <c r="S431" i="10"/>
  <c r="S466" i="10"/>
  <c r="S492" i="10"/>
  <c r="S465" i="10"/>
  <c r="S439" i="10"/>
  <c r="S430" i="10"/>
  <c r="S442" i="10"/>
  <c r="S460" i="10"/>
  <c r="S438" i="10"/>
  <c r="S478" i="10"/>
  <c r="S453" i="10"/>
  <c r="S477" i="10"/>
  <c r="S436" i="10"/>
  <c r="S461" i="10"/>
  <c r="S462" i="10"/>
  <c r="S489" i="10"/>
  <c r="S471" i="10"/>
  <c r="S443" i="10"/>
  <c r="S479" i="10"/>
  <c r="S491" i="10"/>
  <c r="S454" i="10"/>
  <c r="S437" i="10"/>
  <c r="S500" i="10"/>
  <c r="S455" i="10"/>
  <c r="S469" i="10"/>
  <c r="S444" i="10"/>
  <c r="S464" i="10"/>
  <c r="W464" i="10" s="1"/>
  <c r="S490" i="10"/>
  <c r="W490" i="10" s="1"/>
  <c r="R430" i="10"/>
  <c r="M430" i="10"/>
  <c r="R429" i="10"/>
  <c r="M429" i="10"/>
  <c r="M428" i="10"/>
  <c r="R428" i="10"/>
  <c r="R427" i="10"/>
  <c r="M427" i="10"/>
  <c r="R426" i="10"/>
  <c r="M426" i="10"/>
  <c r="R425" i="10"/>
  <c r="M425" i="10"/>
  <c r="R424" i="10"/>
  <c r="M424" i="10"/>
  <c r="R423" i="10"/>
  <c r="M423" i="10"/>
  <c r="R422" i="10"/>
  <c r="M422" i="10"/>
  <c r="R421" i="10"/>
  <c r="M421" i="10"/>
  <c r="R420" i="10"/>
  <c r="M420" i="10"/>
  <c r="R419" i="10"/>
  <c r="M419" i="10"/>
  <c r="M418" i="10"/>
  <c r="R418" i="10"/>
  <c r="M417" i="10"/>
  <c r="R417" i="10"/>
  <c r="M416" i="10"/>
  <c r="R416" i="10"/>
  <c r="M415" i="10"/>
  <c r="R415" i="10"/>
  <c r="M414" i="10"/>
  <c r="R414" i="10"/>
  <c r="R413" i="10"/>
  <c r="M413" i="10"/>
  <c r="M412" i="10"/>
  <c r="R412" i="10"/>
  <c r="M411" i="10"/>
  <c r="R411" i="10"/>
  <c r="R410" i="10"/>
  <c r="M410" i="10"/>
  <c r="R409" i="10"/>
  <c r="M409" i="10"/>
  <c r="M408" i="10"/>
  <c r="R408" i="10"/>
  <c r="R407" i="10"/>
  <c r="M407" i="10"/>
  <c r="R406" i="10"/>
  <c r="M406" i="10"/>
  <c r="R405" i="10"/>
  <c r="M405" i="10"/>
  <c r="M404" i="10"/>
  <c r="R404" i="10"/>
  <c r="R403" i="10"/>
  <c r="M403" i="10"/>
  <c r="R402" i="10"/>
  <c r="M402" i="10"/>
  <c r="R401" i="10"/>
  <c r="M401" i="10"/>
  <c r="M400" i="10"/>
  <c r="R400" i="10"/>
  <c r="M399" i="10"/>
  <c r="R399" i="10"/>
  <c r="R398" i="10"/>
  <c r="M398" i="10"/>
  <c r="M397" i="10"/>
  <c r="R397" i="10"/>
  <c r="M396" i="10"/>
  <c r="R396" i="10"/>
  <c r="M395" i="10"/>
  <c r="R395" i="10"/>
  <c r="R394" i="10"/>
  <c r="M394" i="10"/>
  <c r="R393" i="10"/>
  <c r="M393" i="10"/>
  <c r="R392" i="10"/>
  <c r="M392" i="10"/>
  <c r="R391" i="10"/>
  <c r="M391" i="10"/>
  <c r="R390" i="10"/>
  <c r="M390" i="10"/>
  <c r="M389" i="10"/>
  <c r="R389" i="10"/>
  <c r="R388" i="10"/>
  <c r="M388" i="10"/>
  <c r="M387" i="10"/>
  <c r="R387" i="10"/>
  <c r="M386" i="10"/>
  <c r="R386" i="10"/>
  <c r="R385" i="10"/>
  <c r="M385" i="10"/>
  <c r="M384" i="10"/>
  <c r="R384" i="10"/>
  <c r="M383" i="10"/>
  <c r="R383" i="10"/>
  <c r="R382" i="10"/>
  <c r="M382" i="10"/>
  <c r="M381" i="10"/>
  <c r="R381" i="10"/>
  <c r="M380" i="10"/>
  <c r="R380" i="10"/>
  <c r="M379" i="10"/>
  <c r="R379" i="10"/>
  <c r="M378" i="10"/>
  <c r="R378" i="10"/>
  <c r="R377" i="10"/>
  <c r="M377" i="10"/>
  <c r="R376" i="10"/>
  <c r="M376" i="10"/>
  <c r="M375" i="10"/>
  <c r="R375" i="10"/>
  <c r="M374" i="10"/>
  <c r="R374" i="10"/>
  <c r="M373" i="10"/>
  <c r="R373" i="10"/>
  <c r="R372" i="10"/>
  <c r="M372" i="10"/>
  <c r="M371" i="10"/>
  <c r="R371" i="10"/>
  <c r="R370" i="10"/>
  <c r="M370" i="10"/>
  <c r="M369" i="10"/>
  <c r="R369" i="10"/>
  <c r="R368" i="10"/>
  <c r="M368" i="10"/>
  <c r="R367" i="10"/>
  <c r="M367" i="10"/>
  <c r="M366" i="10"/>
  <c r="R366" i="10"/>
  <c r="M365" i="10"/>
  <c r="R365" i="10"/>
  <c r="R364" i="10"/>
  <c r="M364" i="10"/>
  <c r="M363" i="10"/>
  <c r="R363" i="10"/>
  <c r="R362" i="10"/>
  <c r="M362" i="10"/>
  <c r="R361" i="10"/>
  <c r="M361" i="10"/>
  <c r="M360" i="10"/>
  <c r="R360" i="10"/>
  <c r="T429" i="10"/>
  <c r="T401" i="10"/>
  <c r="T400" i="10"/>
  <c r="T397" i="10"/>
  <c r="T396" i="10"/>
  <c r="T398" i="10"/>
  <c r="T395" i="10"/>
  <c r="T421" i="10"/>
  <c r="T416" i="10"/>
  <c r="T393" i="10"/>
  <c r="T390" i="10"/>
  <c r="T389" i="10"/>
  <c r="T388" i="10"/>
  <c r="T391" i="10"/>
  <c r="T386" i="10"/>
  <c r="T420" i="10"/>
  <c r="T382" i="10"/>
  <c r="T387" i="10"/>
  <c r="T380" i="10"/>
  <c r="T379" i="10"/>
  <c r="T377" i="10"/>
  <c r="T375" i="10"/>
  <c r="T385" i="10"/>
  <c r="T419" i="10"/>
  <c r="T384" i="10"/>
  <c r="T368" i="10"/>
  <c r="T367" i="10"/>
  <c r="T363" i="10"/>
  <c r="T381" i="10"/>
  <c r="T362" i="10"/>
  <c r="T361" i="10"/>
  <c r="T359" i="10"/>
  <c r="T418" i="10"/>
  <c r="T417" i="10"/>
  <c r="T378" i="10"/>
  <c r="T376" i="10"/>
  <c r="T372" i="10"/>
  <c r="T371" i="10"/>
  <c r="T374" i="10"/>
  <c r="T370" i="10"/>
  <c r="T373" i="10"/>
  <c r="T369" i="10"/>
  <c r="T366" i="10"/>
  <c r="T428" i="10"/>
  <c r="T415" i="10"/>
  <c r="T414" i="10"/>
  <c r="T413" i="10"/>
  <c r="T412" i="10"/>
  <c r="T365" i="10"/>
  <c r="T364" i="10"/>
  <c r="T427" i="10"/>
  <c r="T360" i="10"/>
  <c r="T411" i="10"/>
  <c r="T405" i="10"/>
  <c r="T394" i="10"/>
  <c r="T392" i="10"/>
  <c r="T399" i="10"/>
  <c r="T408" i="10"/>
  <c r="T409" i="10"/>
  <c r="T410" i="10"/>
  <c r="T426" i="10"/>
  <c r="T425" i="10"/>
  <c r="T424" i="10"/>
  <c r="T423" i="10"/>
  <c r="T383" i="10"/>
  <c r="T422" i="10"/>
  <c r="T407" i="10"/>
  <c r="T406" i="10"/>
  <c r="T404" i="10"/>
  <c r="T403" i="10"/>
  <c r="T402" i="10"/>
  <c r="X402" i="10" s="1"/>
  <c r="S429" i="10"/>
  <c r="S378" i="10"/>
  <c r="S396" i="10"/>
  <c r="S394" i="10"/>
  <c r="S425" i="10"/>
  <c r="S362" i="10"/>
  <c r="S388" i="10"/>
  <c r="S415" i="10"/>
  <c r="S395" i="10"/>
  <c r="S391" i="10"/>
  <c r="S389" i="10"/>
  <c r="S381" i="10"/>
  <c r="S375" i="10"/>
  <c r="S363" i="10"/>
  <c r="S364" i="10"/>
  <c r="S386" i="10"/>
  <c r="S374" i="10"/>
  <c r="S365" i="10"/>
  <c r="S417" i="10"/>
  <c r="S373" i="10"/>
  <c r="S366" i="10"/>
  <c r="S422" i="10"/>
  <c r="S416" i="10"/>
  <c r="S380" i="10"/>
  <c r="S390" i="10"/>
  <c r="S376" i="10"/>
  <c r="S370" i="10"/>
  <c r="S372" i="10"/>
  <c r="S424" i="10"/>
  <c r="S371" i="10"/>
  <c r="S428" i="10"/>
  <c r="S367" i="10"/>
  <c r="S392" i="10"/>
  <c r="S420" i="10"/>
  <c r="S418" i="10"/>
  <c r="S427" i="10"/>
  <c r="S379" i="10"/>
  <c r="S377" i="10"/>
  <c r="S368" i="10"/>
  <c r="S369" i="10"/>
  <c r="S383" i="10"/>
  <c r="S403" i="10"/>
  <c r="S402" i="10"/>
  <c r="S401" i="10"/>
  <c r="S397" i="10"/>
  <c r="S400" i="10"/>
  <c r="S384" i="10"/>
  <c r="S398" i="10"/>
  <c r="S419" i="10"/>
  <c r="S393" i="10"/>
  <c r="S385" i="10"/>
  <c r="S404" i="10"/>
  <c r="S405" i="10"/>
  <c r="S359" i="10"/>
  <c r="S406" i="10"/>
  <c r="S407" i="10"/>
  <c r="S408" i="10"/>
  <c r="S409" i="10"/>
  <c r="S399" i="10"/>
  <c r="S410" i="10"/>
  <c r="S423" i="10"/>
  <c r="S387" i="10"/>
  <c r="S411" i="10"/>
  <c r="S426" i="10"/>
  <c r="S412" i="10"/>
  <c r="S382" i="10"/>
  <c r="S413" i="10"/>
  <c r="S360" i="10"/>
  <c r="S421" i="10"/>
  <c r="S414" i="10"/>
  <c r="W414" i="10" s="1"/>
  <c r="S361" i="10"/>
  <c r="R359" i="10"/>
  <c r="M359" i="10"/>
  <c r="M358" i="10"/>
  <c r="R358" i="10"/>
  <c r="M357" i="10"/>
  <c r="R357" i="10"/>
  <c r="M356" i="10"/>
  <c r="R356" i="10"/>
  <c r="M355" i="10"/>
  <c r="R355" i="10"/>
  <c r="M354" i="10"/>
  <c r="R354" i="10"/>
  <c r="M353" i="10"/>
  <c r="R353" i="10"/>
  <c r="M352" i="10"/>
  <c r="R352" i="10"/>
  <c r="M351" i="10"/>
  <c r="R351" i="10"/>
  <c r="M350" i="10"/>
  <c r="R350" i="10"/>
  <c r="R349" i="10"/>
  <c r="M349" i="10"/>
  <c r="M348" i="10"/>
  <c r="R348" i="10"/>
  <c r="R347" i="10"/>
  <c r="M347" i="10"/>
  <c r="M346" i="10"/>
  <c r="R346" i="10"/>
  <c r="R345" i="10"/>
  <c r="M345" i="10"/>
  <c r="R344" i="10"/>
  <c r="M344" i="10"/>
  <c r="M343" i="10"/>
  <c r="R343" i="10"/>
  <c r="R342" i="10"/>
  <c r="M342" i="10"/>
  <c r="M341" i="10"/>
  <c r="R341" i="10"/>
  <c r="R340" i="10"/>
  <c r="M340" i="10"/>
  <c r="R339" i="10"/>
  <c r="M339" i="10"/>
  <c r="M338" i="10"/>
  <c r="R338" i="10"/>
  <c r="M337" i="10"/>
  <c r="R337" i="10"/>
  <c r="R336" i="10"/>
  <c r="M336" i="10"/>
  <c r="M335" i="10"/>
  <c r="R335" i="10"/>
  <c r="R334" i="10"/>
  <c r="M334" i="10"/>
  <c r="M333" i="10"/>
  <c r="R333" i="10"/>
  <c r="M332" i="10"/>
  <c r="R332" i="10"/>
  <c r="R331" i="10"/>
  <c r="M331" i="10"/>
  <c r="R330" i="10"/>
  <c r="M330" i="10"/>
  <c r="R329" i="10"/>
  <c r="M329" i="10"/>
  <c r="M328" i="10"/>
  <c r="R328" i="10"/>
  <c r="M327" i="10"/>
  <c r="R327" i="10"/>
  <c r="M326" i="10"/>
  <c r="R326" i="10"/>
  <c r="R325" i="10"/>
  <c r="M325" i="10"/>
  <c r="M324" i="10"/>
  <c r="R324" i="10"/>
  <c r="R323" i="10"/>
  <c r="M323" i="10"/>
  <c r="M322" i="10"/>
  <c r="R322" i="10"/>
  <c r="R321" i="10"/>
  <c r="M321" i="10"/>
  <c r="M320" i="10"/>
  <c r="R320" i="10"/>
  <c r="M319" i="10"/>
  <c r="R319" i="10"/>
  <c r="M318" i="10"/>
  <c r="R318" i="10"/>
  <c r="M317" i="10"/>
  <c r="R317" i="10"/>
  <c r="M316" i="10"/>
  <c r="R316" i="10"/>
  <c r="M315" i="10"/>
  <c r="R315" i="10"/>
  <c r="M314" i="10"/>
  <c r="R314" i="10"/>
  <c r="R313" i="10"/>
  <c r="M313" i="10"/>
  <c r="R312" i="10"/>
  <c r="M312" i="10"/>
  <c r="M311" i="10"/>
  <c r="R311" i="10"/>
  <c r="R310" i="10"/>
  <c r="M310" i="10"/>
  <c r="M309" i="10"/>
  <c r="R309" i="10"/>
  <c r="R308" i="10"/>
  <c r="M308" i="10"/>
  <c r="M307" i="10"/>
  <c r="R307" i="10"/>
  <c r="R306" i="10"/>
  <c r="M306" i="10"/>
  <c r="R305" i="10"/>
  <c r="M305" i="10"/>
  <c r="R304" i="10"/>
  <c r="M304" i="10"/>
  <c r="M303" i="10"/>
  <c r="R303" i="10"/>
  <c r="M302" i="10"/>
  <c r="R302" i="10"/>
  <c r="M301" i="10"/>
  <c r="R301" i="10"/>
  <c r="M300" i="10"/>
  <c r="R300" i="10"/>
  <c r="M299" i="10"/>
  <c r="R299" i="10"/>
  <c r="M298" i="10"/>
  <c r="R298" i="10"/>
  <c r="M297" i="10"/>
  <c r="R297" i="10"/>
  <c r="R296" i="10"/>
  <c r="M296" i="10"/>
  <c r="R295" i="10"/>
  <c r="M295" i="10"/>
  <c r="R294" i="10"/>
  <c r="M294" i="10"/>
  <c r="R293" i="10"/>
  <c r="M293" i="10"/>
  <c r="R292" i="10"/>
  <c r="M292" i="10"/>
  <c r="M291" i="10"/>
  <c r="R291" i="10"/>
  <c r="M290" i="10"/>
  <c r="R290" i="10"/>
  <c r="R289" i="10"/>
  <c r="M289" i="10"/>
  <c r="T304" i="10"/>
  <c r="T333" i="10"/>
  <c r="T319" i="10"/>
  <c r="T320" i="10"/>
  <c r="T322" i="10"/>
  <c r="T323" i="10"/>
  <c r="T341" i="10"/>
  <c r="T351" i="10"/>
  <c r="T334" i="10"/>
  <c r="T321" i="10"/>
  <c r="T350" i="10"/>
  <c r="T349" i="10"/>
  <c r="T348" i="10"/>
  <c r="T313" i="10"/>
  <c r="T329" i="10"/>
  <c r="T347" i="10"/>
  <c r="T305" i="10"/>
  <c r="T324" i="10"/>
  <c r="T288" i="10"/>
  <c r="T303" i="10"/>
  <c r="T302" i="10"/>
  <c r="T301" i="10"/>
  <c r="T335" i="10"/>
  <c r="T345" i="10"/>
  <c r="T344" i="10"/>
  <c r="T307" i="10"/>
  <c r="T297" i="10"/>
  <c r="T343" i="10"/>
  <c r="T330" i="10"/>
  <c r="T342" i="10"/>
  <c r="T311" i="10"/>
  <c r="T338" i="10"/>
  <c r="T337" i="10"/>
  <c r="T336" i="10"/>
  <c r="T339" i="10"/>
  <c r="T290" i="10"/>
  <c r="T306" i="10"/>
  <c r="T309" i="10"/>
  <c r="T340" i="10"/>
  <c r="T328" i="10"/>
  <c r="T312" i="10"/>
  <c r="T332" i="10"/>
  <c r="T355" i="10"/>
  <c r="T327" i="10"/>
  <c r="T310" i="10"/>
  <c r="T300" i="10"/>
  <c r="T308" i="10"/>
  <c r="T289" i="10"/>
  <c r="T299" i="10"/>
  <c r="T346" i="10"/>
  <c r="T298" i="10"/>
  <c r="T316" i="10"/>
  <c r="T296" i="10"/>
  <c r="T295" i="10"/>
  <c r="T352" i="10"/>
  <c r="T294" i="10"/>
  <c r="T293" i="10"/>
  <c r="T317" i="10"/>
  <c r="T292" i="10"/>
  <c r="T326" i="10"/>
  <c r="T331" i="10"/>
  <c r="T291" i="10"/>
  <c r="T318" i="10"/>
  <c r="T358" i="10"/>
  <c r="T314" i="10"/>
  <c r="T356" i="10"/>
  <c r="T315" i="10"/>
  <c r="T325" i="10"/>
  <c r="T354" i="10"/>
  <c r="T357" i="10"/>
  <c r="T353" i="10"/>
  <c r="X353" i="10" s="1"/>
  <c r="S315" i="10"/>
  <c r="S319" i="10"/>
  <c r="S314" i="10"/>
  <c r="S352" i="10"/>
  <c r="S351" i="10"/>
  <c r="S322" i="10"/>
  <c r="S350" i="10"/>
  <c r="S323" i="10"/>
  <c r="S313" i="10"/>
  <c r="S312" i="10"/>
  <c r="S300" i="10"/>
  <c r="S299" i="10"/>
  <c r="S298" i="10"/>
  <c r="S296" i="10"/>
  <c r="S326" i="10"/>
  <c r="S295" i="10"/>
  <c r="S294" i="10"/>
  <c r="S293" i="10"/>
  <c r="S292" i="10"/>
  <c r="S291" i="10"/>
  <c r="S316" i="10"/>
  <c r="S318" i="10"/>
  <c r="S331" i="10"/>
  <c r="S346" i="10"/>
  <c r="S357" i="10"/>
  <c r="S311" i="10"/>
  <c r="S339" i="10"/>
  <c r="S310" i="10"/>
  <c r="S337" i="10"/>
  <c r="S309" i="10"/>
  <c r="S330" i="10"/>
  <c r="S344" i="10"/>
  <c r="S320" i="10"/>
  <c r="S321" i="10"/>
  <c r="S336" i="10"/>
  <c r="S345" i="10"/>
  <c r="S327" i="10"/>
  <c r="S338" i="10"/>
  <c r="S349" i="10"/>
  <c r="S308" i="10"/>
  <c r="S301" i="10"/>
  <c r="S306" i="10"/>
  <c r="S305" i="10"/>
  <c r="S317" i="10"/>
  <c r="S335" i="10"/>
  <c r="S328" i="10"/>
  <c r="S297" i="10"/>
  <c r="S347" i="10"/>
  <c r="S307" i="10"/>
  <c r="S324" i="10"/>
  <c r="S304" i="10"/>
  <c r="S288" i="10"/>
  <c r="S340" i="10"/>
  <c r="S343" i="10"/>
  <c r="S303" i="10"/>
  <c r="S289" i="10"/>
  <c r="S329" i="10"/>
  <c r="S333" i="10"/>
  <c r="S290" i="10"/>
  <c r="S341" i="10"/>
  <c r="S342" i="10"/>
  <c r="S353" i="10"/>
  <c r="S325" i="10"/>
  <c r="S354" i="10"/>
  <c r="S334" i="10"/>
  <c r="S355" i="10"/>
  <c r="S302" i="10"/>
  <c r="S356" i="10"/>
  <c r="S332" i="10"/>
  <c r="S348" i="10"/>
  <c r="W348" i="10" s="1"/>
  <c r="S358" i="10"/>
  <c r="R288" i="10"/>
  <c r="M288" i="10"/>
  <c r="R287" i="10"/>
  <c r="M287" i="10"/>
  <c r="M286" i="10"/>
  <c r="R286" i="10"/>
  <c r="R285" i="10"/>
  <c r="M285" i="10"/>
  <c r="R284" i="10"/>
  <c r="M284" i="10"/>
  <c r="R283" i="10"/>
  <c r="M283" i="10"/>
  <c r="R282" i="10"/>
  <c r="M282" i="10"/>
  <c r="R281" i="10"/>
  <c r="M281" i="10"/>
  <c r="M280" i="10"/>
  <c r="R280" i="10"/>
  <c r="R279" i="10"/>
  <c r="M279" i="10"/>
  <c r="R278" i="10"/>
  <c r="M278" i="10"/>
  <c r="R277" i="10"/>
  <c r="M277" i="10"/>
  <c r="M276" i="10"/>
  <c r="R276" i="10"/>
  <c r="M275" i="10"/>
  <c r="R275" i="10"/>
  <c r="M274" i="10"/>
  <c r="R274" i="10"/>
  <c r="M273" i="10"/>
  <c r="R273" i="10"/>
  <c r="R272" i="10"/>
  <c r="M272" i="10"/>
  <c r="R271" i="10"/>
  <c r="M271" i="10"/>
  <c r="R270" i="10"/>
  <c r="M270" i="10"/>
  <c r="M269" i="10"/>
  <c r="R269" i="10"/>
  <c r="M268" i="10"/>
  <c r="R268" i="10"/>
  <c r="R267" i="10"/>
  <c r="M267" i="10"/>
  <c r="R266" i="10"/>
  <c r="M266" i="10"/>
  <c r="R265" i="10"/>
  <c r="M265" i="10"/>
  <c r="R264" i="10"/>
  <c r="M264" i="10"/>
  <c r="R263" i="10"/>
  <c r="M263" i="10"/>
  <c r="R262" i="10"/>
  <c r="M262" i="10"/>
  <c r="M261" i="10"/>
  <c r="R261" i="10"/>
  <c r="R260" i="10"/>
  <c r="M260" i="10"/>
  <c r="R259" i="10"/>
  <c r="M259" i="10"/>
  <c r="R258" i="10"/>
  <c r="M258" i="10"/>
  <c r="R257" i="10"/>
  <c r="M257" i="10"/>
  <c r="R256" i="10"/>
  <c r="M256" i="10"/>
  <c r="R255" i="10"/>
  <c r="M255" i="10"/>
  <c r="M254" i="10"/>
  <c r="R254" i="10"/>
  <c r="M253" i="10"/>
  <c r="R253" i="10"/>
  <c r="M252" i="10"/>
  <c r="R252" i="10"/>
  <c r="M251" i="10"/>
  <c r="R251" i="10"/>
  <c r="R250" i="10"/>
  <c r="M250" i="10"/>
  <c r="R249" i="10"/>
  <c r="M249" i="10"/>
  <c r="M248" i="10"/>
  <c r="R248" i="10"/>
  <c r="R247" i="10"/>
  <c r="M247" i="10"/>
  <c r="R246" i="10"/>
  <c r="M246" i="10"/>
  <c r="M245" i="10"/>
  <c r="R245" i="10"/>
  <c r="M244" i="10"/>
  <c r="R244" i="10"/>
  <c r="R243" i="10"/>
  <c r="M243" i="10"/>
  <c r="M242" i="10"/>
  <c r="R242" i="10"/>
  <c r="M241" i="10"/>
  <c r="R241" i="10"/>
  <c r="R240" i="10"/>
  <c r="M240" i="10"/>
  <c r="M239" i="10"/>
  <c r="R239" i="10"/>
  <c r="M238" i="10"/>
  <c r="R238" i="10"/>
  <c r="R237" i="10"/>
  <c r="M237" i="10"/>
  <c r="M236" i="10"/>
  <c r="R236" i="10"/>
  <c r="R235" i="10"/>
  <c r="M235" i="10"/>
  <c r="M234" i="10"/>
  <c r="R234" i="10"/>
  <c r="R233" i="10"/>
  <c r="M233" i="10"/>
  <c r="R232" i="10"/>
  <c r="M232" i="10"/>
  <c r="R231" i="10"/>
  <c r="M231" i="10"/>
  <c r="R230" i="10"/>
  <c r="M230" i="10"/>
  <c r="M229" i="10"/>
  <c r="R229" i="10"/>
  <c r="M228" i="10"/>
  <c r="R228" i="10"/>
  <c r="R227" i="10"/>
  <c r="M227" i="10"/>
  <c r="R226" i="10"/>
  <c r="M226" i="10"/>
  <c r="R225" i="10"/>
  <c r="M225" i="10"/>
  <c r="M224" i="10"/>
  <c r="R224" i="10"/>
  <c r="M223" i="10"/>
  <c r="R223" i="10"/>
  <c r="M222" i="10"/>
  <c r="R222" i="10"/>
  <c r="R221" i="10"/>
  <c r="M221" i="10"/>
  <c r="R220" i="10"/>
  <c r="M220" i="10"/>
  <c r="R219" i="10"/>
  <c r="M219" i="10"/>
  <c r="R218" i="10"/>
  <c r="M218" i="10"/>
  <c r="N288" i="10"/>
  <c r="T235" i="10"/>
  <c r="T236" i="10"/>
  <c r="T229" i="10"/>
  <c r="T228" i="10"/>
  <c r="T244" i="10"/>
  <c r="T239" i="10"/>
  <c r="T261" i="10"/>
  <c r="T269" i="10"/>
  <c r="T241" i="10"/>
  <c r="T270" i="10"/>
  <c r="T260" i="10"/>
  <c r="T265" i="10"/>
  <c r="T283" i="10"/>
  <c r="T259" i="10"/>
  <c r="T245" i="10"/>
  <c r="T246" i="10"/>
  <c r="T258" i="10"/>
  <c r="T243" i="10"/>
  <c r="T272" i="10"/>
  <c r="T271" i="10"/>
  <c r="T242" i="10"/>
  <c r="T256" i="10"/>
  <c r="T250" i="10"/>
  <c r="T251" i="10"/>
  <c r="T255" i="10"/>
  <c r="T252" i="10"/>
  <c r="T253" i="10"/>
  <c r="T254" i="10"/>
  <c r="T264" i="10"/>
  <c r="T284" i="10"/>
  <c r="T274" i="10"/>
  <c r="T275" i="10"/>
  <c r="T240" i="10"/>
  <c r="T257" i="10"/>
  <c r="T232" i="10"/>
  <c r="T268" i="10"/>
  <c r="T286" i="10"/>
  <c r="T277" i="10"/>
  <c r="T249" i="10"/>
  <c r="T263" i="10"/>
  <c r="T238" i="10"/>
  <c r="T285" i="10"/>
  <c r="T248" i="10"/>
  <c r="T262" i="10"/>
  <c r="T279" i="10"/>
  <c r="T247" i="10"/>
  <c r="T280" i="10"/>
  <c r="T231" i="10"/>
  <c r="T266" i="10"/>
  <c r="T237" i="10"/>
  <c r="T281" i="10"/>
  <c r="T267" i="10"/>
  <c r="T273" i="10"/>
  <c r="T276" i="10"/>
  <c r="T278" i="10"/>
  <c r="T217" i="10"/>
  <c r="T282" i="10"/>
  <c r="T218" i="10"/>
  <c r="T219" i="10"/>
  <c r="T220" i="10"/>
  <c r="T287" i="10"/>
  <c r="T221" i="10"/>
  <c r="T222" i="10"/>
  <c r="T223" i="10"/>
  <c r="T224" i="10"/>
  <c r="T225" i="10"/>
  <c r="T226" i="10"/>
  <c r="T227" i="10"/>
  <c r="T230" i="10"/>
  <c r="T233" i="10"/>
  <c r="T234" i="10"/>
  <c r="X234" i="10" s="1"/>
  <c r="S259" i="10"/>
  <c r="S260" i="10"/>
  <c r="S224" i="10"/>
  <c r="S261" i="10"/>
  <c r="S263" i="10"/>
  <c r="S267" i="10"/>
  <c r="S265" i="10"/>
  <c r="S246" i="10"/>
  <c r="S245" i="10"/>
  <c r="S268" i="10"/>
  <c r="S271" i="10"/>
  <c r="S273" i="10"/>
  <c r="S241" i="10"/>
  <c r="S264" i="10"/>
  <c r="S276" i="10"/>
  <c r="S239" i="10"/>
  <c r="S278" i="10"/>
  <c r="S282" i="10"/>
  <c r="S236" i="10"/>
  <c r="S235" i="10"/>
  <c r="S234" i="10"/>
  <c r="S233" i="10"/>
  <c r="S287" i="10"/>
  <c r="S232" i="10"/>
  <c r="S230" i="10"/>
  <c r="S227" i="10"/>
  <c r="S226" i="10"/>
  <c r="S269" i="10"/>
  <c r="S270" i="10"/>
  <c r="S272" i="10"/>
  <c r="S262" i="10"/>
  <c r="S274" i="10"/>
  <c r="S275" i="10"/>
  <c r="S237" i="10"/>
  <c r="S277" i="10"/>
  <c r="S238" i="10"/>
  <c r="S279" i="10"/>
  <c r="S280" i="10"/>
  <c r="S281" i="10"/>
  <c r="S217" i="10"/>
  <c r="S240" i="10"/>
  <c r="S218" i="10"/>
  <c r="S242" i="10"/>
  <c r="S243" i="10"/>
  <c r="S283" i="10"/>
  <c r="S219" i="10"/>
  <c r="S284" i="10"/>
  <c r="S244" i="10"/>
  <c r="S285" i="10"/>
  <c r="S220" i="10"/>
  <c r="S286" i="10"/>
  <c r="S247" i="10"/>
  <c r="S221" i="10"/>
  <c r="S248" i="10"/>
  <c r="S257" i="10"/>
  <c r="S222" i="10"/>
  <c r="S249" i="10"/>
  <c r="S223" i="10"/>
  <c r="S254" i="10"/>
  <c r="S255" i="10"/>
  <c r="S225" i="10"/>
  <c r="S253" i="10"/>
  <c r="S256" i="10"/>
  <c r="S252" i="10"/>
  <c r="S228" i="10"/>
  <c r="S266" i="10"/>
  <c r="S229" i="10"/>
  <c r="S251" i="10"/>
  <c r="S231" i="10"/>
  <c r="S258" i="10"/>
  <c r="S250" i="10"/>
  <c r="W250" i="10" s="1"/>
  <c r="M217" i="10"/>
  <c r="R217" i="10"/>
  <c r="AI216" i="10"/>
  <c r="AK216" i="10"/>
  <c r="AB287" i="10"/>
  <c r="R216" i="10"/>
  <c r="M216" i="10"/>
  <c r="AB216" i="10"/>
  <c r="AJ216" i="10" s="1"/>
  <c r="AB286" i="10"/>
  <c r="AK215" i="10"/>
  <c r="AI215" i="10"/>
  <c r="M215" i="10"/>
  <c r="R215" i="10"/>
  <c r="AB215" i="10"/>
  <c r="AJ215" i="10" s="1"/>
  <c r="AI214" i="10"/>
  <c r="AK214" i="10"/>
  <c r="AB285" i="10"/>
  <c r="R214" i="10"/>
  <c r="M214" i="10"/>
  <c r="AB214" i="10"/>
  <c r="AJ214" i="10" s="1"/>
  <c r="AK213" i="10"/>
  <c r="AB284" i="10"/>
  <c r="AI213" i="10"/>
  <c r="R213" i="10"/>
  <c r="M213" i="10"/>
  <c r="AB213" i="10"/>
  <c r="AJ213" i="10" s="1"/>
  <c r="AB283" i="10"/>
  <c r="AI212" i="10"/>
  <c r="AK212" i="10"/>
  <c r="R212" i="10"/>
  <c r="M212" i="10"/>
  <c r="AB212" i="10"/>
  <c r="AJ212" i="10" s="1"/>
  <c r="AI211" i="10"/>
  <c r="AB282" i="10"/>
  <c r="AK211" i="10"/>
  <c r="R211" i="10"/>
  <c r="M211" i="10"/>
  <c r="AB211" i="10"/>
  <c r="AJ211" i="10" s="1"/>
  <c r="AI210" i="10"/>
  <c r="AK210" i="10"/>
  <c r="AB281" i="10"/>
  <c r="M210" i="10"/>
  <c r="R210" i="10"/>
  <c r="AB210" i="10"/>
  <c r="AJ210" i="10" s="1"/>
  <c r="AK209" i="10"/>
  <c r="AI209" i="10"/>
  <c r="AB280" i="10"/>
  <c r="R209" i="10"/>
  <c r="M209" i="10"/>
  <c r="AB209" i="10"/>
  <c r="AJ209" i="10" s="1"/>
  <c r="AI208" i="10"/>
  <c r="AB279" i="10"/>
  <c r="AK208" i="10"/>
  <c r="M208" i="10"/>
  <c r="R208" i="10"/>
  <c r="AB208" i="10"/>
  <c r="AJ208" i="10" s="1"/>
  <c r="AB278" i="10"/>
  <c r="AK207" i="10"/>
  <c r="AI207" i="10"/>
  <c r="M207" i="10"/>
  <c r="R207" i="10"/>
  <c r="AB207" i="10"/>
  <c r="AJ207" i="10" s="1"/>
  <c r="AB277" i="10"/>
  <c r="AK206" i="10"/>
  <c r="AI206" i="10"/>
  <c r="R206" i="10"/>
  <c r="M206" i="10"/>
  <c r="AB206" i="10"/>
  <c r="AJ206" i="10" s="1"/>
  <c r="AK205" i="10"/>
  <c r="AB276" i="10"/>
  <c r="AI205" i="10"/>
  <c r="M205" i="10"/>
  <c r="R205" i="10"/>
  <c r="AB205" i="10"/>
  <c r="AJ205" i="10" s="1"/>
  <c r="AI204" i="10"/>
  <c r="AK204" i="10"/>
  <c r="AB275" i="10"/>
  <c r="M204" i="10"/>
  <c r="R204" i="10"/>
  <c r="AB204" i="10"/>
  <c r="AJ204" i="10" s="1"/>
  <c r="AB274" i="10"/>
  <c r="AI203" i="10"/>
  <c r="AK203" i="10"/>
  <c r="R203" i="10"/>
  <c r="M203" i="10"/>
  <c r="AB203" i="10"/>
  <c r="AJ203" i="10" s="1"/>
  <c r="AB273" i="10"/>
  <c r="AK202" i="10"/>
  <c r="AI202" i="10"/>
  <c r="M202" i="10"/>
  <c r="R202" i="10"/>
  <c r="AB202" i="10"/>
  <c r="AJ202" i="10" s="1"/>
  <c r="AK201" i="10"/>
  <c r="AB272" i="10"/>
  <c r="AI201" i="10"/>
  <c r="M201" i="10"/>
  <c r="R201" i="10"/>
  <c r="AB201" i="10"/>
  <c r="AJ201" i="10" s="1"/>
  <c r="AI200" i="10"/>
  <c r="AK200" i="10"/>
  <c r="AB271" i="10"/>
  <c r="M200" i="10"/>
  <c r="R200" i="10"/>
  <c r="AB200" i="10"/>
  <c r="AJ200" i="10" s="1"/>
  <c r="AK199" i="10"/>
  <c r="AI199" i="10"/>
  <c r="AB270" i="10"/>
  <c r="R199" i="10"/>
  <c r="M199" i="10"/>
  <c r="AB199" i="10"/>
  <c r="AJ199" i="10" s="1"/>
  <c r="AK198" i="10"/>
  <c r="AB269" i="10"/>
  <c r="AI198" i="10"/>
  <c r="M198" i="10"/>
  <c r="R198" i="10"/>
  <c r="AB198" i="10"/>
  <c r="AJ198" i="10" s="1"/>
  <c r="AK197" i="10"/>
  <c r="AB268" i="10"/>
  <c r="AI197" i="10"/>
  <c r="R197" i="10"/>
  <c r="M197" i="10"/>
  <c r="AB197" i="10"/>
  <c r="AJ197" i="10" s="1"/>
  <c r="AI196" i="10"/>
  <c r="AB267" i="10"/>
  <c r="AK196" i="10"/>
  <c r="R196" i="10"/>
  <c r="M196" i="10"/>
  <c r="AB196" i="10"/>
  <c r="AJ196" i="10" s="1"/>
  <c r="AB266" i="10"/>
  <c r="AK195" i="10"/>
  <c r="AI195" i="10"/>
  <c r="R195" i="10"/>
  <c r="M195" i="10"/>
  <c r="AB195" i="10"/>
  <c r="AJ195" i="10" s="1"/>
  <c r="AK194" i="10"/>
  <c r="AB265" i="10"/>
  <c r="R194" i="10"/>
  <c r="M194" i="10"/>
  <c r="AI194" i="10"/>
  <c r="AB194" i="10"/>
  <c r="AJ194" i="10" s="1"/>
  <c r="AB264" i="10"/>
  <c r="AK193" i="10"/>
  <c r="AI193" i="10"/>
  <c r="R193" i="10"/>
  <c r="M193" i="10"/>
  <c r="AB193" i="10"/>
  <c r="AJ193" i="10" s="1"/>
  <c r="AB263" i="10"/>
  <c r="AK192" i="10"/>
  <c r="AI192" i="10"/>
  <c r="M192" i="10"/>
  <c r="R192" i="10"/>
  <c r="AB192" i="10"/>
  <c r="AJ192" i="10" s="1"/>
  <c r="AB262" i="10"/>
  <c r="AK191" i="10"/>
  <c r="AI191" i="10"/>
  <c r="R191" i="10"/>
  <c r="M191" i="10"/>
  <c r="AB191" i="10"/>
  <c r="AJ191" i="10" s="1"/>
  <c r="AB261" i="10"/>
  <c r="AK190" i="10"/>
  <c r="AI190" i="10"/>
  <c r="R190" i="10"/>
  <c r="M190" i="10"/>
  <c r="AB190" i="10"/>
  <c r="AJ190" i="10" s="1"/>
  <c r="AI189" i="10"/>
  <c r="AK189" i="10"/>
  <c r="AB260" i="10"/>
  <c r="R189" i="10"/>
  <c r="M189" i="10"/>
  <c r="AB189" i="10"/>
  <c r="AJ189" i="10" s="1"/>
  <c r="AB259" i="10"/>
  <c r="AK188" i="10"/>
  <c r="AI188" i="10"/>
  <c r="M188" i="10"/>
  <c r="R188" i="10"/>
  <c r="AB188" i="10"/>
  <c r="AJ188" i="10" s="1"/>
  <c r="AK187" i="10"/>
  <c r="AI187" i="10"/>
  <c r="AB258" i="10"/>
  <c r="R187" i="10"/>
  <c r="M187" i="10"/>
  <c r="AB187" i="10"/>
  <c r="AJ187" i="10" s="1"/>
  <c r="AK186" i="10"/>
  <c r="AI186" i="10"/>
  <c r="AB257" i="10"/>
  <c r="M186" i="10"/>
  <c r="R186" i="10"/>
  <c r="AB186" i="10"/>
  <c r="AJ186" i="10" s="1"/>
  <c r="AB256" i="10"/>
  <c r="AI185" i="10"/>
  <c r="AK185" i="10"/>
  <c r="M185" i="10"/>
  <c r="R185" i="10"/>
  <c r="AB185" i="10"/>
  <c r="AJ185" i="10" s="1"/>
  <c r="AB255" i="10"/>
  <c r="AK184" i="10"/>
  <c r="AI184" i="10"/>
  <c r="M184" i="10"/>
  <c r="R184" i="10"/>
  <c r="AB184" i="10"/>
  <c r="AJ184" i="10" s="1"/>
  <c r="AK183" i="10"/>
  <c r="AB254" i="10"/>
  <c r="AI183" i="10"/>
  <c r="R183" i="10"/>
  <c r="M183" i="10"/>
  <c r="AB183" i="10"/>
  <c r="AJ183" i="10" s="1"/>
  <c r="AI182" i="10"/>
  <c r="AK182" i="10"/>
  <c r="AB253" i="10"/>
  <c r="M182" i="10"/>
  <c r="R182" i="10"/>
  <c r="AB182" i="10"/>
  <c r="AJ182" i="10" s="1"/>
  <c r="AB252" i="10"/>
  <c r="AI181" i="10"/>
  <c r="AK181" i="10"/>
  <c r="R181" i="10"/>
  <c r="M181" i="10"/>
  <c r="AB181" i="10"/>
  <c r="AJ181" i="10" s="1"/>
  <c r="AI180" i="10"/>
  <c r="AB251" i="10"/>
  <c r="AK180" i="10"/>
  <c r="R180" i="10"/>
  <c r="M180" i="10"/>
  <c r="AB180" i="10"/>
  <c r="AJ180" i="10" s="1"/>
  <c r="AB250" i="10"/>
  <c r="AK179" i="10"/>
  <c r="M179" i="10"/>
  <c r="AI179" i="10"/>
  <c r="R179" i="10"/>
  <c r="AB179" i="10"/>
  <c r="AJ179" i="10" s="1"/>
  <c r="AI178" i="10"/>
  <c r="AB249" i="10"/>
  <c r="AK178" i="10"/>
  <c r="R178" i="10"/>
  <c r="M178" i="10"/>
  <c r="AB178" i="10"/>
  <c r="AJ178" i="10" s="1"/>
  <c r="AI177" i="10"/>
  <c r="AB248" i="10"/>
  <c r="AK177" i="10"/>
  <c r="M177" i="10"/>
  <c r="R177" i="10"/>
  <c r="AB177" i="10"/>
  <c r="AJ177" i="10" s="1"/>
  <c r="AB247" i="10"/>
  <c r="AI176" i="10"/>
  <c r="AK176" i="10"/>
  <c r="R176" i="10"/>
  <c r="M176" i="10"/>
  <c r="AB176" i="10"/>
  <c r="AJ176" i="10" s="1"/>
  <c r="AI175" i="10"/>
  <c r="AB246" i="10"/>
  <c r="AK175" i="10"/>
  <c r="M175" i="10"/>
  <c r="R175" i="10"/>
  <c r="AB175" i="10"/>
  <c r="AJ175" i="10" s="1"/>
  <c r="AI174" i="10"/>
  <c r="AB245" i="10"/>
  <c r="AK174" i="10"/>
  <c r="V213" i="10"/>
  <c r="V186" i="10"/>
  <c r="V214" i="10"/>
  <c r="V176" i="10"/>
  <c r="V215" i="10"/>
  <c r="V195" i="10"/>
  <c r="V206" i="10"/>
  <c r="V194" i="10"/>
  <c r="V216" i="10"/>
  <c r="V199" i="10"/>
  <c r="V193" i="10"/>
  <c r="V180" i="10"/>
  <c r="V175" i="10"/>
  <c r="V192" i="10"/>
  <c r="V191" i="10"/>
  <c r="V207" i="10"/>
  <c r="V198" i="10"/>
  <c r="V212" i="10"/>
  <c r="V177" i="10"/>
  <c r="V205" i="10"/>
  <c r="V181" i="10"/>
  <c r="V179" i="10"/>
  <c r="V211" i="10"/>
  <c r="V210" i="10"/>
  <c r="V208" i="10"/>
  <c r="V209" i="10"/>
  <c r="N245" i="10"/>
  <c r="V190" i="10"/>
  <c r="V197" i="10"/>
  <c r="V196" i="10"/>
  <c r="V202" i="10"/>
  <c r="V203" i="10"/>
  <c r="V204" i="10"/>
  <c r="V188" i="10"/>
  <c r="V187" i="10"/>
  <c r="V201" i="10"/>
  <c r="V185" i="10"/>
  <c r="V184" i="10"/>
  <c r="V183" i="10"/>
  <c r="V182" i="10"/>
  <c r="V174" i="10"/>
  <c r="V200" i="10"/>
  <c r="V189" i="10"/>
  <c r="V178" i="10"/>
  <c r="M174" i="10"/>
  <c r="R174" i="10"/>
  <c r="AB174" i="10"/>
  <c r="AJ174" i="10" s="1"/>
  <c r="AB217" i="10"/>
  <c r="H11" i="12" s="1"/>
  <c r="AB218" i="10"/>
  <c r="AB219" i="10"/>
  <c r="AB220" i="10"/>
  <c r="AB222" i="10"/>
  <c r="AB223" i="10"/>
  <c r="AB227" i="10"/>
  <c r="AB228" i="10"/>
  <c r="AB229" i="10"/>
  <c r="AB230" i="10"/>
  <c r="AB231" i="10"/>
  <c r="AB232" i="10"/>
  <c r="AB234" i="10"/>
  <c r="AB236" i="10"/>
  <c r="AB237" i="10"/>
  <c r="AB238" i="10"/>
  <c r="AB240" i="10"/>
  <c r="AB242" i="10"/>
  <c r="AB221" i="10"/>
  <c r="AB224" i="10"/>
  <c r="AJ173" i="10"/>
  <c r="AB233" i="10"/>
  <c r="AB226" i="10"/>
  <c r="AB225" i="10"/>
  <c r="AI173" i="10"/>
  <c r="AK173" i="10"/>
  <c r="AB243" i="10"/>
  <c r="AB244" i="10"/>
  <c r="AB241" i="10"/>
  <c r="AB239" i="10"/>
  <c r="AB235" i="10"/>
  <c r="AK172" i="10"/>
  <c r="AI172" i="10"/>
  <c r="AB172" i="10"/>
  <c r="AJ172" i="10" s="1"/>
  <c r="AI171" i="10"/>
  <c r="AK171" i="10"/>
  <c r="AB171" i="10"/>
  <c r="AJ171" i="10" s="1"/>
  <c r="AI170" i="10"/>
  <c r="AK170" i="10"/>
  <c r="AB170" i="10"/>
  <c r="AJ170" i="10" s="1"/>
  <c r="AI169" i="10"/>
  <c r="AK169" i="10"/>
  <c r="AB169" i="10"/>
  <c r="AJ169" i="10" s="1"/>
  <c r="AI168" i="10"/>
  <c r="AK168" i="10"/>
  <c r="AB168" i="10"/>
  <c r="AJ168" i="10" s="1"/>
  <c r="AI167" i="10"/>
  <c r="AK167" i="10"/>
  <c r="AB167" i="10"/>
  <c r="AJ167" i="10" s="1"/>
  <c r="AK166" i="10"/>
  <c r="AI166" i="10"/>
  <c r="AB166" i="10"/>
  <c r="AJ166" i="10" s="1"/>
  <c r="AI165" i="10"/>
  <c r="AK165" i="10"/>
  <c r="AB165" i="10"/>
  <c r="AJ165" i="10" s="1"/>
  <c r="AK164" i="10"/>
  <c r="AI164" i="10"/>
  <c r="AB164" i="10"/>
  <c r="AJ164" i="10" s="1"/>
  <c r="AK163" i="10"/>
  <c r="AI163" i="10"/>
  <c r="AB163" i="10"/>
  <c r="AJ163" i="10" s="1"/>
  <c r="AK162" i="10"/>
  <c r="AI162" i="10"/>
  <c r="AB162" i="10"/>
  <c r="AJ162" i="10" s="1"/>
  <c r="AI161" i="10"/>
  <c r="AK161" i="10"/>
  <c r="AB161" i="10"/>
  <c r="AJ161" i="10" s="1"/>
  <c r="AK160" i="10"/>
  <c r="AI160" i="10"/>
  <c r="AB160" i="10"/>
  <c r="AJ160" i="10" s="1"/>
  <c r="AI159" i="10"/>
  <c r="AK159" i="10"/>
  <c r="AB159" i="10"/>
  <c r="AJ159" i="10" s="1"/>
  <c r="AK158" i="10"/>
  <c r="AI158" i="10"/>
  <c r="AB158" i="10"/>
  <c r="AJ158" i="10" s="1"/>
  <c r="AI157" i="10"/>
  <c r="AK157" i="10"/>
  <c r="AB157" i="10"/>
  <c r="AJ157" i="10" s="1"/>
  <c r="AK156" i="10"/>
  <c r="AI156" i="10"/>
  <c r="AB156" i="10"/>
  <c r="AJ156" i="10" s="1"/>
  <c r="AI155" i="10"/>
  <c r="AK155" i="10"/>
  <c r="AB155" i="10"/>
  <c r="AJ155" i="10" s="1"/>
  <c r="AK154" i="10"/>
  <c r="AI154" i="10"/>
  <c r="AB154" i="10"/>
  <c r="AJ154" i="10" s="1"/>
  <c r="AK153" i="10"/>
  <c r="AI153" i="10"/>
  <c r="AB153" i="10"/>
  <c r="AJ153" i="10" s="1"/>
  <c r="AK152" i="10"/>
  <c r="AI152" i="10"/>
  <c r="AB152" i="10"/>
  <c r="AJ152" i="10" s="1"/>
  <c r="AK151" i="10"/>
  <c r="AI151" i="10"/>
  <c r="AB151" i="10"/>
  <c r="AJ151" i="10" s="1"/>
  <c r="AK150" i="10"/>
  <c r="AI150" i="10"/>
  <c r="AB150" i="10"/>
  <c r="AJ150" i="10" s="1"/>
  <c r="AK149" i="10"/>
  <c r="AI149" i="10"/>
  <c r="AB149" i="10"/>
  <c r="AJ149" i="10" s="1"/>
  <c r="AK148" i="10"/>
  <c r="AI148" i="10"/>
  <c r="AB148" i="10"/>
  <c r="AJ148" i="10" s="1"/>
  <c r="AI147" i="10"/>
  <c r="AK147" i="10"/>
  <c r="AB147" i="10"/>
  <c r="AJ147" i="10" s="1"/>
  <c r="AK146" i="10"/>
  <c r="AI146" i="10"/>
  <c r="F10" i="12" s="1"/>
  <c r="V158" i="10"/>
  <c r="V165" i="10"/>
  <c r="V149" i="10"/>
  <c r="V164" i="10"/>
  <c r="V155" i="10"/>
  <c r="V148" i="10"/>
  <c r="V166" i="10"/>
  <c r="V156" i="10"/>
  <c r="V163" i="10"/>
  <c r="V146" i="10"/>
  <c r="V170" i="10"/>
  <c r="V168" i="10"/>
  <c r="V152" i="10"/>
  <c r="V161" i="10"/>
  <c r="V154" i="10"/>
  <c r="V150" i="10"/>
  <c r="V147" i="10"/>
  <c r="V172" i="10"/>
  <c r="V153" i="10"/>
  <c r="V159" i="10"/>
  <c r="V171" i="10"/>
  <c r="V167" i="10"/>
  <c r="V169" i="10"/>
  <c r="V157" i="10"/>
  <c r="V151" i="10"/>
  <c r="V162" i="10"/>
  <c r="Z162" i="10" s="1"/>
  <c r="V160" i="10"/>
  <c r="Z160" i="10" s="1"/>
  <c r="AB146" i="10"/>
  <c r="AI145" i="10"/>
  <c r="AK145" i="10"/>
  <c r="AB145" i="10"/>
  <c r="AJ145" i="10" s="1"/>
  <c r="AK144" i="10"/>
  <c r="AI144" i="10"/>
  <c r="AB144" i="10"/>
  <c r="AJ144" i="10" s="1"/>
  <c r="AI143" i="10"/>
  <c r="AK143" i="10"/>
  <c r="AB143" i="10"/>
  <c r="AJ143" i="10" s="1"/>
  <c r="AI142" i="10"/>
  <c r="AK142" i="10"/>
  <c r="AB142" i="10"/>
  <c r="AJ142" i="10" s="1"/>
  <c r="AI141" i="10"/>
  <c r="AK141" i="10"/>
  <c r="AJ141" i="10"/>
  <c r="AB141" i="10"/>
  <c r="AI140" i="10"/>
  <c r="AK140" i="10"/>
  <c r="AB140" i="10"/>
  <c r="AJ140" i="10" s="1"/>
  <c r="AK139" i="10"/>
  <c r="AI139" i="10"/>
  <c r="AB139" i="10"/>
  <c r="AJ139" i="10" s="1"/>
  <c r="AK138" i="10"/>
  <c r="AI138" i="10"/>
  <c r="AB138" i="10"/>
  <c r="AJ138" i="10" s="1"/>
  <c r="AI137" i="10"/>
  <c r="AK137" i="10"/>
  <c r="AB137" i="10"/>
  <c r="AJ137" i="10" s="1"/>
  <c r="AI136" i="10"/>
  <c r="AK136" i="10"/>
  <c r="AJ136" i="10"/>
  <c r="AB136" i="10"/>
  <c r="AK135" i="10"/>
  <c r="AJ135" i="10"/>
  <c r="AB135" i="10"/>
  <c r="AK134" i="10"/>
  <c r="AB134" i="10"/>
  <c r="AJ134" i="10" s="1"/>
  <c r="AK133" i="10"/>
  <c r="AB133" i="10"/>
  <c r="AJ133" i="10" s="1"/>
  <c r="AK132" i="10"/>
  <c r="AB132" i="10"/>
  <c r="AJ132" i="10" s="1"/>
  <c r="AK131" i="10"/>
  <c r="AB131" i="10"/>
  <c r="AJ131" i="10" s="1"/>
  <c r="AK130" i="10"/>
  <c r="AB130" i="10"/>
  <c r="AJ130" i="10" s="1"/>
  <c r="AK129" i="10"/>
  <c r="AB129" i="10"/>
  <c r="AJ129" i="10" s="1"/>
  <c r="AK128" i="10"/>
  <c r="AB128" i="10"/>
  <c r="AJ128" i="10" s="1"/>
  <c r="AK127" i="10"/>
  <c r="AB127" i="10"/>
  <c r="AJ127" i="10" s="1"/>
  <c r="AK126" i="10"/>
  <c r="AB126" i="10"/>
  <c r="AJ126" i="10" s="1"/>
  <c r="AK125" i="10"/>
  <c r="AB125" i="10"/>
  <c r="AJ125" i="10" s="1"/>
  <c r="AK124" i="10"/>
  <c r="AB124" i="10"/>
  <c r="AJ124" i="10" s="1"/>
  <c r="AK123" i="10"/>
  <c r="AB123" i="10"/>
  <c r="AJ123" i="10" s="1"/>
  <c r="AK122" i="10"/>
  <c r="AB122" i="10"/>
  <c r="AJ122" i="10" s="1"/>
  <c r="AK121" i="10"/>
  <c r="AB121" i="10"/>
  <c r="AJ121" i="10" s="1"/>
  <c r="AK120" i="10"/>
  <c r="AB120" i="10"/>
  <c r="AJ120" i="10" s="1"/>
  <c r="AK119" i="10"/>
  <c r="AB119" i="10"/>
  <c r="AJ119" i="10" s="1"/>
  <c r="AK118" i="10"/>
  <c r="AB118" i="10"/>
  <c r="AJ118" i="10" s="1"/>
  <c r="AK117" i="10"/>
  <c r="AB117" i="10"/>
  <c r="AJ117" i="10" s="1"/>
  <c r="AK116" i="10"/>
  <c r="AB116" i="10"/>
  <c r="AJ116" i="10" s="1"/>
  <c r="AK115" i="10"/>
  <c r="AB115" i="10"/>
  <c r="AJ115" i="10" s="1"/>
  <c r="AK114" i="10"/>
  <c r="AB114" i="10"/>
  <c r="AJ114" i="10" s="1"/>
  <c r="AK113" i="10"/>
  <c r="AB113" i="10"/>
  <c r="AJ113" i="10" s="1"/>
  <c r="AI112" i="10"/>
  <c r="AK112" i="10"/>
  <c r="M112" i="10"/>
  <c r="AB112" i="10"/>
  <c r="AJ112" i="10" s="1"/>
  <c r="AK111" i="10"/>
  <c r="AI111" i="10"/>
  <c r="M111" i="10"/>
  <c r="AB111" i="10"/>
  <c r="AJ111" i="10" s="1"/>
  <c r="AI110" i="10"/>
  <c r="AK110" i="10"/>
  <c r="M110" i="10"/>
  <c r="AB110" i="10"/>
  <c r="AJ110" i="10" s="1"/>
  <c r="AK109" i="10"/>
  <c r="AI109" i="10"/>
  <c r="M109" i="10"/>
  <c r="AB109" i="10"/>
  <c r="AJ109" i="10" s="1"/>
  <c r="AK108" i="10"/>
  <c r="AI108" i="10"/>
  <c r="M108" i="10"/>
  <c r="AB108" i="10"/>
  <c r="AJ108" i="10" s="1"/>
  <c r="AI107" i="10"/>
  <c r="AK107" i="10"/>
  <c r="M107" i="10"/>
  <c r="AB107" i="10"/>
  <c r="AJ107" i="10" s="1"/>
  <c r="AK106" i="10"/>
  <c r="AI106" i="10"/>
  <c r="M106" i="10"/>
  <c r="AB106" i="10"/>
  <c r="AJ106" i="10" s="1"/>
  <c r="AI105" i="10"/>
  <c r="AK105" i="10"/>
  <c r="M105" i="10"/>
  <c r="AB105" i="10"/>
  <c r="AJ105" i="10" s="1"/>
  <c r="AK104" i="10"/>
  <c r="AI104" i="10"/>
  <c r="M104" i="10"/>
  <c r="AB104" i="10"/>
  <c r="AJ104" i="10" s="1"/>
  <c r="AI103" i="10"/>
  <c r="AK103" i="10"/>
  <c r="M103" i="10"/>
  <c r="AB103" i="10"/>
  <c r="AJ103" i="10" s="1"/>
  <c r="AI102" i="10"/>
  <c r="AK102" i="10"/>
  <c r="M102" i="10"/>
  <c r="AB102" i="10"/>
  <c r="AJ102" i="10" s="1"/>
  <c r="AI101" i="10"/>
  <c r="AK101" i="10"/>
  <c r="M101" i="10"/>
  <c r="AB101" i="10"/>
  <c r="AJ101" i="10" s="1"/>
  <c r="AK100" i="10"/>
  <c r="AI100" i="10"/>
  <c r="M100" i="10"/>
  <c r="AB100" i="10"/>
  <c r="AJ100" i="10" s="1"/>
  <c r="AI99" i="10"/>
  <c r="AK99" i="10"/>
  <c r="M99" i="10"/>
  <c r="AB99" i="10"/>
  <c r="AJ99" i="10" s="1"/>
  <c r="AK98" i="10"/>
  <c r="AI98" i="10"/>
  <c r="M98" i="10"/>
  <c r="AB98" i="10"/>
  <c r="AJ98" i="10" s="1"/>
  <c r="AI97" i="10"/>
  <c r="AK97" i="10"/>
  <c r="M97" i="10"/>
  <c r="AB97" i="10"/>
  <c r="AJ97" i="10" s="1"/>
  <c r="AI96" i="10"/>
  <c r="AK96" i="10"/>
  <c r="M96" i="10"/>
  <c r="AB96" i="10"/>
  <c r="AJ96" i="10" s="1"/>
  <c r="AI95" i="10"/>
  <c r="AK95" i="10"/>
  <c r="M95" i="10"/>
  <c r="AB95" i="10"/>
  <c r="AJ95" i="10" s="1"/>
  <c r="AK94" i="10"/>
  <c r="AI94" i="10"/>
  <c r="M94" i="10"/>
  <c r="AB94" i="10"/>
  <c r="AJ94" i="10" s="1"/>
  <c r="AK93" i="10"/>
  <c r="AI93" i="10"/>
  <c r="M93" i="10"/>
  <c r="AB93" i="10"/>
  <c r="AJ93" i="10" s="1"/>
  <c r="AK92" i="10"/>
  <c r="AI92" i="10"/>
  <c r="M92" i="10"/>
  <c r="AB92" i="10"/>
  <c r="AJ92" i="10" s="1"/>
  <c r="AK91" i="10"/>
  <c r="AI91" i="10"/>
  <c r="M91" i="10"/>
  <c r="AB91" i="10"/>
  <c r="AJ91" i="10" s="1"/>
  <c r="AI90" i="10"/>
  <c r="AK90" i="10"/>
  <c r="M90" i="10"/>
  <c r="AB90" i="10"/>
  <c r="AJ90" i="10" s="1"/>
  <c r="AK89" i="10"/>
  <c r="AI89" i="10"/>
  <c r="M89" i="10"/>
  <c r="AB89" i="10"/>
  <c r="AJ89" i="10" s="1"/>
  <c r="AI88" i="10"/>
  <c r="AK88" i="10"/>
  <c r="M88" i="10"/>
  <c r="AB88" i="10"/>
  <c r="AJ88" i="10" s="1"/>
  <c r="AK87" i="10"/>
  <c r="AI87" i="10"/>
  <c r="M87" i="10"/>
  <c r="AB87" i="10"/>
  <c r="AJ87" i="10" s="1"/>
  <c r="AI86" i="10"/>
  <c r="AK86" i="10"/>
  <c r="M86" i="10"/>
  <c r="AB86" i="10"/>
  <c r="AJ86" i="10" s="1"/>
  <c r="AI85" i="10"/>
  <c r="AK85" i="10"/>
  <c r="M85" i="10"/>
  <c r="AB85" i="10"/>
  <c r="AJ85" i="10" s="1"/>
  <c r="AI84" i="10"/>
  <c r="AK84" i="10"/>
  <c r="M84" i="10"/>
  <c r="AB84" i="10"/>
  <c r="AJ84" i="10" s="1"/>
  <c r="AK83" i="10"/>
  <c r="AI83" i="10"/>
  <c r="M83" i="10"/>
  <c r="AB83" i="10"/>
  <c r="AJ83" i="10" s="1"/>
  <c r="AK82" i="10"/>
  <c r="AI82" i="10"/>
  <c r="M82" i="10"/>
  <c r="AB82" i="10"/>
  <c r="AJ82" i="10" s="1"/>
  <c r="AK81" i="10"/>
  <c r="AI81" i="10"/>
  <c r="M81" i="10"/>
  <c r="AB81" i="10"/>
  <c r="AJ81" i="10" s="1"/>
  <c r="AI80" i="10"/>
  <c r="AK80" i="10"/>
  <c r="M80" i="10"/>
  <c r="AB80" i="10"/>
  <c r="AJ80" i="10" s="1"/>
  <c r="AI79" i="10"/>
  <c r="AK79" i="10"/>
  <c r="M79" i="10"/>
  <c r="AB79" i="10"/>
  <c r="AJ79" i="10" s="1"/>
  <c r="AI78" i="10"/>
  <c r="AK78" i="10"/>
  <c r="M78" i="10"/>
  <c r="AB78" i="10"/>
  <c r="AJ78" i="10" s="1"/>
  <c r="AK77" i="10"/>
  <c r="AI77" i="10"/>
  <c r="M77" i="10"/>
  <c r="AB77" i="10"/>
  <c r="AJ77" i="10" s="1"/>
  <c r="AK76" i="10"/>
  <c r="AI76" i="10"/>
  <c r="M76" i="10"/>
  <c r="AB76" i="10"/>
  <c r="AJ76" i="10" s="1"/>
  <c r="AI75" i="10"/>
  <c r="F9" i="12" s="1"/>
  <c r="AK75" i="10"/>
  <c r="V143" i="10"/>
  <c r="V142" i="10"/>
  <c r="V121" i="10"/>
  <c r="V96" i="10"/>
  <c r="V103" i="10"/>
  <c r="V141" i="10"/>
  <c r="V140" i="10"/>
  <c r="V139" i="10"/>
  <c r="V97" i="10"/>
  <c r="V122" i="10"/>
  <c r="V138" i="10"/>
  <c r="V137" i="10"/>
  <c r="V109" i="10"/>
  <c r="V136" i="10"/>
  <c r="V98" i="10"/>
  <c r="V135" i="10"/>
  <c r="V134" i="10"/>
  <c r="V99" i="10"/>
  <c r="V133" i="10"/>
  <c r="V132" i="10"/>
  <c r="V131" i="10"/>
  <c r="V100" i="10"/>
  <c r="V129" i="10"/>
  <c r="V128" i="10"/>
  <c r="V101" i="10"/>
  <c r="V127" i="10"/>
  <c r="V126" i="10"/>
  <c r="V108" i="10"/>
  <c r="V125" i="10"/>
  <c r="V102" i="10"/>
  <c r="V124" i="10"/>
  <c r="V123" i="10"/>
  <c r="V116" i="10"/>
  <c r="V105" i="10"/>
  <c r="V117" i="10"/>
  <c r="V120" i="10"/>
  <c r="V104" i="10"/>
  <c r="V119" i="10"/>
  <c r="V118" i="10"/>
  <c r="V84" i="10"/>
  <c r="V83" i="10"/>
  <c r="V82" i="10"/>
  <c r="V81" i="10"/>
  <c r="V113" i="10"/>
  <c r="V80" i="10"/>
  <c r="V79" i="10"/>
  <c r="V78" i="10"/>
  <c r="V106" i="10"/>
  <c r="V77" i="10"/>
  <c r="V76" i="10"/>
  <c r="V114" i="10"/>
  <c r="V75" i="10"/>
  <c r="V85" i="10"/>
  <c r="V112" i="10"/>
  <c r="V86" i="10"/>
  <c r="V87" i="10"/>
  <c r="V107" i="10"/>
  <c r="V88" i="10"/>
  <c r="V89" i="10"/>
  <c r="V115" i="10"/>
  <c r="V111" i="10"/>
  <c r="V130" i="10"/>
  <c r="V90" i="10"/>
  <c r="V91" i="10"/>
  <c r="V92" i="10"/>
  <c r="V93" i="10"/>
  <c r="V110" i="10"/>
  <c r="V94" i="10"/>
  <c r="V145" i="10"/>
  <c r="V95" i="10"/>
  <c r="V144" i="10"/>
  <c r="Z144" i="10" s="1"/>
  <c r="R75" i="10"/>
  <c r="M75" i="10"/>
  <c r="AB75" i="10"/>
  <c r="AI74" i="10"/>
  <c r="M74" i="10"/>
  <c r="R74" i="10"/>
  <c r="AB74" i="10"/>
  <c r="AJ74" i="10" s="1"/>
  <c r="AI73" i="10"/>
  <c r="R73" i="10"/>
  <c r="M73" i="10"/>
  <c r="AB73" i="10"/>
  <c r="AJ73" i="10" s="1"/>
  <c r="AI72" i="10"/>
  <c r="M72" i="10"/>
  <c r="R72" i="10"/>
  <c r="AB72" i="10"/>
  <c r="AJ72" i="10" s="1"/>
  <c r="AI71" i="10"/>
  <c r="M71" i="10"/>
  <c r="R71" i="10"/>
  <c r="AB71" i="10"/>
  <c r="AJ71" i="10" s="1"/>
  <c r="AI70" i="10"/>
  <c r="R70" i="10"/>
  <c r="M70" i="10"/>
  <c r="AB70" i="10"/>
  <c r="AJ70" i="10" s="1"/>
  <c r="AI69" i="10"/>
  <c r="R69" i="10"/>
  <c r="M69" i="10"/>
  <c r="AB69" i="10"/>
  <c r="AJ69" i="10" s="1"/>
  <c r="AI68" i="10"/>
  <c r="R68" i="10"/>
  <c r="M68" i="10"/>
  <c r="AB68" i="10"/>
  <c r="AJ68" i="10" s="1"/>
  <c r="AI67" i="10"/>
  <c r="M67" i="10"/>
  <c r="R67" i="10"/>
  <c r="AB67" i="10"/>
  <c r="AJ67" i="10" s="1"/>
  <c r="AI66" i="10"/>
  <c r="R66" i="10"/>
  <c r="M66" i="10"/>
  <c r="AB66" i="10"/>
  <c r="AJ66" i="10" s="1"/>
  <c r="AI65" i="10"/>
  <c r="M65" i="10"/>
  <c r="R65" i="10"/>
  <c r="AB65" i="10"/>
  <c r="AJ65" i="10" s="1"/>
  <c r="AI64" i="10"/>
  <c r="M64" i="10"/>
  <c r="R64" i="10"/>
  <c r="AB64" i="10"/>
  <c r="AJ64" i="10" s="1"/>
  <c r="AI63" i="10"/>
  <c r="R63" i="10"/>
  <c r="M63" i="10"/>
  <c r="AB63" i="10"/>
  <c r="AJ63" i="10" s="1"/>
  <c r="AI62" i="10"/>
  <c r="R62" i="10"/>
  <c r="M62" i="10"/>
  <c r="AB62" i="10"/>
  <c r="AJ62" i="10" s="1"/>
  <c r="AI61" i="10"/>
  <c r="V69" i="10"/>
  <c r="V73" i="10"/>
  <c r="V64" i="10"/>
  <c r="V61" i="10"/>
  <c r="V72" i="10"/>
  <c r="V67" i="10"/>
  <c r="V65" i="10"/>
  <c r="V62" i="10"/>
  <c r="V70" i="10"/>
  <c r="V71" i="10"/>
  <c r="V74" i="10"/>
  <c r="V63" i="10"/>
  <c r="V68" i="10"/>
  <c r="V66" i="10"/>
  <c r="R61" i="10"/>
  <c r="M61" i="10"/>
  <c r="AB61" i="10"/>
  <c r="AJ61" i="10" s="1"/>
  <c r="AI60" i="10"/>
  <c r="AB60" i="10"/>
  <c r="AJ60" i="10" s="1"/>
  <c r="AI59" i="10"/>
  <c r="AB59" i="10"/>
  <c r="AJ59" i="10" s="1"/>
  <c r="AI58" i="10"/>
  <c r="AB58" i="10"/>
  <c r="AJ58" i="10" s="1"/>
  <c r="AI57" i="10"/>
  <c r="AB57" i="10"/>
  <c r="AJ57" i="10" s="1"/>
  <c r="AI56" i="10"/>
  <c r="AB56" i="10"/>
  <c r="AJ56" i="10" s="1"/>
  <c r="AI55" i="10"/>
  <c r="AB55" i="10"/>
  <c r="AJ55" i="10" s="1"/>
  <c r="AI54" i="10"/>
  <c r="AB54" i="10"/>
  <c r="AJ54" i="10" s="1"/>
  <c r="AI53" i="10"/>
  <c r="AB53" i="10"/>
  <c r="AJ53" i="10" s="1"/>
  <c r="AI52" i="10"/>
  <c r="AB52" i="10"/>
  <c r="AJ52" i="10" s="1"/>
  <c r="AI51" i="10"/>
  <c r="AB51" i="10"/>
  <c r="AJ51" i="10" s="1"/>
  <c r="AI50" i="10"/>
  <c r="AB50" i="10"/>
  <c r="AJ50" i="10" s="1"/>
  <c r="AI49" i="10"/>
  <c r="AB49" i="10"/>
  <c r="AJ49" i="10" s="1"/>
  <c r="AI48" i="10"/>
  <c r="AB48" i="10"/>
  <c r="AJ48" i="10" s="1"/>
  <c r="AI47" i="10"/>
  <c r="AB47" i="10"/>
  <c r="AJ47" i="10" s="1"/>
  <c r="AI46" i="10"/>
  <c r="AB46" i="10"/>
  <c r="AJ46" i="10" s="1"/>
  <c r="AI45" i="10"/>
  <c r="AB45" i="10"/>
  <c r="AJ45" i="10" s="1"/>
  <c r="AI44" i="10"/>
  <c r="AB44" i="10"/>
  <c r="AJ44" i="10" s="1"/>
  <c r="AI43" i="10"/>
  <c r="AB43" i="10"/>
  <c r="AJ43" i="10" s="1"/>
  <c r="AI42" i="10"/>
  <c r="AB42" i="10"/>
  <c r="AJ42" i="10" s="1"/>
  <c r="AI41" i="10"/>
  <c r="AB41" i="10"/>
  <c r="AJ41" i="10" s="1"/>
  <c r="AI40" i="10"/>
  <c r="AB40" i="10"/>
  <c r="AJ40" i="10" s="1"/>
  <c r="AI39" i="10"/>
  <c r="AB39" i="10"/>
  <c r="AJ39" i="10" s="1"/>
  <c r="AI38" i="10"/>
  <c r="AB38" i="10"/>
  <c r="AJ38" i="10" s="1"/>
  <c r="AI37" i="10"/>
  <c r="AB37" i="10"/>
  <c r="AJ37" i="10" s="1"/>
  <c r="AI36" i="10"/>
  <c r="AB36" i="10"/>
  <c r="AJ36" i="10" s="1"/>
  <c r="AI35" i="10"/>
  <c r="AB35" i="10"/>
  <c r="AJ35" i="10" s="1"/>
  <c r="AI34" i="10"/>
  <c r="AB34" i="10"/>
  <c r="AJ34" i="10" s="1"/>
  <c r="AI33" i="10"/>
  <c r="AB33" i="10"/>
  <c r="AJ33" i="10" s="1"/>
  <c r="AI32" i="10"/>
  <c r="AB32" i="10"/>
  <c r="AJ32" i="10" s="1"/>
  <c r="AI31" i="10"/>
  <c r="AB31" i="10"/>
  <c r="AJ31" i="10" s="1"/>
  <c r="AI30" i="10"/>
  <c r="AB30" i="10"/>
  <c r="AJ30" i="10" s="1"/>
  <c r="AI29" i="10"/>
  <c r="AB29" i="10"/>
  <c r="AJ29" i="10" s="1"/>
  <c r="AI28" i="10"/>
  <c r="AB28" i="10"/>
  <c r="AJ28" i="10" s="1"/>
  <c r="AI27" i="10"/>
  <c r="AB27" i="10"/>
  <c r="AJ27" i="10" s="1"/>
  <c r="AI26" i="10"/>
  <c r="AB26" i="10"/>
  <c r="AJ26" i="10" s="1"/>
  <c r="AI25" i="10"/>
  <c r="AB25" i="10"/>
  <c r="AJ25" i="10" s="1"/>
  <c r="AI24" i="10"/>
  <c r="AB24" i="10"/>
  <c r="AJ24" i="10" s="1"/>
  <c r="AI23" i="10"/>
  <c r="AB23" i="10"/>
  <c r="AJ23" i="10" s="1"/>
  <c r="AI22" i="10"/>
  <c r="AB22" i="10"/>
  <c r="AJ22" i="10" s="1"/>
  <c r="AI21" i="10"/>
  <c r="AB21" i="10"/>
  <c r="AJ21" i="10" s="1"/>
  <c r="AI20" i="10"/>
  <c r="AB20" i="10"/>
  <c r="AJ20" i="10" s="1"/>
  <c r="AI19" i="10"/>
  <c r="AB19" i="10"/>
  <c r="AJ19" i="10" s="1"/>
  <c r="AI18" i="10"/>
  <c r="AB18" i="10"/>
  <c r="AJ18" i="10" s="1"/>
  <c r="AI17" i="10"/>
  <c r="AB17" i="10"/>
  <c r="AJ17" i="10" s="1"/>
  <c r="AI16" i="10"/>
  <c r="AB16" i="10"/>
  <c r="AJ16" i="10" s="1"/>
  <c r="AI15" i="10"/>
  <c r="AB15" i="10"/>
  <c r="AJ15" i="10" s="1"/>
  <c r="AI14" i="10"/>
  <c r="AB14" i="10"/>
  <c r="AJ14" i="10" s="1"/>
  <c r="AI13" i="10"/>
  <c r="AB13" i="10"/>
  <c r="AJ13" i="10" s="1"/>
  <c r="AI12" i="10"/>
  <c r="AB12" i="10"/>
  <c r="AJ12" i="10" s="1"/>
  <c r="AI11" i="10"/>
  <c r="AB11" i="10"/>
  <c r="AJ11" i="10" s="1"/>
  <c r="AI10" i="10"/>
  <c r="AB10" i="10"/>
  <c r="AJ10" i="10" s="1"/>
  <c r="AI9" i="10"/>
  <c r="AB9" i="10"/>
  <c r="AJ9" i="10" s="1"/>
  <c r="AI8" i="10"/>
  <c r="AB8" i="10"/>
  <c r="AJ8" i="10" s="1"/>
  <c r="AI7" i="10"/>
  <c r="AB7" i="10"/>
  <c r="AJ7" i="10" s="1"/>
  <c r="AI6" i="10"/>
  <c r="AB6" i="10"/>
  <c r="AJ6" i="10" s="1"/>
  <c r="AI5" i="10"/>
  <c r="AB5" i="10"/>
  <c r="AJ5" i="10" s="1"/>
  <c r="AJ4" i="10"/>
  <c r="I8" i="12" s="1"/>
  <c r="AI4" i="10"/>
  <c r="F8" i="12" s="1"/>
  <c r="V4" i="10"/>
  <c r="V9" i="10"/>
  <c r="V51" i="10"/>
  <c r="V23" i="10"/>
  <c r="V13" i="10"/>
  <c r="V8" i="10"/>
  <c r="V50" i="10"/>
  <c r="V22" i="10"/>
  <c r="V12" i="10"/>
  <c r="V7" i="10"/>
  <c r="V6" i="10"/>
  <c r="V49" i="10"/>
  <c r="V5" i="10"/>
  <c r="V11" i="10"/>
  <c r="V21" i="10"/>
  <c r="V10" i="10"/>
  <c r="V47" i="10"/>
  <c r="V19" i="10"/>
  <c r="V31" i="10"/>
  <c r="V46" i="10"/>
  <c r="V44" i="10"/>
  <c r="Z44" i="10" s="1"/>
  <c r="V24" i="10"/>
  <c r="V48" i="10"/>
  <c r="V60" i="10"/>
  <c r="V32" i="10"/>
  <c r="V30" i="10"/>
  <c r="V59" i="10"/>
  <c r="V33" i="10"/>
  <c r="V34" i="10"/>
  <c r="V29" i="10"/>
  <c r="V58" i="10"/>
  <c r="V43" i="10"/>
  <c r="V45" i="10"/>
  <c r="V39" i="10"/>
  <c r="V35" i="10"/>
  <c r="V57" i="10"/>
  <c r="V36" i="10"/>
  <c r="V40" i="10"/>
  <c r="V28" i="10"/>
  <c r="V56" i="10"/>
  <c r="V42" i="10"/>
  <c r="V37" i="10"/>
  <c r="V55" i="10"/>
  <c r="V20" i="10"/>
  <c r="V38" i="10"/>
  <c r="V41" i="10"/>
  <c r="V54" i="10"/>
  <c r="V18" i="10"/>
  <c r="V27" i="10"/>
  <c r="V25" i="10"/>
  <c r="V53" i="10"/>
  <c r="V17" i="10"/>
  <c r="V16" i="10"/>
  <c r="V15" i="10"/>
  <c r="V52" i="10"/>
  <c r="V14" i="10"/>
  <c r="V26" i="10"/>
  <c r="AB4" i="10"/>
  <c r="H8" i="12" s="1"/>
  <c r="K601" i="10"/>
  <c r="K602" i="10"/>
  <c r="K603" i="10"/>
  <c r="K604" i="10"/>
  <c r="K605" i="10"/>
  <c r="K606" i="10"/>
  <c r="K607" i="10"/>
  <c r="K608" i="10"/>
  <c r="K609" i="10"/>
  <c r="K610" i="10"/>
  <c r="K611" i="10"/>
  <c r="K612" i="10"/>
  <c r="K613" i="10"/>
  <c r="K614" i="10"/>
  <c r="K615" i="10"/>
  <c r="K616" i="10"/>
  <c r="K617" i="10"/>
  <c r="K618" i="10"/>
  <c r="K619" i="10"/>
  <c r="K620" i="10"/>
  <c r="K621" i="10"/>
  <c r="K567" i="10"/>
  <c r="K173" i="10"/>
  <c r="K172" i="10"/>
  <c r="K171" i="10"/>
  <c r="K170" i="10"/>
  <c r="K169" i="10"/>
  <c r="K168" i="10"/>
  <c r="K167" i="10"/>
  <c r="K166" i="10"/>
  <c r="K165" i="10"/>
  <c r="K164" i="10"/>
  <c r="K163" i="10"/>
  <c r="K162" i="10"/>
  <c r="K161" i="10"/>
  <c r="K160" i="10"/>
  <c r="K159" i="10"/>
  <c r="K158" i="10"/>
  <c r="K157" i="10"/>
  <c r="K156" i="10"/>
  <c r="K155" i="10"/>
  <c r="K154" i="10"/>
  <c r="K153" i="10"/>
  <c r="K152" i="10"/>
  <c r="K151" i="10"/>
  <c r="K150" i="10"/>
  <c r="K149" i="10"/>
  <c r="K148" i="10"/>
  <c r="K147" i="10"/>
  <c r="K146" i="10"/>
  <c r="K145" i="10"/>
  <c r="K144" i="10"/>
  <c r="K143" i="10"/>
  <c r="K141" i="10"/>
  <c r="K140" i="10"/>
  <c r="K139" i="10"/>
  <c r="K138" i="10"/>
  <c r="K137" i="10"/>
  <c r="K136" i="10"/>
  <c r="K135" i="10"/>
  <c r="K134" i="10"/>
  <c r="K133" i="10"/>
  <c r="K132" i="10"/>
  <c r="K131" i="10"/>
  <c r="K130" i="10"/>
  <c r="K129" i="10"/>
  <c r="K128" i="10"/>
  <c r="K127" i="10"/>
  <c r="K126" i="10"/>
  <c r="K125" i="10"/>
  <c r="K124" i="10"/>
  <c r="K123" i="10"/>
  <c r="K122" i="10"/>
  <c r="K121" i="10"/>
  <c r="K120" i="10"/>
  <c r="K119" i="10"/>
  <c r="K118" i="10"/>
  <c r="K117" i="10"/>
  <c r="K116" i="10"/>
  <c r="K115" i="10"/>
  <c r="K114" i="10"/>
  <c r="K113" i="10"/>
  <c r="K142" i="10"/>
  <c r="K60" i="10"/>
  <c r="K59"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K33" i="10"/>
  <c r="K32" i="10"/>
  <c r="K31" i="10"/>
  <c r="K30" i="10"/>
  <c r="K29" i="10"/>
  <c r="K28" i="10"/>
  <c r="K27" i="10"/>
  <c r="K26" i="10"/>
  <c r="K25" i="10"/>
  <c r="K24" i="10"/>
  <c r="K23" i="10"/>
  <c r="K22" i="10"/>
  <c r="K21" i="10"/>
  <c r="K20" i="10"/>
  <c r="K19" i="10"/>
  <c r="K18" i="10"/>
  <c r="K17" i="10"/>
  <c r="K16" i="10"/>
  <c r="K15" i="10"/>
  <c r="K14" i="10"/>
  <c r="K13" i="10"/>
  <c r="K12" i="10"/>
  <c r="K11" i="10"/>
  <c r="K10" i="10"/>
  <c r="K9" i="10"/>
  <c r="K8" i="10"/>
  <c r="K7" i="10"/>
  <c r="K6" i="10"/>
  <c r="K5" i="10"/>
  <c r="K4" i="10"/>
  <c r="K663" i="10"/>
  <c r="K664" i="10"/>
  <c r="K665" i="10"/>
  <c r="K666" i="10"/>
  <c r="K667" i="10"/>
  <c r="K668" i="10"/>
  <c r="K669" i="10"/>
  <c r="K670" i="10"/>
  <c r="K671" i="10"/>
  <c r="K672" i="10"/>
  <c r="K673" i="10"/>
  <c r="K674" i="10"/>
  <c r="K675" i="10"/>
  <c r="K676" i="10"/>
  <c r="K677" i="10"/>
  <c r="K678" i="10"/>
  <c r="K679" i="10"/>
  <c r="K680" i="10"/>
  <c r="K681" i="10"/>
  <c r="K682" i="10"/>
  <c r="K683" i="10"/>
  <c r="K684" i="10"/>
  <c r="K685" i="10"/>
  <c r="K686" i="10"/>
  <c r="K687" i="10"/>
  <c r="K688" i="10"/>
  <c r="K689" i="10"/>
  <c r="K690" i="10"/>
  <c r="K691" i="10"/>
  <c r="K692" i="10"/>
  <c r="K693" i="10"/>
  <c r="K694" i="10"/>
  <c r="K695" i="10"/>
  <c r="K696" i="10"/>
  <c r="K697" i="10"/>
  <c r="K698" i="10"/>
  <c r="K699" i="10"/>
  <c r="K700" i="10"/>
  <c r="K701" i="10"/>
  <c r="K702" i="10"/>
  <c r="K703" i="10"/>
  <c r="K704" i="10"/>
  <c r="K705" i="10"/>
  <c r="K706" i="10"/>
  <c r="K707" i="10"/>
  <c r="K708" i="10"/>
  <c r="K709" i="10"/>
  <c r="K710" i="10"/>
  <c r="K711" i="10"/>
  <c r="K712" i="10"/>
  <c r="K713" i="10"/>
  <c r="K714" i="10"/>
  <c r="K715" i="10"/>
  <c r="K716" i="10"/>
  <c r="K717" i="10"/>
  <c r="K718" i="10"/>
  <c r="K719" i="10"/>
  <c r="K720" i="10"/>
  <c r="K721" i="10"/>
  <c r="K722" i="10"/>
  <c r="K723" i="10"/>
  <c r="K724" i="10"/>
  <c r="K725" i="10"/>
  <c r="K726" i="10"/>
  <c r="K727" i="10"/>
  <c r="K728" i="10"/>
  <c r="K729" i="10"/>
  <c r="K730" i="10"/>
  <c r="K731" i="10"/>
  <c r="K732" i="10"/>
  <c r="K733" i="10"/>
  <c r="K960" i="10"/>
  <c r="K959" i="10"/>
  <c r="K958" i="10"/>
  <c r="K957" i="10"/>
  <c r="K956" i="10"/>
  <c r="K955" i="10"/>
  <c r="K954" i="10"/>
  <c r="K953" i="10"/>
  <c r="K952" i="10"/>
  <c r="K951" i="10"/>
  <c r="K950" i="10"/>
  <c r="K949" i="10"/>
  <c r="K948" i="10"/>
  <c r="K844" i="10"/>
  <c r="K843" i="10"/>
  <c r="K842" i="10"/>
  <c r="K841" i="10"/>
  <c r="K840" i="10"/>
  <c r="K839" i="10"/>
  <c r="K838" i="10"/>
  <c r="K837" i="10"/>
  <c r="K836" i="10"/>
  <c r="K835" i="10"/>
  <c r="K834" i="10"/>
  <c r="K833" i="10"/>
  <c r="K832" i="10"/>
  <c r="K831" i="10"/>
  <c r="K830" i="10"/>
  <c r="K829" i="10"/>
  <c r="K828" i="10"/>
  <c r="K827" i="10"/>
  <c r="K826" i="10"/>
  <c r="K825" i="10"/>
  <c r="K519" i="10"/>
  <c r="K518" i="10"/>
  <c r="K520" i="10"/>
  <c r="K517" i="10"/>
  <c r="K516" i="10"/>
  <c r="K521" i="10"/>
  <c r="K515" i="10"/>
  <c r="K522" i="10"/>
  <c r="K514" i="10"/>
  <c r="K513" i="10"/>
  <c r="K523" i="10"/>
  <c r="K512" i="10"/>
  <c r="K511" i="10"/>
  <c r="K524" i="10"/>
  <c r="K510" i="10"/>
  <c r="K525" i="10"/>
  <c r="K509" i="10"/>
  <c r="K508" i="10"/>
  <c r="K526" i="10"/>
  <c r="K507"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J40" i="10"/>
  <c r="J709" i="10"/>
  <c r="J607" i="10"/>
  <c r="J563" i="10"/>
  <c r="J550" i="10"/>
  <c r="J149" i="10"/>
  <c r="J606" i="10"/>
  <c r="J538" i="10"/>
  <c r="J518" i="10"/>
  <c r="J58" i="10"/>
  <c r="J605" i="10"/>
  <c r="J845" i="10"/>
  <c r="J673" i="10"/>
  <c r="J148" i="10"/>
  <c r="J604" i="10"/>
  <c r="J718" i="10"/>
  <c r="J663" i="10"/>
  <c r="J950" i="10"/>
  <c r="J603" i="10"/>
  <c r="J116" i="10"/>
  <c r="J130" i="10"/>
  <c r="J147" i="10"/>
  <c r="J602" i="10"/>
  <c r="J562" i="10"/>
  <c r="J122" i="10"/>
  <c r="J115" i="10"/>
  <c r="J601" i="10"/>
  <c r="J123" i="10"/>
  <c r="J21" i="10"/>
  <c r="J146" i="10"/>
  <c r="J600" i="10"/>
  <c r="J140" i="10"/>
  <c r="J113" i="10"/>
  <c r="J57" i="10"/>
  <c r="J599" i="10"/>
  <c r="J49" i="10"/>
  <c r="J8" i="10"/>
  <c r="J145" i="10"/>
  <c r="J598" i="10"/>
  <c r="J17" i="10"/>
  <c r="J677" i="10"/>
  <c r="J717" i="10"/>
  <c r="J597" i="10"/>
  <c r="J561" i="10"/>
  <c r="J45" i="10"/>
  <c r="J960" i="10"/>
  <c r="J596" i="10"/>
  <c r="J15" i="10"/>
  <c r="J41" i="10"/>
  <c r="J560" i="10"/>
  <c r="J595" i="10"/>
  <c r="J549" i="10"/>
  <c r="J14" i="10"/>
  <c r="J959" i="10"/>
  <c r="J594" i="10"/>
  <c r="J56" i="10"/>
  <c r="J519" i="10"/>
  <c r="J704" i="10"/>
  <c r="J593" i="10"/>
  <c r="J7" i="10"/>
  <c r="J716" i="10"/>
  <c r="J958" i="10"/>
  <c r="J592" i="10"/>
  <c r="J708" i="10"/>
  <c r="J825" i="10"/>
  <c r="J548" i="10"/>
  <c r="J591" i="10"/>
  <c r="J559" i="10"/>
  <c r="J543" i="10"/>
  <c r="J957" i="10"/>
  <c r="J590" i="10"/>
  <c r="J136" i="10"/>
  <c r="J20" i="10"/>
  <c r="J715" i="10"/>
  <c r="J589" i="10"/>
  <c r="J830" i="10"/>
  <c r="J55" i="10"/>
  <c r="J144" i="10"/>
  <c r="J588" i="10"/>
  <c r="J48" i="10"/>
  <c r="J4" i="10"/>
  <c r="J733" i="10"/>
  <c r="J587" i="10"/>
  <c r="J540" i="10"/>
  <c r="J676" i="10"/>
  <c r="J124" i="10"/>
  <c r="J586" i="10"/>
  <c r="J558" i="10"/>
  <c r="J707" i="10"/>
  <c r="J670" i="10"/>
  <c r="J585" i="10"/>
  <c r="J714" i="10"/>
  <c r="J557" i="10"/>
  <c r="J732" i="10"/>
  <c r="J584" i="10"/>
  <c r="J542" i="10"/>
  <c r="J547" i="10"/>
  <c r="J133" i="10"/>
  <c r="J583" i="10"/>
  <c r="J54" i="10"/>
  <c r="J826" i="10"/>
  <c r="J731" i="10"/>
  <c r="J582" i="10"/>
  <c r="J835" i="10"/>
  <c r="J675" i="10"/>
  <c r="J703" i="10"/>
  <c r="J581" i="10"/>
  <c r="J706" i="10"/>
  <c r="J956" i="10"/>
  <c r="J730" i="10"/>
  <c r="J580" i="10"/>
  <c r="J831" i="10"/>
  <c r="J139" i="10"/>
  <c r="J556" i="10"/>
  <c r="J579" i="10"/>
  <c r="J833" i="10"/>
  <c r="J19" i="10"/>
  <c r="J143" i="10"/>
  <c r="J578" i="10"/>
  <c r="J672" i="10"/>
  <c r="J713" i="10"/>
  <c r="J729" i="10"/>
  <c r="J577" i="10"/>
  <c r="J114" i="10"/>
  <c r="J53" i="10"/>
  <c r="J47" i="10"/>
  <c r="J576" i="10"/>
  <c r="J16" i="10"/>
  <c r="J44" i="10"/>
  <c r="J555" i="10"/>
  <c r="J575" i="10"/>
  <c r="J701" i="10"/>
  <c r="J539" i="10"/>
  <c r="J728" i="10"/>
  <c r="J574" i="10"/>
  <c r="J546" i="10"/>
  <c r="J827" i="10"/>
  <c r="J554" i="10"/>
  <c r="J573" i="10"/>
  <c r="J700" i="10"/>
  <c r="J674" i="10"/>
  <c r="J727" i="10"/>
  <c r="J572" i="10"/>
  <c r="J712" i="10"/>
  <c r="J844" i="10"/>
  <c r="J52" i="10"/>
  <c r="J571" i="10"/>
  <c r="J128" i="10"/>
  <c r="J952" i="10"/>
  <c r="J726" i="10"/>
  <c r="J570" i="10"/>
  <c r="J137" i="10"/>
  <c r="J828" i="10"/>
  <c r="J545" i="10"/>
  <c r="J569" i="10"/>
  <c r="J711" i="10"/>
  <c r="J553" i="10"/>
  <c r="J142" i="10"/>
  <c r="J568" i="10"/>
  <c r="J702" i="10"/>
  <c r="J18" i="10"/>
  <c r="J725" i="10"/>
  <c r="J567" i="10"/>
  <c r="J671" i="10"/>
  <c r="J541" i="10"/>
  <c r="J955" i="10"/>
  <c r="J724" i="10"/>
  <c r="J51" i="10"/>
  <c r="J723" i="10"/>
  <c r="J46" i="10"/>
  <c r="J722" i="10"/>
  <c r="J117" i="10"/>
  <c r="J141" i="10"/>
  <c r="J710" i="10"/>
  <c r="J721" i="10"/>
  <c r="J566" i="10"/>
  <c r="J552" i="10"/>
  <c r="J669" i="10"/>
  <c r="J60" i="10"/>
  <c r="J832" i="10"/>
  <c r="J705" i="10"/>
  <c r="J551" i="10"/>
  <c r="J834" i="10"/>
  <c r="J720" i="10"/>
  <c r="J565" i="10"/>
  <c r="J42" i="10"/>
  <c r="J129" i="10"/>
  <c r="J50" i="10"/>
  <c r="J544" i="10"/>
  <c r="J59" i="10"/>
  <c r="J948" i="10"/>
  <c r="J138" i="10"/>
  <c r="J719" i="10"/>
  <c r="J564" i="10"/>
  <c r="J43" i="10"/>
  <c r="J829" i="10"/>
  <c r="J13" i="10"/>
  <c r="J537" i="10"/>
  <c r="J699" i="10"/>
  <c r="J536" i="10"/>
  <c r="J6" i="10"/>
  <c r="J698" i="10"/>
  <c r="J535" i="10"/>
  <c r="J836" i="10"/>
  <c r="J135" i="10"/>
  <c r="J668" i="10"/>
  <c r="J39" i="10"/>
  <c r="J697" i="10"/>
  <c r="J534" i="10"/>
  <c r="J533" i="10"/>
  <c r="J38" i="10"/>
  <c r="J837" i="10"/>
  <c r="J696" i="10"/>
  <c r="J532" i="10"/>
  <c r="J12" i="10"/>
  <c r="J118" i="10"/>
  <c r="J37" i="10"/>
  <c r="J695" i="10"/>
  <c r="J531" i="10"/>
  <c r="J530" i="10"/>
  <c r="J694" i="10"/>
  <c r="J36" i="10"/>
  <c r="J667" i="10"/>
  <c r="J134" i="10"/>
  <c r="J693" i="10"/>
  <c r="J529" i="10"/>
  <c r="J954" i="10"/>
  <c r="J35" i="10"/>
  <c r="J838" i="10"/>
  <c r="J528" i="10"/>
  <c r="J666" i="10"/>
  <c r="J692" i="10"/>
  <c r="J527" i="10"/>
  <c r="J34" i="10"/>
  <c r="J951" i="10"/>
  <c r="J691" i="10"/>
  <c r="J11" i="10"/>
  <c r="J507" i="10"/>
  <c r="J119" i="10"/>
  <c r="J33" i="10"/>
  <c r="J690" i="10"/>
  <c r="J526" i="10"/>
  <c r="J508" i="10"/>
  <c r="J32" i="10"/>
  <c r="J689" i="10"/>
  <c r="J839" i="10"/>
  <c r="J509" i="10"/>
  <c r="J127" i="10"/>
  <c r="J31" i="10"/>
  <c r="J949" i="10"/>
  <c r="J688" i="10"/>
  <c r="J525" i="10"/>
  <c r="J510" i="10"/>
  <c r="J30" i="10"/>
  <c r="J840" i="10"/>
  <c r="J687" i="10"/>
  <c r="J686" i="10"/>
  <c r="J10" i="10"/>
  <c r="J511" i="10"/>
  <c r="J120" i="10"/>
  <c r="J29" i="10"/>
  <c r="J524" i="10"/>
  <c r="J953" i="10"/>
  <c r="J132" i="10"/>
  <c r="J665" i="10"/>
  <c r="J685" i="10"/>
  <c r="J28" i="10"/>
  <c r="J512" i="10"/>
  <c r="J523" i="10"/>
  <c r="J684" i="10"/>
  <c r="J27" i="10"/>
  <c r="J841" i="10"/>
  <c r="J513" i="10"/>
  <c r="J683" i="10"/>
  <c r="J126" i="10"/>
  <c r="J26" i="10"/>
  <c r="J125" i="10"/>
  <c r="J682" i="10"/>
  <c r="J514" i="10"/>
  <c r="J522" i="10"/>
  <c r="J9" i="10"/>
  <c r="J121" i="10"/>
  <c r="J25" i="10"/>
  <c r="J131" i="10"/>
  <c r="J515" i="10"/>
  <c r="J5" i="10"/>
  <c r="J681" i="10"/>
  <c r="J664" i="10"/>
  <c r="J24" i="10"/>
  <c r="J680" i="10"/>
  <c r="J516" i="10"/>
  <c r="J521" i="10"/>
  <c r="J842" i="10"/>
  <c r="J23" i="10"/>
  <c r="J679" i="10"/>
  <c r="J517" i="10"/>
  <c r="J520" i="10"/>
  <c r="J678" i="10"/>
  <c r="J22" i="10"/>
  <c r="J843" i="10"/>
  <c r="J150" i="10"/>
  <c r="J151" i="10"/>
  <c r="J152" i="10"/>
  <c r="J153" i="10"/>
  <c r="J154" i="10"/>
  <c r="J155" i="10"/>
  <c r="J156" i="10"/>
  <c r="J157" i="10"/>
  <c r="J158" i="10"/>
  <c r="J159" i="10"/>
  <c r="J160" i="10"/>
  <c r="J161" i="10"/>
  <c r="J162" i="10"/>
  <c r="J163" i="10"/>
  <c r="J164" i="10"/>
  <c r="J165" i="10"/>
  <c r="J166" i="10"/>
  <c r="J167" i="10"/>
  <c r="J168" i="10"/>
  <c r="J169" i="10"/>
  <c r="J170" i="10"/>
  <c r="J171" i="10"/>
  <c r="J172" i="10"/>
  <c r="J173" i="10"/>
  <c r="J621" i="10"/>
  <c r="J775" i="10"/>
  <c r="J620" i="10"/>
  <c r="J776" i="10"/>
  <c r="J777" i="10"/>
  <c r="J778" i="10"/>
  <c r="J779" i="10"/>
  <c r="J619" i="10"/>
  <c r="J780" i="10"/>
  <c r="J781" i="10"/>
  <c r="J782" i="10"/>
  <c r="J783" i="10"/>
  <c r="J618" i="10"/>
  <c r="J784" i="10"/>
  <c r="J785" i="10"/>
  <c r="J786" i="10"/>
  <c r="J787" i="10"/>
  <c r="J617" i="10"/>
  <c r="J788" i="10"/>
  <c r="J789" i="10"/>
  <c r="J790" i="10"/>
  <c r="J791" i="10"/>
  <c r="J616" i="10"/>
  <c r="J792" i="10"/>
  <c r="J793" i="10"/>
  <c r="J794" i="10"/>
  <c r="J795" i="10"/>
  <c r="J615" i="10"/>
  <c r="J796" i="10"/>
  <c r="J797" i="10"/>
  <c r="J798" i="10"/>
  <c r="J799" i="10"/>
  <c r="J614" i="10"/>
  <c r="J800" i="10"/>
  <c r="J801" i="10"/>
  <c r="J802" i="10"/>
  <c r="J803" i="10"/>
  <c r="J613" i="10"/>
  <c r="J804" i="10"/>
  <c r="J805" i="10"/>
  <c r="J806" i="10"/>
  <c r="J807" i="10"/>
  <c r="J612" i="10"/>
  <c r="J808" i="10"/>
  <c r="J809" i="10"/>
  <c r="J810" i="10"/>
  <c r="J811" i="10"/>
  <c r="J611" i="10"/>
  <c r="J812" i="10"/>
  <c r="J813" i="10"/>
  <c r="J814" i="10"/>
  <c r="J815" i="10"/>
  <c r="J610" i="10"/>
  <c r="J816" i="10"/>
  <c r="J817" i="10"/>
  <c r="J818" i="10"/>
  <c r="J819" i="10"/>
  <c r="J609" i="10"/>
  <c r="J820" i="10"/>
  <c r="J821" i="10"/>
  <c r="J822" i="10"/>
  <c r="J823" i="10"/>
  <c r="J608" i="10"/>
  <c r="J824" i="10"/>
  <c r="I732" i="10"/>
  <c r="I150" i="10"/>
  <c r="I700" i="10"/>
  <c r="I607" i="10"/>
  <c r="I537" i="10"/>
  <c r="I13" i="10"/>
  <c r="I518" i="10"/>
  <c r="I606" i="10"/>
  <c r="I536" i="10"/>
  <c r="I699" i="10"/>
  <c r="I149" i="10"/>
  <c r="I40" i="10"/>
  <c r="I128" i="10"/>
  <c r="I605" i="10"/>
  <c r="I836" i="10"/>
  <c r="I698" i="10"/>
  <c r="I520" i="10"/>
  <c r="I535" i="10"/>
  <c r="I604" i="10"/>
  <c r="I148" i="10"/>
  <c r="I603" i="10"/>
  <c r="I602" i="10"/>
  <c r="I39" i="10"/>
  <c r="I6" i="10"/>
  <c r="I147" i="10"/>
  <c r="I601" i="10"/>
  <c r="I534" i="10"/>
  <c r="I837" i="10"/>
  <c r="I697" i="10"/>
  <c r="I600" i="10"/>
  <c r="I533" i="10"/>
  <c r="I118" i="10"/>
  <c r="I21" i="10"/>
  <c r="I38" i="10"/>
  <c r="I146" i="10"/>
  <c r="I135" i="10"/>
  <c r="I668" i="10"/>
  <c r="I599" i="10"/>
  <c r="I598" i="10"/>
  <c r="I532" i="10"/>
  <c r="I145" i="10"/>
  <c r="I696" i="10"/>
  <c r="I597" i="10"/>
  <c r="I677" i="10"/>
  <c r="I37" i="10"/>
  <c r="I12" i="10"/>
  <c r="I596" i="10"/>
  <c r="I8" i="10"/>
  <c r="I531" i="10"/>
  <c r="I951" i="10"/>
  <c r="I695" i="10"/>
  <c r="I960" i="10"/>
  <c r="I530" i="10"/>
  <c r="I595" i="10"/>
  <c r="I519" i="10"/>
  <c r="I36" i="10"/>
  <c r="I594" i="10"/>
  <c r="I959" i="10"/>
  <c r="I667" i="10"/>
  <c r="I593" i="10"/>
  <c r="I825" i="10"/>
  <c r="I529" i="10"/>
  <c r="I592" i="10"/>
  <c r="I693" i="10"/>
  <c r="I838" i="10"/>
  <c r="I958" i="10"/>
  <c r="I35" i="10"/>
  <c r="I591" i="10"/>
  <c r="I134" i="10"/>
  <c r="I130" i="10"/>
  <c r="I528" i="10"/>
  <c r="I590" i="10"/>
  <c r="I957" i="10"/>
  <c r="I589" i="10"/>
  <c r="I527" i="10"/>
  <c r="I119" i="10"/>
  <c r="I20" i="10"/>
  <c r="I34" i="10"/>
  <c r="I954" i="10"/>
  <c r="I692" i="10"/>
  <c r="I588" i="10"/>
  <c r="I587" i="10"/>
  <c r="I733" i="10"/>
  <c r="I507" i="10"/>
  <c r="I586" i="10"/>
  <c r="I691" i="10"/>
  <c r="I676" i="10"/>
  <c r="I144" i="10"/>
  <c r="I33" i="10"/>
  <c r="I11" i="10"/>
  <c r="I585" i="10"/>
  <c r="I663" i="10"/>
  <c r="I690" i="10"/>
  <c r="I949" i="10"/>
  <c r="I508" i="10"/>
  <c r="I584" i="10"/>
  <c r="I526" i="10"/>
  <c r="I41" i="10"/>
  <c r="I826" i="10"/>
  <c r="I32" i="10"/>
  <c r="I666" i="10"/>
  <c r="I583" i="10"/>
  <c r="I839" i="10"/>
  <c r="I689" i="10"/>
  <c r="I133" i="10"/>
  <c r="I582" i="10"/>
  <c r="I509" i="10"/>
  <c r="I731" i="10"/>
  <c r="I581" i="10"/>
  <c r="I580" i="10"/>
  <c r="I31" i="10"/>
  <c r="I953" i="10"/>
  <c r="I730" i="10"/>
  <c r="I579" i="10"/>
  <c r="I525" i="10"/>
  <c r="I688" i="10"/>
  <c r="I840" i="10"/>
  <c r="I510" i="10"/>
  <c r="I578" i="10"/>
  <c r="I120" i="10"/>
  <c r="I19" i="10"/>
  <c r="I30" i="10"/>
  <c r="I577" i="10"/>
  <c r="I844" i="10"/>
  <c r="I125" i="10"/>
  <c r="I687" i="10"/>
  <c r="I729" i="10"/>
  <c r="I576" i="10"/>
  <c r="I511" i="10"/>
  <c r="I675" i="10"/>
  <c r="I143" i="10"/>
  <c r="I575" i="10"/>
  <c r="I29" i="10"/>
  <c r="I10" i="10"/>
  <c r="I686" i="10"/>
  <c r="I827" i="10"/>
  <c r="I524" i="10"/>
  <c r="I574" i="10"/>
  <c r="I728" i="10"/>
  <c r="I573" i="10"/>
  <c r="I512" i="10"/>
  <c r="I572" i="10"/>
  <c r="I727" i="10"/>
  <c r="I28" i="10"/>
  <c r="I665" i="10"/>
  <c r="I685" i="10"/>
  <c r="I571" i="10"/>
  <c r="I132" i="10"/>
  <c r="I828" i="10"/>
  <c r="I570" i="10"/>
  <c r="I952" i="10"/>
  <c r="I513" i="10"/>
  <c r="I841" i="10"/>
  <c r="I726" i="10"/>
  <c r="I27" i="10"/>
  <c r="I569" i="10"/>
  <c r="I684" i="10"/>
  <c r="I123" i="10"/>
  <c r="I523" i="10"/>
  <c r="I127" i="10"/>
  <c r="I568" i="10"/>
  <c r="I683" i="10"/>
  <c r="I567" i="10"/>
  <c r="I121" i="10"/>
  <c r="I725" i="10"/>
  <c r="I26" i="10"/>
  <c r="I142" i="10"/>
  <c r="I724" i="10"/>
  <c r="I514" i="10"/>
  <c r="I723" i="10"/>
  <c r="I722" i="10"/>
  <c r="I522" i="10"/>
  <c r="I682" i="10"/>
  <c r="I18" i="10"/>
  <c r="I566" i="10"/>
  <c r="I721" i="10"/>
  <c r="I25" i="10"/>
  <c r="I9" i="10"/>
  <c r="I60" i="10"/>
  <c r="I515" i="10"/>
  <c r="I956" i="10"/>
  <c r="I141" i="10"/>
  <c r="I674" i="10"/>
  <c r="I681" i="10"/>
  <c r="I565" i="10"/>
  <c r="I131" i="10"/>
  <c r="I720" i="10"/>
  <c r="I24" i="10"/>
  <c r="I842" i="10"/>
  <c r="I950" i="10"/>
  <c r="I516" i="10"/>
  <c r="I59" i="10"/>
  <c r="I829" i="10"/>
  <c r="I521" i="10"/>
  <c r="I564" i="10"/>
  <c r="I680" i="10"/>
  <c r="I664" i="10"/>
  <c r="I719" i="10"/>
  <c r="I23" i="10"/>
  <c r="I5" i="10"/>
  <c r="I563" i="10"/>
  <c r="I843" i="10"/>
  <c r="I517" i="10"/>
  <c r="I113" i="10"/>
  <c r="I679" i="10"/>
  <c r="I58" i="10"/>
  <c r="I718" i="10"/>
  <c r="I122" i="10"/>
  <c r="I562" i="10"/>
  <c r="I22" i="10"/>
  <c r="I694" i="10"/>
  <c r="I678" i="10"/>
  <c r="I57" i="10"/>
  <c r="I561" i="10"/>
  <c r="I151" i="10"/>
  <c r="I17" i="10"/>
  <c r="I152" i="10"/>
  <c r="I717" i="10"/>
  <c r="I153" i="10"/>
  <c r="I560" i="10"/>
  <c r="I154" i="10"/>
  <c r="I140" i="10"/>
  <c r="I155" i="10"/>
  <c r="I56" i="10"/>
  <c r="I156" i="10"/>
  <c r="I673" i="10"/>
  <c r="I157" i="10"/>
  <c r="I716" i="10"/>
  <c r="I158" i="10"/>
  <c r="I559" i="10"/>
  <c r="I159" i="10"/>
  <c r="I830" i="10"/>
  <c r="I160" i="10"/>
  <c r="I55" i="10"/>
  <c r="I161" i="10"/>
  <c r="I129" i="10"/>
  <c r="I162" i="10"/>
  <c r="I715" i="10"/>
  <c r="I163" i="10"/>
  <c r="I558" i="10"/>
  <c r="I164" i="10"/>
  <c r="I7" i="10"/>
  <c r="I165" i="10"/>
  <c r="I557" i="10"/>
  <c r="I166" i="10"/>
  <c r="I114" i="10"/>
  <c r="I167" i="10"/>
  <c r="I54" i="10"/>
  <c r="I168" i="10"/>
  <c r="I831" i="10"/>
  <c r="I169" i="10"/>
  <c r="I714" i="10"/>
  <c r="I170" i="10"/>
  <c r="I556" i="10"/>
  <c r="I171" i="10"/>
  <c r="I53" i="10"/>
  <c r="I172" i="10"/>
  <c r="I713" i="10"/>
  <c r="I173" i="10"/>
  <c r="I555" i="10"/>
  <c r="I16" i="10"/>
  <c r="I621" i="10"/>
  <c r="I775" i="10"/>
  <c r="I139" i="10"/>
  <c r="I554" i="10"/>
  <c r="I776" i="10"/>
  <c r="I52" i="10"/>
  <c r="I620" i="10"/>
  <c r="I777" i="10"/>
  <c r="I712" i="10"/>
  <c r="I778" i="10"/>
  <c r="I672" i="10"/>
  <c r="I779" i="10"/>
  <c r="I553" i="10"/>
  <c r="I711" i="10"/>
  <c r="I780" i="10"/>
  <c r="I51" i="10"/>
  <c r="I619" i="10"/>
  <c r="I781" i="10"/>
  <c r="I832" i="10"/>
  <c r="I782" i="10"/>
  <c r="I552" i="10"/>
  <c r="I783" i="10"/>
  <c r="I710" i="10"/>
  <c r="I551" i="10"/>
  <c r="I784" i="10"/>
  <c r="I115" i="10"/>
  <c r="I618" i="10"/>
  <c r="I785" i="10"/>
  <c r="I50" i="10"/>
  <c r="I786" i="10"/>
  <c r="I671" i="10"/>
  <c r="I787" i="10"/>
  <c r="I845" i="10"/>
  <c r="I550" i="10"/>
  <c r="I788" i="10"/>
  <c r="I709" i="10"/>
  <c r="I617" i="10"/>
  <c r="I789" i="10"/>
  <c r="I49" i="10"/>
  <c r="I790" i="10"/>
  <c r="I138" i="10"/>
  <c r="I791" i="10"/>
  <c r="I549" i="10"/>
  <c r="I15" i="10"/>
  <c r="I792" i="10"/>
  <c r="I548" i="10"/>
  <c r="I616" i="10"/>
  <c r="I793" i="10"/>
  <c r="I708" i="10"/>
  <c r="I794" i="10"/>
  <c r="I48" i="10"/>
  <c r="I795" i="10"/>
  <c r="I955" i="10"/>
  <c r="I707" i="10"/>
  <c r="I796" i="10"/>
  <c r="I547" i="10"/>
  <c r="I615" i="10"/>
  <c r="I797" i="10"/>
  <c r="I833" i="10"/>
  <c r="I798" i="10"/>
  <c r="I47" i="10"/>
  <c r="I799" i="10"/>
  <c r="I670" i="10"/>
  <c r="I706" i="10"/>
  <c r="I800" i="10"/>
  <c r="I546" i="10"/>
  <c r="I614" i="10"/>
  <c r="I801" i="10"/>
  <c r="I4" i="10"/>
  <c r="I802" i="10"/>
  <c r="I545" i="10"/>
  <c r="I803" i="10"/>
  <c r="I116" i="10"/>
  <c r="I46" i="10"/>
  <c r="I804" i="10"/>
  <c r="I834" i="10"/>
  <c r="I613" i="10"/>
  <c r="I805" i="10"/>
  <c r="I705" i="10"/>
  <c r="I806" i="10"/>
  <c r="I544" i="10"/>
  <c r="I807" i="10"/>
  <c r="I124" i="10"/>
  <c r="I137" i="10"/>
  <c r="I808" i="10"/>
  <c r="I45" i="10"/>
  <c r="I612" i="10"/>
  <c r="I809" i="10"/>
  <c r="I543" i="10"/>
  <c r="I810" i="10"/>
  <c r="I14" i="10"/>
  <c r="I811" i="10"/>
  <c r="I704" i="10"/>
  <c r="I542" i="10"/>
  <c r="I812" i="10"/>
  <c r="I44" i="10"/>
  <c r="I611" i="10"/>
  <c r="I813" i="10"/>
  <c r="I948" i="10"/>
  <c r="I814" i="10"/>
  <c r="I703" i="10"/>
  <c r="I815" i="10"/>
  <c r="I541" i="10"/>
  <c r="I702" i="10"/>
  <c r="I816" i="10"/>
  <c r="I43" i="10"/>
  <c r="I610" i="10"/>
  <c r="I817" i="10"/>
  <c r="I835" i="10"/>
  <c r="I818" i="10"/>
  <c r="I540" i="10"/>
  <c r="I819" i="10"/>
  <c r="I539" i="10"/>
  <c r="I117" i="10"/>
  <c r="I820" i="10"/>
  <c r="I42" i="10"/>
  <c r="I609" i="10"/>
  <c r="I821" i="10"/>
  <c r="I669" i="10"/>
  <c r="I822" i="10"/>
  <c r="I701" i="10"/>
  <c r="I823" i="10"/>
  <c r="I126" i="10"/>
  <c r="I136" i="10"/>
  <c r="I824" i="10"/>
  <c r="I538" i="10"/>
  <c r="I608" i="10"/>
  <c r="H839" i="10"/>
  <c r="H125" i="10"/>
  <c r="H11" i="10"/>
  <c r="H840" i="10"/>
  <c r="H10" i="10"/>
  <c r="H841" i="10"/>
  <c r="H842" i="10"/>
  <c r="H9" i="10"/>
  <c r="H843" i="10"/>
  <c r="H8" i="10"/>
  <c r="H844" i="10"/>
  <c r="H845" i="10"/>
  <c r="H126" i="10"/>
  <c r="H7" i="10"/>
  <c r="H948" i="10"/>
  <c r="H6" i="10"/>
  <c r="H949" i="10"/>
  <c r="H950" i="10"/>
  <c r="H5" i="10"/>
  <c r="H951" i="10"/>
  <c r="H4" i="10"/>
  <c r="H22" i="10"/>
  <c r="H952" i="10"/>
  <c r="H953" i="10"/>
  <c r="H954" i="10"/>
  <c r="H955" i="10"/>
  <c r="H956" i="10"/>
  <c r="H663" i="10"/>
  <c r="H127" i="10"/>
  <c r="H664" i="10"/>
  <c r="H665" i="10"/>
  <c r="H666" i="10"/>
  <c r="H667" i="10"/>
  <c r="H128" i="10"/>
  <c r="H668" i="10"/>
  <c r="H669" i="10"/>
  <c r="H670" i="10"/>
  <c r="H671" i="10"/>
  <c r="H129" i="10"/>
  <c r="H672" i="10"/>
  <c r="H673" i="10"/>
  <c r="H674" i="10"/>
  <c r="H675" i="10"/>
  <c r="H130" i="10"/>
  <c r="H676" i="10"/>
  <c r="H677" i="10"/>
  <c r="H678" i="10"/>
  <c r="H679" i="10"/>
  <c r="H131" i="10"/>
  <c r="H680" i="10"/>
  <c r="H681" i="10"/>
  <c r="H682" i="10"/>
  <c r="H683" i="10"/>
  <c r="H132" i="10"/>
  <c r="H684" i="10"/>
  <c r="H685" i="10"/>
  <c r="H686" i="10"/>
  <c r="H687" i="10"/>
  <c r="H133" i="10"/>
  <c r="H688" i="10"/>
  <c r="H689" i="10"/>
  <c r="H690" i="10"/>
  <c r="H691" i="10"/>
  <c r="H134" i="10"/>
  <c r="H692" i="10"/>
  <c r="H693" i="10"/>
  <c r="H694" i="10"/>
  <c r="H695" i="10"/>
  <c r="H135" i="10"/>
  <c r="H696" i="10"/>
  <c r="H697" i="10"/>
  <c r="H698" i="10"/>
  <c r="H699" i="10"/>
  <c r="H136" i="10"/>
  <c r="H700" i="10"/>
  <c r="H701" i="10"/>
  <c r="H702" i="10"/>
  <c r="H703" i="10"/>
  <c r="H137" i="10"/>
  <c r="H704" i="10"/>
  <c r="H705" i="10"/>
  <c r="H706" i="10"/>
  <c r="H707" i="10"/>
  <c r="H138" i="10"/>
  <c r="H708" i="10"/>
  <c r="H709" i="10"/>
  <c r="H710" i="10"/>
  <c r="H711" i="10"/>
  <c r="H139" i="10"/>
  <c r="H712" i="10"/>
  <c r="H713" i="10"/>
  <c r="H714" i="10"/>
  <c r="H715" i="10"/>
  <c r="H140" i="10"/>
  <c r="H716" i="10"/>
  <c r="H717" i="10"/>
  <c r="H718" i="10"/>
  <c r="H719" i="10"/>
  <c r="H141" i="10"/>
  <c r="H720" i="10"/>
  <c r="H721" i="10"/>
  <c r="H722" i="10"/>
  <c r="H723" i="10"/>
  <c r="H142" i="10"/>
  <c r="H724" i="10"/>
  <c r="H725" i="10"/>
  <c r="H726" i="10"/>
  <c r="H727" i="10"/>
  <c r="H143" i="10"/>
  <c r="H728" i="10"/>
  <c r="H729" i="10"/>
  <c r="H730" i="10"/>
  <c r="H731" i="10"/>
  <c r="H144" i="10"/>
  <c r="H732" i="10"/>
  <c r="H733" i="10"/>
  <c r="H957" i="10"/>
  <c r="H958" i="10"/>
  <c r="H959" i="10"/>
  <c r="H960" i="10"/>
  <c r="H145" i="10"/>
  <c r="H146" i="10"/>
  <c r="H147" i="10"/>
  <c r="H148" i="10"/>
  <c r="H149" i="10"/>
  <c r="H150" i="10"/>
  <c r="H607" i="10"/>
  <c r="H151" i="10"/>
  <c r="H606" i="10"/>
  <c r="H605" i="10"/>
  <c r="H152" i="10"/>
  <c r="H604" i="10"/>
  <c r="H603" i="10"/>
  <c r="H153" i="10"/>
  <c r="H602" i="10"/>
  <c r="H601" i="10"/>
  <c r="H154" i="10"/>
  <c r="H600" i="10"/>
  <c r="H599" i="10"/>
  <c r="H155" i="10"/>
  <c r="H598" i="10"/>
  <c r="H597" i="10"/>
  <c r="H156" i="10"/>
  <c r="H596" i="10"/>
  <c r="H595" i="10"/>
  <c r="H157" i="10"/>
  <c r="H594" i="10"/>
  <c r="H593" i="10"/>
  <c r="H158" i="10"/>
  <c r="H592" i="10"/>
  <c r="H591" i="10"/>
  <c r="H159" i="10"/>
  <c r="H590" i="10"/>
  <c r="H589" i="10"/>
  <c r="H160" i="10"/>
  <c r="H588" i="10"/>
  <c r="H587" i="10"/>
  <c r="H161" i="10"/>
  <c r="H586" i="10"/>
  <c r="H585" i="10"/>
  <c r="H162" i="10"/>
  <c r="H584" i="10"/>
  <c r="H583" i="10"/>
  <c r="H163" i="10"/>
  <c r="H582" i="10"/>
  <c r="H581" i="10"/>
  <c r="H164" i="10"/>
  <c r="H580" i="10"/>
  <c r="H579" i="10"/>
  <c r="H165" i="10"/>
  <c r="H578" i="10"/>
  <c r="H577" i="10"/>
  <c r="H166" i="10"/>
  <c r="H576" i="10"/>
  <c r="H575" i="10"/>
  <c r="H167" i="10"/>
  <c r="H574" i="10"/>
  <c r="H573" i="10"/>
  <c r="H168" i="10"/>
  <c r="H572" i="10"/>
  <c r="H571" i="10"/>
  <c r="H169" i="10"/>
  <c r="H570" i="10"/>
  <c r="H569" i="10"/>
  <c r="H170" i="10"/>
  <c r="H568" i="10"/>
  <c r="H567" i="10"/>
  <c r="H171" i="10"/>
  <c r="H60" i="10"/>
  <c r="H566" i="10"/>
  <c r="H172" i="10"/>
  <c r="H565" i="10"/>
  <c r="H113" i="10"/>
  <c r="H173" i="10"/>
  <c r="H59" i="10"/>
  <c r="H564" i="10"/>
  <c r="H58" i="10"/>
  <c r="H563" i="10"/>
  <c r="H621" i="10"/>
  <c r="H775" i="10"/>
  <c r="H562" i="10"/>
  <c r="H57" i="10"/>
  <c r="H561" i="10"/>
  <c r="H776" i="10"/>
  <c r="H56" i="10"/>
  <c r="H560" i="10"/>
  <c r="H559" i="10"/>
  <c r="H777" i="10"/>
  <c r="H114" i="10"/>
  <c r="H55" i="10"/>
  <c r="H620" i="10"/>
  <c r="H778" i="10"/>
  <c r="H558" i="10"/>
  <c r="H54" i="10"/>
  <c r="H779" i="10"/>
  <c r="H557" i="10"/>
  <c r="H556" i="10"/>
  <c r="H53" i="10"/>
  <c r="H780" i="10"/>
  <c r="H555" i="10"/>
  <c r="H52" i="10"/>
  <c r="H554" i="10"/>
  <c r="H781" i="10"/>
  <c r="H553" i="10"/>
  <c r="H115" i="10"/>
  <c r="H619" i="10"/>
  <c r="H782" i="10"/>
  <c r="H51" i="10"/>
  <c r="H552" i="10"/>
  <c r="H783" i="10"/>
  <c r="H50" i="10"/>
  <c r="H551" i="10"/>
  <c r="H550" i="10"/>
  <c r="H784" i="10"/>
  <c r="H49" i="10"/>
  <c r="H549" i="10"/>
  <c r="H48" i="10"/>
  <c r="H785" i="10"/>
  <c r="H548" i="10"/>
  <c r="H547" i="10"/>
  <c r="H618" i="10"/>
  <c r="H786" i="10"/>
  <c r="H116" i="10"/>
  <c r="H47" i="10"/>
  <c r="H787" i="10"/>
  <c r="H546" i="10"/>
  <c r="H46" i="10"/>
  <c r="H545" i="10"/>
  <c r="H788" i="10"/>
  <c r="H544" i="10"/>
  <c r="H45" i="10"/>
  <c r="H543" i="10"/>
  <c r="H789" i="10"/>
  <c r="H44" i="10"/>
  <c r="H542" i="10"/>
  <c r="H617" i="10"/>
  <c r="H790" i="10"/>
  <c r="H541" i="10"/>
  <c r="H117" i="10"/>
  <c r="H791" i="10"/>
  <c r="H43" i="10"/>
  <c r="H540" i="10"/>
  <c r="H42" i="10"/>
  <c r="H792" i="10"/>
  <c r="H539" i="10"/>
  <c r="H538" i="10"/>
  <c r="H41" i="10"/>
  <c r="H793" i="10"/>
  <c r="H537" i="10"/>
  <c r="H608" i="10"/>
  <c r="H616" i="10"/>
  <c r="H794" i="10"/>
  <c r="H40" i="10"/>
  <c r="H536" i="10"/>
  <c r="H795" i="10"/>
  <c r="H535" i="10"/>
  <c r="H118" i="10"/>
  <c r="H39" i="10"/>
  <c r="H796" i="10"/>
  <c r="H534" i="10"/>
  <c r="H38" i="10"/>
  <c r="H533" i="10"/>
  <c r="H797" i="10"/>
  <c r="H532" i="10"/>
  <c r="H37" i="10"/>
  <c r="H615" i="10"/>
  <c r="H798" i="10"/>
  <c r="H531" i="10"/>
  <c r="H36" i="10"/>
  <c r="H799" i="10"/>
  <c r="H530" i="10"/>
  <c r="H529" i="10"/>
  <c r="H119" i="10"/>
  <c r="H800" i="10"/>
  <c r="H35" i="10"/>
  <c r="H528" i="10"/>
  <c r="H34" i="10"/>
  <c r="H801" i="10"/>
  <c r="H527" i="10"/>
  <c r="H507" i="10"/>
  <c r="H614" i="10"/>
  <c r="H802" i="10"/>
  <c r="H33" i="10"/>
  <c r="H508" i="10"/>
  <c r="H803" i="10"/>
  <c r="H32" i="10"/>
  <c r="H526" i="10"/>
  <c r="H509" i="10"/>
  <c r="H804" i="10"/>
  <c r="H120" i="10"/>
  <c r="H31" i="10"/>
  <c r="H510" i="10"/>
  <c r="H805" i="10"/>
  <c r="H30" i="10"/>
  <c r="H525" i="10"/>
  <c r="H613" i="10"/>
  <c r="H806" i="10"/>
  <c r="H511" i="10"/>
  <c r="H29" i="10"/>
  <c r="H807" i="10"/>
  <c r="H524" i="10"/>
  <c r="H512" i="10"/>
  <c r="H28" i="10"/>
  <c r="H808" i="10"/>
  <c r="H513" i="10"/>
  <c r="H121" i="10"/>
  <c r="H27" i="10"/>
  <c r="H809" i="10"/>
  <c r="H523" i="10"/>
  <c r="H514" i="10"/>
  <c r="H612" i="10"/>
  <c r="H810" i="10"/>
  <c r="H26" i="10"/>
  <c r="H515" i="10"/>
  <c r="H811" i="10"/>
  <c r="H25" i="10"/>
  <c r="H522" i="10"/>
  <c r="H516" i="10"/>
  <c r="H812" i="10"/>
  <c r="H24" i="10"/>
  <c r="H521" i="10"/>
  <c r="H122" i="10"/>
  <c r="H813" i="10"/>
  <c r="H23" i="10"/>
  <c r="H517" i="10"/>
  <c r="H611" i="10"/>
  <c r="H814" i="10"/>
  <c r="H518" i="10"/>
  <c r="H520" i="10"/>
  <c r="H815" i="10"/>
  <c r="H21" i="10"/>
  <c r="H519" i="10"/>
  <c r="H20" i="10"/>
  <c r="H816" i="10"/>
  <c r="H826" i="10"/>
  <c r="H827" i="10"/>
  <c r="H123" i="10"/>
  <c r="H817" i="10"/>
  <c r="H19" i="10"/>
  <c r="H828" i="10"/>
  <c r="H610" i="10"/>
  <c r="H818" i="10"/>
  <c r="H18" i="10"/>
  <c r="H829" i="10"/>
  <c r="H819" i="10"/>
  <c r="H830" i="10"/>
  <c r="H17" i="10"/>
  <c r="H831" i="10"/>
  <c r="H820" i="10"/>
  <c r="H16" i="10"/>
  <c r="H832" i="10"/>
  <c r="H833" i="10"/>
  <c r="H821" i="10"/>
  <c r="H124" i="10"/>
  <c r="H15" i="10"/>
  <c r="H609" i="10"/>
  <c r="H822" i="10"/>
  <c r="H834" i="10"/>
  <c r="H14" i="10"/>
  <c r="H823" i="10"/>
  <c r="H835" i="10"/>
  <c r="H836" i="10"/>
  <c r="H13" i="10"/>
  <c r="H824" i="10"/>
  <c r="H837" i="10"/>
  <c r="H12" i="10"/>
  <c r="H838" i="10"/>
  <c r="H825" i="10"/>
  <c r="G728" i="10"/>
  <c r="G724" i="10"/>
  <c r="G574" i="10"/>
  <c r="G575" i="10"/>
  <c r="G576" i="10"/>
  <c r="G729" i="10"/>
  <c r="G16" i="10"/>
  <c r="G577" i="10"/>
  <c r="G578" i="10"/>
  <c r="G579" i="10"/>
  <c r="G730" i="10"/>
  <c r="G124" i="10"/>
  <c r="AI124" i="10" s="1"/>
  <c r="G580" i="10"/>
  <c r="G581" i="10"/>
  <c r="G144" i="10"/>
  <c r="G731" i="10"/>
  <c r="G831" i="10"/>
  <c r="G582" i="10"/>
  <c r="G583" i="10"/>
  <c r="G673" i="10"/>
  <c r="G732" i="10"/>
  <c r="G821" i="10"/>
  <c r="G584" i="10"/>
  <c r="G585" i="10"/>
  <c r="G586" i="10"/>
  <c r="G733" i="10"/>
  <c r="G17" i="10"/>
  <c r="G587" i="10"/>
  <c r="G588" i="10"/>
  <c r="G589" i="10"/>
  <c r="G957" i="10"/>
  <c r="G830" i="10"/>
  <c r="G590" i="10"/>
  <c r="G591" i="10"/>
  <c r="G958" i="10"/>
  <c r="G829" i="10"/>
  <c r="G592" i="10"/>
  <c r="G593" i="10"/>
  <c r="G959" i="10"/>
  <c r="G674" i="10"/>
  <c r="G594" i="10"/>
  <c r="G595" i="10"/>
  <c r="G960" i="10"/>
  <c r="F6" i="3"/>
  <c r="G596" i="10"/>
  <c r="G597" i="10"/>
  <c r="G725" i="10"/>
  <c r="G833" i="10"/>
  <c r="G145" i="10"/>
  <c r="G18" i="10"/>
  <c r="G598" i="10"/>
  <c r="G599" i="10"/>
  <c r="G146" i="10"/>
  <c r="G828" i="10"/>
  <c r="G600" i="10"/>
  <c r="G601" i="10"/>
  <c r="G147" i="10"/>
  <c r="G130" i="10"/>
  <c r="AI130" i="10" s="1"/>
  <c r="G602" i="10"/>
  <c r="G603" i="10"/>
  <c r="G148" i="10"/>
  <c r="G675" i="10"/>
  <c r="G604" i="10"/>
  <c r="G605" i="10"/>
  <c r="G149" i="10"/>
  <c r="G822" i="10"/>
  <c r="G606" i="10"/>
  <c r="G607" i="10"/>
  <c r="G150" i="10"/>
  <c r="G19" i="10"/>
  <c r="G608" i="10"/>
  <c r="G827" i="10"/>
  <c r="G151" i="10"/>
  <c r="G952" i="10"/>
  <c r="G676" i="10"/>
  <c r="G568" i="10"/>
  <c r="G152" i="10"/>
  <c r="G826" i="10"/>
  <c r="G20" i="10"/>
  <c r="G123" i="10"/>
  <c r="AI123" i="10" s="1"/>
  <c r="G153" i="10"/>
  <c r="G677" i="10"/>
  <c r="G127" i="10"/>
  <c r="AI127" i="10" s="1"/>
  <c r="G519" i="10"/>
  <c r="G154" i="10"/>
  <c r="G21" i="10"/>
  <c r="G520" i="10"/>
  <c r="G678" i="10"/>
  <c r="G155" i="10"/>
  <c r="G951" i="10"/>
  <c r="G22" i="10"/>
  <c r="G518" i="10"/>
  <c r="G156" i="10"/>
  <c r="G131" i="10"/>
  <c r="AI131" i="10" s="1"/>
  <c r="G679" i="10"/>
  <c r="G953" i="10"/>
  <c r="G157" i="10"/>
  <c r="G521" i="10"/>
  <c r="G23" i="10"/>
  <c r="G569" i="10"/>
  <c r="G158" i="10"/>
  <c r="G680" i="10"/>
  <c r="G5" i="10"/>
  <c r="G517" i="10"/>
  <c r="G159" i="10"/>
  <c r="G24" i="10"/>
  <c r="G122" i="10"/>
  <c r="AI122" i="10" s="1"/>
  <c r="G681" i="10"/>
  <c r="G160" i="10"/>
  <c r="G950" i="10"/>
  <c r="G516" i="10"/>
  <c r="G522" i="10"/>
  <c r="G161" i="10"/>
  <c r="G25" i="10"/>
  <c r="G682" i="10"/>
  <c r="G954" i="10"/>
  <c r="G162" i="10"/>
  <c r="G515" i="10"/>
  <c r="G26" i="10"/>
  <c r="G132" i="10"/>
  <c r="AI132" i="10" s="1"/>
  <c r="G163" i="10"/>
  <c r="G683" i="10"/>
  <c r="G726" i="10"/>
  <c r="G514" i="10"/>
  <c r="G164" i="10"/>
  <c r="G523" i="10"/>
  <c r="G949" i="10"/>
  <c r="G684" i="10"/>
  <c r="G165" i="10"/>
  <c r="G6" i="10"/>
  <c r="G27" i="10"/>
  <c r="G513" i="10"/>
  <c r="G166" i="10"/>
  <c r="G524" i="10"/>
  <c r="G685" i="10"/>
  <c r="G955" i="10"/>
  <c r="G167" i="10"/>
  <c r="G28" i="10"/>
  <c r="G609" i="10"/>
  <c r="G823" i="10"/>
  <c r="G121" i="10"/>
  <c r="AI121" i="10" s="1"/>
  <c r="G512" i="10"/>
  <c r="G168" i="10"/>
  <c r="G686" i="10"/>
  <c r="G832" i="10"/>
  <c r="G29" i="10"/>
  <c r="G169" i="10"/>
  <c r="G511" i="10"/>
  <c r="G133" i="10"/>
  <c r="AI133" i="10" s="1"/>
  <c r="G687" i="10"/>
  <c r="G170" i="10"/>
  <c r="G948" i="10"/>
  <c r="G525" i="10"/>
  <c r="G30" i="10"/>
  <c r="G171" i="10"/>
  <c r="G7" i="10"/>
  <c r="G688" i="10"/>
  <c r="G956" i="10"/>
  <c r="G172" i="10"/>
  <c r="G510" i="10"/>
  <c r="G31" i="10"/>
  <c r="G509" i="10"/>
  <c r="G173" i="10"/>
  <c r="G689" i="10"/>
  <c r="G570" i="10"/>
  <c r="G526" i="10"/>
  <c r="G571" i="10"/>
  <c r="G143" i="10"/>
  <c r="G824" i="10"/>
  <c r="G727" i="10"/>
  <c r="G572" i="10"/>
  <c r="G573" i="10"/>
  <c r="G32" i="10"/>
  <c r="G120" i="10"/>
  <c r="AI120" i="10" s="1"/>
  <c r="G690" i="10"/>
  <c r="G621" i="10"/>
  <c r="G775" i="10"/>
  <c r="G845" i="10"/>
  <c r="G508" i="10"/>
  <c r="G33" i="10"/>
  <c r="G134" i="10"/>
  <c r="AI134" i="10" s="1"/>
  <c r="G776" i="10"/>
  <c r="G691" i="10"/>
  <c r="G844" i="10"/>
  <c r="G527" i="10"/>
  <c r="G507" i="10"/>
  <c r="G777" i="10"/>
  <c r="G663" i="10"/>
  <c r="G692" i="10"/>
  <c r="G825" i="10"/>
  <c r="G34" i="10"/>
  <c r="G778" i="10"/>
  <c r="G528" i="10"/>
  <c r="G35" i="10"/>
  <c r="G693" i="10"/>
  <c r="G620" i="10"/>
  <c r="G779" i="10"/>
  <c r="G8" i="10"/>
  <c r="G529" i="10"/>
  <c r="G530" i="10"/>
  <c r="G36" i="10"/>
  <c r="G780" i="10"/>
  <c r="G694" i="10"/>
  <c r="G126" i="10"/>
  <c r="AI126" i="10" s="1"/>
  <c r="G4" i="10"/>
  <c r="G119" i="10"/>
  <c r="AI119" i="10" s="1"/>
  <c r="G781" i="10"/>
  <c r="G135" i="10"/>
  <c r="AI135" i="10" s="1"/>
  <c r="G695" i="10"/>
  <c r="G672" i="10"/>
  <c r="G531" i="10"/>
  <c r="G782" i="10"/>
  <c r="G37" i="10"/>
  <c r="G664" i="10"/>
  <c r="G696" i="10"/>
  <c r="G619" i="10"/>
  <c r="G783" i="10"/>
  <c r="G532" i="10"/>
  <c r="G533" i="10"/>
  <c r="G38" i="10"/>
  <c r="G784" i="10"/>
  <c r="G697" i="10"/>
  <c r="G843" i="10"/>
  <c r="G534" i="10"/>
  <c r="G39" i="10"/>
  <c r="G785" i="10"/>
  <c r="G535" i="10"/>
  <c r="G698" i="10"/>
  <c r="G9" i="10"/>
  <c r="G536" i="10"/>
  <c r="G786" i="10"/>
  <c r="G40" i="10"/>
  <c r="G136" i="10"/>
  <c r="G699" i="10"/>
  <c r="G618" i="10"/>
  <c r="G787" i="10"/>
  <c r="G842" i="10"/>
  <c r="G118" i="10"/>
  <c r="AI118" i="10" s="1"/>
  <c r="G537" i="10"/>
  <c r="G665" i="10"/>
  <c r="G788" i="10"/>
  <c r="G700" i="10"/>
  <c r="G41" i="10"/>
  <c r="G538" i="10"/>
  <c r="G789" i="10"/>
  <c r="G539" i="10"/>
  <c r="G701" i="10"/>
  <c r="G841" i="10"/>
  <c r="G42" i="10"/>
  <c r="G790" i="10"/>
  <c r="G540" i="10"/>
  <c r="G43" i="10"/>
  <c r="G702" i="10"/>
  <c r="G617" i="10"/>
  <c r="G791" i="10"/>
  <c r="G10" i="10"/>
  <c r="G541" i="10"/>
  <c r="G542" i="10"/>
  <c r="G137" i="10"/>
  <c r="G792" i="10"/>
  <c r="G703" i="10"/>
  <c r="G840" i="10"/>
  <c r="G44" i="10"/>
  <c r="G117" i="10"/>
  <c r="AI117" i="10" s="1"/>
  <c r="G793" i="10"/>
  <c r="G666" i="10"/>
  <c r="G704" i="10"/>
  <c r="G543" i="10"/>
  <c r="G794" i="10"/>
  <c r="G45" i="10"/>
  <c r="G544" i="10"/>
  <c r="G705" i="10"/>
  <c r="G616" i="10"/>
  <c r="G795" i="10"/>
  <c r="G11" i="10"/>
  <c r="G545" i="10"/>
  <c r="G46" i="10"/>
  <c r="G546" i="10"/>
  <c r="G796" i="10"/>
  <c r="G706" i="10"/>
  <c r="G839" i="10"/>
  <c r="G47" i="10"/>
  <c r="G547" i="10"/>
  <c r="G797" i="10"/>
  <c r="G138" i="10"/>
  <c r="G707" i="10"/>
  <c r="G128" i="10"/>
  <c r="AI128" i="10" s="1"/>
  <c r="G548" i="10"/>
  <c r="G798" i="10"/>
  <c r="G48" i="10"/>
  <c r="G667" i="10"/>
  <c r="G708" i="10"/>
  <c r="G615" i="10"/>
  <c r="G799" i="10"/>
  <c r="G116" i="10"/>
  <c r="AI116" i="10" s="1"/>
  <c r="G549" i="10"/>
  <c r="G49" i="10"/>
  <c r="G800" i="10"/>
  <c r="G709" i="10"/>
  <c r="G838" i="10"/>
  <c r="G550" i="10"/>
  <c r="G551" i="10"/>
  <c r="G801" i="10"/>
  <c r="G50" i="10"/>
  <c r="G710" i="10"/>
  <c r="G12" i="10"/>
  <c r="G552" i="10"/>
  <c r="G802" i="10"/>
  <c r="G51" i="10"/>
  <c r="G139" i="10"/>
  <c r="G711" i="10"/>
  <c r="G614" i="10"/>
  <c r="G803" i="10"/>
  <c r="G553" i="10"/>
  <c r="G554" i="10"/>
  <c r="G668" i="10"/>
  <c r="G804" i="10"/>
  <c r="G712" i="10"/>
  <c r="G815" i="10"/>
  <c r="G52" i="10"/>
  <c r="G115" i="10"/>
  <c r="AI115" i="10" s="1"/>
  <c r="G805" i="10"/>
  <c r="G555" i="10"/>
  <c r="G713" i="10"/>
  <c r="G125" i="10"/>
  <c r="AI125" i="10" s="1"/>
  <c r="G53" i="10"/>
  <c r="G806" i="10"/>
  <c r="G556" i="10"/>
  <c r="G557" i="10"/>
  <c r="G714" i="10"/>
  <c r="G613" i="10"/>
  <c r="G807" i="10"/>
  <c r="G837" i="10"/>
  <c r="G54" i="10"/>
  <c r="G558" i="10"/>
  <c r="G140" i="10"/>
  <c r="G808" i="10"/>
  <c r="G715" i="10"/>
  <c r="G13" i="10"/>
  <c r="G55" i="10"/>
  <c r="G559" i="10"/>
  <c r="G809" i="10"/>
  <c r="G669" i="10"/>
  <c r="G716" i="10"/>
  <c r="G560" i="10"/>
  <c r="G810" i="10"/>
  <c r="G56" i="10"/>
  <c r="G114" i="10"/>
  <c r="AI114" i="10" s="1"/>
  <c r="G717" i="10"/>
  <c r="G612" i="10"/>
  <c r="G811" i="10"/>
  <c r="G836" i="10"/>
  <c r="G561" i="10"/>
  <c r="G57" i="10"/>
  <c r="G562" i="10"/>
  <c r="G812" i="10"/>
  <c r="G718" i="10"/>
  <c r="G835" i="10"/>
  <c r="G563" i="10"/>
  <c r="G58" i="10"/>
  <c r="G813" i="10"/>
  <c r="G141" i="10"/>
  <c r="G719" i="10"/>
  <c r="G14" i="10"/>
  <c r="G564" i="10"/>
  <c r="G814" i="10"/>
  <c r="G59" i="10"/>
  <c r="G670" i="10"/>
  <c r="G720" i="10"/>
  <c r="G611" i="10"/>
  <c r="G565" i="10"/>
  <c r="G566" i="10"/>
  <c r="G60" i="10"/>
  <c r="G816" i="10"/>
  <c r="G721" i="10"/>
  <c r="G834" i="10"/>
  <c r="G113" i="10"/>
  <c r="G567" i="10"/>
  <c r="G817" i="10"/>
  <c r="G722" i="10"/>
  <c r="G15" i="10"/>
  <c r="G818" i="10"/>
  <c r="G142" i="10"/>
  <c r="G723" i="10"/>
  <c r="G610" i="10"/>
  <c r="G819" i="10"/>
  <c r="G129" i="10"/>
  <c r="AI129" i="10" s="1"/>
  <c r="G671" i="10"/>
  <c r="G820" i="10"/>
  <c r="H9" i="4"/>
  <c r="G9" i="4"/>
  <c r="I9" i="4"/>
  <c r="J9" i="4"/>
  <c r="D6" i="3"/>
  <c r="C25" i="8"/>
  <c r="O9" i="4"/>
  <c r="N9" i="4"/>
  <c r="P9" i="4"/>
  <c r="K9" i="4"/>
  <c r="M9" i="4"/>
  <c r="R9" i="4"/>
  <c r="Q9" i="4"/>
  <c r="L9" i="4"/>
  <c r="E11" i="13" l="1"/>
  <c r="B12" i="13"/>
  <c r="E12" i="13" s="1"/>
  <c r="V291" i="10"/>
  <c r="V292" i="10"/>
  <c r="V293" i="10"/>
  <c r="V294" i="10"/>
  <c r="V295" i="10"/>
  <c r="V296" i="10"/>
  <c r="V298" i="10"/>
  <c r="V299" i="10"/>
  <c r="V300" i="10"/>
  <c r="V304" i="10"/>
  <c r="V305" i="10"/>
  <c r="V307" i="10"/>
  <c r="V308" i="10"/>
  <c r="V311" i="10"/>
  <c r="V313" i="10"/>
  <c r="V314" i="10"/>
  <c r="V317" i="10"/>
  <c r="V318" i="10"/>
  <c r="V320" i="10"/>
  <c r="V321" i="10"/>
  <c r="V324" i="10"/>
  <c r="V325" i="10"/>
  <c r="V327" i="10"/>
  <c r="V332" i="10"/>
  <c r="V335" i="10"/>
  <c r="V349" i="10"/>
  <c r="V309" i="10"/>
  <c r="V312" i="10"/>
  <c r="V315" i="10"/>
  <c r="V316" i="10"/>
  <c r="V319" i="10"/>
  <c r="V322" i="10"/>
  <c r="V323" i="10"/>
  <c r="V326" i="10"/>
  <c r="V328" i="10"/>
  <c r="V329" i="10"/>
  <c r="V330" i="10"/>
  <c r="V331" i="10"/>
  <c r="V333" i="10"/>
  <c r="V334" i="10"/>
  <c r="V339" i="10"/>
  <c r="V340" i="10"/>
  <c r="V341" i="10"/>
  <c r="V342" i="10"/>
  <c r="V345" i="10"/>
  <c r="V346" i="10"/>
  <c r="V348" i="10"/>
  <c r="V350" i="10"/>
  <c r="V351" i="10"/>
  <c r="V352" i="10"/>
  <c r="V353" i="10"/>
  <c r="V355" i="10"/>
  <c r="V356" i="10"/>
  <c r="V358" i="10"/>
  <c r="V288" i="10"/>
  <c r="V289" i="10"/>
  <c r="V290" i="10"/>
  <c r="V297" i="10"/>
  <c r="V301" i="10"/>
  <c r="V302" i="10"/>
  <c r="V303" i="10"/>
  <c r="V306" i="10"/>
  <c r="V310" i="10"/>
  <c r="V336" i="10"/>
  <c r="V337" i="10"/>
  <c r="V338" i="10"/>
  <c r="V343" i="10"/>
  <c r="V344" i="10"/>
  <c r="V347" i="10"/>
  <c r="V354" i="10"/>
  <c r="Z354" i="10" s="1"/>
  <c r="V357" i="10"/>
  <c r="N359" i="10"/>
  <c r="Z173" i="10"/>
  <c r="Z146" i="10"/>
  <c r="T146" i="10"/>
  <c r="T147" i="10"/>
  <c r="T148" i="10"/>
  <c r="T149" i="10"/>
  <c r="T150" i="10"/>
  <c r="T151" i="10"/>
  <c r="T152" i="10"/>
  <c r="T153" i="10"/>
  <c r="T154" i="10"/>
  <c r="T155" i="10"/>
  <c r="T156" i="10"/>
  <c r="T157" i="10"/>
  <c r="T158" i="10"/>
  <c r="T159" i="10"/>
  <c r="T160" i="10"/>
  <c r="T161" i="10"/>
  <c r="T162" i="10"/>
  <c r="T163" i="10"/>
  <c r="T164" i="10"/>
  <c r="T165" i="10"/>
  <c r="T166" i="10"/>
  <c r="T167" i="10"/>
  <c r="T168" i="10"/>
  <c r="T169" i="10"/>
  <c r="T170" i="10"/>
  <c r="T171" i="10"/>
  <c r="T172" i="10"/>
  <c r="T174" i="10"/>
  <c r="T173" i="10"/>
  <c r="T175" i="10"/>
  <c r="T176" i="10"/>
  <c r="T177" i="10"/>
  <c r="T178" i="10"/>
  <c r="T179" i="10"/>
  <c r="T181" i="10"/>
  <c r="T183" i="10"/>
  <c r="T185" i="10"/>
  <c r="T190" i="10"/>
  <c r="T191" i="10"/>
  <c r="T192" i="10"/>
  <c r="T193" i="10"/>
  <c r="T194" i="10"/>
  <c r="T196" i="10"/>
  <c r="T197" i="10"/>
  <c r="T202" i="10"/>
  <c r="T204" i="10"/>
  <c r="T205" i="10"/>
  <c r="T206" i="10"/>
  <c r="T207" i="10"/>
  <c r="T208" i="10"/>
  <c r="T209" i="10"/>
  <c r="T210" i="10"/>
  <c r="T211" i="10"/>
  <c r="T212" i="10"/>
  <c r="T213" i="10"/>
  <c r="T214" i="10"/>
  <c r="T215" i="10"/>
  <c r="T216" i="10"/>
  <c r="T180" i="10"/>
  <c r="T182" i="10"/>
  <c r="T184" i="10"/>
  <c r="T186" i="10"/>
  <c r="T187" i="10"/>
  <c r="T188" i="10"/>
  <c r="T189" i="10"/>
  <c r="T195" i="10"/>
  <c r="T198" i="10"/>
  <c r="T199" i="10"/>
  <c r="T200" i="10"/>
  <c r="T201" i="10"/>
  <c r="T203" i="10"/>
  <c r="X203" i="10" s="1"/>
  <c r="T572" i="10"/>
  <c r="T573" i="10"/>
  <c r="T574" i="10"/>
  <c r="T575" i="10"/>
  <c r="T576" i="10"/>
  <c r="T577" i="10"/>
  <c r="T578" i="10"/>
  <c r="T579" i="10"/>
  <c r="T580" i="10"/>
  <c r="T581" i="10"/>
  <c r="T582" i="10"/>
  <c r="T583" i="10"/>
  <c r="T584" i="10"/>
  <c r="T585" i="10"/>
  <c r="T586" i="10"/>
  <c r="T587" i="10"/>
  <c r="T588" i="10"/>
  <c r="T589" i="10"/>
  <c r="T590" i="10"/>
  <c r="T591" i="10"/>
  <c r="T592" i="10"/>
  <c r="T593" i="10"/>
  <c r="T594" i="10"/>
  <c r="T595" i="10"/>
  <c r="T596" i="10"/>
  <c r="T597" i="10"/>
  <c r="T598" i="10"/>
  <c r="T599" i="10"/>
  <c r="T600" i="10"/>
  <c r="T601" i="10"/>
  <c r="T602" i="10"/>
  <c r="T603" i="10"/>
  <c r="T604" i="10"/>
  <c r="T605" i="10"/>
  <c r="T606" i="10"/>
  <c r="T607" i="10"/>
  <c r="T608" i="10"/>
  <c r="T609" i="10"/>
  <c r="T610" i="10"/>
  <c r="T611" i="10"/>
  <c r="T612" i="10"/>
  <c r="T613" i="10"/>
  <c r="T614" i="10"/>
  <c r="T615" i="10"/>
  <c r="T616" i="10"/>
  <c r="T617" i="10"/>
  <c r="T618" i="10"/>
  <c r="T619" i="10"/>
  <c r="T620" i="10"/>
  <c r="T622" i="10"/>
  <c r="T623" i="10"/>
  <c r="T624" i="10"/>
  <c r="T625" i="10"/>
  <c r="T626" i="10"/>
  <c r="T627" i="10"/>
  <c r="T628" i="10"/>
  <c r="T629" i="10"/>
  <c r="T630" i="10"/>
  <c r="T631" i="10"/>
  <c r="T632" i="10"/>
  <c r="T633" i="10"/>
  <c r="T634" i="10"/>
  <c r="T635" i="10"/>
  <c r="T636" i="10"/>
  <c r="T637" i="10"/>
  <c r="T638" i="10"/>
  <c r="T639" i="10"/>
  <c r="T640" i="10"/>
  <c r="T641" i="10"/>
  <c r="T642" i="10"/>
  <c r="T621" i="10"/>
  <c r="X621" i="10" s="1"/>
  <c r="T714" i="10"/>
  <c r="T715" i="10"/>
  <c r="T716" i="10"/>
  <c r="T717" i="10"/>
  <c r="T718" i="10"/>
  <c r="T719" i="10"/>
  <c r="T720" i="10"/>
  <c r="T721" i="10"/>
  <c r="T722" i="10"/>
  <c r="T723" i="10"/>
  <c r="T724" i="10"/>
  <c r="T725" i="10"/>
  <c r="T726" i="10"/>
  <c r="T727" i="10"/>
  <c r="T728" i="10"/>
  <c r="T729" i="10"/>
  <c r="T730" i="10"/>
  <c r="T731" i="10"/>
  <c r="T732" i="10"/>
  <c r="T733" i="10"/>
  <c r="T734" i="10"/>
  <c r="T735" i="10"/>
  <c r="T736" i="10"/>
  <c r="T737" i="10"/>
  <c r="T738" i="10"/>
  <c r="T739" i="10"/>
  <c r="T740" i="10"/>
  <c r="T741" i="10"/>
  <c r="T742" i="10"/>
  <c r="T743" i="10"/>
  <c r="T744" i="10"/>
  <c r="T745" i="10"/>
  <c r="T746" i="10"/>
  <c r="T747" i="10"/>
  <c r="T748" i="10"/>
  <c r="T749" i="10"/>
  <c r="T750" i="10"/>
  <c r="T751" i="10"/>
  <c r="T752" i="10"/>
  <c r="T753" i="10"/>
  <c r="T754" i="10"/>
  <c r="T755" i="10"/>
  <c r="T756" i="10"/>
  <c r="T757" i="10"/>
  <c r="T758" i="10"/>
  <c r="T759" i="10"/>
  <c r="T760" i="10"/>
  <c r="T761" i="10"/>
  <c r="T762" i="10"/>
  <c r="T763" i="10"/>
  <c r="T764" i="10"/>
  <c r="T765" i="10"/>
  <c r="T766" i="10"/>
  <c r="T767" i="10"/>
  <c r="T768" i="10"/>
  <c r="T769" i="10"/>
  <c r="T770" i="10"/>
  <c r="T771" i="10"/>
  <c r="T772" i="10"/>
  <c r="T773" i="10"/>
  <c r="T774" i="10"/>
  <c r="T775" i="10"/>
  <c r="T776" i="10"/>
  <c r="T777" i="10"/>
  <c r="T778" i="10"/>
  <c r="T779" i="10"/>
  <c r="T780" i="10"/>
  <c r="T781" i="10"/>
  <c r="T782" i="10"/>
  <c r="T783" i="10"/>
  <c r="X783" i="10" s="1"/>
  <c r="T784" i="10"/>
  <c r="T785" i="10"/>
  <c r="T786" i="10"/>
  <c r="T787" i="10"/>
  <c r="T788" i="10"/>
  <c r="T789" i="10"/>
  <c r="T790" i="10"/>
  <c r="T791" i="10"/>
  <c r="T792" i="10"/>
  <c r="T793" i="10"/>
  <c r="T794" i="10"/>
  <c r="T795" i="10"/>
  <c r="T796" i="10"/>
  <c r="T797" i="10"/>
  <c r="T798" i="10"/>
  <c r="T799" i="10"/>
  <c r="T800" i="10"/>
  <c r="T801" i="10"/>
  <c r="T802" i="10"/>
  <c r="T803" i="10"/>
  <c r="T804" i="10"/>
  <c r="T805" i="10"/>
  <c r="T806" i="10"/>
  <c r="T807" i="10"/>
  <c r="T808" i="10"/>
  <c r="T809" i="10"/>
  <c r="T810" i="10"/>
  <c r="T811" i="10"/>
  <c r="T812" i="10"/>
  <c r="T813" i="10"/>
  <c r="T814" i="10"/>
  <c r="T815" i="10"/>
  <c r="T816" i="10"/>
  <c r="T817" i="10"/>
  <c r="T818" i="10"/>
  <c r="T819" i="10"/>
  <c r="T820" i="10"/>
  <c r="T821" i="10"/>
  <c r="T822" i="10"/>
  <c r="T823" i="10"/>
  <c r="T824" i="10"/>
  <c r="T825" i="10"/>
  <c r="T826" i="10"/>
  <c r="T827" i="10"/>
  <c r="T828" i="10"/>
  <c r="T829" i="10"/>
  <c r="T830" i="10"/>
  <c r="T831" i="10"/>
  <c r="T832" i="10"/>
  <c r="T833" i="10"/>
  <c r="T834" i="10"/>
  <c r="T835" i="10"/>
  <c r="T836" i="10"/>
  <c r="T837" i="10"/>
  <c r="T838" i="10"/>
  <c r="T839" i="10"/>
  <c r="T840" i="10"/>
  <c r="T841" i="10"/>
  <c r="T842" i="10"/>
  <c r="T843" i="10"/>
  <c r="T844" i="10"/>
  <c r="T847" i="10"/>
  <c r="T852" i="10"/>
  <c r="T855" i="10"/>
  <c r="T845" i="10"/>
  <c r="T846" i="10"/>
  <c r="T848" i="10"/>
  <c r="T850" i="10"/>
  <c r="T851" i="10"/>
  <c r="T853" i="10"/>
  <c r="T854" i="10"/>
  <c r="T849" i="10"/>
  <c r="X849" i="10" s="1"/>
  <c r="T4" i="10"/>
  <c r="T5" i="10"/>
  <c r="T6" i="10"/>
  <c r="T7" i="10"/>
  <c r="T8" i="10"/>
  <c r="T9" i="10"/>
  <c r="T10" i="10"/>
  <c r="T11" i="10"/>
  <c r="T12" i="10"/>
  <c r="T13" i="10"/>
  <c r="T14" i="10"/>
  <c r="T15" i="10"/>
  <c r="T16" i="10"/>
  <c r="T17" i="10"/>
  <c r="T18" i="10"/>
  <c r="T19" i="10"/>
  <c r="T20" i="10"/>
  <c r="T21" i="10"/>
  <c r="T22" i="10"/>
  <c r="T23" i="10"/>
  <c r="T24" i="10"/>
  <c r="T25" i="10"/>
  <c r="T26" i="10"/>
  <c r="T27" i="10"/>
  <c r="T28" i="10"/>
  <c r="T29" i="10"/>
  <c r="T30" i="10"/>
  <c r="T31" i="10"/>
  <c r="T32" i="10"/>
  <c r="T33" i="10"/>
  <c r="T34" i="10"/>
  <c r="T35" i="10"/>
  <c r="T36" i="10"/>
  <c r="T37" i="10"/>
  <c r="T38" i="10"/>
  <c r="T39" i="10"/>
  <c r="T40" i="10"/>
  <c r="T41" i="10"/>
  <c r="T42" i="10"/>
  <c r="T43" i="10"/>
  <c r="T44" i="10"/>
  <c r="T45" i="10"/>
  <c r="T46" i="10"/>
  <c r="T47" i="10"/>
  <c r="T48" i="10"/>
  <c r="T49" i="10"/>
  <c r="T50" i="10"/>
  <c r="T51" i="10"/>
  <c r="T52" i="10"/>
  <c r="T53" i="10"/>
  <c r="T54" i="10"/>
  <c r="T55" i="10"/>
  <c r="T56" i="10"/>
  <c r="T57" i="10"/>
  <c r="T58" i="10"/>
  <c r="T59" i="10"/>
  <c r="T60" i="10"/>
  <c r="T61" i="10"/>
  <c r="T62" i="10"/>
  <c r="T63" i="10"/>
  <c r="T64" i="10"/>
  <c r="T65" i="10"/>
  <c r="T66" i="10"/>
  <c r="T67" i="10"/>
  <c r="T68" i="10"/>
  <c r="T69" i="10"/>
  <c r="T70" i="10"/>
  <c r="T71" i="10"/>
  <c r="T72" i="10"/>
  <c r="T73" i="10"/>
  <c r="X73" i="10" s="1"/>
  <c r="T74" i="10"/>
  <c r="X74" i="10" s="1"/>
  <c r="S4" i="10"/>
  <c r="S5" i="10"/>
  <c r="S6" i="10"/>
  <c r="S7" i="10"/>
  <c r="S8" i="10"/>
  <c r="S9" i="10"/>
  <c r="S10" i="10"/>
  <c r="S11" i="10"/>
  <c r="S12" i="10"/>
  <c r="S13" i="10"/>
  <c r="S14" i="10"/>
  <c r="S15" i="10"/>
  <c r="S16" i="10"/>
  <c r="S17" i="10"/>
  <c r="S18" i="10"/>
  <c r="S19" i="10"/>
  <c r="S20" i="10"/>
  <c r="S21" i="10"/>
  <c r="S22" i="10"/>
  <c r="S23" i="10"/>
  <c r="S24" i="10"/>
  <c r="S25" i="10"/>
  <c r="S26" i="10"/>
  <c r="S27" i="10"/>
  <c r="S28" i="10"/>
  <c r="S29" i="10"/>
  <c r="S30" i="10"/>
  <c r="S31" i="10"/>
  <c r="S32" i="10"/>
  <c r="S33" i="10"/>
  <c r="S34" i="10"/>
  <c r="S35" i="10"/>
  <c r="S36" i="10"/>
  <c r="S37" i="10"/>
  <c r="S38" i="10"/>
  <c r="S39" i="10"/>
  <c r="S40" i="10"/>
  <c r="S41" i="10"/>
  <c r="S42" i="10"/>
  <c r="S43" i="10"/>
  <c r="S44" i="10"/>
  <c r="S45" i="10"/>
  <c r="S46" i="10"/>
  <c r="S47" i="10"/>
  <c r="S48" i="10"/>
  <c r="S49" i="10"/>
  <c r="S50" i="10"/>
  <c r="S51" i="10"/>
  <c r="S52" i="10"/>
  <c r="S53" i="10"/>
  <c r="S54" i="10"/>
  <c r="S55" i="10"/>
  <c r="S56" i="10"/>
  <c r="S57" i="10"/>
  <c r="S58" i="10"/>
  <c r="S59" i="10"/>
  <c r="S60" i="10"/>
  <c r="S61" i="10"/>
  <c r="S62" i="10"/>
  <c r="S63" i="10"/>
  <c r="S64" i="10"/>
  <c r="S65" i="10"/>
  <c r="S66" i="10"/>
  <c r="S67" i="10"/>
  <c r="S68" i="10"/>
  <c r="S69" i="10"/>
  <c r="W69" i="10" s="1"/>
  <c r="S70" i="10"/>
  <c r="S71" i="10"/>
  <c r="S72" i="10"/>
  <c r="S73" i="10"/>
  <c r="S74" i="10"/>
  <c r="S714" i="10"/>
  <c r="S715" i="10"/>
  <c r="S716" i="10"/>
  <c r="S717" i="10"/>
  <c r="S718" i="10"/>
  <c r="S719" i="10"/>
  <c r="S720" i="10"/>
  <c r="S721" i="10"/>
  <c r="S722" i="10"/>
  <c r="S723" i="10"/>
  <c r="S724" i="10"/>
  <c r="S725" i="10"/>
  <c r="S726" i="10"/>
  <c r="S727" i="10"/>
  <c r="S728" i="10"/>
  <c r="S729" i="10"/>
  <c r="S730" i="10"/>
  <c r="S731" i="10"/>
  <c r="S732" i="10"/>
  <c r="S733" i="10"/>
  <c r="S734" i="10"/>
  <c r="S735" i="10"/>
  <c r="S736" i="10"/>
  <c r="S737" i="10"/>
  <c r="S738" i="10"/>
  <c r="S739" i="10"/>
  <c r="S740" i="10"/>
  <c r="S741" i="10"/>
  <c r="S742" i="10"/>
  <c r="S743" i="10"/>
  <c r="S744" i="10"/>
  <c r="S745" i="10"/>
  <c r="S746" i="10"/>
  <c r="S747" i="10"/>
  <c r="S748" i="10"/>
  <c r="S749" i="10"/>
  <c r="S750" i="10"/>
  <c r="S751" i="10"/>
  <c r="S752" i="10"/>
  <c r="S753" i="10"/>
  <c r="S754" i="10"/>
  <c r="S755" i="10"/>
  <c r="S756" i="10"/>
  <c r="S757" i="10"/>
  <c r="S758" i="10"/>
  <c r="S759" i="10"/>
  <c r="S760" i="10"/>
  <c r="S761" i="10"/>
  <c r="S762" i="10"/>
  <c r="S763" i="10"/>
  <c r="S764" i="10"/>
  <c r="S765" i="10"/>
  <c r="S766" i="10"/>
  <c r="S767" i="10"/>
  <c r="S768" i="10"/>
  <c r="S769" i="10"/>
  <c r="S770" i="10"/>
  <c r="S771" i="10"/>
  <c r="S772" i="10"/>
  <c r="S773" i="10"/>
  <c r="S774" i="10"/>
  <c r="S775" i="10"/>
  <c r="S776" i="10"/>
  <c r="S777" i="10"/>
  <c r="S778" i="10"/>
  <c r="S779" i="10"/>
  <c r="S780" i="10"/>
  <c r="S781" i="10"/>
  <c r="S782" i="10"/>
  <c r="S783" i="10"/>
  <c r="S784" i="10"/>
  <c r="W784" i="10" s="1"/>
  <c r="S146" i="10"/>
  <c r="S147" i="10"/>
  <c r="S148" i="10"/>
  <c r="S149" i="10"/>
  <c r="S150" i="10"/>
  <c r="S151" i="10"/>
  <c r="S152" i="10"/>
  <c r="S153" i="10"/>
  <c r="S154" i="10"/>
  <c r="S155" i="10"/>
  <c r="S156" i="10"/>
  <c r="S157" i="10"/>
  <c r="S158" i="10"/>
  <c r="S159" i="10"/>
  <c r="S160" i="10"/>
  <c r="S161" i="10"/>
  <c r="S162" i="10"/>
  <c r="S163" i="10"/>
  <c r="S164" i="10"/>
  <c r="S165" i="10"/>
  <c r="S166" i="10"/>
  <c r="S167" i="10"/>
  <c r="S168" i="10"/>
  <c r="S169" i="10"/>
  <c r="S170" i="10"/>
  <c r="S171" i="10"/>
  <c r="S172" i="10"/>
  <c r="S174" i="10"/>
  <c r="S175" i="10"/>
  <c r="S176" i="10"/>
  <c r="S177" i="10"/>
  <c r="S178" i="10"/>
  <c r="S179" i="10"/>
  <c r="S182" i="10"/>
  <c r="S183" i="10"/>
  <c r="S184" i="10"/>
  <c r="S185" i="10"/>
  <c r="S173" i="10"/>
  <c r="S181" i="10"/>
  <c r="S188" i="10"/>
  <c r="S189" i="10"/>
  <c r="S195" i="10"/>
  <c r="S198" i="10"/>
  <c r="S199" i="10"/>
  <c r="S200" i="10"/>
  <c r="S201" i="10"/>
  <c r="S203" i="10"/>
  <c r="S204" i="10"/>
  <c r="S205" i="10"/>
  <c r="S206" i="10"/>
  <c r="S207" i="10"/>
  <c r="S208" i="10"/>
  <c r="S209" i="10"/>
  <c r="S210" i="10"/>
  <c r="S211" i="10"/>
  <c r="S212" i="10"/>
  <c r="S213" i="10"/>
  <c r="S214" i="10"/>
  <c r="S215" i="10"/>
  <c r="S216" i="10"/>
  <c r="S180" i="10"/>
  <c r="S186" i="10"/>
  <c r="S187" i="10"/>
  <c r="S190" i="10"/>
  <c r="S191" i="10"/>
  <c r="S192" i="10"/>
  <c r="S193" i="10"/>
  <c r="S194" i="10"/>
  <c r="S196" i="10"/>
  <c r="S197" i="10"/>
  <c r="W197" i="10" s="1"/>
  <c r="S202" i="10"/>
  <c r="S572" i="10"/>
  <c r="S573" i="10"/>
  <c r="S574" i="10"/>
  <c r="S575" i="10"/>
  <c r="S576" i="10"/>
  <c r="S577" i="10"/>
  <c r="S578" i="10"/>
  <c r="S579" i="10"/>
  <c r="S580" i="10"/>
  <c r="S581" i="10"/>
  <c r="S582" i="10"/>
  <c r="S583" i="10"/>
  <c r="S584" i="10"/>
  <c r="S585" i="10"/>
  <c r="S586" i="10"/>
  <c r="S587" i="10"/>
  <c r="S588" i="10"/>
  <c r="S589" i="10"/>
  <c r="S590" i="10"/>
  <c r="S591" i="10"/>
  <c r="S592" i="10"/>
  <c r="S593" i="10"/>
  <c r="S594" i="10"/>
  <c r="S595" i="10"/>
  <c r="S596" i="10"/>
  <c r="S597" i="10"/>
  <c r="S598" i="10"/>
  <c r="S599" i="10"/>
  <c r="S600" i="10"/>
  <c r="S601" i="10"/>
  <c r="S602" i="10"/>
  <c r="S603" i="10"/>
  <c r="S604" i="10"/>
  <c r="S605" i="10"/>
  <c r="S606" i="10"/>
  <c r="S607" i="10"/>
  <c r="S608" i="10"/>
  <c r="S609" i="10"/>
  <c r="S610" i="10"/>
  <c r="S611" i="10"/>
  <c r="S612" i="10"/>
  <c r="S613" i="10"/>
  <c r="S614" i="10"/>
  <c r="S615" i="10"/>
  <c r="S616" i="10"/>
  <c r="S617" i="10"/>
  <c r="S618" i="10"/>
  <c r="S619" i="10"/>
  <c r="S620" i="10"/>
  <c r="S622" i="10"/>
  <c r="S623" i="10"/>
  <c r="S624" i="10"/>
  <c r="S625" i="10"/>
  <c r="S626" i="10"/>
  <c r="S627" i="10"/>
  <c r="S628" i="10"/>
  <c r="S629" i="10"/>
  <c r="S630" i="10"/>
  <c r="S631" i="10"/>
  <c r="S632" i="10"/>
  <c r="S633" i="10"/>
  <c r="S634" i="10"/>
  <c r="S635" i="10"/>
  <c r="S636" i="10"/>
  <c r="S637" i="10"/>
  <c r="S638" i="10"/>
  <c r="S639" i="10"/>
  <c r="S640" i="10"/>
  <c r="S641" i="10"/>
  <c r="S642" i="10"/>
  <c r="S621" i="10"/>
  <c r="W621" i="10" s="1"/>
  <c r="S785" i="10"/>
  <c r="S786" i="10"/>
  <c r="S787" i="10"/>
  <c r="S788" i="10"/>
  <c r="S789" i="10"/>
  <c r="S790" i="10"/>
  <c r="S791" i="10"/>
  <c r="S792" i="10"/>
  <c r="S793" i="10"/>
  <c r="S794" i="10"/>
  <c r="S795" i="10"/>
  <c r="S796" i="10"/>
  <c r="S797" i="10"/>
  <c r="S798" i="10"/>
  <c r="S799" i="10"/>
  <c r="S800" i="10"/>
  <c r="S801" i="10"/>
  <c r="S802" i="10"/>
  <c r="S803" i="10"/>
  <c r="S804" i="10"/>
  <c r="S805" i="10"/>
  <c r="S806" i="10"/>
  <c r="S807" i="10"/>
  <c r="S808" i="10"/>
  <c r="S809" i="10"/>
  <c r="S810" i="10"/>
  <c r="S811" i="10"/>
  <c r="S812" i="10"/>
  <c r="S813" i="10"/>
  <c r="S814" i="10"/>
  <c r="S815" i="10"/>
  <c r="S816" i="10"/>
  <c r="S817" i="10"/>
  <c r="S818" i="10"/>
  <c r="S819" i="10"/>
  <c r="S820" i="10"/>
  <c r="S821" i="10"/>
  <c r="S822" i="10"/>
  <c r="S823" i="10"/>
  <c r="S824" i="10"/>
  <c r="S825" i="10"/>
  <c r="S826" i="10"/>
  <c r="S827" i="10"/>
  <c r="S828" i="10"/>
  <c r="S829" i="10"/>
  <c r="S830" i="10"/>
  <c r="S831" i="10"/>
  <c r="S832" i="10"/>
  <c r="S833" i="10"/>
  <c r="S834" i="10"/>
  <c r="S835" i="10"/>
  <c r="S836" i="10"/>
  <c r="S837" i="10"/>
  <c r="S838" i="10"/>
  <c r="S839" i="10"/>
  <c r="S840" i="10"/>
  <c r="S841" i="10"/>
  <c r="S842" i="10"/>
  <c r="S843" i="10"/>
  <c r="S844" i="10"/>
  <c r="S845" i="10"/>
  <c r="S846" i="10"/>
  <c r="S853" i="10"/>
  <c r="S854" i="10"/>
  <c r="S849" i="10"/>
  <c r="S847" i="10"/>
  <c r="S848" i="10"/>
  <c r="S850" i="10"/>
  <c r="S851" i="10"/>
  <c r="S852" i="10"/>
  <c r="W852" i="10" s="1"/>
  <c r="S855" i="10"/>
  <c r="M728" i="10"/>
  <c r="R728" i="10"/>
  <c r="M724" i="10"/>
  <c r="R724" i="10"/>
  <c r="M574" i="10"/>
  <c r="R574" i="10"/>
  <c r="M575" i="10"/>
  <c r="R575" i="10"/>
  <c r="M576" i="10"/>
  <c r="R576" i="10"/>
  <c r="M729" i="10"/>
  <c r="R729" i="10"/>
  <c r="M16" i="10"/>
  <c r="R16" i="10"/>
  <c r="M577" i="10"/>
  <c r="R577" i="10"/>
  <c r="M578" i="10"/>
  <c r="R578" i="10"/>
  <c r="M579" i="10"/>
  <c r="R579" i="10"/>
  <c r="M730" i="10"/>
  <c r="R730" i="10"/>
  <c r="M124" i="10"/>
  <c r="R124" i="10"/>
  <c r="M580" i="10"/>
  <c r="R580" i="10"/>
  <c r="M581" i="10"/>
  <c r="R581" i="10"/>
  <c r="M144" i="10"/>
  <c r="R144" i="10"/>
  <c r="M731" i="10"/>
  <c r="R731" i="10"/>
  <c r="M831" i="10"/>
  <c r="R831" i="10"/>
  <c r="M582" i="10"/>
  <c r="R582" i="10"/>
  <c r="M583" i="10"/>
  <c r="R583" i="10"/>
  <c r="M673" i="10"/>
  <c r="R673" i="10"/>
  <c r="M732" i="10"/>
  <c r="R732" i="10"/>
  <c r="M821" i="10"/>
  <c r="R821" i="10"/>
  <c r="M584" i="10"/>
  <c r="R584" i="10"/>
  <c r="M585" i="10"/>
  <c r="R585" i="10"/>
  <c r="M586" i="10"/>
  <c r="R586" i="10"/>
  <c r="M733" i="10"/>
  <c r="R733" i="10"/>
  <c r="M17" i="10"/>
  <c r="R17" i="10"/>
  <c r="M587" i="10"/>
  <c r="R587" i="10"/>
  <c r="M588" i="10"/>
  <c r="R588" i="10"/>
  <c r="M589" i="10"/>
  <c r="R589" i="10"/>
  <c r="M957" i="10"/>
  <c r="R957" i="10"/>
  <c r="M830" i="10"/>
  <c r="R830" i="10"/>
  <c r="M590" i="10"/>
  <c r="R590" i="10"/>
  <c r="M591" i="10"/>
  <c r="R591" i="10"/>
  <c r="M958" i="10"/>
  <c r="R958" i="10"/>
  <c r="M829" i="10"/>
  <c r="R829" i="10"/>
  <c r="M592" i="10"/>
  <c r="R592" i="10"/>
  <c r="M593" i="10"/>
  <c r="R593" i="10"/>
  <c r="M959" i="10"/>
  <c r="R959" i="10"/>
  <c r="M674" i="10"/>
  <c r="R674" i="10"/>
  <c r="M594" i="10"/>
  <c r="R594" i="10"/>
  <c r="M595" i="10"/>
  <c r="R595" i="10"/>
  <c r="M960" i="10"/>
  <c r="R960" i="10"/>
  <c r="M596" i="10"/>
  <c r="R596" i="10"/>
  <c r="M597" i="10"/>
  <c r="R597" i="10"/>
  <c r="M725" i="10"/>
  <c r="R725" i="10"/>
  <c r="M833" i="10"/>
  <c r="R833" i="10"/>
  <c r="M145" i="10"/>
  <c r="R145" i="10"/>
  <c r="M18" i="10"/>
  <c r="R18" i="10"/>
  <c r="M598" i="10"/>
  <c r="R598" i="10"/>
  <c r="M599" i="10"/>
  <c r="R599" i="10"/>
  <c r="M146" i="10"/>
  <c r="R146" i="10"/>
  <c r="F14" i="11"/>
  <c r="G14" i="11" s="1"/>
  <c r="C10" i="12"/>
  <c r="M828" i="10"/>
  <c r="R828" i="10"/>
  <c r="M600" i="10"/>
  <c r="R600" i="10"/>
  <c r="M601" i="10"/>
  <c r="R601" i="10"/>
  <c r="M147" i="10"/>
  <c r="R147" i="10"/>
  <c r="M130" i="10"/>
  <c r="R130" i="10"/>
  <c r="M602" i="10"/>
  <c r="R602" i="10"/>
  <c r="M603" i="10"/>
  <c r="R603" i="10"/>
  <c r="M148" i="10"/>
  <c r="R148" i="10"/>
  <c r="M675" i="10"/>
  <c r="R675" i="10"/>
  <c r="M604" i="10"/>
  <c r="R604" i="10"/>
  <c r="M605" i="10"/>
  <c r="R605" i="10"/>
  <c r="M149" i="10"/>
  <c r="R149" i="10"/>
  <c r="M822" i="10"/>
  <c r="R822" i="10"/>
  <c r="M606" i="10"/>
  <c r="R606" i="10"/>
  <c r="M607" i="10"/>
  <c r="R607" i="10"/>
  <c r="M150" i="10"/>
  <c r="R150" i="10"/>
  <c r="M19" i="10"/>
  <c r="R19" i="10"/>
  <c r="M608" i="10"/>
  <c r="R608" i="10"/>
  <c r="M827" i="10"/>
  <c r="R827" i="10"/>
  <c r="M151" i="10"/>
  <c r="R151" i="10"/>
  <c r="M952" i="10"/>
  <c r="R952" i="10"/>
  <c r="M676" i="10"/>
  <c r="R676" i="10"/>
  <c r="M568" i="10"/>
  <c r="R568" i="10"/>
  <c r="M152" i="10"/>
  <c r="R152" i="10"/>
  <c r="M826" i="10"/>
  <c r="R826" i="10"/>
  <c r="M20" i="10"/>
  <c r="R20" i="10"/>
  <c r="M123" i="10"/>
  <c r="R123" i="10"/>
  <c r="M153" i="10"/>
  <c r="R153" i="10"/>
  <c r="M677" i="10"/>
  <c r="R677" i="10"/>
  <c r="M127" i="10"/>
  <c r="R127" i="10"/>
  <c r="M519" i="10"/>
  <c r="R519" i="10"/>
  <c r="M154" i="10"/>
  <c r="R154" i="10"/>
  <c r="M21" i="10"/>
  <c r="R21" i="10"/>
  <c r="M520" i="10"/>
  <c r="R520" i="10"/>
  <c r="M678" i="10"/>
  <c r="R678" i="10"/>
  <c r="M155" i="10"/>
  <c r="R155" i="10"/>
  <c r="M951" i="10"/>
  <c r="R951" i="10"/>
  <c r="M22" i="10"/>
  <c r="R22" i="10"/>
  <c r="M518" i="10"/>
  <c r="R518" i="10"/>
  <c r="M156" i="10"/>
  <c r="R156" i="10"/>
  <c r="M131" i="10"/>
  <c r="R131" i="10"/>
  <c r="M679" i="10"/>
  <c r="R679" i="10"/>
  <c r="M953" i="10"/>
  <c r="R953" i="10"/>
  <c r="M157" i="10"/>
  <c r="R157" i="10"/>
  <c r="M521" i="10"/>
  <c r="R521" i="10"/>
  <c r="M23" i="10"/>
  <c r="R23" i="10"/>
  <c r="M569" i="10"/>
  <c r="R569" i="10"/>
  <c r="M158" i="10"/>
  <c r="R158" i="10"/>
  <c r="M680" i="10"/>
  <c r="R680" i="10"/>
  <c r="M5" i="10"/>
  <c r="R5" i="10"/>
  <c r="M517" i="10"/>
  <c r="R517" i="10"/>
  <c r="M159" i="10"/>
  <c r="R159" i="10"/>
  <c r="M24" i="10"/>
  <c r="R24" i="10"/>
  <c r="M122" i="10"/>
  <c r="R122" i="10"/>
  <c r="M681" i="10"/>
  <c r="R681" i="10"/>
  <c r="M160" i="10"/>
  <c r="R160" i="10"/>
  <c r="M950" i="10"/>
  <c r="R950" i="10"/>
  <c r="M516" i="10"/>
  <c r="R516" i="10"/>
  <c r="M522" i="10"/>
  <c r="R522" i="10"/>
  <c r="M161" i="10"/>
  <c r="R161" i="10"/>
  <c r="M25" i="10"/>
  <c r="R25" i="10"/>
  <c r="M682" i="10"/>
  <c r="R682" i="10"/>
  <c r="M954" i="10"/>
  <c r="R954" i="10"/>
  <c r="M162" i="10"/>
  <c r="R162" i="10"/>
  <c r="M515" i="10"/>
  <c r="R515" i="10"/>
  <c r="M26" i="10"/>
  <c r="R26" i="10"/>
  <c r="M132" i="10"/>
  <c r="R132" i="10"/>
  <c r="M163" i="10"/>
  <c r="R163" i="10"/>
  <c r="M683" i="10"/>
  <c r="R683" i="10"/>
  <c r="M726" i="10"/>
  <c r="R726" i="10"/>
  <c r="M514" i="10"/>
  <c r="R514" i="10"/>
  <c r="M164" i="10"/>
  <c r="R164" i="10"/>
  <c r="M523" i="10"/>
  <c r="R523" i="10"/>
  <c r="M949" i="10"/>
  <c r="R949" i="10"/>
  <c r="M684" i="10"/>
  <c r="R684" i="10"/>
  <c r="M165" i="10"/>
  <c r="R165" i="10"/>
  <c r="M6" i="10"/>
  <c r="R6" i="10"/>
  <c r="M27" i="10"/>
  <c r="R27" i="10"/>
  <c r="M513" i="10"/>
  <c r="R513" i="10"/>
  <c r="M166" i="10"/>
  <c r="R166" i="10"/>
  <c r="M524" i="10"/>
  <c r="R524" i="10"/>
  <c r="M685" i="10"/>
  <c r="R685" i="10"/>
  <c r="M955" i="10"/>
  <c r="R955" i="10"/>
  <c r="M167" i="10"/>
  <c r="R167" i="10"/>
  <c r="M28" i="10"/>
  <c r="R28" i="10"/>
  <c r="M609" i="10"/>
  <c r="R609" i="10"/>
  <c r="M823" i="10"/>
  <c r="R823" i="10"/>
  <c r="M121" i="10"/>
  <c r="R121" i="10"/>
  <c r="M512" i="10"/>
  <c r="R512" i="10"/>
  <c r="M168" i="10"/>
  <c r="R168" i="10"/>
  <c r="M686" i="10"/>
  <c r="R686" i="10"/>
  <c r="M832" i="10"/>
  <c r="R832" i="10"/>
  <c r="M29" i="10"/>
  <c r="R29" i="10"/>
  <c r="M169" i="10"/>
  <c r="R169" i="10"/>
  <c r="M511" i="10"/>
  <c r="R511" i="10"/>
  <c r="M133" i="10"/>
  <c r="R133" i="10"/>
  <c r="M687" i="10"/>
  <c r="R687" i="10"/>
  <c r="M170" i="10"/>
  <c r="R170" i="10"/>
  <c r="M948" i="10"/>
  <c r="R948" i="10"/>
  <c r="M525" i="10"/>
  <c r="R525" i="10"/>
  <c r="M30" i="10"/>
  <c r="R30" i="10"/>
  <c r="M171" i="10"/>
  <c r="R171" i="10"/>
  <c r="M7" i="10"/>
  <c r="R7" i="10"/>
  <c r="M688" i="10"/>
  <c r="R688" i="10"/>
  <c r="M956" i="10"/>
  <c r="R956" i="10"/>
  <c r="M172" i="10"/>
  <c r="R172" i="10"/>
  <c r="M510" i="10"/>
  <c r="R510" i="10"/>
  <c r="M31" i="10"/>
  <c r="R31" i="10"/>
  <c r="M509" i="10"/>
  <c r="R509" i="10"/>
  <c r="M173" i="10"/>
  <c r="R173" i="10"/>
  <c r="M689" i="10"/>
  <c r="R689" i="10"/>
  <c r="M570" i="10"/>
  <c r="R570" i="10"/>
  <c r="M526" i="10"/>
  <c r="R526" i="10"/>
  <c r="M571" i="10"/>
  <c r="R571" i="10"/>
  <c r="M143" i="10"/>
  <c r="R143" i="10"/>
  <c r="M824" i="10"/>
  <c r="R824" i="10"/>
  <c r="M727" i="10"/>
  <c r="R727" i="10"/>
  <c r="M572" i="10"/>
  <c r="R572" i="10"/>
  <c r="C16" i="12"/>
  <c r="F20" i="11"/>
  <c r="M573" i="10"/>
  <c r="R573" i="10"/>
  <c r="M32" i="10"/>
  <c r="R32" i="10"/>
  <c r="M120" i="10"/>
  <c r="R120" i="10"/>
  <c r="M690" i="10"/>
  <c r="R690" i="10"/>
  <c r="M621" i="10"/>
  <c r="R621" i="10"/>
  <c r="M775" i="10"/>
  <c r="R775" i="10"/>
  <c r="R845" i="10"/>
  <c r="M845" i="10"/>
  <c r="M508" i="10"/>
  <c r="R508" i="10"/>
  <c r="M33" i="10"/>
  <c r="R33" i="10"/>
  <c r="M134" i="10"/>
  <c r="R134" i="10"/>
  <c r="M776" i="10"/>
  <c r="R776" i="10"/>
  <c r="M691" i="10"/>
  <c r="R691" i="10"/>
  <c r="M844" i="10"/>
  <c r="R844" i="10"/>
  <c r="M527" i="10"/>
  <c r="R527" i="10"/>
  <c r="M507" i="10"/>
  <c r="R507" i="10"/>
  <c r="F19" i="11"/>
  <c r="M777" i="10"/>
  <c r="R777" i="10"/>
  <c r="M663" i="10"/>
  <c r="R663" i="10"/>
  <c r="F21" i="11"/>
  <c r="M692" i="10"/>
  <c r="R692" i="10"/>
  <c r="M825" i="10"/>
  <c r="R825" i="10"/>
  <c r="M34" i="10"/>
  <c r="R34" i="10"/>
  <c r="M778" i="10"/>
  <c r="R778" i="10"/>
  <c r="M528" i="10"/>
  <c r="R528" i="10"/>
  <c r="M35" i="10"/>
  <c r="R35" i="10"/>
  <c r="M693" i="10"/>
  <c r="R693" i="10"/>
  <c r="M620" i="10"/>
  <c r="R620" i="10"/>
  <c r="M779" i="10"/>
  <c r="R779" i="10"/>
  <c r="M8" i="10"/>
  <c r="R8" i="10"/>
  <c r="M529" i="10"/>
  <c r="R529" i="10"/>
  <c r="M530" i="10"/>
  <c r="R530" i="10"/>
  <c r="M36" i="10"/>
  <c r="R36" i="10"/>
  <c r="M780" i="10"/>
  <c r="R780" i="10"/>
  <c r="M694" i="10"/>
  <c r="R694" i="10"/>
  <c r="M126" i="10"/>
  <c r="R126" i="10"/>
  <c r="M4" i="10"/>
  <c r="R4" i="10"/>
  <c r="F12" i="11"/>
  <c r="G12" i="11" s="1"/>
  <c r="C8" i="12"/>
  <c r="M119" i="10"/>
  <c r="R119" i="10"/>
  <c r="M781" i="10"/>
  <c r="R781" i="10"/>
  <c r="M135" i="10"/>
  <c r="R135" i="10"/>
  <c r="M695" i="10"/>
  <c r="R695" i="10"/>
  <c r="M672" i="10"/>
  <c r="R672" i="10"/>
  <c r="M531" i="10"/>
  <c r="R531" i="10"/>
  <c r="M782" i="10"/>
  <c r="R782" i="10"/>
  <c r="M37" i="10"/>
  <c r="R37" i="10"/>
  <c r="M664" i="10"/>
  <c r="R664" i="10"/>
  <c r="M696" i="10"/>
  <c r="R696" i="10"/>
  <c r="M619" i="10"/>
  <c r="R619" i="10"/>
  <c r="M783" i="10"/>
  <c r="R783" i="10"/>
  <c r="M532" i="10"/>
  <c r="R532" i="10"/>
  <c r="M533" i="10"/>
  <c r="R533" i="10"/>
  <c r="M38" i="10"/>
  <c r="R38" i="10"/>
  <c r="M784" i="10"/>
  <c r="R784" i="10"/>
  <c r="M697" i="10"/>
  <c r="R697" i="10"/>
  <c r="M843" i="10"/>
  <c r="R843" i="10"/>
  <c r="M534" i="10"/>
  <c r="R534" i="10"/>
  <c r="M39" i="10"/>
  <c r="R39" i="10"/>
  <c r="M785" i="10"/>
  <c r="R785" i="10"/>
  <c r="F23" i="11"/>
  <c r="C19" i="12"/>
  <c r="M535" i="10"/>
  <c r="R535" i="10"/>
  <c r="M698" i="10"/>
  <c r="R698" i="10"/>
  <c r="M9" i="10"/>
  <c r="R9" i="10"/>
  <c r="M536" i="10"/>
  <c r="R536" i="10"/>
  <c r="M786" i="10"/>
  <c r="R786" i="10"/>
  <c r="M40" i="10"/>
  <c r="R40" i="10"/>
  <c r="M136" i="10"/>
  <c r="R136" i="10"/>
  <c r="M699" i="10"/>
  <c r="R699" i="10"/>
  <c r="M618" i="10"/>
  <c r="R618" i="10"/>
  <c r="M787" i="10"/>
  <c r="R787" i="10"/>
  <c r="M842" i="10"/>
  <c r="R842" i="10"/>
  <c r="M118" i="10"/>
  <c r="R118" i="10"/>
  <c r="M537" i="10"/>
  <c r="R537" i="10"/>
  <c r="M665" i="10"/>
  <c r="R665" i="10"/>
  <c r="M788" i="10"/>
  <c r="R788" i="10"/>
  <c r="M700" i="10"/>
  <c r="R700" i="10"/>
  <c r="M41" i="10"/>
  <c r="R41" i="10"/>
  <c r="M538" i="10"/>
  <c r="R538" i="10"/>
  <c r="M789" i="10"/>
  <c r="R789" i="10"/>
  <c r="M539" i="10"/>
  <c r="R539" i="10"/>
  <c r="M701" i="10"/>
  <c r="R701" i="10"/>
  <c r="M841" i="10"/>
  <c r="R841" i="10"/>
  <c r="M42" i="10"/>
  <c r="R42" i="10"/>
  <c r="M790" i="10"/>
  <c r="R790" i="10"/>
  <c r="M540" i="10"/>
  <c r="R540" i="10"/>
  <c r="M43" i="10"/>
  <c r="R43" i="10"/>
  <c r="M702" i="10"/>
  <c r="R702" i="10"/>
  <c r="M617" i="10"/>
  <c r="R617" i="10"/>
  <c r="M791" i="10"/>
  <c r="R791" i="10"/>
  <c r="M10" i="10"/>
  <c r="R10" i="10"/>
  <c r="M541" i="10"/>
  <c r="R541" i="10"/>
  <c r="M542" i="10"/>
  <c r="R542" i="10"/>
  <c r="M137" i="10"/>
  <c r="R137" i="10"/>
  <c r="M792" i="10"/>
  <c r="R792" i="10"/>
  <c r="M703" i="10"/>
  <c r="R703" i="10"/>
  <c r="M840" i="10"/>
  <c r="R840" i="10"/>
  <c r="M44" i="10"/>
  <c r="R44" i="10"/>
  <c r="M117" i="10"/>
  <c r="R117" i="10"/>
  <c r="M793" i="10"/>
  <c r="R793" i="10"/>
  <c r="M666" i="10"/>
  <c r="R666" i="10"/>
  <c r="M704" i="10"/>
  <c r="R704" i="10"/>
  <c r="M543" i="10"/>
  <c r="R543" i="10"/>
  <c r="M794" i="10"/>
  <c r="R794" i="10"/>
  <c r="M45" i="10"/>
  <c r="R45" i="10"/>
  <c r="M544" i="10"/>
  <c r="R544" i="10"/>
  <c r="M705" i="10"/>
  <c r="R705" i="10"/>
  <c r="M616" i="10"/>
  <c r="R616" i="10"/>
  <c r="M795" i="10"/>
  <c r="R795" i="10"/>
  <c r="M11" i="10"/>
  <c r="R11" i="10"/>
  <c r="M545" i="10"/>
  <c r="R545" i="10"/>
  <c r="M46" i="10"/>
  <c r="R46" i="10"/>
  <c r="M546" i="10"/>
  <c r="R546" i="10"/>
  <c r="M796" i="10"/>
  <c r="R796" i="10"/>
  <c r="M706" i="10"/>
  <c r="R706" i="10"/>
  <c r="M839" i="10"/>
  <c r="R839" i="10"/>
  <c r="M47" i="10"/>
  <c r="R47" i="10"/>
  <c r="M547" i="10"/>
  <c r="R547" i="10"/>
  <c r="M797" i="10"/>
  <c r="R797" i="10"/>
  <c r="M138" i="10"/>
  <c r="R138" i="10"/>
  <c r="M707" i="10"/>
  <c r="R707" i="10"/>
  <c r="M128" i="10"/>
  <c r="R128" i="10"/>
  <c r="M548" i="10"/>
  <c r="R548" i="10"/>
  <c r="M798" i="10"/>
  <c r="R798" i="10"/>
  <c r="M48" i="10"/>
  <c r="R48" i="10"/>
  <c r="M667" i="10"/>
  <c r="R667" i="10"/>
  <c r="M708" i="10"/>
  <c r="R708" i="10"/>
  <c r="M615" i="10"/>
  <c r="R615" i="10"/>
  <c r="M799" i="10"/>
  <c r="R799" i="10"/>
  <c r="M116" i="10"/>
  <c r="R116" i="10"/>
  <c r="M549" i="10"/>
  <c r="R549" i="10"/>
  <c r="M49" i="10"/>
  <c r="R49" i="10"/>
  <c r="M800" i="10"/>
  <c r="R800" i="10"/>
  <c r="M709" i="10"/>
  <c r="R709" i="10"/>
  <c r="M838" i="10"/>
  <c r="R838" i="10"/>
  <c r="M550" i="10"/>
  <c r="R550" i="10"/>
  <c r="M551" i="10"/>
  <c r="R551" i="10"/>
  <c r="M801" i="10"/>
  <c r="R801" i="10"/>
  <c r="M50" i="10"/>
  <c r="R50" i="10"/>
  <c r="M710" i="10"/>
  <c r="R710" i="10"/>
  <c r="M12" i="10"/>
  <c r="R12" i="10"/>
  <c r="M552" i="10"/>
  <c r="R552" i="10"/>
  <c r="M802" i="10"/>
  <c r="R802" i="10"/>
  <c r="M51" i="10"/>
  <c r="R51" i="10"/>
  <c r="M139" i="10"/>
  <c r="R139" i="10"/>
  <c r="M711" i="10"/>
  <c r="R711" i="10"/>
  <c r="M614" i="10"/>
  <c r="R614" i="10"/>
  <c r="M803" i="10"/>
  <c r="R803" i="10"/>
  <c r="M553" i="10"/>
  <c r="R553" i="10"/>
  <c r="M554" i="10"/>
  <c r="R554" i="10"/>
  <c r="M668" i="10"/>
  <c r="R668" i="10"/>
  <c r="M804" i="10"/>
  <c r="R804" i="10"/>
  <c r="M712" i="10"/>
  <c r="R712" i="10"/>
  <c r="M815" i="10"/>
  <c r="R815" i="10"/>
  <c r="M52" i="10"/>
  <c r="R52" i="10"/>
  <c r="M115" i="10"/>
  <c r="R115" i="10"/>
  <c r="M805" i="10"/>
  <c r="R805" i="10"/>
  <c r="M555" i="10"/>
  <c r="R555" i="10"/>
  <c r="M713" i="10"/>
  <c r="R713" i="10"/>
  <c r="M125" i="10"/>
  <c r="R125" i="10"/>
  <c r="M53" i="10"/>
  <c r="R53" i="10"/>
  <c r="M806" i="10"/>
  <c r="R806" i="10"/>
  <c r="M556" i="10"/>
  <c r="R556" i="10"/>
  <c r="M557" i="10"/>
  <c r="R557" i="10"/>
  <c r="M714" i="10"/>
  <c r="R714" i="10"/>
  <c r="F22" i="11"/>
  <c r="C18" i="12"/>
  <c r="M613" i="10"/>
  <c r="R613" i="10"/>
  <c r="M807" i="10"/>
  <c r="R807" i="10"/>
  <c r="M837" i="10"/>
  <c r="R837" i="10"/>
  <c r="M54" i="10"/>
  <c r="R54" i="10"/>
  <c r="M558" i="10"/>
  <c r="R558" i="10"/>
  <c r="M140" i="10"/>
  <c r="R140" i="10"/>
  <c r="M808" i="10"/>
  <c r="R808" i="10"/>
  <c r="M715" i="10"/>
  <c r="R715" i="10"/>
  <c r="M13" i="10"/>
  <c r="R13" i="10"/>
  <c r="M55" i="10"/>
  <c r="R55" i="10"/>
  <c r="M559" i="10"/>
  <c r="R559" i="10"/>
  <c r="M809" i="10"/>
  <c r="R809" i="10"/>
  <c r="M669" i="10"/>
  <c r="R669" i="10"/>
  <c r="M716" i="10"/>
  <c r="R716" i="10"/>
  <c r="M560" i="10"/>
  <c r="R560" i="10"/>
  <c r="M810" i="10"/>
  <c r="R810" i="10"/>
  <c r="M56" i="10"/>
  <c r="R56" i="10"/>
  <c r="M114" i="10"/>
  <c r="R114" i="10"/>
  <c r="M717" i="10"/>
  <c r="R717" i="10"/>
  <c r="M612" i="10"/>
  <c r="R612" i="10"/>
  <c r="M811" i="10"/>
  <c r="R811" i="10"/>
  <c r="M836" i="10"/>
  <c r="R836" i="10"/>
  <c r="M561" i="10"/>
  <c r="R561" i="10"/>
  <c r="M57" i="10"/>
  <c r="R57" i="10"/>
  <c r="M562" i="10"/>
  <c r="R562" i="10"/>
  <c r="M812" i="10"/>
  <c r="R812" i="10"/>
  <c r="M718" i="10"/>
  <c r="R718" i="10"/>
  <c r="M835" i="10"/>
  <c r="R835" i="10"/>
  <c r="M563" i="10"/>
  <c r="R563" i="10"/>
  <c r="M58" i="10"/>
  <c r="R58" i="10"/>
  <c r="M813" i="10"/>
  <c r="R813" i="10"/>
  <c r="M141" i="10"/>
  <c r="R141" i="10"/>
  <c r="M719" i="10"/>
  <c r="R719" i="10"/>
  <c r="M14" i="10"/>
  <c r="R14" i="10"/>
  <c r="M564" i="10"/>
  <c r="R564" i="10"/>
  <c r="M814" i="10"/>
  <c r="R814" i="10"/>
  <c r="M59" i="10"/>
  <c r="R59" i="10"/>
  <c r="M670" i="10"/>
  <c r="R670" i="10"/>
  <c r="M720" i="10"/>
  <c r="R720" i="10"/>
  <c r="M611" i="10"/>
  <c r="R611" i="10"/>
  <c r="M565" i="10"/>
  <c r="R565" i="10"/>
  <c r="M566" i="10"/>
  <c r="R566" i="10"/>
  <c r="M60" i="10"/>
  <c r="R60" i="10"/>
  <c r="M816" i="10"/>
  <c r="R816" i="10"/>
  <c r="M721" i="10"/>
  <c r="R721" i="10"/>
  <c r="M834" i="10"/>
  <c r="R834" i="10"/>
  <c r="M113" i="10"/>
  <c r="R113" i="10"/>
  <c r="F13" i="11"/>
  <c r="G13" i="11" s="1"/>
  <c r="M567" i="10"/>
  <c r="R567" i="10"/>
  <c r="M817" i="10"/>
  <c r="R817" i="10"/>
  <c r="M722" i="10"/>
  <c r="R722" i="10"/>
  <c r="M15" i="10"/>
  <c r="R15" i="10"/>
  <c r="M818" i="10"/>
  <c r="R818" i="10"/>
  <c r="M142" i="10"/>
  <c r="R142" i="10"/>
  <c r="M723" i="10"/>
  <c r="R723" i="10"/>
  <c r="M610" i="10"/>
  <c r="R610" i="10"/>
  <c r="M819" i="10"/>
  <c r="R819" i="10"/>
  <c r="M129" i="10"/>
  <c r="R129" i="10"/>
  <c r="M671" i="10"/>
  <c r="R671" i="10"/>
  <c r="M820" i="10"/>
  <c r="R820" i="10"/>
  <c r="U9" i="4"/>
  <c r="C26" i="8"/>
  <c r="F224" i="10"/>
  <c r="F225" i="10"/>
  <c r="F217" i="10"/>
  <c r="F218" i="10"/>
  <c r="F219" i="10"/>
  <c r="F220" i="10"/>
  <c r="F221" i="10"/>
  <c r="F222" i="10"/>
  <c r="F223" i="10"/>
  <c r="F226" i="10"/>
  <c r="F228" i="10"/>
  <c r="F229" i="10"/>
  <c r="F231" i="10"/>
  <c r="F232" i="10"/>
  <c r="F234" i="10"/>
  <c r="F238" i="10"/>
  <c r="F240" i="10"/>
  <c r="F243" i="10"/>
  <c r="F246" i="10"/>
  <c r="F248" i="10"/>
  <c r="F250" i="10"/>
  <c r="F252" i="10"/>
  <c r="F253" i="10"/>
  <c r="F254" i="10"/>
  <c r="F255" i="10"/>
  <c r="F256" i="10"/>
  <c r="F257" i="10"/>
  <c r="F258" i="10"/>
  <c r="F259" i="10"/>
  <c r="F260" i="10"/>
  <c r="F264" i="10"/>
  <c r="F269" i="10"/>
  <c r="F270" i="10"/>
  <c r="F272" i="10"/>
  <c r="F274" i="10"/>
  <c r="F276" i="10"/>
  <c r="F278" i="10"/>
  <c r="F279" i="10"/>
  <c r="F280" i="10"/>
  <c r="F285" i="10"/>
  <c r="F286" i="10"/>
  <c r="F227" i="10"/>
  <c r="F230" i="10"/>
  <c r="F233" i="10"/>
  <c r="F235" i="10"/>
  <c r="F236" i="10"/>
  <c r="F237" i="10"/>
  <c r="F239" i="10"/>
  <c r="F241" i="10"/>
  <c r="F242" i="10"/>
  <c r="F244" i="10"/>
  <c r="F245" i="10"/>
  <c r="F247" i="10"/>
  <c r="F249" i="10"/>
  <c r="F251" i="10"/>
  <c r="F261" i="10"/>
  <c r="F262" i="10"/>
  <c r="F263" i="10"/>
  <c r="F265" i="10"/>
  <c r="F266" i="10"/>
  <c r="F267" i="10"/>
  <c r="F268" i="10"/>
  <c r="F271" i="10"/>
  <c r="F273" i="10"/>
  <c r="F275" i="10"/>
  <c r="F277" i="10"/>
  <c r="F281" i="10"/>
  <c r="F282" i="10"/>
  <c r="F283" i="10"/>
  <c r="F284" i="10"/>
  <c r="F287" i="10"/>
  <c r="S9" i="4"/>
  <c r="T9" i="4" s="1"/>
  <c r="X1058" i="10"/>
  <c r="X1046" i="10"/>
  <c r="X1039" i="10"/>
  <c r="X1055" i="10"/>
  <c r="X1026" i="10"/>
  <c r="X1022" i="10"/>
  <c r="X1021" i="10"/>
  <c r="X1045" i="10"/>
  <c r="X1009" i="10"/>
  <c r="X1032" i="10"/>
  <c r="X1005" i="10"/>
  <c r="X1029" i="10"/>
  <c r="X1068" i="10"/>
  <c r="W1035" i="10"/>
  <c r="W1047" i="10"/>
  <c r="W1018" i="10"/>
  <c r="W1008" i="10"/>
  <c r="W1039" i="10"/>
  <c r="W1040" i="10"/>
  <c r="W1054" i="10"/>
  <c r="W1059" i="10"/>
  <c r="W1031" i="10"/>
  <c r="W1048" i="10"/>
  <c r="W1063" i="10"/>
  <c r="W1028" i="10"/>
  <c r="W1020" i="10"/>
  <c r="X887" i="10"/>
  <c r="X894" i="10"/>
  <c r="X883" i="10"/>
  <c r="X881" i="10"/>
  <c r="X879" i="10"/>
  <c r="X869" i="10"/>
  <c r="X888" i="10"/>
  <c r="X889" i="10"/>
  <c r="X925" i="10"/>
  <c r="X913" i="10"/>
  <c r="X923" i="10"/>
  <c r="X899" i="10"/>
  <c r="X908" i="10"/>
  <c r="X915" i="10"/>
  <c r="W889" i="10"/>
  <c r="W894" i="10"/>
  <c r="W902" i="10"/>
  <c r="W908" i="10"/>
  <c r="W914" i="10"/>
  <c r="W922" i="10"/>
  <c r="W871" i="10"/>
  <c r="W859" i="10"/>
  <c r="W867" i="10"/>
  <c r="W874" i="10"/>
  <c r="W881" i="10"/>
  <c r="W533" i="10"/>
  <c r="W529" i="10"/>
  <c r="W507" i="10"/>
  <c r="W522" i="10"/>
  <c r="W542" i="10"/>
  <c r="W553" i="10"/>
  <c r="W519" i="10"/>
  <c r="X479" i="10"/>
  <c r="X483" i="10"/>
  <c r="X446" i="10"/>
  <c r="X438" i="10"/>
  <c r="X441" i="10"/>
  <c r="X464" i="10"/>
  <c r="X476" i="10"/>
  <c r="W448" i="10"/>
  <c r="W432" i="10"/>
  <c r="W463" i="10"/>
  <c r="W458" i="10"/>
  <c r="W430" i="10"/>
  <c r="W471" i="10"/>
  <c r="W377" i="10"/>
  <c r="W385" i="10"/>
  <c r="W426" i="10"/>
  <c r="X323" i="10"/>
  <c r="X324" i="10"/>
  <c r="X343" i="10"/>
  <c r="X328" i="10"/>
  <c r="X298" i="10"/>
  <c r="X358" i="10"/>
  <c r="W352" i="10"/>
  <c r="W326" i="10"/>
  <c r="W310" i="10"/>
  <c r="W338" i="10"/>
  <c r="W324" i="10"/>
  <c r="W353" i="10"/>
  <c r="X244" i="10"/>
  <c r="X258" i="10"/>
  <c r="X254" i="10"/>
  <c r="X277" i="10"/>
  <c r="X281" i="10"/>
  <c r="X222" i="10"/>
  <c r="W224" i="10"/>
  <c r="W276" i="10"/>
  <c r="W227" i="10"/>
  <c r="W217" i="10"/>
  <c r="W286" i="10"/>
  <c r="W256" i="10"/>
  <c r="Z215" i="10"/>
  <c r="Z207" i="10"/>
  <c r="Z190" i="10"/>
  <c r="Z183" i="10"/>
  <c r="Z148" i="10"/>
  <c r="Z154" i="10"/>
  <c r="Z157" i="10"/>
  <c r="X895" i="10"/>
  <c r="X892" i="10"/>
  <c r="X891" i="10"/>
  <c r="X918" i="10"/>
  <c r="X921" i="10"/>
  <c r="X890" i="10"/>
  <c r="X877" i="10"/>
  <c r="X864" i="10"/>
  <c r="X874" i="10"/>
  <c r="X862" i="10"/>
  <c r="X873" i="10"/>
  <c r="X870" i="10"/>
  <c r="X860" i="10"/>
  <c r="X867" i="10"/>
  <c r="X911" i="10"/>
  <c r="X920" i="10"/>
  <c r="X902" i="10"/>
  <c r="X906" i="10"/>
  <c r="X898" i="10"/>
  <c r="W887" i="10"/>
  <c r="W865" i="10"/>
  <c r="W898" i="10"/>
  <c r="W904" i="10"/>
  <c r="W911" i="10"/>
  <c r="W917" i="10"/>
  <c r="W925" i="10"/>
  <c r="W876" i="10"/>
  <c r="W919" i="10"/>
  <c r="W869" i="10"/>
  <c r="W877" i="10"/>
  <c r="W883" i="10"/>
  <c r="W537" i="10"/>
  <c r="W531" i="10"/>
  <c r="W505" i="10"/>
  <c r="W510" i="10"/>
  <c r="W516" i="10"/>
  <c r="W549" i="10"/>
  <c r="W561" i="10"/>
  <c r="X480" i="10"/>
  <c r="X499" i="10"/>
  <c r="X439" i="10"/>
  <c r="X488" i="10"/>
  <c r="X473" i="10"/>
  <c r="X475" i="10"/>
  <c r="X462" i="10"/>
  <c r="W483" i="10"/>
  <c r="W459" i="10"/>
  <c r="W496" i="10"/>
  <c r="W433" i="10"/>
  <c r="W439" i="10"/>
  <c r="W462" i="10"/>
  <c r="W444" i="10"/>
  <c r="W383" i="10"/>
  <c r="W405" i="10"/>
  <c r="W412" i="10"/>
  <c r="X334" i="10"/>
  <c r="X303" i="10"/>
  <c r="X338" i="10"/>
  <c r="X355" i="10"/>
  <c r="X295" i="10"/>
  <c r="X356" i="10"/>
  <c r="W350" i="10"/>
  <c r="W293" i="10"/>
  <c r="W309" i="10"/>
  <c r="W308" i="10"/>
  <c r="W288" i="10"/>
  <c r="W354" i="10"/>
  <c r="X260" i="10"/>
  <c r="X256" i="10"/>
  <c r="X240" i="10"/>
  <c r="X280" i="10"/>
  <c r="X218" i="10"/>
  <c r="X230" i="10"/>
  <c r="W268" i="10"/>
  <c r="W234" i="10"/>
  <c r="W275" i="10"/>
  <c r="W243" i="10"/>
  <c r="W257" i="10"/>
  <c r="W251" i="10"/>
  <c r="Z216" i="10"/>
  <c r="Z205" i="10"/>
  <c r="Z196" i="10"/>
  <c r="Z174" i="10"/>
  <c r="Z156" i="10"/>
  <c r="Z150" i="10"/>
  <c r="W568" i="10"/>
  <c r="W569" i="10"/>
  <c r="W570" i="10"/>
  <c r="W571" i="10"/>
  <c r="W559" i="10"/>
  <c r="W540" i="10"/>
  <c r="W539" i="10"/>
  <c r="W532" i="10"/>
  <c r="W530" i="10"/>
  <c r="W527" i="10"/>
  <c r="W512" i="10"/>
  <c r="W520" i="10"/>
  <c r="W552" i="10"/>
  <c r="W562" i="10"/>
  <c r="X471" i="10"/>
  <c r="X448" i="10"/>
  <c r="X445" i="10"/>
  <c r="X472" i="10"/>
  <c r="X467" i="10"/>
  <c r="X442" i="10"/>
  <c r="W485" i="10"/>
  <c r="W472" i="10"/>
  <c r="W497" i="10"/>
  <c r="W435" i="10"/>
  <c r="W460" i="10"/>
  <c r="W443" i="10"/>
  <c r="W368" i="10"/>
  <c r="W419" i="10"/>
  <c r="W410" i="10"/>
  <c r="X333" i="10"/>
  <c r="X347" i="10"/>
  <c r="X297" i="10"/>
  <c r="X306" i="10"/>
  <c r="X299" i="10"/>
  <c r="X326" i="10"/>
  <c r="W294" i="10"/>
  <c r="W337" i="10"/>
  <c r="W301" i="10"/>
  <c r="W340" i="10"/>
  <c r="W334" i="10"/>
  <c r="X236" i="10"/>
  <c r="X246" i="10"/>
  <c r="X252" i="10"/>
  <c r="X286" i="10"/>
  <c r="X237" i="10"/>
  <c r="X287" i="10"/>
  <c r="W259" i="10"/>
  <c r="W271" i="10"/>
  <c r="W287" i="10"/>
  <c r="W237" i="10"/>
  <c r="W283" i="10"/>
  <c r="W223" i="10"/>
  <c r="W258" i="10"/>
  <c r="Z206" i="10"/>
  <c r="Z198" i="10"/>
  <c r="Z209" i="10"/>
  <c r="Z184" i="10"/>
  <c r="Z149" i="10"/>
  <c r="Z168" i="10"/>
  <c r="Z171" i="10"/>
  <c r="X429" i="10"/>
  <c r="X401" i="10"/>
  <c r="X400" i="10"/>
  <c r="X397" i="10"/>
  <c r="X396" i="10"/>
  <c r="X398" i="10"/>
  <c r="X395" i="10"/>
  <c r="X421" i="10"/>
  <c r="X416" i="10"/>
  <c r="X393" i="10"/>
  <c r="X390" i="10"/>
  <c r="X389" i="10"/>
  <c r="X388" i="10"/>
  <c r="X391" i="10"/>
  <c r="X386" i="10"/>
  <c r="X420" i="10"/>
  <c r="X382" i="10"/>
  <c r="X387" i="10"/>
  <c r="X380" i="10"/>
  <c r="X379" i="10"/>
  <c r="X377" i="10"/>
  <c r="X375" i="10"/>
  <c r="X385" i="10"/>
  <c r="X419" i="10"/>
  <c r="X384" i="10"/>
  <c r="X368" i="10"/>
  <c r="X367" i="10"/>
  <c r="X363" i="10"/>
  <c r="X381" i="10"/>
  <c r="X362" i="10"/>
  <c r="X361" i="10"/>
  <c r="X359" i="10"/>
  <c r="X418" i="10"/>
  <c r="X417" i="10"/>
  <c r="X378" i="10"/>
  <c r="X376" i="10"/>
  <c r="X372" i="10"/>
  <c r="X371" i="10"/>
  <c r="X374" i="10"/>
  <c r="X370" i="10"/>
  <c r="X373" i="10"/>
  <c r="X369" i="10"/>
  <c r="X366" i="10"/>
  <c r="X428" i="10"/>
  <c r="X415" i="10"/>
  <c r="X414" i="10"/>
  <c r="X413" i="10"/>
  <c r="X412" i="10"/>
  <c r="X365" i="10"/>
  <c r="X364" i="10"/>
  <c r="X427" i="10"/>
  <c r="X360" i="10"/>
  <c r="X411" i="10"/>
  <c r="X405" i="10"/>
  <c r="X394" i="10"/>
  <c r="X392" i="10"/>
  <c r="X399" i="10"/>
  <c r="X408" i="10"/>
  <c r="X409" i="10"/>
  <c r="X410" i="10"/>
  <c r="X426" i="10"/>
  <c r="X425" i="10"/>
  <c r="X424" i="10"/>
  <c r="X423" i="10"/>
  <c r="X383" i="10"/>
  <c r="X422" i="10"/>
  <c r="X407" i="10"/>
  <c r="X406" i="10"/>
  <c r="X404" i="10"/>
  <c r="X403" i="10"/>
  <c r="W429" i="10"/>
  <c r="W378" i="10"/>
  <c r="W396" i="10"/>
  <c r="W394" i="10"/>
  <c r="W425" i="10"/>
  <c r="W362" i="10"/>
  <c r="W388" i="10"/>
  <c r="W415" i="10"/>
  <c r="W395" i="10"/>
  <c r="W391" i="10"/>
  <c r="W389" i="10"/>
  <c r="W381" i="10"/>
  <c r="W375" i="10"/>
  <c r="W363" i="10"/>
  <c r="W364" i="10"/>
  <c r="W386" i="10"/>
  <c r="W374" i="10"/>
  <c r="W365" i="10"/>
  <c r="W417" i="10"/>
  <c r="W373" i="10"/>
  <c r="W366" i="10"/>
  <c r="W422" i="10"/>
  <c r="W416" i="10"/>
  <c r="W380" i="10"/>
  <c r="W390" i="10"/>
  <c r="W376" i="10"/>
  <c r="W370" i="10"/>
  <c r="W372" i="10"/>
  <c r="W424" i="10"/>
  <c r="W371" i="10"/>
  <c r="W428" i="10"/>
  <c r="W367" i="10"/>
  <c r="W392" i="10"/>
  <c r="W401" i="10"/>
  <c r="W406" i="10"/>
  <c r="W382" i="10"/>
  <c r="X351" i="10"/>
  <c r="X288" i="10"/>
  <c r="X342" i="10"/>
  <c r="X332" i="10"/>
  <c r="X296" i="10"/>
  <c r="X291" i="10"/>
  <c r="W314" i="10"/>
  <c r="W296" i="10"/>
  <c r="W357" i="10"/>
  <c r="W327" i="10"/>
  <c r="W347" i="10"/>
  <c r="W290" i="10"/>
  <c r="X269" i="10"/>
  <c r="X271" i="10"/>
  <c r="X274" i="10"/>
  <c r="X248" i="10"/>
  <c r="X276" i="10"/>
  <c r="X224" i="10"/>
  <c r="W263" i="10"/>
  <c r="W264" i="10"/>
  <c r="W232" i="10"/>
  <c r="W279" i="10"/>
  <c r="W285" i="10"/>
  <c r="W255" i="10"/>
  <c r="Z214" i="10"/>
  <c r="Z177" i="10"/>
  <c r="Z204" i="10"/>
  <c r="Z189" i="10"/>
  <c r="Z143" i="10"/>
  <c r="Z142" i="10"/>
  <c r="Z121" i="10"/>
  <c r="Z96" i="10"/>
  <c r="Z103" i="10"/>
  <c r="Z141" i="10"/>
  <c r="Z140" i="10"/>
  <c r="Z139" i="10"/>
  <c r="Z97" i="10"/>
  <c r="Z122" i="10"/>
  <c r="Z138" i="10"/>
  <c r="Z137" i="10"/>
  <c r="Z109" i="10"/>
  <c r="Z136" i="10"/>
  <c r="Z98" i="10"/>
  <c r="Z135" i="10"/>
  <c r="Z134" i="10"/>
  <c r="Z99" i="10"/>
  <c r="Z133" i="10"/>
  <c r="Z132" i="10"/>
  <c r="Z131" i="10"/>
  <c r="Z100" i="10"/>
  <c r="Z129" i="10"/>
  <c r="Z128" i="10"/>
  <c r="Z101" i="10"/>
  <c r="Z127" i="10"/>
  <c r="Z126" i="10"/>
  <c r="Z108" i="10"/>
  <c r="Z125" i="10"/>
  <c r="Z102" i="10"/>
  <c r="Z124" i="10"/>
  <c r="Z123" i="10"/>
  <c r="Z116" i="10"/>
  <c r="Z105" i="10"/>
  <c r="Z117" i="10"/>
  <c r="Z120" i="10"/>
  <c r="Z104" i="10"/>
  <c r="Z119" i="10"/>
  <c r="Z118" i="10"/>
  <c r="Z84" i="10"/>
  <c r="Z83" i="10"/>
  <c r="Z82" i="10"/>
  <c r="Z81" i="10"/>
  <c r="Z113" i="10"/>
  <c r="Z80" i="10"/>
  <c r="Z79" i="10"/>
  <c r="Z78" i="10"/>
  <c r="Z106" i="10"/>
  <c r="Z77" i="10"/>
  <c r="Z76" i="10"/>
  <c r="Z114" i="10"/>
  <c r="Z75" i="10"/>
  <c r="Z85" i="10"/>
  <c r="Z112" i="10"/>
  <c r="Z86" i="10"/>
  <c r="Z87" i="10"/>
  <c r="Z107" i="10"/>
  <c r="Z88" i="10"/>
  <c r="Z89" i="10"/>
  <c r="Z115" i="10"/>
  <c r="Z111" i="10"/>
  <c r="Z130" i="10"/>
  <c r="Z90" i="10"/>
  <c r="Z91" i="10"/>
  <c r="Z92" i="10"/>
  <c r="Z93" i="10"/>
  <c r="Z110" i="10"/>
  <c r="Z94" i="10"/>
  <c r="Z145" i="10"/>
  <c r="Z95" i="10"/>
  <c r="Z69" i="10"/>
  <c r="Z73" i="10"/>
  <c r="Z64" i="10"/>
  <c r="Z61" i="10"/>
  <c r="Z72" i="10"/>
  <c r="Z67" i="10"/>
  <c r="Z65" i="10"/>
  <c r="Z62" i="10"/>
  <c r="Z70" i="10"/>
  <c r="Z71" i="10"/>
  <c r="Z74" i="10"/>
  <c r="Z63" i="10"/>
  <c r="Z68" i="10"/>
  <c r="Z66" i="10"/>
  <c r="Z4" i="10"/>
  <c r="Z9" i="10"/>
  <c r="Z51" i="10"/>
  <c r="Z23" i="10"/>
  <c r="Z13" i="10"/>
  <c r="Z8" i="10"/>
  <c r="Z50" i="10"/>
  <c r="Z22" i="10"/>
  <c r="Z12" i="10"/>
  <c r="Z7" i="10"/>
  <c r="Z6" i="10"/>
  <c r="Z49" i="10"/>
  <c r="Z5" i="10"/>
  <c r="Z11" i="10"/>
  <c r="Z21" i="10"/>
  <c r="Z10" i="10"/>
  <c r="Z47" i="10"/>
  <c r="Z19" i="10"/>
  <c r="Z31" i="10"/>
  <c r="Z46" i="10"/>
  <c r="W509" i="10"/>
  <c r="W515" i="10"/>
  <c r="W517" i="10"/>
  <c r="W546" i="10"/>
  <c r="W548" i="10"/>
  <c r="W556" i="10"/>
  <c r="W558" i="10"/>
  <c r="W566" i="10"/>
  <c r="W541" i="10"/>
  <c r="X451" i="10"/>
  <c r="X482" i="10"/>
  <c r="X460" i="10"/>
  <c r="X500" i="10"/>
  <c r="X447" i="10"/>
  <c r="X477" i="10"/>
  <c r="X469" i="10"/>
  <c r="X463" i="10"/>
  <c r="X456" i="10"/>
  <c r="X474" i="10"/>
  <c r="X489" i="10"/>
  <c r="X430" i="10"/>
  <c r="X478" i="10"/>
  <c r="X455" i="10"/>
  <c r="W481" i="10"/>
  <c r="W451" i="10"/>
  <c r="W484" i="10"/>
  <c r="W446" i="10"/>
  <c r="W488" i="10"/>
  <c r="W493" i="10"/>
  <c r="W475" i="10"/>
  <c r="W476" i="10"/>
  <c r="W470" i="10"/>
  <c r="W441" i="10"/>
  <c r="W492" i="10"/>
  <c r="W442" i="10"/>
  <c r="W436" i="10"/>
  <c r="W489" i="10"/>
  <c r="W500" i="10"/>
  <c r="W469" i="10"/>
  <c r="W420" i="10"/>
  <c r="W402" i="10"/>
  <c r="W397" i="10"/>
  <c r="W359" i="10"/>
  <c r="W407" i="10"/>
  <c r="W423" i="10"/>
  <c r="W413" i="10"/>
  <c r="W361" i="10"/>
  <c r="X320" i="10"/>
  <c r="X321" i="10"/>
  <c r="X313" i="10"/>
  <c r="X302" i="10"/>
  <c r="X344" i="10"/>
  <c r="X311" i="10"/>
  <c r="X337" i="10"/>
  <c r="X340" i="10"/>
  <c r="X327" i="10"/>
  <c r="X289" i="10"/>
  <c r="X352" i="10"/>
  <c r="X292" i="10"/>
  <c r="X314" i="10"/>
  <c r="X354" i="10"/>
  <c r="W319" i="10"/>
  <c r="W323" i="10"/>
  <c r="W300" i="10"/>
  <c r="W292" i="10"/>
  <c r="W316" i="10"/>
  <c r="W311" i="10"/>
  <c r="W344" i="10"/>
  <c r="W345" i="10"/>
  <c r="W305" i="10"/>
  <c r="W328" i="10"/>
  <c r="W343" i="10"/>
  <c r="W289" i="10"/>
  <c r="W342" i="10"/>
  <c r="W302" i="10"/>
  <c r="W358" i="10"/>
  <c r="X229" i="10"/>
  <c r="X270" i="10"/>
  <c r="X265" i="10"/>
  <c r="X242" i="10"/>
  <c r="X250" i="10"/>
  <c r="X275" i="10"/>
  <c r="X257" i="10"/>
  <c r="X238" i="10"/>
  <c r="X262" i="10"/>
  <c r="X231" i="10"/>
  <c r="X278" i="10"/>
  <c r="X219" i="10"/>
  <c r="X225" i="10"/>
  <c r="X233" i="10"/>
  <c r="W267" i="10"/>
  <c r="W245" i="10"/>
  <c r="W273" i="10"/>
  <c r="W235" i="10"/>
  <c r="W233" i="10"/>
  <c r="W272" i="10"/>
  <c r="W274" i="10"/>
  <c r="W240" i="10"/>
  <c r="W242" i="10"/>
  <c r="W244" i="10"/>
  <c r="W248" i="10"/>
  <c r="W254" i="10"/>
  <c r="W252" i="10"/>
  <c r="W231" i="10"/>
  <c r="Z213" i="10"/>
  <c r="Z193" i="10"/>
  <c r="Z180" i="10"/>
  <c r="Z179" i="10"/>
  <c r="Z211" i="10"/>
  <c r="Z188" i="10"/>
  <c r="Z185" i="10"/>
  <c r="Z158" i="10"/>
  <c r="Z163" i="10"/>
  <c r="Z170" i="10"/>
  <c r="Z172" i="10"/>
  <c r="Z159" i="10"/>
  <c r="Z151" i="10"/>
  <c r="Z24" i="10"/>
  <c r="Z48" i="10"/>
  <c r="Z60" i="10"/>
  <c r="Z32" i="10"/>
  <c r="Z30" i="10"/>
  <c r="Z59" i="10"/>
  <c r="Z33" i="10"/>
  <c r="Z34" i="10"/>
  <c r="Z29" i="10"/>
  <c r="Z58" i="10"/>
  <c r="Z43" i="10"/>
  <c r="Z45" i="10"/>
  <c r="Z39" i="10"/>
  <c r="Z35" i="10"/>
  <c r="Z57" i="10"/>
  <c r="Z36" i="10"/>
  <c r="Z40" i="10"/>
  <c r="Z28" i="10"/>
  <c r="Z56" i="10"/>
  <c r="Z42" i="10"/>
  <c r="Z37" i="10"/>
  <c r="Z55" i="10"/>
  <c r="Z20" i="10"/>
  <c r="Z38" i="10"/>
  <c r="Z41" i="10"/>
  <c r="Z54" i="10"/>
  <c r="Z18" i="10"/>
  <c r="Z27" i="10"/>
  <c r="Z25" i="10"/>
  <c r="Z53" i="10"/>
  <c r="Z17" i="10"/>
  <c r="Z16" i="10"/>
  <c r="Z15" i="10"/>
  <c r="Z52" i="10"/>
  <c r="Z14" i="10"/>
  <c r="Z26" i="10"/>
  <c r="W524" i="10"/>
  <c r="W521" i="10"/>
  <c r="W547" i="10"/>
  <c r="W557" i="10"/>
  <c r="X452" i="10"/>
  <c r="X492" i="10"/>
  <c r="X485" i="10"/>
  <c r="X435" i="10"/>
  <c r="X493" i="10"/>
  <c r="X495" i="10"/>
  <c r="X497" i="10"/>
  <c r="X459" i="10"/>
  <c r="W449" i="10"/>
  <c r="W445" i="10"/>
  <c r="W474" i="10"/>
  <c r="W499" i="10"/>
  <c r="W466" i="10"/>
  <c r="W477" i="10"/>
  <c r="W437" i="10"/>
  <c r="W418" i="10"/>
  <c r="W384" i="10"/>
  <c r="W409" i="10"/>
  <c r="W421" i="10"/>
  <c r="X322" i="10"/>
  <c r="X349" i="10"/>
  <c r="X335" i="10"/>
  <c r="X336" i="10"/>
  <c r="X300" i="10"/>
  <c r="X293" i="10"/>
  <c r="X315" i="10"/>
  <c r="W313" i="10"/>
  <c r="W291" i="10"/>
  <c r="W330" i="10"/>
  <c r="W306" i="10"/>
  <c r="W307" i="10"/>
  <c r="W341" i="10"/>
  <c r="W332" i="10"/>
  <c r="X239" i="10"/>
  <c r="X283" i="10"/>
  <c r="X251" i="10"/>
  <c r="X232" i="10"/>
  <c r="X279" i="10"/>
  <c r="X217" i="10"/>
  <c r="X226" i="10"/>
  <c r="W265" i="10"/>
  <c r="W278" i="10"/>
  <c r="W230" i="10"/>
  <c r="W277" i="10"/>
  <c r="W284" i="10"/>
  <c r="W249" i="10"/>
  <c r="W229" i="10"/>
  <c r="Z186" i="10"/>
  <c r="Z192" i="10"/>
  <c r="Z210" i="10"/>
  <c r="Z187" i="10"/>
  <c r="Z165" i="10"/>
  <c r="Z153" i="10"/>
  <c r="X859" i="10"/>
  <c r="X876" i="10"/>
  <c r="X882" i="10"/>
  <c r="X858" i="10"/>
  <c r="X857" i="10"/>
  <c r="X868" i="10"/>
  <c r="X863" i="10"/>
  <c r="X856" i="10"/>
  <c r="X922" i="10"/>
  <c r="X916" i="10"/>
  <c r="X926" i="10"/>
  <c r="X905" i="10"/>
  <c r="X910" i="10"/>
  <c r="W893" i="10"/>
  <c r="W900" i="10"/>
  <c r="W907" i="10"/>
  <c r="W913" i="10"/>
  <c r="W920" i="10"/>
  <c r="W856" i="10"/>
  <c r="W858" i="10"/>
  <c r="W864" i="10"/>
  <c r="W872" i="10"/>
  <c r="W880" i="10"/>
  <c r="W535" i="10"/>
  <c r="W502" i="10"/>
  <c r="W508" i="10"/>
  <c r="W523" i="10"/>
  <c r="W543" i="10"/>
  <c r="W554" i="10"/>
  <c r="W564" i="10"/>
  <c r="X432" i="10"/>
  <c r="X449" i="10"/>
  <c r="X434" i="10"/>
  <c r="X444" i="10"/>
  <c r="X494" i="10"/>
  <c r="X458" i="10"/>
  <c r="W486" i="10"/>
  <c r="W467" i="10"/>
  <c r="W457" i="10"/>
  <c r="W440" i="10"/>
  <c r="W478" i="10"/>
  <c r="W454" i="10"/>
  <c r="W369" i="10"/>
  <c r="W393" i="10"/>
  <c r="W387" i="10"/>
  <c r="X341" i="10"/>
  <c r="X305" i="10"/>
  <c r="X330" i="10"/>
  <c r="X312" i="10"/>
  <c r="X316" i="10"/>
  <c r="X318" i="10"/>
  <c r="W351" i="10"/>
  <c r="W295" i="10"/>
  <c r="W339" i="10"/>
  <c r="W349" i="10"/>
  <c r="W304" i="10"/>
  <c r="W325" i="10"/>
  <c r="X235" i="10"/>
  <c r="X245" i="10"/>
  <c r="X253" i="10"/>
  <c r="X263" i="10"/>
  <c r="X267" i="10"/>
  <c r="X221" i="10"/>
  <c r="W260" i="10"/>
  <c r="W241" i="10"/>
  <c r="W269" i="10"/>
  <c r="W281" i="10"/>
  <c r="W247" i="10"/>
  <c r="W253" i="10"/>
  <c r="Z194" i="10"/>
  <c r="Z181" i="10"/>
  <c r="Z202" i="10"/>
  <c r="Z200" i="10"/>
  <c r="Z155" i="10"/>
  <c r="Z161" i="10"/>
  <c r="Z169" i="10"/>
  <c r="X1057" i="10"/>
  <c r="X1050" i="10"/>
  <c r="X1043" i="10"/>
  <c r="X1036" i="10"/>
  <c r="X1065" i="10"/>
  <c r="X1030" i="10"/>
  <c r="X1002" i="10"/>
  <c r="X1020" i="10"/>
  <c r="X1035" i="10"/>
  <c r="X1013" i="10"/>
  <c r="X1066" i="10"/>
  <c r="X1024" i="10"/>
  <c r="X1011" i="10"/>
  <c r="X1067" i="10"/>
  <c r="W1026" i="10"/>
  <c r="W1022" i="10"/>
  <c r="W1037" i="10"/>
  <c r="W1017" i="10"/>
  <c r="W1013" i="10"/>
  <c r="W1065" i="10"/>
  <c r="W1003" i="10"/>
  <c r="W1004" i="10"/>
  <c r="W1045" i="10"/>
  <c r="W999" i="10"/>
  <c r="W1038" i="10"/>
  <c r="W1051" i="10"/>
  <c r="W1025" i="10"/>
  <c r="W1021" i="10"/>
  <c r="X1014" i="10"/>
  <c r="X1051" i="10"/>
  <c r="X1044" i="10"/>
  <c r="X1037" i="10"/>
  <c r="X1004" i="10"/>
  <c r="X1064" i="10"/>
  <c r="X1025" i="10"/>
  <c r="X1048" i="10"/>
  <c r="X1015" i="10"/>
  <c r="X1018" i="10"/>
  <c r="X1008" i="10"/>
  <c r="X1001" i="10"/>
  <c r="X1007" i="10"/>
  <c r="X1019" i="10"/>
  <c r="X1000" i="10"/>
  <c r="X1054" i="10"/>
  <c r="W1056" i="10"/>
  <c r="W1034" i="10"/>
  <c r="W1036" i="10"/>
  <c r="W1001" i="10"/>
  <c r="W1011" i="10"/>
  <c r="W1015" i="10"/>
  <c r="W1050" i="10"/>
  <c r="W1041" i="10"/>
  <c r="W1066" i="10"/>
  <c r="W1044" i="10"/>
  <c r="W1046" i="10"/>
  <c r="W1006" i="10"/>
  <c r="W1052" i="10"/>
  <c r="W1053" i="10"/>
  <c r="W1024" i="10"/>
  <c r="W1058" i="10"/>
  <c r="X917" i="10"/>
  <c r="W891" i="10"/>
  <c r="W895" i="10"/>
  <c r="W901" i="10"/>
  <c r="W906" i="10"/>
  <c r="W896" i="10"/>
  <c r="W916" i="10"/>
  <c r="W924" i="10"/>
  <c r="W909" i="10"/>
  <c r="W862" i="10"/>
  <c r="W866" i="10"/>
  <c r="W873" i="10"/>
  <c r="W879" i="10"/>
  <c r="W885" i="10"/>
  <c r="W536" i="10"/>
  <c r="W501" i="10"/>
  <c r="W528" i="10"/>
  <c r="W525" i="10"/>
  <c r="W514" i="10"/>
  <c r="W545" i="10"/>
  <c r="W550" i="10"/>
  <c r="W560" i="10"/>
  <c r="X486" i="10"/>
  <c r="X450" i="10"/>
  <c r="X468" i="10"/>
  <c r="X487" i="10"/>
  <c r="X461" i="10"/>
  <c r="X431" i="10"/>
  <c r="X465" i="10"/>
  <c r="X457" i="10"/>
  <c r="W450" i="10"/>
  <c r="W487" i="10"/>
  <c r="W494" i="10"/>
  <c r="W468" i="10"/>
  <c r="W431" i="10"/>
  <c r="W453" i="10"/>
  <c r="W479" i="10"/>
  <c r="W427" i="10"/>
  <c r="W400" i="10"/>
  <c r="W408" i="10"/>
  <c r="W360" i="10"/>
  <c r="X319" i="10"/>
  <c r="X348" i="10"/>
  <c r="X345" i="10"/>
  <c r="X339" i="10"/>
  <c r="X310" i="10"/>
  <c r="X294" i="10"/>
  <c r="X325" i="10"/>
  <c r="W322" i="10"/>
  <c r="W298" i="10"/>
  <c r="W331" i="10"/>
  <c r="W320" i="10"/>
  <c r="W317" i="10"/>
  <c r="W303" i="10"/>
  <c r="W355" i="10"/>
  <c r="X241" i="10"/>
  <c r="X259" i="10"/>
  <c r="X255" i="10"/>
  <c r="X268" i="10"/>
  <c r="X247" i="10"/>
  <c r="X282" i="10"/>
  <c r="X227" i="10"/>
  <c r="W246" i="10"/>
  <c r="W282" i="10"/>
  <c r="W270" i="10"/>
  <c r="W238" i="10"/>
  <c r="W219" i="10"/>
  <c r="W222" i="10"/>
  <c r="W266" i="10"/>
  <c r="Z176" i="10"/>
  <c r="Z175" i="10"/>
  <c r="Z208" i="10"/>
  <c r="Z201" i="10"/>
  <c r="X1033" i="10"/>
  <c r="X1049" i="10"/>
  <c r="X1042" i="10"/>
  <c r="X1028" i="10"/>
  <c r="X999" i="10"/>
  <c r="X1023" i="10"/>
  <c r="X1003" i="10"/>
  <c r="X1060" i="10"/>
  <c r="X1017" i="10"/>
  <c r="X1012" i="10"/>
  <c r="X1059" i="10"/>
  <c r="X1052" i="10"/>
  <c r="X1031" i="10"/>
  <c r="X1062" i="10"/>
  <c r="W1023" i="10"/>
  <c r="W1027" i="10"/>
  <c r="W1061" i="10"/>
  <c r="W1016" i="10"/>
  <c r="W1002" i="10"/>
  <c r="W1064" i="10"/>
  <c r="W1029" i="10"/>
  <c r="W1043" i="10"/>
  <c r="W1055" i="10"/>
  <c r="W1062" i="10"/>
  <c r="W998" i="10"/>
  <c r="W1005" i="10"/>
  <c r="W1067" i="10"/>
  <c r="X893" i="10"/>
  <c r="X865" i="10"/>
  <c r="X904" i="10"/>
  <c r="X866" i="10"/>
  <c r="X912" i="10"/>
  <c r="X901" i="10"/>
  <c r="X900" i="10"/>
  <c r="X907" i="10"/>
  <c r="X914" i="10"/>
  <c r="W888" i="10"/>
  <c r="W892" i="10"/>
  <c r="W899" i="10"/>
  <c r="W860" i="10"/>
  <c r="W912" i="10"/>
  <c r="W918" i="10"/>
  <c r="W926" i="10"/>
  <c r="W857" i="10"/>
  <c r="W863" i="10"/>
  <c r="W870" i="10"/>
  <c r="W878" i="10"/>
  <c r="W884" i="10"/>
  <c r="W534" i="10"/>
  <c r="W504" i="10"/>
  <c r="W506" i="10"/>
  <c r="W511" i="10"/>
  <c r="W518" i="10"/>
  <c r="W551" i="10"/>
  <c r="W563" i="10"/>
  <c r="X453" i="10"/>
  <c r="X484" i="10"/>
  <c r="X490" i="10"/>
  <c r="X436" i="10"/>
  <c r="X470" i="10"/>
  <c r="X433" i="10"/>
  <c r="W452" i="10"/>
  <c r="W482" i="10"/>
  <c r="W480" i="10"/>
  <c r="W495" i="10"/>
  <c r="W456" i="10"/>
  <c r="W465" i="10"/>
  <c r="W461" i="10"/>
  <c r="W455" i="10"/>
  <c r="W379" i="10"/>
  <c r="W398" i="10"/>
  <c r="W399" i="10"/>
  <c r="X304" i="10"/>
  <c r="X329" i="10"/>
  <c r="X307" i="10"/>
  <c r="X309" i="10"/>
  <c r="X346" i="10"/>
  <c r="X331" i="10"/>
  <c r="W315" i="10"/>
  <c r="W312" i="10"/>
  <c r="W318" i="10"/>
  <c r="W321" i="10"/>
  <c r="W335" i="10"/>
  <c r="W329" i="10"/>
  <c r="W356" i="10"/>
  <c r="X228" i="10"/>
  <c r="X243" i="10"/>
  <c r="X264" i="10"/>
  <c r="X249" i="10"/>
  <c r="X266" i="10"/>
  <c r="X220" i="10"/>
  <c r="W236" i="10"/>
  <c r="W262" i="10"/>
  <c r="W218" i="10"/>
  <c r="W221" i="10"/>
  <c r="W228" i="10"/>
  <c r="Z195" i="10"/>
  <c r="Z191" i="10"/>
  <c r="Z203" i="10"/>
  <c r="Z178" i="10"/>
  <c r="Z164" i="10"/>
  <c r="Z152" i="10"/>
  <c r="Z167" i="10"/>
  <c r="X1053" i="10"/>
  <c r="X1047" i="10"/>
  <c r="X1041" i="10"/>
  <c r="X1034" i="10"/>
  <c r="X1063" i="10"/>
  <c r="X1010" i="10"/>
  <c r="X1061" i="10"/>
  <c r="X1038" i="10"/>
  <c r="X1016" i="10"/>
  <c r="X1040" i="10"/>
  <c r="X1006" i="10"/>
  <c r="X998" i="10"/>
  <c r="X1027" i="10"/>
  <c r="W1019" i="10"/>
  <c r="W1030" i="10"/>
  <c r="W1014" i="10"/>
  <c r="W1032" i="10"/>
  <c r="W1009" i="10"/>
  <c r="W1012" i="10"/>
  <c r="W1068" i="10"/>
  <c r="W1042" i="10"/>
  <c r="W1010" i="10"/>
  <c r="W1007" i="10"/>
  <c r="W1049" i="10"/>
  <c r="W1000" i="10"/>
  <c r="W1060" i="10"/>
  <c r="W1033" i="10"/>
  <c r="X886" i="10"/>
  <c r="X885" i="10"/>
  <c r="X875" i="10"/>
  <c r="X880" i="10"/>
  <c r="X861" i="10"/>
  <c r="X872" i="10"/>
  <c r="X909" i="10"/>
  <c r="X884" i="10"/>
  <c r="X919" i="10"/>
  <c r="X878" i="10"/>
  <c r="X924" i="10"/>
  <c r="X903" i="10"/>
  <c r="X871" i="10"/>
  <c r="X897" i="10"/>
  <c r="W890" i="10"/>
  <c r="W897" i="10"/>
  <c r="W903" i="10"/>
  <c r="W910" i="10"/>
  <c r="W915" i="10"/>
  <c r="W923" i="10"/>
  <c r="W905" i="10"/>
  <c r="W861" i="10"/>
  <c r="W868" i="10"/>
  <c r="W875" i="10"/>
  <c r="W882" i="10"/>
  <c r="W538" i="10"/>
  <c r="W503" i="10"/>
  <c r="W526" i="10"/>
  <c r="W513" i="10"/>
  <c r="W544" i="10"/>
  <c r="W555" i="10"/>
  <c r="W565" i="10"/>
  <c r="X481" i="10"/>
  <c r="X440" i="10"/>
  <c r="X466" i="10"/>
  <c r="X491" i="10"/>
  <c r="X437" i="10"/>
  <c r="X496" i="10"/>
  <c r="W447" i="10"/>
  <c r="W473" i="10"/>
  <c r="W498" i="10"/>
  <c r="W434" i="10"/>
  <c r="W438" i="10"/>
  <c r="W491" i="10"/>
  <c r="W403" i="10"/>
  <c r="W404" i="10"/>
  <c r="W411" i="10"/>
  <c r="X350" i="10"/>
  <c r="X301" i="10"/>
  <c r="X290" i="10"/>
  <c r="X308" i="10"/>
  <c r="X317" i="10"/>
  <c r="X357" i="10"/>
  <c r="W299" i="10"/>
  <c r="W346" i="10"/>
  <c r="W336" i="10"/>
  <c r="W297" i="10"/>
  <c r="W333" i="10"/>
  <c r="X261" i="10"/>
  <c r="X272" i="10"/>
  <c r="X284" i="10"/>
  <c r="X285" i="10"/>
  <c r="X273" i="10"/>
  <c r="X223" i="10"/>
  <c r="W261" i="10"/>
  <c r="W239" i="10"/>
  <c r="W226" i="10"/>
  <c r="W280" i="10"/>
  <c r="W220" i="10"/>
  <c r="W225" i="10"/>
  <c r="Z199" i="10"/>
  <c r="Z212" i="10"/>
  <c r="Z197" i="10"/>
  <c r="Z182" i="10"/>
  <c r="Z166" i="10"/>
  <c r="Z147" i="10"/>
  <c r="U1060" i="10"/>
  <c r="U1064" i="10"/>
  <c r="U1065" i="10"/>
  <c r="U1032" i="10"/>
  <c r="U1023" i="10"/>
  <c r="U1012" i="10"/>
  <c r="U1005" i="10"/>
  <c r="U999" i="10"/>
  <c r="U1009" i="10"/>
  <c r="U1044" i="10"/>
  <c r="U1050" i="10"/>
  <c r="U1033" i="10"/>
  <c r="U1010" i="10"/>
  <c r="U1037" i="10"/>
  <c r="U1043" i="10"/>
  <c r="U1041" i="10"/>
  <c r="U1025" i="10"/>
  <c r="U1046" i="10"/>
  <c r="U1047" i="10"/>
  <c r="U1048" i="10"/>
  <c r="U1000" i="10"/>
  <c r="U1008" i="10"/>
  <c r="U1022" i="10"/>
  <c r="U1045" i="10"/>
  <c r="U1040" i="10"/>
  <c r="U1034" i="10"/>
  <c r="U1003" i="10"/>
  <c r="U1026" i="10"/>
  <c r="U1018" i="10"/>
  <c r="U1007" i="10"/>
  <c r="U1027" i="10"/>
  <c r="U1004" i="10"/>
  <c r="U1059" i="10"/>
  <c r="U1068" i="10"/>
  <c r="U1063" i="10"/>
  <c r="U1029" i="10"/>
  <c r="U1036" i="10"/>
  <c r="U1057" i="10"/>
  <c r="U1028" i="10"/>
  <c r="U1030" i="10"/>
  <c r="U1006" i="10"/>
  <c r="U1017" i="10"/>
  <c r="U1067" i="10"/>
  <c r="U1058" i="10"/>
  <c r="U1051" i="10"/>
  <c r="U1002" i="10"/>
  <c r="U1062" i="10"/>
  <c r="U1066" i="10"/>
  <c r="U1052" i="10"/>
  <c r="U1061" i="10"/>
  <c r="U1055" i="10"/>
  <c r="U1042" i="10"/>
  <c r="U1038" i="10"/>
  <c r="U1035" i="10"/>
  <c r="U1049" i="10"/>
  <c r="U1024" i="10"/>
  <c r="U1013" i="10"/>
  <c r="U1001" i="10"/>
  <c r="U1054" i="10"/>
  <c r="U998" i="10"/>
  <c r="U1039" i="10"/>
  <c r="U1020" i="10"/>
  <c r="U1015" i="10"/>
  <c r="U1014" i="10"/>
  <c r="U1019" i="10"/>
  <c r="U1056" i="10"/>
  <c r="U1011" i="10"/>
  <c r="U1016" i="10"/>
  <c r="U1053" i="10"/>
  <c r="U1031" i="10"/>
  <c r="U1021" i="10"/>
  <c r="Y1021" i="10" s="1"/>
  <c r="U970" i="10"/>
  <c r="U967" i="10"/>
  <c r="U963" i="10"/>
  <c r="U961" i="10"/>
  <c r="U944" i="10"/>
  <c r="U953" i="10"/>
  <c r="U959" i="10"/>
  <c r="U964" i="10"/>
  <c r="U958" i="10"/>
  <c r="U941" i="10"/>
  <c r="U949" i="10"/>
  <c r="U985" i="10"/>
  <c r="U988" i="10"/>
  <c r="U991" i="10"/>
  <c r="U978" i="10"/>
  <c r="U996" i="10"/>
  <c r="U980" i="10"/>
  <c r="U990" i="10"/>
  <c r="U955" i="10"/>
  <c r="U948" i="10"/>
  <c r="U936" i="10"/>
  <c r="U943" i="10"/>
  <c r="U987" i="10"/>
  <c r="U962" i="10"/>
  <c r="U973" i="10"/>
  <c r="U968" i="10"/>
  <c r="U971" i="10"/>
  <c r="U945" i="10"/>
  <c r="U979" i="10"/>
  <c r="U997" i="10"/>
  <c r="U976" i="10"/>
  <c r="U992" i="10"/>
  <c r="U960" i="10"/>
  <c r="U984" i="10"/>
  <c r="U975" i="10"/>
  <c r="U950" i="10"/>
  <c r="U994" i="10"/>
  <c r="U995" i="10"/>
  <c r="U927" i="10"/>
  <c r="U931" i="10"/>
  <c r="U977" i="10"/>
  <c r="U957" i="10"/>
  <c r="U989" i="10"/>
  <c r="U974" i="10"/>
  <c r="U859" i="10"/>
  <c r="U917" i="10"/>
  <c r="U898" i="10"/>
  <c r="U919" i="10"/>
  <c r="U901" i="10"/>
  <c r="U916" i="10"/>
  <c r="U909" i="10"/>
  <c r="U904" i="10"/>
  <c r="U915" i="10"/>
  <c r="U910" i="10"/>
  <c r="U902" i="10"/>
  <c r="U869" i="10"/>
  <c r="U920" i="10"/>
  <c r="U926" i="10"/>
  <c r="U922" i="10"/>
  <c r="U903" i="10"/>
  <c r="U907" i="10"/>
  <c r="U921" i="10"/>
  <c r="U883" i="10"/>
  <c r="U908" i="10"/>
  <c r="U924" i="10"/>
  <c r="U911" i="10"/>
  <c r="U881" i="10"/>
  <c r="U925" i="10"/>
  <c r="U865" i="10"/>
  <c r="U878" i="10"/>
  <c r="U896" i="10"/>
  <c r="U875" i="10"/>
  <c r="U913" i="10"/>
  <c r="U872" i="10"/>
  <c r="U892" i="10"/>
  <c r="U880" i="10"/>
  <c r="U863" i="10"/>
  <c r="U879" i="10"/>
  <c r="U912" i="10"/>
  <c r="U877" i="10"/>
  <c r="U900" i="10"/>
  <c r="U876" i="10"/>
  <c r="U923" i="10"/>
  <c r="U918" i="10"/>
  <c r="U874" i="10"/>
  <c r="U873" i="10"/>
  <c r="U899" i="10"/>
  <c r="U871" i="10"/>
  <c r="U905" i="10"/>
  <c r="U866" i="10"/>
  <c r="U891" i="10"/>
  <c r="U890" i="10"/>
  <c r="U867" i="10"/>
  <c r="U897" i="10"/>
  <c r="U868" i="10"/>
  <c r="U887" i="10"/>
  <c r="U864" i="10"/>
  <c r="U914" i="10"/>
  <c r="U882" i="10"/>
  <c r="U856" i="10"/>
  <c r="U858" i="10"/>
  <c r="U857" i="10"/>
  <c r="U862" i="10"/>
  <c r="U884" i="10"/>
  <c r="U895" i="10"/>
  <c r="U860" i="10"/>
  <c r="U893" i="10"/>
  <c r="U885" i="10"/>
  <c r="U870" i="10"/>
  <c r="U906" i="10"/>
  <c r="U886" i="10"/>
  <c r="U888" i="10"/>
  <c r="U889" i="10"/>
  <c r="U861" i="10"/>
  <c r="Y861" i="10" s="1"/>
  <c r="U894" i="10"/>
  <c r="U699" i="10"/>
  <c r="U698" i="10"/>
  <c r="U704" i="10"/>
  <c r="U660" i="10"/>
  <c r="U664" i="10"/>
  <c r="U689" i="10"/>
  <c r="U649" i="10"/>
  <c r="U643" i="10"/>
  <c r="U708" i="10"/>
  <c r="U686" i="10"/>
  <c r="U682" i="10"/>
  <c r="U679" i="10"/>
  <c r="U675" i="10"/>
  <c r="U672" i="10"/>
  <c r="U670" i="10"/>
  <c r="U668" i="10"/>
  <c r="U711" i="10"/>
  <c r="U669" i="10"/>
  <c r="U650" i="10"/>
  <c r="U651" i="10"/>
  <c r="U653" i="10"/>
  <c r="U657" i="10"/>
  <c r="U707" i="10"/>
  <c r="U692" i="10"/>
  <c r="U705" i="10"/>
  <c r="U673" i="10"/>
  <c r="U674" i="10"/>
  <c r="U671" i="10"/>
  <c r="U703" i="10"/>
  <c r="U662" i="10"/>
  <c r="U666" i="10"/>
  <c r="U710" i="10"/>
  <c r="U681" i="10"/>
  <c r="U690" i="10"/>
  <c r="U667" i="10"/>
  <c r="U663" i="10"/>
  <c r="U702" i="10"/>
  <c r="U693" i="10"/>
  <c r="U677" i="10"/>
  <c r="U706" i="10"/>
  <c r="U685" i="10"/>
  <c r="U687" i="10"/>
  <c r="U654" i="10"/>
  <c r="U701" i="10"/>
  <c r="U646" i="10"/>
  <c r="U659" i="10"/>
  <c r="U694" i="10"/>
  <c r="U709" i="10"/>
  <c r="U695" i="10"/>
  <c r="U665" i="10"/>
  <c r="U661" i="10"/>
  <c r="U697" i="10"/>
  <c r="U676" i="10"/>
  <c r="U680" i="10"/>
  <c r="U696" i="10"/>
  <c r="U700" i="10"/>
  <c r="U655" i="10"/>
  <c r="U652" i="10"/>
  <c r="U656" i="10"/>
  <c r="U691" i="10"/>
  <c r="U683" i="10"/>
  <c r="U678" i="10"/>
  <c r="U648" i="10"/>
  <c r="U645" i="10"/>
  <c r="U644" i="10"/>
  <c r="U688" i="10"/>
  <c r="U647" i="10"/>
  <c r="U712" i="10"/>
  <c r="U713" i="10"/>
  <c r="U658" i="10"/>
  <c r="Y658" i="10" s="1"/>
  <c r="U684" i="10"/>
  <c r="Y684" i="10" s="1"/>
  <c r="U553" i="10"/>
  <c r="U524" i="10"/>
  <c r="U571" i="10"/>
  <c r="U545" i="10"/>
  <c r="U509" i="10"/>
  <c r="U554" i="10"/>
  <c r="U525" i="10"/>
  <c r="U508" i="10"/>
  <c r="U555" i="10"/>
  <c r="U507" i="10"/>
  <c r="U526" i="10"/>
  <c r="U556" i="10"/>
  <c r="U506" i="10"/>
  <c r="U527" i="10"/>
  <c r="U557" i="10"/>
  <c r="U505" i="10"/>
  <c r="U570" i="10"/>
  <c r="U558" i="10"/>
  <c r="U528" i="10"/>
  <c r="U504" i="10"/>
  <c r="U559" i="10"/>
  <c r="U519" i="10"/>
  <c r="U541" i="10"/>
  <c r="U560" i="10"/>
  <c r="U530" i="10"/>
  <c r="U502" i="10"/>
  <c r="U561" i="10"/>
  <c r="U531" i="10"/>
  <c r="U501" i="10"/>
  <c r="U569" i="10"/>
  <c r="U562" i="10"/>
  <c r="U533" i="10"/>
  <c r="U563" i="10"/>
  <c r="U534" i="10"/>
  <c r="U535" i="10"/>
  <c r="U536" i="10"/>
  <c r="U564" i="10"/>
  <c r="U537" i="10"/>
  <c r="U538" i="10"/>
  <c r="U518" i="10"/>
  <c r="U539" i="10"/>
  <c r="U565" i="10"/>
  <c r="U568" i="10"/>
  <c r="U540" i="10"/>
  <c r="U532" i="10"/>
  <c r="U566" i="10"/>
  <c r="U544" i="10"/>
  <c r="U546" i="10"/>
  <c r="U567" i="10"/>
  <c r="U543" i="10"/>
  <c r="U547" i="10"/>
  <c r="U542" i="10"/>
  <c r="U503" i="10"/>
  <c r="U548" i="10"/>
  <c r="U520" i="10"/>
  <c r="U516" i="10"/>
  <c r="U549" i="10"/>
  <c r="U515" i="10"/>
  <c r="U521" i="10"/>
  <c r="U550" i="10"/>
  <c r="U514" i="10"/>
  <c r="U522" i="10"/>
  <c r="U529" i="10"/>
  <c r="U551" i="10"/>
  <c r="U513" i="10"/>
  <c r="U512" i="10"/>
  <c r="U552" i="10"/>
  <c r="U523" i="10"/>
  <c r="U511" i="10"/>
  <c r="U510" i="10"/>
  <c r="U517" i="10"/>
  <c r="Y517" i="10" s="1"/>
  <c r="U484" i="10"/>
  <c r="U474" i="10"/>
  <c r="U472" i="10"/>
  <c r="U468" i="10"/>
  <c r="U481" i="10"/>
  <c r="U464" i="10"/>
  <c r="U493" i="10"/>
  <c r="U489" i="10"/>
  <c r="U455" i="10"/>
  <c r="U436" i="10"/>
  <c r="U458" i="10"/>
  <c r="U470" i="10"/>
  <c r="U447" i="10"/>
  <c r="U452" i="10"/>
  <c r="U450" i="10"/>
  <c r="U475" i="10"/>
  <c r="U435" i="10"/>
  <c r="U430" i="10"/>
  <c r="U442" i="10"/>
  <c r="U495" i="10"/>
  <c r="U438" i="10"/>
  <c r="U486" i="10"/>
  <c r="U453" i="10"/>
  <c r="U498" i="10"/>
  <c r="U459" i="10"/>
  <c r="U491" i="10"/>
  <c r="U487" i="10"/>
  <c r="U434" i="10"/>
  <c r="U457" i="10"/>
  <c r="U482" i="10"/>
  <c r="U465" i="10"/>
  <c r="U466" i="10"/>
  <c r="U471" i="10"/>
  <c r="U476" i="10"/>
  <c r="U485" i="10"/>
  <c r="U478" i="10"/>
  <c r="U440" i="10"/>
  <c r="U492" i="10"/>
  <c r="U454" i="10"/>
  <c r="U497" i="10"/>
  <c r="U441" i="10"/>
  <c r="U444" i="10"/>
  <c r="U433" i="10"/>
  <c r="U439" i="10"/>
  <c r="U473" i="10"/>
  <c r="U467" i="10"/>
  <c r="U462" i="10"/>
  <c r="U496" i="10"/>
  <c r="U443" i="10"/>
  <c r="U445" i="10"/>
  <c r="U437" i="10"/>
  <c r="U483" i="10"/>
  <c r="U469" i="10"/>
  <c r="U463" i="10"/>
  <c r="U494" i="10"/>
  <c r="U490" i="10"/>
  <c r="U477" i="10"/>
  <c r="U448" i="10"/>
  <c r="U449" i="10"/>
  <c r="U451" i="10"/>
  <c r="U480" i="10"/>
  <c r="U461" i="10"/>
  <c r="U460" i="10"/>
  <c r="U499" i="10"/>
  <c r="U500" i="10"/>
  <c r="U488" i="10"/>
  <c r="U479" i="10"/>
  <c r="U431" i="10"/>
  <c r="U432" i="10"/>
  <c r="U446" i="10"/>
  <c r="U456" i="10"/>
  <c r="Y456" i="10" s="1"/>
  <c r="U369" i="10"/>
  <c r="U424" i="10"/>
  <c r="U368" i="10"/>
  <c r="U378" i="10"/>
  <c r="U416" i="10"/>
  <c r="U422" i="10"/>
  <c r="U381" i="10"/>
  <c r="U423" i="10"/>
  <c r="U394" i="10"/>
  <c r="U397" i="10"/>
  <c r="U383" i="10"/>
  <c r="U385" i="10"/>
  <c r="U421" i="10"/>
  <c r="U420" i="10"/>
  <c r="U396" i="10"/>
  <c r="U412" i="10"/>
  <c r="U411" i="10"/>
  <c r="U406" i="10"/>
  <c r="U405" i="10"/>
  <c r="U377" i="10"/>
  <c r="U426" i="10"/>
  <c r="U395" i="10"/>
  <c r="U403" i="10"/>
  <c r="U402" i="10"/>
  <c r="U401" i="10"/>
  <c r="U400" i="10"/>
  <c r="U398" i="10"/>
  <c r="U404" i="10"/>
  <c r="U407" i="10"/>
  <c r="U408" i="10"/>
  <c r="U359" i="10"/>
  <c r="U365" i="10"/>
  <c r="U409" i="10"/>
  <c r="U410" i="10"/>
  <c r="U413" i="10"/>
  <c r="U360" i="10"/>
  <c r="U425" i="10"/>
  <c r="U414" i="10"/>
  <c r="U380" i="10"/>
  <c r="U391" i="10"/>
  <c r="U361" i="10"/>
  <c r="U387" i="10"/>
  <c r="U382" i="10"/>
  <c r="U379" i="10"/>
  <c r="U362" i="10"/>
  <c r="U415" i="10"/>
  <c r="U364" i="10"/>
  <c r="U371" i="10"/>
  <c r="U375" i="10"/>
  <c r="U384" i="10"/>
  <c r="U373" i="10"/>
  <c r="U390" i="10"/>
  <c r="U419" i="10"/>
  <c r="U372" i="10"/>
  <c r="U370" i="10"/>
  <c r="U428" i="10"/>
  <c r="U363" i="10"/>
  <c r="U417" i="10"/>
  <c r="U427" i="10"/>
  <c r="U388" i="10"/>
  <c r="U374" i="10"/>
  <c r="U399" i="10"/>
  <c r="U376" i="10"/>
  <c r="U366" i="10"/>
  <c r="U418" i="10"/>
  <c r="U386" i="10"/>
  <c r="U392" i="10"/>
  <c r="U429" i="10"/>
  <c r="U389" i="10"/>
  <c r="Y389" i="10" s="1"/>
  <c r="U367" i="10"/>
  <c r="Y367" i="10" s="1"/>
  <c r="U393" i="10"/>
  <c r="Y393" i="10" s="1"/>
  <c r="U303" i="10"/>
  <c r="U346" i="10"/>
  <c r="U291" i="10"/>
  <c r="U309" i="10"/>
  <c r="U341" i="10"/>
  <c r="U295" i="10"/>
  <c r="U310" i="10"/>
  <c r="U335" i="10"/>
  <c r="U288" i="10"/>
  <c r="U328" i="10"/>
  <c r="U298" i="10"/>
  <c r="U348" i="10"/>
  <c r="U334" i="10"/>
  <c r="U301" i="10"/>
  <c r="U344" i="10"/>
  <c r="U318" i="10"/>
  <c r="U330" i="10"/>
  <c r="U305" i="10"/>
  <c r="U342" i="10"/>
  <c r="U292" i="10"/>
  <c r="U293" i="10"/>
  <c r="U340" i="10"/>
  <c r="U339" i="10"/>
  <c r="U322" i="10"/>
  <c r="U302" i="10"/>
  <c r="U289" i="10"/>
  <c r="U347" i="10"/>
  <c r="U338" i="10"/>
  <c r="U317" i="10"/>
  <c r="U304" i="10"/>
  <c r="U345" i="10"/>
  <c r="U294" i="10"/>
  <c r="U333" i="10"/>
  <c r="U297" i="10"/>
  <c r="U343" i="10"/>
  <c r="U314" i="10"/>
  <c r="U308" i="10"/>
  <c r="U296" i="10"/>
  <c r="U331" i="10"/>
  <c r="U290" i="10"/>
  <c r="U337" i="10"/>
  <c r="U321" i="10"/>
  <c r="U307" i="10"/>
  <c r="U325" i="10"/>
  <c r="U352" i="10"/>
  <c r="U357" i="10"/>
  <c r="U319" i="10"/>
  <c r="U356" i="10"/>
  <c r="U320" i="10"/>
  <c r="U329" i="10"/>
  <c r="U327" i="10"/>
  <c r="U324" i="10"/>
  <c r="U358" i="10"/>
  <c r="U323" i="10"/>
  <c r="U300" i="10"/>
  <c r="U350" i="10"/>
  <c r="U311" i="10"/>
  <c r="U332" i="10"/>
  <c r="U312" i="10"/>
  <c r="U354" i="10"/>
  <c r="U315" i="10"/>
  <c r="U355" i="10"/>
  <c r="U353" i="10"/>
  <c r="U351" i="10"/>
  <c r="U299" i="10"/>
  <c r="U326" i="10"/>
  <c r="U336" i="10"/>
  <c r="U313" i="10"/>
  <c r="U306" i="10"/>
  <c r="Y306" i="10" s="1"/>
  <c r="U316" i="10"/>
  <c r="Y316" i="10" s="1"/>
  <c r="U349" i="10"/>
  <c r="Y349" i="10" s="1"/>
  <c r="U287" i="10"/>
  <c r="U223" i="10"/>
  <c r="U242" i="10"/>
  <c r="U243" i="10"/>
  <c r="U280" i="10"/>
  <c r="U272" i="10"/>
  <c r="U275" i="10"/>
  <c r="U254" i="10"/>
  <c r="U230" i="10"/>
  <c r="U286" i="10"/>
  <c r="U244" i="10"/>
  <c r="U224" i="10"/>
  <c r="U227" i="10"/>
  <c r="U232" i="10"/>
  <c r="U264" i="10"/>
  <c r="U284" i="10"/>
  <c r="U265" i="10"/>
  <c r="U261" i="10"/>
  <c r="U271" i="10"/>
  <c r="U273" i="10"/>
  <c r="U255" i="10"/>
  <c r="U281" i="10"/>
  <c r="U234" i="10"/>
  <c r="U219" i="10"/>
  <c r="U263" i="10"/>
  <c r="U268" i="10"/>
  <c r="U269" i="10"/>
  <c r="U218" i="10"/>
  <c r="U283" i="10"/>
  <c r="U247" i="10"/>
  <c r="U233" i="10"/>
  <c r="U217" i="10"/>
  <c r="U246" i="10"/>
  <c r="U278" i="10"/>
  <c r="U282" i="10"/>
  <c r="U221" i="10"/>
  <c r="U236" i="10"/>
  <c r="U256" i="10"/>
  <c r="U260" i="10"/>
  <c r="U253" i="10"/>
  <c r="U270" i="10"/>
  <c r="U245" i="10"/>
  <c r="U277" i="10"/>
  <c r="U252" i="10"/>
  <c r="U228" i="10"/>
  <c r="U231" i="10"/>
  <c r="U276" i="10"/>
  <c r="U225" i="10"/>
  <c r="U251" i="10"/>
  <c r="U220" i="10"/>
  <c r="U237" i="10"/>
  <c r="U249" i="10"/>
  <c r="U285" i="10"/>
  <c r="U239" i="10"/>
  <c r="U235" i="10"/>
  <c r="U248" i="10"/>
  <c r="U274" i="10"/>
  <c r="U279" i="10"/>
  <c r="U266" i="10"/>
  <c r="U250" i="10"/>
  <c r="U262" i="10"/>
  <c r="U226" i="10"/>
  <c r="U257" i="10"/>
  <c r="U222" i="10"/>
  <c r="U229" i="10"/>
  <c r="U240" i="10"/>
  <c r="U241" i="10"/>
  <c r="U258" i="10"/>
  <c r="U259" i="10"/>
  <c r="Y259" i="10" s="1"/>
  <c r="U267" i="10"/>
  <c r="Y267" i="10" s="1"/>
  <c r="U238" i="10"/>
  <c r="N316" i="10"/>
  <c r="N387" i="10" s="1"/>
  <c r="N458" i="10" s="1"/>
  <c r="N529" i="10" s="1"/>
  <c r="N600" i="10" s="1"/>
  <c r="N671" i="10" s="1"/>
  <c r="N742" i="10" s="1"/>
  <c r="N813" i="10" s="1"/>
  <c r="N884" i="10" s="1"/>
  <c r="N955" i="10" s="1"/>
  <c r="N1026" i="10" s="1"/>
  <c r="V265" i="10"/>
  <c r="V237" i="10"/>
  <c r="V266" i="10"/>
  <c r="V271" i="10"/>
  <c r="V219" i="10"/>
  <c r="V284" i="10"/>
  <c r="V221" i="10"/>
  <c r="V252" i="10"/>
  <c r="V250" i="10"/>
  <c r="V287" i="10"/>
  <c r="V276" i="10"/>
  <c r="V281" i="10"/>
  <c r="V224" i="10"/>
  <c r="V229" i="10"/>
  <c r="V241" i="10"/>
  <c r="V239" i="10"/>
  <c r="V245" i="10"/>
  <c r="V261" i="10"/>
  <c r="V286" i="10"/>
  <c r="V218" i="10"/>
  <c r="V273" i="10"/>
  <c r="V254" i="10"/>
  <c r="V277" i="10"/>
  <c r="V230" i="10"/>
  <c r="V282" i="10"/>
  <c r="V238" i="10"/>
  <c r="V279" i="10"/>
  <c r="V217" i="10"/>
  <c r="V236" i="10"/>
  <c r="V268" i="10"/>
  <c r="V222" i="10"/>
  <c r="V223" i="10"/>
  <c r="V269" i="10"/>
  <c r="V242" i="10"/>
  <c r="V270" i="10"/>
  <c r="V248" i="10"/>
  <c r="V285" i="10"/>
  <c r="V255" i="10"/>
  <c r="V260" i="10"/>
  <c r="V253" i="10"/>
  <c r="V251" i="10"/>
  <c r="Z251" i="10" s="1"/>
  <c r="V246" i="10"/>
  <c r="V262" i="10"/>
  <c r="V228" i="10"/>
  <c r="V240" i="10"/>
  <c r="V225" i="10"/>
  <c r="V227" i="10"/>
  <c r="V264" i="10"/>
  <c r="V258" i="10"/>
  <c r="V233" i="10"/>
  <c r="V244" i="10"/>
  <c r="V283" i="10"/>
  <c r="V263" i="10"/>
  <c r="V234" i="10"/>
  <c r="V231" i="10"/>
  <c r="V274" i="10"/>
  <c r="V247" i="10"/>
  <c r="V243" i="10"/>
  <c r="V272" i="10"/>
  <c r="V278" i="10"/>
  <c r="V232" i="10"/>
  <c r="V259" i="10"/>
  <c r="V256" i="10"/>
  <c r="V280" i="10"/>
  <c r="V267" i="10"/>
  <c r="V220" i="10"/>
  <c r="V226" i="10"/>
  <c r="V275" i="10"/>
  <c r="V235" i="10"/>
  <c r="V257" i="10"/>
  <c r="V249" i="10"/>
  <c r="H10" i="12"/>
  <c r="AJ146" i="10"/>
  <c r="I10" i="12" s="1"/>
  <c r="H9" i="12"/>
  <c r="AJ75" i="10"/>
  <c r="I9" i="12" s="1"/>
  <c r="T552" i="10"/>
  <c r="T521" i="10"/>
  <c r="T555" i="10"/>
  <c r="T508" i="10"/>
  <c r="T524" i="10"/>
  <c r="T553" i="10"/>
  <c r="T541" i="10"/>
  <c r="T523" i="10"/>
  <c r="T525" i="10"/>
  <c r="T519" i="10"/>
  <c r="T503" i="10"/>
  <c r="T560" i="10"/>
  <c r="T530" i="10"/>
  <c r="T502" i="10"/>
  <c r="T561" i="10"/>
  <c r="T531" i="10"/>
  <c r="T501" i="10"/>
  <c r="T562" i="10"/>
  <c r="T569" i="10"/>
  <c r="T532" i="10"/>
  <c r="T533" i="10"/>
  <c r="T534" i="10"/>
  <c r="T563" i="10"/>
  <c r="T535" i="10"/>
  <c r="T536" i="10"/>
  <c r="T537" i="10"/>
  <c r="T564" i="10"/>
  <c r="T538" i="10"/>
  <c r="T539" i="10"/>
  <c r="T565" i="10"/>
  <c r="T540" i="10"/>
  <c r="T551" i="10"/>
  <c r="T545" i="10"/>
  <c r="T566" i="10"/>
  <c r="T546" i="10"/>
  <c r="T544" i="10"/>
  <c r="T567" i="10"/>
  <c r="T543" i="10"/>
  <c r="T547" i="10"/>
  <c r="T568" i="10"/>
  <c r="T529" i="10"/>
  <c r="T515" i="10"/>
  <c r="T559" i="10"/>
  <c r="T542" i="10"/>
  <c r="T504" i="10"/>
  <c r="T571" i="10"/>
  <c r="T518" i="10"/>
  <c r="T514" i="10"/>
  <c r="T528" i="10"/>
  <c r="T554" i="10"/>
  <c r="T558" i="10"/>
  <c r="T570" i="10"/>
  <c r="T517" i="10"/>
  <c r="T509" i="10"/>
  <c r="T505" i="10"/>
  <c r="T511" i="10"/>
  <c r="T548" i="10"/>
  <c r="T512" i="10"/>
  <c r="T557" i="10"/>
  <c r="T522" i="10"/>
  <c r="T527" i="10"/>
  <c r="T520" i="10"/>
  <c r="T549" i="10"/>
  <c r="T506" i="10"/>
  <c r="T550" i="10"/>
  <c r="T510" i="10"/>
  <c r="T556" i="10"/>
  <c r="T513" i="10"/>
  <c r="T516" i="10"/>
  <c r="T526" i="10"/>
  <c r="T507" i="10"/>
  <c r="X507" i="10" s="1"/>
  <c r="T667" i="10"/>
  <c r="T661" i="10"/>
  <c r="T699" i="10"/>
  <c r="T664" i="10"/>
  <c r="T672" i="10"/>
  <c r="T660" i="10"/>
  <c r="T696" i="10"/>
  <c r="T693" i="10"/>
  <c r="T656" i="10"/>
  <c r="T679" i="10"/>
  <c r="T680" i="10"/>
  <c r="T692" i="10"/>
  <c r="T712" i="10"/>
  <c r="T684" i="10"/>
  <c r="T703" i="10"/>
  <c r="T698" i="10"/>
  <c r="T682" i="10"/>
  <c r="T694" i="10"/>
  <c r="T665" i="10"/>
  <c r="T702" i="10"/>
  <c r="T683" i="10"/>
  <c r="T675" i="10"/>
  <c r="T681" i="10"/>
  <c r="T668" i="10"/>
  <c r="T651" i="10"/>
  <c r="T650" i="10"/>
  <c r="T140" i="10"/>
  <c r="T85" i="10"/>
  <c r="T120" i="10"/>
  <c r="T110" i="10"/>
  <c r="T136" i="10"/>
  <c r="T83" i="10"/>
  <c r="T126" i="10"/>
  <c r="T103" i="10"/>
  <c r="T93" i="10"/>
  <c r="T80" i="10"/>
  <c r="T105" i="10"/>
  <c r="T123" i="10"/>
  <c r="T139" i="10"/>
  <c r="T81" i="10"/>
  <c r="T117" i="10"/>
  <c r="T113" i="10"/>
  <c r="T138" i="10"/>
  <c r="T108" i="10"/>
  <c r="T116" i="10"/>
  <c r="T142" i="10"/>
  <c r="T101" i="10"/>
  <c r="T76" i="10"/>
  <c r="T87" i="10"/>
  <c r="T119" i="10"/>
  <c r="T115" i="10"/>
  <c r="T104" i="10"/>
  <c r="T96" i="10"/>
  <c r="T124" i="10"/>
  <c r="T88" i="10"/>
  <c r="T79" i="10"/>
  <c r="T118" i="10"/>
  <c r="T132" i="10"/>
  <c r="T133" i="10"/>
  <c r="T144" i="10"/>
  <c r="T90" i="10"/>
  <c r="T135" i="10"/>
  <c r="T75" i="10"/>
  <c r="T89" i="10"/>
  <c r="T106" i="10"/>
  <c r="T127" i="10"/>
  <c r="T121" i="10"/>
  <c r="T92" i="10"/>
  <c r="T111" i="10"/>
  <c r="T102" i="10"/>
  <c r="T84" i="10"/>
  <c r="T82" i="10"/>
  <c r="T107" i="10"/>
  <c r="T94" i="10"/>
  <c r="T125" i="10"/>
  <c r="T143" i="10"/>
  <c r="T114" i="10"/>
  <c r="T97" i="10"/>
  <c r="T129" i="10"/>
  <c r="T112" i="10"/>
  <c r="T77" i="10"/>
  <c r="T130" i="10"/>
  <c r="T128" i="10"/>
  <c r="T98" i="10"/>
  <c r="T145" i="10"/>
  <c r="T99" i="10"/>
  <c r="T134" i="10"/>
  <c r="T141" i="10"/>
  <c r="T95" i="10"/>
  <c r="T91" i="10"/>
  <c r="T137" i="10"/>
  <c r="T122" i="10"/>
  <c r="T100" i="10"/>
  <c r="T78" i="10"/>
  <c r="T86" i="10"/>
  <c r="T131" i="10"/>
  <c r="T109" i="10"/>
  <c r="X109" i="10" s="1"/>
  <c r="T955" i="10"/>
  <c r="T954" i="10"/>
  <c r="T983" i="10"/>
  <c r="T966" i="10"/>
  <c r="T933" i="10"/>
  <c r="T964" i="10"/>
  <c r="T937" i="10"/>
  <c r="T965" i="10"/>
  <c r="T967" i="10"/>
  <c r="T971" i="10"/>
  <c r="T996" i="10"/>
  <c r="T978" i="10"/>
  <c r="T961" i="10"/>
  <c r="T989" i="10"/>
  <c r="T969" i="10"/>
  <c r="T960" i="10"/>
  <c r="T976" i="10"/>
  <c r="T945" i="10"/>
  <c r="T931" i="10"/>
  <c r="T943" i="10"/>
  <c r="T936" i="10"/>
  <c r="T934" i="10"/>
  <c r="T941" i="10"/>
  <c r="T973" i="10"/>
  <c r="T980" i="10"/>
  <c r="T986" i="10"/>
  <c r="T958" i="10"/>
  <c r="T957" i="10"/>
  <c r="T997" i="10"/>
  <c r="T950" i="10"/>
  <c r="T984" i="10"/>
  <c r="T959" i="10"/>
  <c r="T981" i="10"/>
  <c r="T974" i="10"/>
  <c r="T944" i="10"/>
  <c r="T938" i="10"/>
  <c r="T928" i="10"/>
  <c r="T947" i="10"/>
  <c r="T977" i="10"/>
  <c r="T972" i="10"/>
  <c r="T968" i="10"/>
  <c r="T953" i="10"/>
  <c r="T952" i="10"/>
  <c r="T987" i="10"/>
  <c r="T951" i="10"/>
  <c r="T940" i="10"/>
  <c r="T949" i="10"/>
  <c r="T930" i="10"/>
  <c r="T948" i="10"/>
  <c r="T929" i="10"/>
  <c r="T932" i="10"/>
  <c r="T970" i="10"/>
  <c r="T988" i="10"/>
  <c r="T994" i="10"/>
  <c r="T991" i="10"/>
  <c r="T985" i="10"/>
  <c r="T993" i="10"/>
  <c r="T979" i="10"/>
  <c r="T946" i="10"/>
  <c r="T939" i="10"/>
  <c r="T927" i="10"/>
  <c r="T962" i="10"/>
  <c r="T935" i="10"/>
  <c r="T942" i="10"/>
  <c r="T975" i="10"/>
  <c r="X975" i="10" s="1"/>
  <c r="T982" i="10"/>
  <c r="X982" i="10" s="1"/>
  <c r="T990" i="10"/>
  <c r="X990" i="10" s="1"/>
  <c r="T963" i="10"/>
  <c r="X963" i="10" s="1"/>
  <c r="T992" i="10"/>
  <c r="T956" i="10"/>
  <c r="T995" i="10"/>
  <c r="X995" i="10" s="1"/>
  <c r="T695" i="10"/>
  <c r="T691" i="10"/>
  <c r="T674" i="10"/>
  <c r="T649" i="10"/>
  <c r="T685" i="10"/>
  <c r="T708" i="10"/>
  <c r="T700" i="10"/>
  <c r="T657" i="10"/>
  <c r="T704" i="10"/>
  <c r="T652" i="10"/>
  <c r="T646" i="10"/>
  <c r="T654" i="10"/>
  <c r="T662" i="10"/>
  <c r="T686" i="10"/>
  <c r="T701" i="10"/>
  <c r="T655" i="10"/>
  <c r="T666" i="10"/>
  <c r="T676" i="10"/>
  <c r="T677" i="10"/>
  <c r="T688" i="10"/>
  <c r="T678" i="10"/>
  <c r="T673" i="10"/>
  <c r="T709" i="10"/>
  <c r="T643" i="10"/>
  <c r="T713" i="10"/>
  <c r="T653" i="10"/>
  <c r="T710" i="10"/>
  <c r="T671" i="10"/>
  <c r="T658" i="10"/>
  <c r="T689" i="10"/>
  <c r="T707" i="10"/>
  <c r="T645" i="10"/>
  <c r="T647" i="10"/>
  <c r="T705" i="10"/>
  <c r="T711" i="10"/>
  <c r="T648" i="10"/>
  <c r="T663" i="10"/>
  <c r="T697" i="10"/>
  <c r="T669" i="10"/>
  <c r="T670" i="10"/>
  <c r="X670" i="10" s="1"/>
  <c r="T687" i="10"/>
  <c r="X687" i="10" s="1"/>
  <c r="T659" i="10"/>
  <c r="T690" i="10"/>
  <c r="X690" i="10" s="1"/>
  <c r="T706" i="10"/>
  <c r="X706" i="10" s="1"/>
  <c r="T644" i="10"/>
  <c r="S84" i="10"/>
  <c r="S90" i="10"/>
  <c r="S142" i="10"/>
  <c r="S107" i="10"/>
  <c r="S130" i="10"/>
  <c r="S101" i="10"/>
  <c r="S128" i="10"/>
  <c r="S125" i="10"/>
  <c r="S127" i="10"/>
  <c r="S120" i="10"/>
  <c r="S93" i="10"/>
  <c r="S111" i="10"/>
  <c r="S102" i="10"/>
  <c r="S79" i="10"/>
  <c r="S119" i="10"/>
  <c r="S135" i="10"/>
  <c r="S136" i="10"/>
  <c r="S112" i="10"/>
  <c r="S98" i="10"/>
  <c r="S137" i="10"/>
  <c r="S126" i="10"/>
  <c r="S104" i="10"/>
  <c r="S91" i="10"/>
  <c r="S105" i="10"/>
  <c r="S115" i="10"/>
  <c r="S94" i="10"/>
  <c r="S85" i="10"/>
  <c r="S122" i="10"/>
  <c r="S75" i="10"/>
  <c r="S110" i="10"/>
  <c r="S76" i="10"/>
  <c r="S114" i="10"/>
  <c r="S77" i="10"/>
  <c r="S139" i="10"/>
  <c r="S103" i="10"/>
  <c r="S117" i="10"/>
  <c r="S134" i="10"/>
  <c r="S109" i="10"/>
  <c r="S145" i="10"/>
  <c r="S88" i="10"/>
  <c r="S78" i="10"/>
  <c r="S95" i="10"/>
  <c r="S144" i="10"/>
  <c r="S80" i="10"/>
  <c r="S81" i="10"/>
  <c r="S138" i="10"/>
  <c r="S97" i="10"/>
  <c r="S140" i="10"/>
  <c r="S141" i="10"/>
  <c r="S118" i="10"/>
  <c r="S87" i="10"/>
  <c r="S113" i="10"/>
  <c r="S82" i="10"/>
  <c r="S143" i="10"/>
  <c r="S83" i="10"/>
  <c r="S106" i="10"/>
  <c r="S86" i="10"/>
  <c r="S96" i="10"/>
  <c r="S92" i="10"/>
  <c r="S129" i="10"/>
  <c r="S99" i="10"/>
  <c r="S133" i="10"/>
  <c r="S132" i="10"/>
  <c r="S100" i="10"/>
  <c r="S108" i="10"/>
  <c r="S121" i="10"/>
  <c r="S131" i="10"/>
  <c r="S89" i="10"/>
  <c r="S124" i="10"/>
  <c r="W124" i="10" s="1"/>
  <c r="S123" i="10"/>
  <c r="S116" i="10"/>
  <c r="W116" i="10" s="1"/>
  <c r="S928" i="10"/>
  <c r="S995" i="10"/>
  <c r="S931" i="10"/>
  <c r="S933" i="10"/>
  <c r="S976" i="10"/>
  <c r="S997" i="10"/>
  <c r="S938" i="10"/>
  <c r="S942" i="10"/>
  <c r="S974" i="10"/>
  <c r="S958" i="10"/>
  <c r="S988" i="10"/>
  <c r="S950" i="10"/>
  <c r="S985" i="10"/>
  <c r="S984" i="10"/>
  <c r="S957" i="10"/>
  <c r="S979" i="10"/>
  <c r="S941" i="10"/>
  <c r="S929" i="10"/>
  <c r="S971" i="10"/>
  <c r="S972" i="10"/>
  <c r="S960" i="10"/>
  <c r="S970" i="10"/>
  <c r="S940" i="10"/>
  <c r="S944" i="10"/>
  <c r="S946" i="10"/>
  <c r="S951" i="10"/>
  <c r="S987" i="10"/>
  <c r="S955" i="10"/>
  <c r="S990" i="10"/>
  <c r="S959" i="10"/>
  <c r="S966" i="10"/>
  <c r="S967" i="10"/>
  <c r="S930" i="10"/>
  <c r="S986" i="10"/>
  <c r="S993" i="10"/>
  <c r="S992" i="10"/>
  <c r="S961" i="10"/>
  <c r="S954" i="10"/>
  <c r="S983" i="10"/>
  <c r="S936" i="10"/>
  <c r="S991" i="10"/>
  <c r="S968" i="10"/>
  <c r="S963" i="10"/>
  <c r="S932" i="10"/>
  <c r="S975" i="10"/>
  <c r="S935" i="10"/>
  <c r="S978" i="10"/>
  <c r="S947" i="10"/>
  <c r="S969" i="10"/>
  <c r="S945" i="10"/>
  <c r="S934" i="10"/>
  <c r="S973" i="10"/>
  <c r="S994" i="10"/>
  <c r="S996" i="10"/>
  <c r="S964" i="10"/>
  <c r="S980" i="10"/>
  <c r="S956" i="10"/>
  <c r="S953" i="10"/>
  <c r="S949" i="10"/>
  <c r="S977" i="10"/>
  <c r="S937" i="10"/>
  <c r="S965" i="10"/>
  <c r="S939" i="10"/>
  <c r="S943" i="10"/>
  <c r="S981" i="10"/>
  <c r="S982" i="10"/>
  <c r="S948" i="10"/>
  <c r="S952" i="10"/>
  <c r="S962" i="10"/>
  <c r="S989" i="10"/>
  <c r="S927" i="10"/>
  <c r="W927" i="10" s="1"/>
  <c r="S675" i="10"/>
  <c r="S701" i="10"/>
  <c r="S662" i="10"/>
  <c r="S685" i="10"/>
  <c r="S663" i="10"/>
  <c r="S657" i="10"/>
  <c r="S658" i="10"/>
  <c r="S646" i="10"/>
  <c r="S683" i="10"/>
  <c r="S697" i="10"/>
  <c r="S700" i="10"/>
  <c r="S710" i="10"/>
  <c r="S713" i="10"/>
  <c r="S693" i="10"/>
  <c r="S666" i="10"/>
  <c r="S698" i="10"/>
  <c r="S656" i="10"/>
  <c r="S665" i="10"/>
  <c r="S704" i="10"/>
  <c r="S670" i="10"/>
  <c r="S690" i="10"/>
  <c r="S644" i="10"/>
  <c r="S686" i="10"/>
  <c r="S703" i="10"/>
  <c r="S649" i="10"/>
  <c r="S695" i="10"/>
  <c r="S651" i="10"/>
  <c r="S676" i="10"/>
  <c r="S674" i="10"/>
  <c r="S694" i="10"/>
  <c r="S671" i="10"/>
  <c r="S655" i="10"/>
  <c r="S706" i="10"/>
  <c r="S647" i="10"/>
  <c r="S653" i="10"/>
  <c r="S659" i="10"/>
  <c r="S645" i="10"/>
  <c r="S696" i="10"/>
  <c r="S672" i="10"/>
  <c r="S678" i="10"/>
  <c r="S654" i="10"/>
  <c r="S688" i="10"/>
  <c r="S681" i="10"/>
  <c r="S711" i="10"/>
  <c r="S667" i="10"/>
  <c r="S673" i="10"/>
  <c r="S661" i="10"/>
  <c r="S643" i="10"/>
  <c r="S702" i="10"/>
  <c r="S699" i="10"/>
  <c r="S669" i="10"/>
  <c r="S707" i="10"/>
  <c r="S692" i="10"/>
  <c r="S650" i="10"/>
  <c r="S712" i="10"/>
  <c r="S652" i="10"/>
  <c r="S705" i="10"/>
  <c r="S709" i="10"/>
  <c r="S660" i="10"/>
  <c r="S691" i="10"/>
  <c r="S664" i="10"/>
  <c r="S668" i="10"/>
  <c r="S679" i="10"/>
  <c r="S687" i="10"/>
  <c r="S708" i="10"/>
  <c r="S684" i="10"/>
  <c r="S648" i="10"/>
  <c r="S682" i="10"/>
  <c r="S677" i="10"/>
  <c r="S680" i="10"/>
  <c r="S689" i="10"/>
  <c r="W689" i="10" s="1"/>
  <c r="R632" i="10"/>
  <c r="R631" i="10"/>
  <c r="R630" i="10"/>
  <c r="R629" i="10"/>
  <c r="R628" i="10"/>
  <c r="R627" i="10"/>
  <c r="R625" i="10"/>
  <c r="R624" i="10"/>
  <c r="R623" i="10"/>
  <c r="R622" i="10"/>
  <c r="R636" i="10"/>
  <c r="R638" i="10"/>
  <c r="R637" i="10"/>
  <c r="R635" i="10"/>
  <c r="R626" i="10"/>
  <c r="R634" i="10"/>
  <c r="R633" i="10"/>
  <c r="R89" i="10"/>
  <c r="R108" i="10"/>
  <c r="R90" i="10"/>
  <c r="R96" i="10"/>
  <c r="R107" i="10"/>
  <c r="R102" i="10"/>
  <c r="R82" i="10"/>
  <c r="R91" i="10"/>
  <c r="R83" i="10"/>
  <c r="R106" i="10"/>
  <c r="R92" i="10"/>
  <c r="R105" i="10"/>
  <c r="R93" i="10"/>
  <c r="R104" i="10"/>
  <c r="R94" i="10"/>
  <c r="R103" i="10"/>
  <c r="AI113" i="10"/>
  <c r="R84" i="10"/>
  <c r="R112" i="10"/>
  <c r="R86" i="10"/>
  <c r="R111" i="10"/>
  <c r="R87" i="10"/>
  <c r="R110" i="10"/>
  <c r="R88" i="10"/>
  <c r="R85" i="10"/>
  <c r="R81" i="10"/>
  <c r="R80" i="10"/>
  <c r="R79" i="10"/>
  <c r="R101" i="10"/>
  <c r="R78" i="10"/>
  <c r="R77" i="10"/>
  <c r="R76" i="10"/>
  <c r="R109" i="10"/>
  <c r="R99" i="10"/>
  <c r="R98" i="10"/>
  <c r="R100" i="10"/>
  <c r="R97" i="10"/>
  <c r="R95" i="10"/>
  <c r="V360" i="10" l="1"/>
  <c r="V364" i="10"/>
  <c r="V366" i="10"/>
  <c r="V370" i="10"/>
  <c r="V372" i="10"/>
  <c r="V374" i="10"/>
  <c r="V376" i="10"/>
  <c r="V381" i="10"/>
  <c r="V383" i="10"/>
  <c r="V384" i="10"/>
  <c r="V391" i="10"/>
  <c r="V392" i="10"/>
  <c r="V398" i="10"/>
  <c r="V400" i="10"/>
  <c r="V401" i="10"/>
  <c r="V402" i="10"/>
  <c r="V403" i="10"/>
  <c r="V405" i="10"/>
  <c r="V408" i="10"/>
  <c r="V409" i="10"/>
  <c r="V410" i="10"/>
  <c r="V411" i="10"/>
  <c r="V359" i="10"/>
  <c r="V361" i="10"/>
  <c r="V369" i="10"/>
  <c r="V371" i="10"/>
  <c r="V377" i="10"/>
  <c r="V382" i="10"/>
  <c r="V386" i="10"/>
  <c r="V389" i="10"/>
  <c r="V390" i="10"/>
  <c r="V394" i="10"/>
  <c r="V395" i="10"/>
  <c r="V396" i="10"/>
  <c r="V397" i="10"/>
  <c r="V399" i="10"/>
  <c r="V404" i="10"/>
  <c r="V407" i="10"/>
  <c r="V362" i="10"/>
  <c r="V363" i="10"/>
  <c r="V365" i="10"/>
  <c r="V367" i="10"/>
  <c r="V368" i="10"/>
  <c r="V373" i="10"/>
  <c r="V375" i="10"/>
  <c r="V378" i="10"/>
  <c r="V379" i="10"/>
  <c r="V380" i="10"/>
  <c r="V385" i="10"/>
  <c r="V387" i="10"/>
  <c r="V388" i="10"/>
  <c r="V393" i="10"/>
  <c r="V406" i="10"/>
  <c r="V412" i="10"/>
  <c r="V413" i="10"/>
  <c r="V414" i="10"/>
  <c r="V415" i="10"/>
  <c r="V416" i="10"/>
  <c r="V417" i="10"/>
  <c r="V418" i="10"/>
  <c r="V419" i="10"/>
  <c r="V420" i="10"/>
  <c r="V421" i="10"/>
  <c r="V422" i="10"/>
  <c r="V423" i="10"/>
  <c r="V424" i="10"/>
  <c r="V425" i="10"/>
  <c r="V426" i="10"/>
  <c r="Z426" i="10" s="1"/>
  <c r="V427" i="10"/>
  <c r="V428" i="10"/>
  <c r="V429" i="10"/>
  <c r="N430" i="10"/>
  <c r="U167" i="10"/>
  <c r="U170" i="10"/>
  <c r="U203" i="10"/>
  <c r="Y203" i="10" s="1"/>
  <c r="U187" i="10"/>
  <c r="U195" i="10"/>
  <c r="U182" i="10"/>
  <c r="U162" i="10"/>
  <c r="U158" i="10"/>
  <c r="U148" i="10"/>
  <c r="U194" i="10"/>
  <c r="U180" i="10"/>
  <c r="U178" i="10"/>
  <c r="U212" i="10"/>
  <c r="U192" i="10"/>
  <c r="U213" i="10"/>
  <c r="U199" i="10"/>
  <c r="U206" i="10"/>
  <c r="U160" i="10"/>
  <c r="U152" i="10"/>
  <c r="U146" i="10"/>
  <c r="U205" i="10"/>
  <c r="U179" i="10"/>
  <c r="U197" i="10"/>
  <c r="U156" i="10"/>
  <c r="U168" i="10"/>
  <c r="U161" i="10"/>
  <c r="U165" i="10"/>
  <c r="U183" i="10"/>
  <c r="U193" i="10"/>
  <c r="U177" i="10"/>
  <c r="U208" i="10"/>
  <c r="U215" i="10"/>
  <c r="U164" i="10"/>
  <c r="U155" i="10"/>
  <c r="U153" i="10"/>
  <c r="U151" i="10"/>
  <c r="U149" i="10"/>
  <c r="U147" i="10"/>
  <c r="U171" i="10"/>
  <c r="U202" i="10"/>
  <c r="U204" i="10"/>
  <c r="U189" i="10"/>
  <c r="U200" i="10"/>
  <c r="U210" i="10"/>
  <c r="U198" i="10"/>
  <c r="U190" i="10"/>
  <c r="U216" i="10"/>
  <c r="U214" i="10"/>
  <c r="U209" i="10"/>
  <c r="U181" i="10"/>
  <c r="U184" i="10"/>
  <c r="U163" i="10"/>
  <c r="U169" i="10"/>
  <c r="U172" i="10"/>
  <c r="U211" i="10"/>
  <c r="U175" i="10"/>
  <c r="U196" i="10"/>
  <c r="U174" i="10"/>
  <c r="U157" i="10"/>
  <c r="U150" i="10"/>
  <c r="U191" i="10"/>
  <c r="U186" i="10"/>
  <c r="U176" i="10"/>
  <c r="U154" i="10"/>
  <c r="U166" i="10"/>
  <c r="U159" i="10"/>
  <c r="U185" i="10"/>
  <c r="U188" i="10"/>
  <c r="U201" i="10"/>
  <c r="U207" i="10"/>
  <c r="U173" i="10"/>
  <c r="Y173" i="10" s="1"/>
  <c r="U597" i="10"/>
  <c r="U589" i="10"/>
  <c r="U598" i="10"/>
  <c r="U584" i="10"/>
  <c r="U579" i="10"/>
  <c r="U600" i="10"/>
  <c r="U575" i="10"/>
  <c r="U573" i="10"/>
  <c r="U601" i="10"/>
  <c r="U585" i="10"/>
  <c r="U602" i="10"/>
  <c r="U578" i="10"/>
  <c r="U599" i="10"/>
  <c r="U603" i="10"/>
  <c r="U582" i="10"/>
  <c r="U604" i="10"/>
  <c r="U605" i="10"/>
  <c r="U606" i="10"/>
  <c r="U607" i="10"/>
  <c r="U583" i="10"/>
  <c r="U592" i="10"/>
  <c r="U608" i="10"/>
  <c r="U609" i="10"/>
  <c r="U577" i="10"/>
  <c r="U610" i="10"/>
  <c r="U595" i="10"/>
  <c r="U611" i="10"/>
  <c r="U612" i="10"/>
  <c r="U613" i="10"/>
  <c r="U614" i="10"/>
  <c r="U593" i="10"/>
  <c r="U581" i="10"/>
  <c r="U580" i="10"/>
  <c r="U615" i="10"/>
  <c r="U586" i="10"/>
  <c r="U616" i="10"/>
  <c r="U596" i="10"/>
  <c r="U617" i="10"/>
  <c r="U591" i="10"/>
  <c r="U574" i="10"/>
  <c r="U590" i="10"/>
  <c r="U618" i="10"/>
  <c r="U576" i="10"/>
  <c r="U619" i="10"/>
  <c r="U587" i="10"/>
  <c r="U620" i="10"/>
  <c r="U594" i="10"/>
  <c r="U572" i="10"/>
  <c r="U588" i="10"/>
  <c r="U622" i="10"/>
  <c r="U629" i="10"/>
  <c r="U639" i="10"/>
  <c r="U623" i="10"/>
  <c r="U634" i="10"/>
  <c r="U630" i="10"/>
  <c r="U624" i="10"/>
  <c r="U637" i="10"/>
  <c r="U641" i="10"/>
  <c r="U625" i="10"/>
  <c r="U631" i="10"/>
  <c r="U635" i="10"/>
  <c r="U626" i="10"/>
  <c r="U638" i="10"/>
  <c r="U632" i="10"/>
  <c r="U627" i="10"/>
  <c r="U640" i="10"/>
  <c r="U636" i="10"/>
  <c r="U628" i="10"/>
  <c r="U633" i="10"/>
  <c r="U642" i="10"/>
  <c r="Y642" i="10" s="1"/>
  <c r="U621" i="10"/>
  <c r="U46" i="10"/>
  <c r="U15" i="10"/>
  <c r="U54" i="10"/>
  <c r="U60" i="10"/>
  <c r="U32" i="10"/>
  <c r="U33" i="10"/>
  <c r="U30" i="10"/>
  <c r="U10" i="10"/>
  <c r="U47" i="10"/>
  <c r="U16" i="10"/>
  <c r="U38" i="10"/>
  <c r="U59" i="10"/>
  <c r="U44" i="10"/>
  <c r="U34" i="10"/>
  <c r="U29" i="10"/>
  <c r="U48" i="10"/>
  <c r="U24" i="10"/>
  <c r="U11" i="10"/>
  <c r="U17" i="10"/>
  <c r="U58" i="10"/>
  <c r="U35" i="10"/>
  <c r="U25" i="10"/>
  <c r="U57" i="10"/>
  <c r="U49" i="10"/>
  <c r="U19" i="10"/>
  <c r="U43" i="10"/>
  <c r="U12" i="10"/>
  <c r="U53" i="10"/>
  <c r="U40" i="10"/>
  <c r="U31" i="10"/>
  <c r="U50" i="10"/>
  <c r="U4" i="10"/>
  <c r="U36" i="10"/>
  <c r="U56" i="10"/>
  <c r="U28" i="10"/>
  <c r="U39" i="10"/>
  <c r="U13" i="10"/>
  <c r="U42" i="10"/>
  <c r="U51" i="10"/>
  <c r="U27" i="10"/>
  <c r="U26" i="10"/>
  <c r="U55" i="10"/>
  <c r="U52" i="10"/>
  <c r="U14" i="10"/>
  <c r="U18" i="10"/>
  <c r="U21" i="10"/>
  <c r="U45" i="10"/>
  <c r="U41" i="10"/>
  <c r="U7" i="10"/>
  <c r="U20" i="10"/>
  <c r="U37" i="10"/>
  <c r="U5" i="10"/>
  <c r="U6" i="10"/>
  <c r="U22" i="10"/>
  <c r="U8" i="10"/>
  <c r="U23" i="10"/>
  <c r="U9" i="10"/>
  <c r="U68" i="10"/>
  <c r="U74" i="10"/>
  <c r="U62" i="10"/>
  <c r="U71" i="10"/>
  <c r="U66" i="10"/>
  <c r="U63" i="10"/>
  <c r="U67" i="10"/>
  <c r="U73" i="10"/>
  <c r="U64" i="10"/>
  <c r="U70" i="10"/>
  <c r="U72" i="10"/>
  <c r="U69" i="10"/>
  <c r="Y69" i="10" s="1"/>
  <c r="U61" i="10"/>
  <c r="U65" i="10"/>
  <c r="U793" i="10"/>
  <c r="U798" i="10"/>
  <c r="U822" i="10"/>
  <c r="U820" i="10"/>
  <c r="U808" i="10"/>
  <c r="U809" i="10"/>
  <c r="U816" i="10"/>
  <c r="U801" i="10"/>
  <c r="U827" i="10"/>
  <c r="U825" i="10"/>
  <c r="U830" i="10"/>
  <c r="U792" i="10"/>
  <c r="U811" i="10"/>
  <c r="U814" i="10"/>
  <c r="U785" i="10"/>
  <c r="U818" i="10"/>
  <c r="U787" i="10"/>
  <c r="U788" i="10"/>
  <c r="U838" i="10"/>
  <c r="U834" i="10"/>
  <c r="U831" i="10"/>
  <c r="U853" i="10"/>
  <c r="U849" i="10"/>
  <c r="U810" i="10"/>
  <c r="U826" i="10"/>
  <c r="U794" i="10"/>
  <c r="U796" i="10"/>
  <c r="U823" i="10"/>
  <c r="U805" i="10"/>
  <c r="U799" i="10"/>
  <c r="U803" i="10"/>
  <c r="U795" i="10"/>
  <c r="U836" i="10"/>
  <c r="U843" i="10"/>
  <c r="U842" i="10"/>
  <c r="U839" i="10"/>
  <c r="U790" i="10"/>
  <c r="U832" i="10"/>
  <c r="U845" i="10"/>
  <c r="U847" i="10"/>
  <c r="U852" i="10"/>
  <c r="Y852" i="10" s="1"/>
  <c r="U821" i="10"/>
  <c r="U806" i="10"/>
  <c r="U807" i="10"/>
  <c r="U813" i="10"/>
  <c r="U829" i="10"/>
  <c r="U804" i="10"/>
  <c r="U802" i="10"/>
  <c r="U786" i="10"/>
  <c r="U837" i="10"/>
  <c r="U841" i="10"/>
  <c r="U789" i="10"/>
  <c r="U833" i="10"/>
  <c r="U854" i="10"/>
  <c r="U846" i="10"/>
  <c r="U848" i="10"/>
  <c r="U835" i="10"/>
  <c r="U797" i="10"/>
  <c r="U800" i="10"/>
  <c r="U812" i="10"/>
  <c r="U828" i="10"/>
  <c r="U815" i="10"/>
  <c r="U817" i="10"/>
  <c r="U824" i="10"/>
  <c r="U844" i="10"/>
  <c r="U840" i="10"/>
  <c r="U819" i="10"/>
  <c r="U791" i="10"/>
  <c r="U855" i="10"/>
  <c r="U850" i="10"/>
  <c r="U851" i="10"/>
  <c r="U714" i="10"/>
  <c r="U717" i="10"/>
  <c r="U715" i="10"/>
  <c r="U764" i="10"/>
  <c r="U741" i="10"/>
  <c r="U739" i="10"/>
  <c r="U777" i="10"/>
  <c r="U737" i="10"/>
  <c r="U754" i="10"/>
  <c r="U748" i="10"/>
  <c r="U760" i="10"/>
  <c r="U746" i="10"/>
  <c r="U728" i="10"/>
  <c r="U719" i="10"/>
  <c r="U731" i="10"/>
  <c r="U766" i="10"/>
  <c r="U770" i="10"/>
  <c r="U773" i="10"/>
  <c r="U778" i="10"/>
  <c r="U781" i="10"/>
  <c r="U756" i="10"/>
  <c r="U775" i="10"/>
  <c r="U761" i="10"/>
  <c r="U755" i="10"/>
  <c r="U732" i="10"/>
  <c r="U727" i="10"/>
  <c r="U729" i="10"/>
  <c r="U716" i="10"/>
  <c r="U743" i="10"/>
  <c r="U740" i="10"/>
  <c r="U774" i="10"/>
  <c r="U735" i="10"/>
  <c r="U734" i="10"/>
  <c r="U782" i="10"/>
  <c r="U749" i="10"/>
  <c r="U753" i="10"/>
  <c r="U752" i="10"/>
  <c r="U745" i="10"/>
  <c r="U722" i="10"/>
  <c r="U720" i="10"/>
  <c r="U730" i="10"/>
  <c r="U765" i="10"/>
  <c r="U769" i="10"/>
  <c r="U738" i="10"/>
  <c r="U776" i="10"/>
  <c r="U733" i="10"/>
  <c r="U784" i="10"/>
  <c r="U758" i="10"/>
  <c r="U747" i="10"/>
  <c r="U762" i="10"/>
  <c r="U723" i="10"/>
  <c r="U724" i="10"/>
  <c r="U721" i="10"/>
  <c r="U763" i="10"/>
  <c r="U767" i="10"/>
  <c r="U771" i="10"/>
  <c r="U736" i="10"/>
  <c r="U779" i="10"/>
  <c r="U750" i="10"/>
  <c r="U718" i="10"/>
  <c r="U725" i="10"/>
  <c r="U726" i="10"/>
  <c r="U744" i="10"/>
  <c r="U742" i="10"/>
  <c r="U772" i="10"/>
  <c r="U768" i="10"/>
  <c r="U780" i="10"/>
  <c r="U783" i="10"/>
  <c r="U757" i="10"/>
  <c r="Y757" i="10" s="1"/>
  <c r="U759" i="10"/>
  <c r="U751" i="10"/>
  <c r="C27" i="8"/>
  <c r="F306" i="10"/>
  <c r="F307" i="10"/>
  <c r="F311" i="10"/>
  <c r="F312" i="10"/>
  <c r="F313" i="10"/>
  <c r="F315" i="10"/>
  <c r="F316" i="10"/>
  <c r="F317" i="10"/>
  <c r="F318" i="10"/>
  <c r="F321" i="10"/>
  <c r="F322" i="10"/>
  <c r="F324" i="10"/>
  <c r="F325" i="10"/>
  <c r="F326" i="10"/>
  <c r="F328" i="10"/>
  <c r="F329" i="10"/>
  <c r="F331" i="10"/>
  <c r="F332" i="10"/>
  <c r="F333" i="10"/>
  <c r="F336" i="10"/>
  <c r="F337" i="10"/>
  <c r="F338" i="10"/>
  <c r="F339" i="10"/>
  <c r="F340" i="10"/>
  <c r="F341" i="10"/>
  <c r="F344" i="10"/>
  <c r="F346" i="10"/>
  <c r="F348" i="10"/>
  <c r="F349" i="10"/>
  <c r="F350" i="10"/>
  <c r="F351" i="10"/>
  <c r="F352" i="10"/>
  <c r="F355" i="10"/>
  <c r="F356" i="10"/>
  <c r="F357" i="10"/>
  <c r="F358" i="10"/>
  <c r="F292" i="10"/>
  <c r="F294" i="10"/>
  <c r="F295" i="10"/>
  <c r="F297" i="10"/>
  <c r="F302" i="10"/>
  <c r="F304" i="10"/>
  <c r="F305" i="10"/>
  <c r="F308" i="10"/>
  <c r="F314" i="10"/>
  <c r="F320" i="10"/>
  <c r="F323" i="10"/>
  <c r="F330" i="10"/>
  <c r="F335" i="10"/>
  <c r="F343" i="10"/>
  <c r="F345" i="10"/>
  <c r="F347" i="10"/>
  <c r="F353" i="10"/>
  <c r="F354" i="10"/>
  <c r="F288" i="10"/>
  <c r="F289" i="10"/>
  <c r="F290" i="10"/>
  <c r="F291" i="10"/>
  <c r="F293" i="10"/>
  <c r="F296" i="10"/>
  <c r="F298" i="10"/>
  <c r="F299" i="10"/>
  <c r="F300" i="10"/>
  <c r="F301" i="10"/>
  <c r="F303" i="10"/>
  <c r="F309" i="10"/>
  <c r="F310" i="10"/>
  <c r="F319" i="10"/>
  <c r="F327" i="10"/>
  <c r="F334" i="10"/>
  <c r="F342" i="10"/>
  <c r="AD224" i="10"/>
  <c r="AF224" i="10" s="1"/>
  <c r="AC224" i="10"/>
  <c r="C15" i="11"/>
  <c r="AC219" i="10"/>
  <c r="AD219" i="10"/>
  <c r="AF219" i="10" s="1"/>
  <c r="AC223" i="10"/>
  <c r="AD223" i="10"/>
  <c r="AF223" i="10" s="1"/>
  <c r="AD238" i="10"/>
  <c r="AF238" i="10" s="1"/>
  <c r="AC238" i="10"/>
  <c r="AC248" i="10"/>
  <c r="AD248" i="10"/>
  <c r="AF248" i="10" s="1"/>
  <c r="AD253" i="10"/>
  <c r="AF253" i="10" s="1"/>
  <c r="AC253" i="10"/>
  <c r="AC254" i="10"/>
  <c r="AD254" i="10"/>
  <c r="AF254" i="10" s="1"/>
  <c r="AD255" i="10"/>
  <c r="AF255" i="10" s="1"/>
  <c r="AC255" i="10"/>
  <c r="AD269" i="10"/>
  <c r="AC269" i="10"/>
  <c r="AC276" i="10"/>
  <c r="AD276" i="10"/>
  <c r="AD286" i="10"/>
  <c r="AC286" i="10"/>
  <c r="AC230" i="10"/>
  <c r="AD230" i="10"/>
  <c r="AF230" i="10" s="1"/>
  <c r="AD239" i="10"/>
  <c r="AF239" i="10" s="1"/>
  <c r="AC239" i="10"/>
  <c r="AC241" i="10"/>
  <c r="AD241" i="10"/>
  <c r="AF241" i="10" s="1"/>
  <c r="AC251" i="10"/>
  <c r="AD251" i="10"/>
  <c r="AF251" i="10" s="1"/>
  <c r="AD261" i="10"/>
  <c r="AF261" i="10" s="1"/>
  <c r="AC261" i="10"/>
  <c r="AD265" i="10"/>
  <c r="AF265" i="10" s="1"/>
  <c r="AC265" i="10"/>
  <c r="AC266" i="10"/>
  <c r="AD266" i="10"/>
  <c r="AF266" i="10" s="1"/>
  <c r="AC277" i="10"/>
  <c r="AD277" i="10"/>
  <c r="AD281" i="10"/>
  <c r="AC281" i="10"/>
  <c r="AC284" i="10"/>
  <c r="AD284" i="10"/>
  <c r="Z335" i="10"/>
  <c r="Z323" i="10"/>
  <c r="Z333" i="10"/>
  <c r="Z342" i="10"/>
  <c r="Z351" i="10"/>
  <c r="AA351" i="10" s="1"/>
  <c r="Z288" i="10"/>
  <c r="AA288" i="10" s="1"/>
  <c r="G12" i="12" s="1"/>
  <c r="Z302" i="10"/>
  <c r="Z337" i="10"/>
  <c r="AA337" i="10" s="1"/>
  <c r="X149" i="10"/>
  <c r="X154" i="10"/>
  <c r="X160" i="10"/>
  <c r="X165" i="10"/>
  <c r="X170" i="10"/>
  <c r="X175" i="10"/>
  <c r="X183" i="10"/>
  <c r="X193" i="10"/>
  <c r="X204" i="10"/>
  <c r="X209" i="10"/>
  <c r="X214" i="10"/>
  <c r="X186" i="10"/>
  <c r="X198" i="10"/>
  <c r="X572" i="10"/>
  <c r="X577" i="10"/>
  <c r="X583" i="10"/>
  <c r="X588" i="10"/>
  <c r="X593" i="10"/>
  <c r="X598" i="10"/>
  <c r="X604" i="10"/>
  <c r="X609" i="10"/>
  <c r="X614" i="10"/>
  <c r="X619" i="10"/>
  <c r="X625" i="10"/>
  <c r="X630" i="10"/>
  <c r="X636" i="10"/>
  <c r="X641" i="10"/>
  <c r="X716" i="10"/>
  <c r="X721" i="10"/>
  <c r="X726" i="10"/>
  <c r="X731" i="10"/>
  <c r="X735" i="10"/>
  <c r="X741" i="10"/>
  <c r="X746" i="10"/>
  <c r="X751" i="10"/>
  <c r="X756" i="10"/>
  <c r="X761" i="10"/>
  <c r="X766" i="10"/>
  <c r="X772" i="10"/>
  <c r="X777" i="10"/>
  <c r="X782" i="10"/>
  <c r="X787" i="10"/>
  <c r="X792" i="10"/>
  <c r="X797" i="10"/>
  <c r="X802" i="10"/>
  <c r="X808" i="10"/>
  <c r="X813" i="10"/>
  <c r="X818" i="10"/>
  <c r="X823" i="10"/>
  <c r="X829" i="10"/>
  <c r="X834" i="10"/>
  <c r="X839" i="10"/>
  <c r="X844" i="10"/>
  <c r="X848" i="10"/>
  <c r="X8" i="10"/>
  <c r="X13" i="10"/>
  <c r="X18" i="10"/>
  <c r="X23" i="10"/>
  <c r="X29" i="10"/>
  <c r="X34" i="10"/>
  <c r="X39" i="10"/>
  <c r="X44" i="10"/>
  <c r="X49" i="10"/>
  <c r="X54" i="10"/>
  <c r="X60" i="10"/>
  <c r="X65" i="10"/>
  <c r="X70" i="10"/>
  <c r="W4" i="10"/>
  <c r="W7" i="10"/>
  <c r="W12" i="10"/>
  <c r="W17" i="10"/>
  <c r="W23" i="10"/>
  <c r="W28" i="10"/>
  <c r="W33" i="10"/>
  <c r="W38" i="10"/>
  <c r="W43" i="10"/>
  <c r="W49" i="10"/>
  <c r="W54" i="10"/>
  <c r="W59" i="10"/>
  <c r="W64" i="10"/>
  <c r="W597" i="10"/>
  <c r="W606" i="10"/>
  <c r="W613" i="10"/>
  <c r="W619" i="10"/>
  <c r="W626" i="10"/>
  <c r="W632" i="10"/>
  <c r="W638" i="10"/>
  <c r="W786" i="10"/>
  <c r="W792" i="10"/>
  <c r="W798" i="10"/>
  <c r="W805" i="10"/>
  <c r="W811" i="10"/>
  <c r="W818" i="10"/>
  <c r="W825" i="10"/>
  <c r="W831" i="10"/>
  <c r="W837" i="10"/>
  <c r="W843" i="10"/>
  <c r="W849" i="10"/>
  <c r="Y912" i="10"/>
  <c r="Y871" i="10"/>
  <c r="Y882" i="10"/>
  <c r="Y885" i="10"/>
  <c r="Y698" i="10"/>
  <c r="Y679" i="10"/>
  <c r="Y651" i="10"/>
  <c r="Y703" i="10"/>
  <c r="Y677" i="10"/>
  <c r="Y709" i="10"/>
  <c r="Y655" i="10"/>
  <c r="Y688" i="10"/>
  <c r="Y509" i="10"/>
  <c r="Y527" i="10"/>
  <c r="Y541" i="10"/>
  <c r="Y563" i="10"/>
  <c r="Y565" i="10"/>
  <c r="Y547" i="10"/>
  <c r="Y550" i="10"/>
  <c r="Y511" i="10"/>
  <c r="Y489" i="10"/>
  <c r="Y435" i="10"/>
  <c r="Y491" i="10"/>
  <c r="Y485" i="10"/>
  <c r="Y439" i="10"/>
  <c r="Y463" i="10"/>
  <c r="Y460" i="10"/>
  <c r="Y369" i="10"/>
  <c r="Y397" i="10"/>
  <c r="Y405" i="10"/>
  <c r="Y404" i="10"/>
  <c r="Y414" i="10"/>
  <c r="Y364" i="10"/>
  <c r="Y428" i="10"/>
  <c r="Y418" i="10"/>
  <c r="Y291" i="10"/>
  <c r="AA291" i="10" s="1"/>
  <c r="Y334" i="10"/>
  <c r="Y340" i="10"/>
  <c r="Y345" i="10"/>
  <c r="Y290" i="10"/>
  <c r="Y320" i="10"/>
  <c r="Y311" i="10"/>
  <c r="Y326" i="10"/>
  <c r="Y243" i="10"/>
  <c r="Y227" i="10"/>
  <c r="Y281" i="10"/>
  <c r="AA281" i="10" s="1"/>
  <c r="Y217" i="10"/>
  <c r="Y270" i="10"/>
  <c r="Y220" i="10"/>
  <c r="Y266" i="10"/>
  <c r="Z250" i="10"/>
  <c r="Z286" i="10"/>
  <c r="Z217" i="10"/>
  <c r="Z285" i="10"/>
  <c r="X930" i="10"/>
  <c r="X979" i="10"/>
  <c r="X654" i="10"/>
  <c r="X673" i="10"/>
  <c r="X647" i="10"/>
  <c r="W84" i="10"/>
  <c r="W128" i="10"/>
  <c r="W98" i="10"/>
  <c r="W110" i="10"/>
  <c r="W78" i="10"/>
  <c r="W113" i="10"/>
  <c r="W132" i="10"/>
  <c r="W933" i="10"/>
  <c r="W979" i="10"/>
  <c r="W987" i="10"/>
  <c r="W961" i="10"/>
  <c r="W947" i="10"/>
  <c r="W977" i="10"/>
  <c r="W713" i="10"/>
  <c r="W649" i="10"/>
  <c r="W659" i="10"/>
  <c r="W643" i="10"/>
  <c r="W660" i="10"/>
  <c r="W70" i="10"/>
  <c r="W71" i="10"/>
  <c r="W72" i="10"/>
  <c r="W73" i="10"/>
  <c r="W74" i="10"/>
  <c r="W714" i="10"/>
  <c r="W715" i="10"/>
  <c r="W716" i="10"/>
  <c r="W717" i="10"/>
  <c r="W718" i="10"/>
  <c r="W719" i="10"/>
  <c r="W720" i="10"/>
  <c r="W721" i="10"/>
  <c r="W722" i="10"/>
  <c r="W723" i="10"/>
  <c r="W724" i="10"/>
  <c r="W725" i="10"/>
  <c r="W726" i="10"/>
  <c r="W727" i="10"/>
  <c r="W728" i="10"/>
  <c r="W729" i="10"/>
  <c r="W730" i="10"/>
  <c r="W731" i="10"/>
  <c r="W732" i="10"/>
  <c r="W733" i="10"/>
  <c r="W734" i="10"/>
  <c r="W735" i="10"/>
  <c r="W736" i="10"/>
  <c r="W737" i="10"/>
  <c r="W738" i="10"/>
  <c r="W739" i="10"/>
  <c r="W740" i="10"/>
  <c r="W741" i="10"/>
  <c r="W742" i="10"/>
  <c r="W743" i="10"/>
  <c r="W744" i="10"/>
  <c r="W745" i="10"/>
  <c r="W746" i="10"/>
  <c r="W747" i="10"/>
  <c r="W748" i="10"/>
  <c r="W749" i="10"/>
  <c r="W750" i="10"/>
  <c r="W751" i="10"/>
  <c r="W752" i="10"/>
  <c r="W753" i="10"/>
  <c r="W754" i="10"/>
  <c r="W755" i="10"/>
  <c r="W756" i="10"/>
  <c r="W757" i="10"/>
  <c r="W758" i="10"/>
  <c r="W759" i="10"/>
  <c r="W760" i="10"/>
  <c r="W761" i="10"/>
  <c r="W762" i="10"/>
  <c r="W763" i="10"/>
  <c r="W764" i="10"/>
  <c r="W765" i="10"/>
  <c r="W766" i="10"/>
  <c r="W767" i="10"/>
  <c r="W768" i="10"/>
  <c r="W769" i="10"/>
  <c r="W770" i="10"/>
  <c r="W771" i="10"/>
  <c r="W772" i="10"/>
  <c r="W773" i="10"/>
  <c r="W774" i="10"/>
  <c r="W775" i="10"/>
  <c r="W776" i="10"/>
  <c r="W777" i="10"/>
  <c r="W778" i="10"/>
  <c r="W779" i="10"/>
  <c r="W780" i="10"/>
  <c r="W781" i="10"/>
  <c r="W782" i="10"/>
  <c r="W783" i="10"/>
  <c r="W146" i="10"/>
  <c r="W147" i="10"/>
  <c r="W148" i="10"/>
  <c r="W149" i="10"/>
  <c r="W150" i="10"/>
  <c r="W151" i="10"/>
  <c r="W152" i="10"/>
  <c r="W153" i="10"/>
  <c r="W154" i="10"/>
  <c r="W155" i="10"/>
  <c r="W156" i="10"/>
  <c r="W157" i="10"/>
  <c r="W158" i="10"/>
  <c r="W159" i="10"/>
  <c r="W160" i="10"/>
  <c r="W161" i="10"/>
  <c r="W162" i="10"/>
  <c r="W163" i="10"/>
  <c r="W164" i="10"/>
  <c r="W165" i="10"/>
  <c r="W166" i="10"/>
  <c r="W167" i="10"/>
  <c r="W168" i="10"/>
  <c r="W169" i="10"/>
  <c r="W170" i="10"/>
  <c r="W171" i="10"/>
  <c r="W172" i="10"/>
  <c r="W174" i="10"/>
  <c r="W175" i="10"/>
  <c r="W176" i="10"/>
  <c r="W177" i="10"/>
  <c r="W178" i="10"/>
  <c r="W179" i="10"/>
  <c r="W182" i="10"/>
  <c r="W183" i="10"/>
  <c r="W184" i="10"/>
  <c r="W185" i="10"/>
  <c r="W173" i="10"/>
  <c r="W181" i="10"/>
  <c r="W188" i="10"/>
  <c r="W189" i="10"/>
  <c r="W195" i="10"/>
  <c r="W198" i="10"/>
  <c r="W199" i="10"/>
  <c r="W200" i="10"/>
  <c r="W201" i="10"/>
  <c r="W203" i="10"/>
  <c r="W204" i="10"/>
  <c r="W205" i="10"/>
  <c r="W207" i="10"/>
  <c r="W212" i="10"/>
  <c r="W180" i="10"/>
  <c r="W192" i="10"/>
  <c r="W572" i="10"/>
  <c r="W577" i="10"/>
  <c r="W582" i="10"/>
  <c r="W587" i="10"/>
  <c r="W592" i="10"/>
  <c r="W598" i="10"/>
  <c r="W604" i="10"/>
  <c r="W610" i="10"/>
  <c r="W616" i="10"/>
  <c r="W623" i="10"/>
  <c r="W629" i="10"/>
  <c r="W635" i="10"/>
  <c r="W642" i="10"/>
  <c r="W789" i="10"/>
  <c r="W795" i="10"/>
  <c r="W801" i="10"/>
  <c r="W807" i="10"/>
  <c r="W814" i="10"/>
  <c r="W820" i="10"/>
  <c r="W826" i="10"/>
  <c r="W832" i="10"/>
  <c r="W839" i="10"/>
  <c r="W845" i="10"/>
  <c r="W848" i="10"/>
  <c r="Y902" i="10"/>
  <c r="Y883" i="10"/>
  <c r="Y875" i="10"/>
  <c r="Y900" i="10"/>
  <c r="Y891" i="10"/>
  <c r="Y856" i="10"/>
  <c r="Y870" i="10"/>
  <c r="Y704" i="10"/>
  <c r="Y675" i="10"/>
  <c r="Y653" i="10"/>
  <c r="Y710" i="10"/>
  <c r="Y687" i="10"/>
  <c r="Y661" i="10"/>
  <c r="Y683" i="10"/>
  <c r="Y555" i="10"/>
  <c r="Y504" i="10"/>
  <c r="Y569" i="10"/>
  <c r="Y538" i="10"/>
  <c r="Y546" i="10"/>
  <c r="Y515" i="10"/>
  <c r="Y552" i="10"/>
  <c r="Y481" i="10"/>
  <c r="Y452" i="10"/>
  <c r="Y453" i="10"/>
  <c r="Y471" i="10"/>
  <c r="Y444" i="10"/>
  <c r="Y483" i="10"/>
  <c r="Y480" i="10"/>
  <c r="Y394" i="10"/>
  <c r="Y406" i="10"/>
  <c r="Y398" i="10"/>
  <c r="Y360" i="10"/>
  <c r="Y415" i="10"/>
  <c r="Y370" i="10"/>
  <c r="Y366" i="10"/>
  <c r="Y346" i="10"/>
  <c r="AA346" i="10" s="1"/>
  <c r="Y298" i="10"/>
  <c r="AA298" i="10" s="1"/>
  <c r="Y292" i="10"/>
  <c r="AA292" i="10" s="1"/>
  <c r="Y304" i="10"/>
  <c r="Y331" i="10"/>
  <c r="Y356" i="10"/>
  <c r="AA356" i="10" s="1"/>
  <c r="Y350" i="10"/>
  <c r="Y351" i="10"/>
  <c r="Y223" i="10"/>
  <c r="Y224" i="10"/>
  <c r="Y255" i="10"/>
  <c r="AA255" i="10" s="1"/>
  <c r="Y247" i="10"/>
  <c r="Y253" i="10"/>
  <c r="AA253" i="10" s="1"/>
  <c r="Y251" i="10"/>
  <c r="AA251" i="10" s="1"/>
  <c r="Y279" i="10"/>
  <c r="Y241" i="10"/>
  <c r="Z284" i="10"/>
  <c r="Z224" i="10"/>
  <c r="Z230" i="10"/>
  <c r="Z242" i="10"/>
  <c r="X952" i="10"/>
  <c r="X993" i="10"/>
  <c r="X657" i="10"/>
  <c r="X678" i="10"/>
  <c r="X645" i="10"/>
  <c r="W102" i="10"/>
  <c r="W94" i="10"/>
  <c r="W134" i="10"/>
  <c r="W140" i="10"/>
  <c r="W92" i="10"/>
  <c r="W995" i="10"/>
  <c r="W950" i="10"/>
  <c r="W970" i="10"/>
  <c r="W986" i="10"/>
  <c r="W975" i="10"/>
  <c r="W956" i="10"/>
  <c r="W962" i="10"/>
  <c r="W697" i="10"/>
  <c r="W690" i="10"/>
  <c r="W655" i="10"/>
  <c r="W711" i="10"/>
  <c r="W652" i="10"/>
  <c r="W648" i="10"/>
  <c r="U965" i="10"/>
  <c r="Y859" i="10"/>
  <c r="Y904" i="10"/>
  <c r="Y903" i="10"/>
  <c r="Y925" i="10"/>
  <c r="Y863" i="10"/>
  <c r="Y873" i="10"/>
  <c r="Y868" i="10"/>
  <c r="Y895" i="10"/>
  <c r="Y643" i="10"/>
  <c r="Y711" i="10"/>
  <c r="Y674" i="10"/>
  <c r="Y663" i="10"/>
  <c r="Y646" i="10"/>
  <c r="Y680" i="10"/>
  <c r="Y645" i="10"/>
  <c r="Y524" i="10"/>
  <c r="Y526" i="10"/>
  <c r="Y559" i="10"/>
  <c r="Y501" i="10"/>
  <c r="Y537" i="10"/>
  <c r="Y544" i="10"/>
  <c r="Y549" i="10"/>
  <c r="Y512" i="10"/>
  <c r="Y472" i="10"/>
  <c r="Y470" i="10"/>
  <c r="Y438" i="10"/>
  <c r="Y482" i="10"/>
  <c r="Y497" i="10"/>
  <c r="Y445" i="10"/>
  <c r="Y477" i="10"/>
  <c r="Y488" i="10"/>
  <c r="Y416" i="10"/>
  <c r="Y421" i="10"/>
  <c r="Y395" i="10"/>
  <c r="Y359" i="10"/>
  <c r="Y391" i="10"/>
  <c r="Y375" i="10"/>
  <c r="Y417" i="10"/>
  <c r="Y429" i="10"/>
  <c r="Y295" i="10"/>
  <c r="Y344" i="10"/>
  <c r="AA344" i="10" s="1"/>
  <c r="Y322" i="10"/>
  <c r="Y333" i="10"/>
  <c r="Y337" i="10"/>
  <c r="Y329" i="10"/>
  <c r="AA329" i="10" s="1"/>
  <c r="Y336" i="10"/>
  <c r="Y280" i="10"/>
  <c r="Y232" i="10"/>
  <c r="Y234" i="10"/>
  <c r="Y221" i="10"/>
  <c r="Y228" i="10"/>
  <c r="Y239" i="10"/>
  <c r="AA239" i="10" s="1"/>
  <c r="Y257" i="10"/>
  <c r="Z237" i="10"/>
  <c r="Z221" i="10"/>
  <c r="Z229" i="10"/>
  <c r="Z277" i="10"/>
  <c r="Z223" i="10"/>
  <c r="X932" i="10"/>
  <c r="X935" i="10"/>
  <c r="X649" i="10"/>
  <c r="X701" i="10"/>
  <c r="X653" i="10"/>
  <c r="X663" i="10"/>
  <c r="W142" i="10"/>
  <c r="W119" i="10"/>
  <c r="W105" i="10"/>
  <c r="W103" i="10"/>
  <c r="W138" i="10"/>
  <c r="W96" i="10"/>
  <c r="W958" i="10"/>
  <c r="W960" i="10"/>
  <c r="W967" i="10"/>
  <c r="W963" i="10"/>
  <c r="W996" i="10"/>
  <c r="W981" i="10"/>
  <c r="W657" i="10"/>
  <c r="W656" i="10"/>
  <c r="W674" i="10"/>
  <c r="W678" i="10"/>
  <c r="W669" i="10"/>
  <c r="W679" i="10"/>
  <c r="AA426" i="10"/>
  <c r="AA326" i="10"/>
  <c r="AA224" i="10"/>
  <c r="AA276" i="10"/>
  <c r="AA286" i="10"/>
  <c r="AA350" i="10"/>
  <c r="AA293" i="10"/>
  <c r="AA309" i="10"/>
  <c r="AA308" i="10"/>
  <c r="AA294" i="10"/>
  <c r="AA301" i="10"/>
  <c r="AA340" i="10"/>
  <c r="AA223" i="10"/>
  <c r="AA357" i="10"/>
  <c r="AA327" i="10"/>
  <c r="AA290" i="10"/>
  <c r="AA300" i="10"/>
  <c r="AA316" i="10"/>
  <c r="AA306" i="10"/>
  <c r="Y1037" i="10"/>
  <c r="Y1025" i="10"/>
  <c r="Y1047" i="10"/>
  <c r="Y1000" i="10"/>
  <c r="Y1022" i="10"/>
  <c r="Y1040" i="10"/>
  <c r="Y1003" i="10"/>
  <c r="Y1018" i="10"/>
  <c r="Y1027" i="10"/>
  <c r="Y1059" i="10"/>
  <c r="Y1063" i="10"/>
  <c r="Y1036" i="10"/>
  <c r="Y1028" i="10"/>
  <c r="Y1006" i="10"/>
  <c r="Y1067" i="10"/>
  <c r="Y1051" i="10"/>
  <c r="Y1062" i="10"/>
  <c r="Y1052" i="10"/>
  <c r="Y1055" i="10"/>
  <c r="Y1038" i="10"/>
  <c r="Y1049" i="10"/>
  <c r="Y1013" i="10"/>
  <c r="Y1054" i="10"/>
  <c r="Y1039" i="10"/>
  <c r="Y1015" i="10"/>
  <c r="Y1019" i="10"/>
  <c r="Y1011" i="10"/>
  <c r="Y1053" i="10"/>
  <c r="Y916" i="10"/>
  <c r="Y926" i="10"/>
  <c r="Y911" i="10"/>
  <c r="Y872" i="10"/>
  <c r="Y918" i="10"/>
  <c r="Y867" i="10"/>
  <c r="Y857" i="10"/>
  <c r="Y888" i="10"/>
  <c r="Y689" i="10"/>
  <c r="Y670" i="10"/>
  <c r="Y692" i="10"/>
  <c r="Y690" i="10"/>
  <c r="Y701" i="10"/>
  <c r="Y676" i="10"/>
  <c r="Y678" i="10"/>
  <c r="Y507" i="10"/>
  <c r="Y558" i="10"/>
  <c r="Y531" i="10"/>
  <c r="Y564" i="10"/>
  <c r="Y566" i="10"/>
  <c r="Y520" i="10"/>
  <c r="Y513" i="10"/>
  <c r="Y468" i="10"/>
  <c r="Y447" i="10"/>
  <c r="Y486" i="10"/>
  <c r="Y466" i="10"/>
  <c r="Y441" i="10"/>
  <c r="Y443" i="10"/>
  <c r="Y448" i="10"/>
  <c r="Y479" i="10"/>
  <c r="Y422" i="10"/>
  <c r="Y420" i="10"/>
  <c r="Y402" i="10"/>
  <c r="Y409" i="10"/>
  <c r="Y361" i="10"/>
  <c r="Y373" i="10"/>
  <c r="Y399" i="10"/>
  <c r="Y310" i="10"/>
  <c r="AA310" i="10" s="1"/>
  <c r="Y318" i="10"/>
  <c r="AA318" i="10" s="1"/>
  <c r="Y302" i="10"/>
  <c r="Y343" i="10"/>
  <c r="AA343" i="10" s="1"/>
  <c r="Y325" i="10"/>
  <c r="Y324" i="10"/>
  <c r="AA324" i="10" s="1"/>
  <c r="Y354" i="10"/>
  <c r="AA354" i="10" s="1"/>
  <c r="Y254" i="10"/>
  <c r="AA254" i="10" s="1"/>
  <c r="Y265" i="10"/>
  <c r="Y268" i="10"/>
  <c r="AA268" i="10" s="1"/>
  <c r="Y278" i="10"/>
  <c r="Y252" i="10"/>
  <c r="Y285" i="10"/>
  <c r="AA285" i="10" s="1"/>
  <c r="Y226" i="10"/>
  <c r="Z265" i="10"/>
  <c r="Z252" i="10"/>
  <c r="Z241" i="10"/>
  <c r="Z282" i="10"/>
  <c r="Z269" i="10"/>
  <c r="X953" i="10"/>
  <c r="X994" i="10"/>
  <c r="X646" i="10"/>
  <c r="X709" i="10"/>
  <c r="X711" i="10"/>
  <c r="W90" i="10"/>
  <c r="W127" i="10"/>
  <c r="W137" i="10"/>
  <c r="W76" i="10"/>
  <c r="W95" i="10"/>
  <c r="W143" i="10"/>
  <c r="W108" i="10"/>
  <c r="W997" i="10"/>
  <c r="W941" i="10"/>
  <c r="W955" i="10"/>
  <c r="W954" i="10"/>
  <c r="W945" i="10"/>
  <c r="W937" i="10"/>
  <c r="W675" i="10"/>
  <c r="W710" i="10"/>
  <c r="W703" i="10"/>
  <c r="W653" i="10"/>
  <c r="W673" i="10"/>
  <c r="W709" i="10"/>
  <c r="W677" i="10"/>
  <c r="AA265" i="10"/>
  <c r="AA230" i="10"/>
  <c r="AA277" i="10"/>
  <c r="AA284" i="10"/>
  <c r="AA295" i="10"/>
  <c r="AA339" i="10"/>
  <c r="AA349" i="10"/>
  <c r="AA304" i="10"/>
  <c r="AA325" i="10"/>
  <c r="AA241" i="10"/>
  <c r="AA269" i="10"/>
  <c r="AA322" i="10"/>
  <c r="AA331" i="10"/>
  <c r="AA320" i="10"/>
  <c r="AA317" i="10"/>
  <c r="AA238" i="10"/>
  <c r="AA219" i="10"/>
  <c r="AA266" i="10"/>
  <c r="AA336" i="10"/>
  <c r="Y1060" i="10"/>
  <c r="Y1064" i="10"/>
  <c r="Y1065" i="10"/>
  <c r="Y1032" i="10"/>
  <c r="Y1023" i="10"/>
  <c r="Y1012" i="10"/>
  <c r="Y1005" i="10"/>
  <c r="Y999" i="10"/>
  <c r="Y1009" i="10"/>
  <c r="Y1044" i="10"/>
  <c r="Y1050" i="10"/>
  <c r="Y1033" i="10"/>
  <c r="Y1010" i="10"/>
  <c r="Y1043" i="10"/>
  <c r="Y1041" i="10"/>
  <c r="Y1046" i="10"/>
  <c r="Y1048" i="10"/>
  <c r="Y1008" i="10"/>
  <c r="Y1045" i="10"/>
  <c r="Y1034" i="10"/>
  <c r="Y1026" i="10"/>
  <c r="Y1007" i="10"/>
  <c r="Y1004" i="10"/>
  <c r="Y1068" i="10"/>
  <c r="Y1029" i="10"/>
  <c r="Y1057" i="10"/>
  <c r="Y1030" i="10"/>
  <c r="Y1017" i="10"/>
  <c r="Y1058" i="10"/>
  <c r="Y1002" i="10"/>
  <c r="Y1066" i="10"/>
  <c r="Y1061" i="10"/>
  <c r="Y1042" i="10"/>
  <c r="Y1035" i="10"/>
  <c r="Y1024" i="10"/>
  <c r="Y1001" i="10"/>
  <c r="Y998" i="10"/>
  <c r="Y1020" i="10"/>
  <c r="Y1014" i="10"/>
  <c r="Y1056" i="10"/>
  <c r="Y1016" i="10"/>
  <c r="Y1031" i="10"/>
  <c r="Y970" i="10"/>
  <c r="Y963" i="10"/>
  <c r="Y944" i="10"/>
  <c r="Y959" i="10"/>
  <c r="Y958" i="10"/>
  <c r="Y949" i="10"/>
  <c r="Y988" i="10"/>
  <c r="Y978" i="10"/>
  <c r="Y980" i="10"/>
  <c r="Y955" i="10"/>
  <c r="Y936" i="10"/>
  <c r="Y987" i="10"/>
  <c r="Y973" i="10"/>
  <c r="Y971" i="10"/>
  <c r="Y992" i="10"/>
  <c r="Y995" i="10"/>
  <c r="Y919" i="10"/>
  <c r="Y869" i="10"/>
  <c r="Y924" i="10"/>
  <c r="Y913" i="10"/>
  <c r="Y876" i="10"/>
  <c r="Y890" i="10"/>
  <c r="Y858" i="10"/>
  <c r="Y906" i="10"/>
  <c r="Y660" i="10"/>
  <c r="Y672" i="10"/>
  <c r="Y657" i="10"/>
  <c r="Y666" i="10"/>
  <c r="Y685" i="10"/>
  <c r="Y665" i="10"/>
  <c r="Y656" i="10"/>
  <c r="Y713" i="10"/>
  <c r="Y525" i="10"/>
  <c r="Y505" i="10"/>
  <c r="Y530" i="10"/>
  <c r="Y535" i="10"/>
  <c r="Y540" i="10"/>
  <c r="Y503" i="10"/>
  <c r="Y514" i="10"/>
  <c r="Y455" i="10"/>
  <c r="Y495" i="10"/>
  <c r="Y457" i="10"/>
  <c r="Y492" i="10"/>
  <c r="Y496" i="10"/>
  <c r="Y449" i="10"/>
  <c r="Y431" i="10"/>
  <c r="Y381" i="10"/>
  <c r="Y396" i="10"/>
  <c r="Y401" i="10"/>
  <c r="Y410" i="10"/>
  <c r="Y382" i="10"/>
  <c r="Y390" i="10"/>
  <c r="Y374" i="10"/>
  <c r="Y335" i="10"/>
  <c r="AA335" i="10" s="1"/>
  <c r="Y330" i="10"/>
  <c r="AA330" i="10" s="1"/>
  <c r="Y289" i="10"/>
  <c r="Y314" i="10"/>
  <c r="AA314" i="10" s="1"/>
  <c r="Y352" i="10"/>
  <c r="AA352" i="10" s="1"/>
  <c r="Y358" i="10"/>
  <c r="AA358" i="10" s="1"/>
  <c r="Y315" i="10"/>
  <c r="AA315" i="10" s="1"/>
  <c r="Y275" i="10"/>
  <c r="AA275" i="10" s="1"/>
  <c r="Y261" i="10"/>
  <c r="AA261" i="10" s="1"/>
  <c r="Y283" i="10"/>
  <c r="Y260" i="10"/>
  <c r="AA260" i="10" s="1"/>
  <c r="Y225" i="10"/>
  <c r="AA225" i="10" s="1"/>
  <c r="Y248" i="10"/>
  <c r="AA248" i="10" s="1"/>
  <c r="Y229" i="10"/>
  <c r="AA229" i="10" s="1"/>
  <c r="Z271" i="10"/>
  <c r="AA271" i="10" s="1"/>
  <c r="Z245" i="10"/>
  <c r="Z279" i="10"/>
  <c r="Z270" i="10"/>
  <c r="AA270" i="10" s="1"/>
  <c r="X951" i="10"/>
  <c r="X991" i="10"/>
  <c r="X700" i="10"/>
  <c r="X676" i="10"/>
  <c r="X658" i="10"/>
  <c r="W120" i="10"/>
  <c r="W115" i="10"/>
  <c r="W117" i="10"/>
  <c r="W97" i="10"/>
  <c r="W129" i="10"/>
  <c r="W988" i="10"/>
  <c r="W944" i="10"/>
  <c r="W992" i="10"/>
  <c r="W935" i="10"/>
  <c r="W953" i="10"/>
  <c r="W952" i="10"/>
  <c r="W683" i="10"/>
  <c r="W670" i="10"/>
  <c r="W706" i="10"/>
  <c r="W681" i="10"/>
  <c r="W712" i="10"/>
  <c r="W684" i="10"/>
  <c r="Z246" i="10"/>
  <c r="Z262" i="10"/>
  <c r="AA262" i="10" s="1"/>
  <c r="Z228" i="10"/>
  <c r="Z240" i="10"/>
  <c r="Z225" i="10"/>
  <c r="Z227" i="10"/>
  <c r="AA227" i="10" s="1"/>
  <c r="Z264" i="10"/>
  <c r="Z258" i="10"/>
  <c r="Z233" i="10"/>
  <c r="Z244" i="10"/>
  <c r="Z283" i="10"/>
  <c r="Z263" i="10"/>
  <c r="Z234" i="10"/>
  <c r="Z231" i="10"/>
  <c r="Z274" i="10"/>
  <c r="Z247" i="10"/>
  <c r="AA247" i="10" s="1"/>
  <c r="Z243" i="10"/>
  <c r="AA243" i="10" s="1"/>
  <c r="Z272" i="10"/>
  <c r="Z278" i="10"/>
  <c r="AA278" i="10" s="1"/>
  <c r="Z232" i="10"/>
  <c r="Z259" i="10"/>
  <c r="AA259" i="10" s="1"/>
  <c r="Z256" i="10"/>
  <c r="AA256" i="10" s="1"/>
  <c r="Z280" i="10"/>
  <c r="Z267" i="10"/>
  <c r="AA267" i="10" s="1"/>
  <c r="Z220" i="10"/>
  <c r="Z226" i="10"/>
  <c r="Z275" i="10"/>
  <c r="Z235" i="10"/>
  <c r="Z257" i="10"/>
  <c r="AA257" i="10" s="1"/>
  <c r="Z249" i="10"/>
  <c r="AA249" i="10" s="1"/>
  <c r="X552" i="10"/>
  <c r="X521" i="10"/>
  <c r="X555" i="10"/>
  <c r="X508" i="10"/>
  <c r="X524" i="10"/>
  <c r="X553" i="10"/>
  <c r="X541" i="10"/>
  <c r="X523" i="10"/>
  <c r="X525" i="10"/>
  <c r="X519" i="10"/>
  <c r="X503" i="10"/>
  <c r="X560" i="10"/>
  <c r="X530" i="10"/>
  <c r="X502" i="10"/>
  <c r="X561" i="10"/>
  <c r="X531" i="10"/>
  <c r="X501" i="10"/>
  <c r="X562" i="10"/>
  <c r="X569" i="10"/>
  <c r="X532" i="10"/>
  <c r="X533" i="10"/>
  <c r="X534" i="10"/>
  <c r="X563" i="10"/>
  <c r="X535" i="10"/>
  <c r="X536" i="10"/>
  <c r="X537" i="10"/>
  <c r="X564" i="10"/>
  <c r="X538" i="10"/>
  <c r="X539" i="10"/>
  <c r="X565" i="10"/>
  <c r="X540" i="10"/>
  <c r="X551" i="10"/>
  <c r="X545" i="10"/>
  <c r="X566" i="10"/>
  <c r="X546" i="10"/>
  <c r="X544" i="10"/>
  <c r="X567" i="10"/>
  <c r="X543" i="10"/>
  <c r="X547" i="10"/>
  <c r="X568" i="10"/>
  <c r="X529" i="10"/>
  <c r="X515" i="10"/>
  <c r="X559" i="10"/>
  <c r="X542" i="10"/>
  <c r="X504" i="10"/>
  <c r="X571" i="10"/>
  <c r="X518" i="10"/>
  <c r="X514" i="10"/>
  <c r="X528" i="10"/>
  <c r="X554" i="10"/>
  <c r="X558" i="10"/>
  <c r="X570" i="10"/>
  <c r="X517" i="10"/>
  <c r="X509" i="10"/>
  <c r="X505" i="10"/>
  <c r="X511" i="10"/>
  <c r="X548" i="10"/>
  <c r="X512" i="10"/>
  <c r="X557" i="10"/>
  <c r="X522" i="10"/>
  <c r="X527" i="10"/>
  <c r="X520" i="10"/>
  <c r="X549" i="10"/>
  <c r="X506" i="10"/>
  <c r="X550" i="10"/>
  <c r="X510" i="10"/>
  <c r="X556" i="10"/>
  <c r="X513" i="10"/>
  <c r="X516" i="10"/>
  <c r="X526" i="10"/>
  <c r="X667" i="10"/>
  <c r="X661" i="10"/>
  <c r="X699" i="10"/>
  <c r="X664" i="10"/>
  <c r="X672" i="10"/>
  <c r="X660" i="10"/>
  <c r="X696" i="10"/>
  <c r="X693" i="10"/>
  <c r="X656" i="10"/>
  <c r="X679" i="10"/>
  <c r="X680" i="10"/>
  <c r="X692" i="10"/>
  <c r="X712" i="10"/>
  <c r="X684" i="10"/>
  <c r="X703" i="10"/>
  <c r="X698" i="10"/>
  <c r="X682" i="10"/>
  <c r="X694" i="10"/>
  <c r="X665" i="10"/>
  <c r="X702" i="10"/>
  <c r="X683" i="10"/>
  <c r="X675" i="10"/>
  <c r="X681" i="10"/>
  <c r="X668" i="10"/>
  <c r="X651" i="10"/>
  <c r="X650" i="10"/>
  <c r="X140" i="10"/>
  <c r="X85" i="10"/>
  <c r="X120" i="10"/>
  <c r="X110" i="10"/>
  <c r="X136" i="10"/>
  <c r="X83" i="10"/>
  <c r="X126" i="10"/>
  <c r="X103" i="10"/>
  <c r="X93" i="10"/>
  <c r="X80" i="10"/>
  <c r="X105" i="10"/>
  <c r="X123" i="10"/>
  <c r="X139" i="10"/>
  <c r="X81" i="10"/>
  <c r="X117" i="10"/>
  <c r="X113" i="10"/>
  <c r="X138" i="10"/>
  <c r="X108" i="10"/>
  <c r="X116" i="10"/>
  <c r="X142" i="10"/>
  <c r="X101" i="10"/>
  <c r="X76" i="10"/>
  <c r="X87" i="10"/>
  <c r="X119" i="10"/>
  <c r="X115" i="10"/>
  <c r="X104" i="10"/>
  <c r="X96" i="10"/>
  <c r="X124" i="10"/>
  <c r="X88" i="10"/>
  <c r="X79" i="10"/>
  <c r="X118" i="10"/>
  <c r="X132" i="10"/>
  <c r="X133" i="10"/>
  <c r="X144" i="10"/>
  <c r="X90" i="10"/>
  <c r="X135" i="10"/>
  <c r="X75" i="10"/>
  <c r="X89" i="10"/>
  <c r="X106" i="10"/>
  <c r="X127" i="10"/>
  <c r="X121" i="10"/>
  <c r="X92" i="10"/>
  <c r="X111" i="10"/>
  <c r="X102" i="10"/>
  <c r="X84" i="10"/>
  <c r="X82" i="10"/>
  <c r="X107" i="10"/>
  <c r="X94" i="10"/>
  <c r="X125" i="10"/>
  <c r="X143" i="10"/>
  <c r="X114" i="10"/>
  <c r="X97" i="10"/>
  <c r="X129" i="10"/>
  <c r="X112" i="10"/>
  <c r="X77" i="10"/>
  <c r="X130" i="10"/>
  <c r="X128" i="10"/>
  <c r="X98" i="10"/>
  <c r="X145" i="10"/>
  <c r="X99" i="10"/>
  <c r="X134" i="10"/>
  <c r="X141" i="10"/>
  <c r="X95" i="10"/>
  <c r="X91" i="10"/>
  <c r="X137" i="10"/>
  <c r="X122" i="10"/>
  <c r="X100" i="10"/>
  <c r="X78" i="10"/>
  <c r="X86" i="10"/>
  <c r="X131" i="10"/>
  <c r="X955" i="10"/>
  <c r="X954" i="10"/>
  <c r="X983" i="10"/>
  <c r="X966" i="10"/>
  <c r="X933" i="10"/>
  <c r="X964" i="10"/>
  <c r="X937" i="10"/>
  <c r="X965" i="10"/>
  <c r="X967" i="10"/>
  <c r="X971" i="10"/>
  <c r="X996" i="10"/>
  <c r="X978" i="10"/>
  <c r="X961" i="10"/>
  <c r="X989" i="10"/>
  <c r="X969" i="10"/>
  <c r="X960" i="10"/>
  <c r="X976" i="10"/>
  <c r="X945" i="10"/>
  <c r="X931" i="10"/>
  <c r="X943" i="10"/>
  <c r="X936" i="10"/>
  <c r="X934" i="10"/>
  <c r="X941" i="10"/>
  <c r="X973" i="10"/>
  <c r="X980" i="10"/>
  <c r="X986" i="10"/>
  <c r="X958" i="10"/>
  <c r="X957" i="10"/>
  <c r="X997" i="10"/>
  <c r="X950" i="10"/>
  <c r="X984" i="10"/>
  <c r="X959" i="10"/>
  <c r="X981" i="10"/>
  <c r="X974" i="10"/>
  <c r="X944" i="10"/>
  <c r="X938" i="10"/>
  <c r="X928" i="10"/>
  <c r="X947" i="10"/>
  <c r="X977" i="10"/>
  <c r="X972" i="10"/>
  <c r="X940" i="10"/>
  <c r="X929" i="10"/>
  <c r="X988" i="10"/>
  <c r="X927" i="10"/>
  <c r="X942" i="10"/>
  <c r="X956" i="10"/>
  <c r="X674" i="10"/>
  <c r="X685" i="10"/>
  <c r="X662" i="10"/>
  <c r="X666" i="10"/>
  <c r="X713" i="10"/>
  <c r="X671" i="10"/>
  <c r="X648" i="10"/>
  <c r="X669" i="10"/>
  <c r="X644" i="10"/>
  <c r="W130" i="10"/>
  <c r="W125" i="10"/>
  <c r="W135" i="10"/>
  <c r="W112" i="10"/>
  <c r="W104" i="10"/>
  <c r="W75" i="10"/>
  <c r="W77" i="10"/>
  <c r="W88" i="10"/>
  <c r="W80" i="10"/>
  <c r="W87" i="10"/>
  <c r="W83" i="10"/>
  <c r="W133" i="10"/>
  <c r="W121" i="10"/>
  <c r="W123" i="10"/>
  <c r="W976" i="10"/>
  <c r="W974" i="10"/>
  <c r="W957" i="10"/>
  <c r="W971" i="10"/>
  <c r="W951" i="10"/>
  <c r="W959" i="10"/>
  <c r="W936" i="10"/>
  <c r="W978" i="10"/>
  <c r="W934" i="10"/>
  <c r="W964" i="10"/>
  <c r="W965" i="10"/>
  <c r="W982" i="10"/>
  <c r="W701" i="10"/>
  <c r="W663" i="10"/>
  <c r="W700" i="10"/>
  <c r="W666" i="10"/>
  <c r="W644" i="10"/>
  <c r="W695" i="10"/>
  <c r="W671" i="10"/>
  <c r="W645" i="10"/>
  <c r="W688" i="10"/>
  <c r="W661" i="10"/>
  <c r="W707" i="10"/>
  <c r="W705" i="10"/>
  <c r="W664" i="10"/>
  <c r="W682" i="10"/>
  <c r="Z321" i="10"/>
  <c r="AA321" i="10" s="1"/>
  <c r="Z315" i="10"/>
  <c r="Z328" i="10"/>
  <c r="Z334" i="10"/>
  <c r="Z345" i="10"/>
  <c r="Z353" i="10"/>
  <c r="Z289" i="10"/>
  <c r="Z303" i="10"/>
  <c r="Z338" i="10"/>
  <c r="AA338" i="10" s="1"/>
  <c r="X146" i="10"/>
  <c r="X153" i="10"/>
  <c r="X157" i="10"/>
  <c r="X163" i="10"/>
  <c r="X168" i="10"/>
  <c r="X173" i="10"/>
  <c r="X179" i="10"/>
  <c r="X191" i="10"/>
  <c r="X202" i="10"/>
  <c r="X208" i="10"/>
  <c r="X213" i="10"/>
  <c r="X182" i="10"/>
  <c r="X195" i="10"/>
  <c r="X576" i="10"/>
  <c r="X581" i="10"/>
  <c r="X587" i="10"/>
  <c r="X592" i="10"/>
  <c r="X597" i="10"/>
  <c r="X602" i="10"/>
  <c r="X607" i="10"/>
  <c r="X612" i="10"/>
  <c r="X618" i="10"/>
  <c r="X624" i="10"/>
  <c r="X629" i="10"/>
  <c r="X634" i="10"/>
  <c r="X639" i="10"/>
  <c r="X715" i="10"/>
  <c r="X720" i="10"/>
  <c r="X725" i="10"/>
  <c r="X730" i="10"/>
  <c r="X737" i="10"/>
  <c r="X742" i="10"/>
  <c r="X747" i="10"/>
  <c r="X752" i="10"/>
  <c r="X757" i="10"/>
  <c r="X763" i="10"/>
  <c r="X768" i="10"/>
  <c r="X773" i="10"/>
  <c r="X778" i="10"/>
  <c r="X788" i="10"/>
  <c r="X794" i="10"/>
  <c r="X799" i="10"/>
  <c r="X804" i="10"/>
  <c r="X810" i="10"/>
  <c r="X815" i="10"/>
  <c r="X820" i="10"/>
  <c r="X825" i="10"/>
  <c r="X831" i="10"/>
  <c r="X836" i="10"/>
  <c r="X841" i="10"/>
  <c r="X852" i="10"/>
  <c r="X851" i="10"/>
  <c r="X5" i="10"/>
  <c r="X10" i="10"/>
  <c r="X15" i="10"/>
  <c r="X21" i="10"/>
  <c r="X26" i="10"/>
  <c r="X31" i="10"/>
  <c r="X36" i="10"/>
  <c r="X42" i="10"/>
  <c r="X47" i="10"/>
  <c r="X52" i="10"/>
  <c r="X57" i="10"/>
  <c r="X63" i="10"/>
  <c r="X69" i="10"/>
  <c r="AA69" i="10" s="1"/>
  <c r="AC69" i="10" s="1"/>
  <c r="W10" i="10"/>
  <c r="W15" i="10"/>
  <c r="W20" i="10"/>
  <c r="W25" i="10"/>
  <c r="W31" i="10"/>
  <c r="W36" i="10"/>
  <c r="W41" i="10"/>
  <c r="W47" i="10"/>
  <c r="W52" i="10"/>
  <c r="W57" i="10"/>
  <c r="W62" i="10"/>
  <c r="W67" i="10"/>
  <c r="W210" i="10"/>
  <c r="W215" i="10"/>
  <c r="W190" i="10"/>
  <c r="W575" i="10"/>
  <c r="W580" i="10"/>
  <c r="W585" i="10"/>
  <c r="W590" i="10"/>
  <c r="W596" i="10"/>
  <c r="W602" i="10"/>
  <c r="W608" i="10"/>
  <c r="W614" i="10"/>
  <c r="W620" i="10"/>
  <c r="W628" i="10"/>
  <c r="W634" i="10"/>
  <c r="W640" i="10"/>
  <c r="W787" i="10"/>
  <c r="W793" i="10"/>
  <c r="W799" i="10"/>
  <c r="W806" i="10"/>
  <c r="W812" i="10"/>
  <c r="W817" i="10"/>
  <c r="W823" i="10"/>
  <c r="W830" i="10"/>
  <c r="W836" i="10"/>
  <c r="W842" i="10"/>
  <c r="W854" i="10"/>
  <c r="Y901" i="10"/>
  <c r="Y920" i="10"/>
  <c r="Y881" i="10"/>
  <c r="Y892" i="10"/>
  <c r="Y874" i="10"/>
  <c r="Y897" i="10"/>
  <c r="Y862" i="10"/>
  <c r="Y889" i="10"/>
  <c r="Y649" i="10"/>
  <c r="Y668" i="10"/>
  <c r="Y705" i="10"/>
  <c r="Y681" i="10"/>
  <c r="Y654" i="10"/>
  <c r="Y697" i="10"/>
  <c r="Y691" i="10"/>
  <c r="Y553" i="10"/>
  <c r="Y508" i="10"/>
  <c r="Y570" i="10"/>
  <c r="Y561" i="10"/>
  <c r="Y536" i="10"/>
  <c r="Y532" i="10"/>
  <c r="Y548" i="10"/>
  <c r="Y529" i="10"/>
  <c r="Y474" i="10"/>
  <c r="Y458" i="10"/>
  <c r="Y442" i="10"/>
  <c r="Y434" i="10"/>
  <c r="Y454" i="10"/>
  <c r="Y462" i="10"/>
  <c r="Y490" i="10"/>
  <c r="Y500" i="10"/>
  <c r="Y378" i="10"/>
  <c r="Y385" i="10"/>
  <c r="Y426" i="10"/>
  <c r="Y365" i="10"/>
  <c r="Y387" i="10"/>
  <c r="Y384" i="10"/>
  <c r="Y388" i="10"/>
  <c r="Y288" i="10"/>
  <c r="Y305" i="10"/>
  <c r="Y347" i="10"/>
  <c r="Y308" i="10"/>
  <c r="Y357" i="10"/>
  <c r="Y323" i="10"/>
  <c r="Y355" i="10"/>
  <c r="Y286" i="10"/>
  <c r="Y271" i="10"/>
  <c r="Y218" i="10"/>
  <c r="Y256" i="10"/>
  <c r="Y276" i="10"/>
  <c r="Y274" i="10"/>
  <c r="Y240" i="10"/>
  <c r="Z219" i="10"/>
  <c r="Z239" i="10"/>
  <c r="Z238" i="10"/>
  <c r="Z248" i="10"/>
  <c r="X987" i="10"/>
  <c r="X985" i="10"/>
  <c r="X704" i="10"/>
  <c r="X688" i="10"/>
  <c r="X707" i="10"/>
  <c r="W93" i="10"/>
  <c r="W85" i="10"/>
  <c r="W109" i="10"/>
  <c r="W118" i="10"/>
  <c r="W99" i="10"/>
  <c r="W928" i="10"/>
  <c r="W985" i="10"/>
  <c r="W940" i="10"/>
  <c r="W993" i="10"/>
  <c r="W932" i="10"/>
  <c r="W980" i="10"/>
  <c r="W948" i="10"/>
  <c r="W658" i="10"/>
  <c r="W704" i="10"/>
  <c r="W694" i="10"/>
  <c r="W654" i="10"/>
  <c r="W692" i="10"/>
  <c r="W687" i="10"/>
  <c r="Z291" i="10"/>
  <c r="Z292" i="10"/>
  <c r="Z293" i="10"/>
  <c r="Z294" i="10"/>
  <c r="Z295" i="10"/>
  <c r="Z298" i="10"/>
  <c r="Z299" i="10"/>
  <c r="Z300" i="10"/>
  <c r="Z304" i="10"/>
  <c r="Z305" i="10"/>
  <c r="Z308" i="10"/>
  <c r="Z311" i="10"/>
  <c r="Z313" i="10"/>
  <c r="Z317" i="10"/>
  <c r="Z318" i="10"/>
  <c r="Z324" i="10"/>
  <c r="Z325" i="10"/>
  <c r="Z332" i="10"/>
  <c r="Z349" i="10"/>
  <c r="Z312" i="10"/>
  <c r="Z316" i="10"/>
  <c r="Z319" i="10"/>
  <c r="Z326" i="10"/>
  <c r="Z329" i="10"/>
  <c r="Z331" i="10"/>
  <c r="Z339" i="10"/>
  <c r="Z341" i="10"/>
  <c r="Z346" i="10"/>
  <c r="Z350" i="10"/>
  <c r="Z352" i="10"/>
  <c r="Z355" i="10"/>
  <c r="Z358" i="10"/>
  <c r="Z290" i="10"/>
  <c r="Z301" i="10"/>
  <c r="Z306" i="10"/>
  <c r="Z336" i="10"/>
  <c r="Z343" i="10"/>
  <c r="Z347" i="10"/>
  <c r="Z357" i="10"/>
  <c r="X148" i="10"/>
  <c r="X150" i="10"/>
  <c r="X151" i="10"/>
  <c r="X155" i="10"/>
  <c r="X156" i="10"/>
  <c r="X159" i="10"/>
  <c r="X161" i="10"/>
  <c r="X164" i="10"/>
  <c r="X166" i="10"/>
  <c r="X169" i="10"/>
  <c r="X171" i="10"/>
  <c r="X172" i="10"/>
  <c r="X176" i="10"/>
  <c r="X177" i="10"/>
  <c r="X181" i="10"/>
  <c r="X185" i="10"/>
  <c r="X192" i="10"/>
  <c r="X194" i="10"/>
  <c r="X197" i="10"/>
  <c r="X205" i="10"/>
  <c r="X207" i="10"/>
  <c r="X210" i="10"/>
  <c r="X211" i="10"/>
  <c r="X215" i="10"/>
  <c r="X216" i="10"/>
  <c r="X184" i="10"/>
  <c r="X187" i="10"/>
  <c r="X189" i="10"/>
  <c r="X199" i="10"/>
  <c r="X201" i="10"/>
  <c r="X573" i="10"/>
  <c r="X575" i="10"/>
  <c r="X578" i="10"/>
  <c r="X579" i="10"/>
  <c r="X582" i="10"/>
  <c r="X584" i="10"/>
  <c r="X586" i="10"/>
  <c r="X589" i="10"/>
  <c r="X591" i="10"/>
  <c r="X594" i="10"/>
  <c r="X596" i="10"/>
  <c r="X599" i="10"/>
  <c r="X600" i="10"/>
  <c r="X603" i="10"/>
  <c r="X605" i="10"/>
  <c r="X608" i="10"/>
  <c r="X610" i="10"/>
  <c r="X613" i="10"/>
  <c r="X615" i="10"/>
  <c r="X617" i="10"/>
  <c r="X620" i="10"/>
  <c r="X623" i="10"/>
  <c r="X626" i="10"/>
  <c r="X628" i="10"/>
  <c r="X631" i="10"/>
  <c r="X632" i="10"/>
  <c r="X635" i="10"/>
  <c r="X637" i="10"/>
  <c r="X640" i="10"/>
  <c r="X642" i="10"/>
  <c r="X714" i="10"/>
  <c r="X717" i="10"/>
  <c r="X719" i="10"/>
  <c r="X722" i="10"/>
  <c r="X724" i="10"/>
  <c r="X727" i="10"/>
  <c r="X729" i="10"/>
  <c r="X732" i="10"/>
  <c r="X733" i="10"/>
  <c r="X736" i="10"/>
  <c r="X738" i="10"/>
  <c r="X740" i="10"/>
  <c r="X743" i="10"/>
  <c r="X745" i="10"/>
  <c r="X748" i="10"/>
  <c r="X750" i="10"/>
  <c r="X753" i="10"/>
  <c r="X755" i="10"/>
  <c r="X758" i="10"/>
  <c r="X760" i="10"/>
  <c r="X762" i="10"/>
  <c r="X764" i="10"/>
  <c r="X767" i="10"/>
  <c r="X769" i="10"/>
  <c r="X771" i="10"/>
  <c r="X774" i="10"/>
  <c r="X776" i="10"/>
  <c r="X779" i="10"/>
  <c r="X781" i="10"/>
  <c r="X784" i="10"/>
  <c r="X786" i="10"/>
  <c r="X789" i="10"/>
  <c r="X791" i="10"/>
  <c r="X793" i="10"/>
  <c r="X795" i="10"/>
  <c r="X798" i="10"/>
  <c r="X800" i="10"/>
  <c r="X803" i="10"/>
  <c r="X805" i="10"/>
  <c r="X807" i="10"/>
  <c r="X809" i="10"/>
  <c r="X812" i="10"/>
  <c r="X814" i="10"/>
  <c r="X816" i="10"/>
  <c r="X819" i="10"/>
  <c r="X821" i="10"/>
  <c r="X824" i="10"/>
  <c r="X826" i="10"/>
  <c r="X828" i="10"/>
  <c r="X830" i="10"/>
  <c r="X833" i="10"/>
  <c r="X835" i="10"/>
  <c r="X837" i="10"/>
  <c r="X840" i="10"/>
  <c r="X842" i="10"/>
  <c r="X847" i="10"/>
  <c r="X855" i="10"/>
  <c r="X846" i="10"/>
  <c r="X850" i="10"/>
  <c r="X854" i="10"/>
  <c r="X4" i="10"/>
  <c r="X7" i="10"/>
  <c r="X9" i="10"/>
  <c r="X11" i="10"/>
  <c r="X14" i="10"/>
  <c r="X16" i="10"/>
  <c r="X19" i="10"/>
  <c r="X20" i="10"/>
  <c r="X24" i="10"/>
  <c r="X25" i="10"/>
  <c r="X28" i="10"/>
  <c r="X30" i="10"/>
  <c r="X33" i="10"/>
  <c r="X35" i="10"/>
  <c r="X38" i="10"/>
  <c r="X40" i="10"/>
  <c r="X41" i="10"/>
  <c r="X45" i="10"/>
  <c r="X46" i="10"/>
  <c r="X50" i="10"/>
  <c r="X51" i="10"/>
  <c r="X55" i="10"/>
  <c r="X56" i="10"/>
  <c r="X59" i="10"/>
  <c r="X61" i="10"/>
  <c r="X64" i="10"/>
  <c r="X66" i="10"/>
  <c r="X67" i="10"/>
  <c r="X71" i="10"/>
  <c r="X72" i="10"/>
  <c r="W5" i="10"/>
  <c r="W6" i="10"/>
  <c r="W9" i="10"/>
  <c r="W11" i="10"/>
  <c r="W13" i="10"/>
  <c r="W16" i="10"/>
  <c r="W18" i="10"/>
  <c r="W21" i="10"/>
  <c r="W22" i="10"/>
  <c r="W26" i="10"/>
  <c r="W27" i="10"/>
  <c r="W29" i="10"/>
  <c r="W32" i="10"/>
  <c r="W34" i="10"/>
  <c r="W37" i="10"/>
  <c r="W39" i="10"/>
  <c r="W42" i="10"/>
  <c r="W44" i="10"/>
  <c r="W46" i="10"/>
  <c r="W48" i="10"/>
  <c r="W51" i="10"/>
  <c r="W53" i="10"/>
  <c r="W56" i="10"/>
  <c r="W58" i="10"/>
  <c r="W60" i="10"/>
  <c r="W63" i="10"/>
  <c r="W65" i="10"/>
  <c r="W68" i="10"/>
  <c r="W206" i="10"/>
  <c r="W209" i="10"/>
  <c r="W211" i="10"/>
  <c r="W214" i="10"/>
  <c r="W216" i="10"/>
  <c r="W186" i="10"/>
  <c r="W191" i="10"/>
  <c r="W193" i="10"/>
  <c r="W196" i="10"/>
  <c r="W202" i="10"/>
  <c r="W574" i="10"/>
  <c r="W576" i="10"/>
  <c r="W579" i="10"/>
  <c r="W581" i="10"/>
  <c r="W584" i="10"/>
  <c r="W586" i="10"/>
  <c r="W588" i="10"/>
  <c r="W591" i="10"/>
  <c r="W593" i="10"/>
  <c r="W595" i="10"/>
  <c r="W599" i="10"/>
  <c r="W601" i="10"/>
  <c r="W603" i="10"/>
  <c r="W607" i="10"/>
  <c r="W609" i="10"/>
  <c r="W612" i="10"/>
  <c r="W615" i="10"/>
  <c r="W618" i="10"/>
  <c r="W622" i="10"/>
  <c r="W624" i="10"/>
  <c r="W627" i="10"/>
  <c r="W630" i="10"/>
  <c r="W633" i="10"/>
  <c r="W636" i="10"/>
  <c r="W639" i="10"/>
  <c r="W641" i="10"/>
  <c r="W785" i="10"/>
  <c r="W788" i="10"/>
  <c r="W791" i="10"/>
  <c r="W794" i="10"/>
  <c r="W796" i="10"/>
  <c r="W800" i="10"/>
  <c r="W802" i="10"/>
  <c r="W804" i="10"/>
  <c r="W808" i="10"/>
  <c r="W810" i="10"/>
  <c r="W813" i="10"/>
  <c r="W816" i="10"/>
  <c r="W819" i="10"/>
  <c r="W822" i="10"/>
  <c r="W824" i="10"/>
  <c r="W827" i="10"/>
  <c r="W829" i="10"/>
  <c r="W833" i="10"/>
  <c r="W835" i="10"/>
  <c r="W838" i="10"/>
  <c r="W841" i="10"/>
  <c r="W844" i="10"/>
  <c r="W853" i="10"/>
  <c r="W847" i="10"/>
  <c r="W851" i="10"/>
  <c r="W855" i="10"/>
  <c r="Y917" i="10"/>
  <c r="Y898" i="10"/>
  <c r="Y909" i="10"/>
  <c r="Y910" i="10"/>
  <c r="Y922" i="10"/>
  <c r="Y907" i="10"/>
  <c r="Y908" i="10"/>
  <c r="Y865" i="10"/>
  <c r="Y878" i="10"/>
  <c r="Y880" i="10"/>
  <c r="Y879" i="10"/>
  <c r="Y923" i="10"/>
  <c r="Y899" i="10"/>
  <c r="Y866" i="10"/>
  <c r="Y887" i="10"/>
  <c r="Y864" i="10"/>
  <c r="Y884" i="10"/>
  <c r="Y860" i="10"/>
  <c r="Y886" i="10"/>
  <c r="Y894" i="10"/>
  <c r="Y664" i="10"/>
  <c r="Y708" i="10"/>
  <c r="Y686" i="10"/>
  <c r="Y669" i="10"/>
  <c r="Y650" i="10"/>
  <c r="Y673" i="10"/>
  <c r="Y671" i="10"/>
  <c r="Y667" i="10"/>
  <c r="Y702" i="10"/>
  <c r="Y693" i="10"/>
  <c r="Y659" i="10"/>
  <c r="Y694" i="10"/>
  <c r="Y696" i="10"/>
  <c r="Y700" i="10"/>
  <c r="Y648" i="10"/>
  <c r="Y644" i="10"/>
  <c r="Y712" i="10"/>
  <c r="Y571" i="10"/>
  <c r="Y545" i="10"/>
  <c r="Y556" i="10"/>
  <c r="Y506" i="10"/>
  <c r="Y528" i="10"/>
  <c r="Y519" i="10"/>
  <c r="Y502" i="10"/>
  <c r="Y562" i="10"/>
  <c r="Y533" i="10"/>
  <c r="Y518" i="10"/>
  <c r="Y539" i="10"/>
  <c r="Y567" i="10"/>
  <c r="Y543" i="10"/>
  <c r="Y516" i="10"/>
  <c r="Y521" i="10"/>
  <c r="Y551" i="10"/>
  <c r="Y523" i="10"/>
  <c r="Y510" i="10"/>
  <c r="Y464" i="10"/>
  <c r="Y493" i="10"/>
  <c r="Y450" i="10"/>
  <c r="Y475" i="10"/>
  <c r="Y498" i="10"/>
  <c r="Y459" i="10"/>
  <c r="Y465" i="10"/>
  <c r="Y476" i="10"/>
  <c r="Y478" i="10"/>
  <c r="Y433" i="10"/>
  <c r="Y473" i="10"/>
  <c r="Y437" i="10"/>
  <c r="Y469" i="10"/>
  <c r="Y451" i="10"/>
  <c r="Y461" i="10"/>
  <c r="Y432" i="10"/>
  <c r="Y446" i="10"/>
  <c r="Y368" i="10"/>
  <c r="Y423" i="10"/>
  <c r="Y412" i="10"/>
  <c r="Y411" i="10"/>
  <c r="Y403" i="10"/>
  <c r="Y400" i="10"/>
  <c r="Y408" i="10"/>
  <c r="Y413" i="10"/>
  <c r="Y425" i="10"/>
  <c r="Y379" i="10"/>
  <c r="Y362" i="10"/>
  <c r="Y419" i="10"/>
  <c r="Y372" i="10"/>
  <c r="Y427" i="10"/>
  <c r="Y376" i="10"/>
  <c r="Y386" i="10"/>
  <c r="Y303" i="10"/>
  <c r="Y341" i="10"/>
  <c r="Y328" i="10"/>
  <c r="Y348" i="10"/>
  <c r="Y342" i="10"/>
  <c r="Y293" i="10"/>
  <c r="Y338" i="10"/>
  <c r="Y317" i="10"/>
  <c r="Y297" i="10"/>
  <c r="Y296" i="10"/>
  <c r="Y307" i="10"/>
  <c r="Y319" i="10"/>
  <c r="Y327" i="10"/>
  <c r="Y300" i="10"/>
  <c r="Y332" i="10"/>
  <c r="Y353" i="10"/>
  <c r="Y299" i="10"/>
  <c r="Y287" i="10"/>
  <c r="Y242" i="10"/>
  <c r="Y230" i="10"/>
  <c r="Y244" i="10"/>
  <c r="Y284" i="10"/>
  <c r="Y273" i="10"/>
  <c r="Y219" i="10"/>
  <c r="Y269" i="10"/>
  <c r="Y233" i="10"/>
  <c r="Y282" i="10"/>
  <c r="Y236" i="10"/>
  <c r="Y277" i="10"/>
  <c r="Y231" i="10"/>
  <c r="Y249" i="10"/>
  <c r="Y235" i="10"/>
  <c r="Y250" i="10"/>
  <c r="Y222" i="10"/>
  <c r="Y258" i="10"/>
  <c r="Y238" i="10"/>
  <c r="Z266" i="10"/>
  <c r="Z287" i="10"/>
  <c r="Z281" i="10"/>
  <c r="Z261" i="10"/>
  <c r="Z273" i="10"/>
  <c r="Z254" i="10"/>
  <c r="Z268" i="10"/>
  <c r="Z222" i="10"/>
  <c r="Z260" i="10"/>
  <c r="Z253" i="10"/>
  <c r="X968" i="10"/>
  <c r="X948" i="10"/>
  <c r="X970" i="10"/>
  <c r="X939" i="10"/>
  <c r="X962" i="10"/>
  <c r="X992" i="10"/>
  <c r="X691" i="10"/>
  <c r="X708" i="10"/>
  <c r="X686" i="10"/>
  <c r="X655" i="10"/>
  <c r="X643" i="10"/>
  <c r="X710" i="10"/>
  <c r="X705" i="10"/>
  <c r="X697" i="10"/>
  <c r="X659" i="10"/>
  <c r="W107" i="10"/>
  <c r="W101" i="10"/>
  <c r="W79" i="10"/>
  <c r="W136" i="10"/>
  <c r="W126" i="10"/>
  <c r="W122" i="10"/>
  <c r="W114" i="10"/>
  <c r="W145" i="10"/>
  <c r="W144" i="10"/>
  <c r="W141" i="10"/>
  <c r="W82" i="10"/>
  <c r="W86" i="10"/>
  <c r="W100" i="10"/>
  <c r="W131" i="10"/>
  <c r="W931" i="10"/>
  <c r="W938" i="10"/>
  <c r="W984" i="10"/>
  <c r="W929" i="10"/>
  <c r="W946" i="10"/>
  <c r="W990" i="10"/>
  <c r="W930" i="10"/>
  <c r="W983" i="10"/>
  <c r="W968" i="10"/>
  <c r="W969" i="10"/>
  <c r="W973" i="10"/>
  <c r="W949" i="10"/>
  <c r="W939" i="10"/>
  <c r="W989" i="10"/>
  <c r="W662" i="10"/>
  <c r="W646" i="10"/>
  <c r="W693" i="10"/>
  <c r="W665" i="10"/>
  <c r="W686" i="10"/>
  <c r="W651" i="10"/>
  <c r="W647" i="10"/>
  <c r="W696" i="10"/>
  <c r="W667" i="10"/>
  <c r="W702" i="10"/>
  <c r="W650" i="10"/>
  <c r="W691" i="10"/>
  <c r="W708" i="10"/>
  <c r="W680" i="10"/>
  <c r="Z296" i="10"/>
  <c r="Z307" i="10"/>
  <c r="Z314" i="10"/>
  <c r="Z320" i="10"/>
  <c r="Z327" i="10"/>
  <c r="Z309" i="10"/>
  <c r="Z322" i="10"/>
  <c r="Z330" i="10"/>
  <c r="Z340" i="10"/>
  <c r="Z348" i="10"/>
  <c r="Z356" i="10"/>
  <c r="Z297" i="10"/>
  <c r="Z310" i="10"/>
  <c r="Z344" i="10"/>
  <c r="X147" i="10"/>
  <c r="X152" i="10"/>
  <c r="X158" i="10"/>
  <c r="X162" i="10"/>
  <c r="X167" i="10"/>
  <c r="X174" i="10"/>
  <c r="X178" i="10"/>
  <c r="X190" i="10"/>
  <c r="X196" i="10"/>
  <c r="X206" i="10"/>
  <c r="X212" i="10"/>
  <c r="X180" i="10"/>
  <c r="X188" i="10"/>
  <c r="X200" i="10"/>
  <c r="X574" i="10"/>
  <c r="X580" i="10"/>
  <c r="X585" i="10"/>
  <c r="X590" i="10"/>
  <c r="X595" i="10"/>
  <c r="X601" i="10"/>
  <c r="X606" i="10"/>
  <c r="X611" i="10"/>
  <c r="X616" i="10"/>
  <c r="X622" i="10"/>
  <c r="X627" i="10"/>
  <c r="X633" i="10"/>
  <c r="X638" i="10"/>
  <c r="X718" i="10"/>
  <c r="X723" i="10"/>
  <c r="X728" i="10"/>
  <c r="X734" i="10"/>
  <c r="X739" i="10"/>
  <c r="X744" i="10"/>
  <c r="X749" i="10"/>
  <c r="X754" i="10"/>
  <c r="X759" i="10"/>
  <c r="X765" i="10"/>
  <c r="X770" i="10"/>
  <c r="X775" i="10"/>
  <c r="X780" i="10"/>
  <c r="X785" i="10"/>
  <c r="X790" i="10"/>
  <c r="X796" i="10"/>
  <c r="X801" i="10"/>
  <c r="X806" i="10"/>
  <c r="X811" i="10"/>
  <c r="X817" i="10"/>
  <c r="X822" i="10"/>
  <c r="X827" i="10"/>
  <c r="X832" i="10"/>
  <c r="X838" i="10"/>
  <c r="X843" i="10"/>
  <c r="X845" i="10"/>
  <c r="X853" i="10"/>
  <c r="X6" i="10"/>
  <c r="X12" i="10"/>
  <c r="X17" i="10"/>
  <c r="X22" i="10"/>
  <c r="X27" i="10"/>
  <c r="X32" i="10"/>
  <c r="X37" i="10"/>
  <c r="X43" i="10"/>
  <c r="X48" i="10"/>
  <c r="X53" i="10"/>
  <c r="X58" i="10"/>
  <c r="X62" i="10"/>
  <c r="X68" i="10"/>
  <c r="W8" i="10"/>
  <c r="W14" i="10"/>
  <c r="W19" i="10"/>
  <c r="W24" i="10"/>
  <c r="W30" i="10"/>
  <c r="W35" i="10"/>
  <c r="W40" i="10"/>
  <c r="W45" i="10"/>
  <c r="W50" i="10"/>
  <c r="W55" i="10"/>
  <c r="W61" i="10"/>
  <c r="W66" i="10"/>
  <c r="W208" i="10"/>
  <c r="W213" i="10"/>
  <c r="W187" i="10"/>
  <c r="W194" i="10"/>
  <c r="W573" i="10"/>
  <c r="W578" i="10"/>
  <c r="W583" i="10"/>
  <c r="W589" i="10"/>
  <c r="W594" i="10"/>
  <c r="W600" i="10"/>
  <c r="W605" i="10"/>
  <c r="W611" i="10"/>
  <c r="W617" i="10"/>
  <c r="W625" i="10"/>
  <c r="W631" i="10"/>
  <c r="W637" i="10"/>
  <c r="W790" i="10"/>
  <c r="W797" i="10"/>
  <c r="W803" i="10"/>
  <c r="W809" i="10"/>
  <c r="W815" i="10"/>
  <c r="W821" i="10"/>
  <c r="W828" i="10"/>
  <c r="W834" i="10"/>
  <c r="W840" i="10"/>
  <c r="W846" i="10"/>
  <c r="W850" i="10"/>
  <c r="Y915" i="10"/>
  <c r="Y921" i="10"/>
  <c r="Y896" i="10"/>
  <c r="Y877" i="10"/>
  <c r="Y905" i="10"/>
  <c r="Y914" i="10"/>
  <c r="Y893" i="10"/>
  <c r="Y699" i="10"/>
  <c r="Y682" i="10"/>
  <c r="Y707" i="10"/>
  <c r="Y662" i="10"/>
  <c r="Y706" i="10"/>
  <c r="Y695" i="10"/>
  <c r="Y652" i="10"/>
  <c r="Y647" i="10"/>
  <c r="Y554" i="10"/>
  <c r="Y557" i="10"/>
  <c r="Y560" i="10"/>
  <c r="Y534" i="10"/>
  <c r="Y568" i="10"/>
  <c r="Y542" i="10"/>
  <c r="Y522" i="10"/>
  <c r="Y484" i="10"/>
  <c r="Y436" i="10"/>
  <c r="Y430" i="10"/>
  <c r="Y487" i="10"/>
  <c r="Y440" i="10"/>
  <c r="Y467" i="10"/>
  <c r="Y494" i="10"/>
  <c r="Y499" i="10"/>
  <c r="Y424" i="10"/>
  <c r="Y383" i="10"/>
  <c r="Y377" i="10"/>
  <c r="Y407" i="10"/>
  <c r="Y380" i="10"/>
  <c r="Y371" i="10"/>
  <c r="Y363" i="10"/>
  <c r="Y392" i="10"/>
  <c r="Y309" i="10"/>
  <c r="Y301" i="10"/>
  <c r="Y339" i="10"/>
  <c r="Y294" i="10"/>
  <c r="Y321" i="10"/>
  <c r="Y312" i="10"/>
  <c r="AA312" i="10" s="1"/>
  <c r="Y313" i="10"/>
  <c r="AA313" i="10" s="1"/>
  <c r="Y272" i="10"/>
  <c r="Y264" i="10"/>
  <c r="Y263" i="10"/>
  <c r="Y246" i="10"/>
  <c r="Y245" i="10"/>
  <c r="Y237" i="10"/>
  <c r="Y262" i="10"/>
  <c r="Z276" i="10"/>
  <c r="Z218" i="10"/>
  <c r="Z236" i="10"/>
  <c r="Z255" i="10"/>
  <c r="X949" i="10"/>
  <c r="X946" i="10"/>
  <c r="X695" i="10"/>
  <c r="X652" i="10"/>
  <c r="X677" i="10"/>
  <c r="X689" i="10"/>
  <c r="W111" i="10"/>
  <c r="W91" i="10"/>
  <c r="W139" i="10"/>
  <c r="W81" i="10"/>
  <c r="W106" i="10"/>
  <c r="W89" i="10"/>
  <c r="W942" i="10"/>
  <c r="W972" i="10"/>
  <c r="W966" i="10"/>
  <c r="W991" i="10"/>
  <c r="W994" i="10"/>
  <c r="W943" i="10"/>
  <c r="W685" i="10"/>
  <c r="W698" i="10"/>
  <c r="W676" i="10"/>
  <c r="W672" i="10"/>
  <c r="W699" i="10"/>
  <c r="W668" i="10"/>
  <c r="U969" i="10"/>
  <c r="U952" i="10"/>
  <c r="U947" i="10"/>
  <c r="U972" i="10"/>
  <c r="U928" i="10"/>
  <c r="U956" i="10"/>
  <c r="U938" i="10"/>
  <c r="U929" i="10"/>
  <c r="U932" i="10"/>
  <c r="U981" i="10"/>
  <c r="U934" i="10"/>
  <c r="U983" i="10"/>
  <c r="U966" i="10"/>
  <c r="U940" i="10"/>
  <c r="U935" i="10"/>
  <c r="U951" i="10"/>
  <c r="U986" i="10"/>
  <c r="U937" i="10"/>
  <c r="U930" i="10"/>
  <c r="U993" i="10"/>
  <c r="U946" i="10"/>
  <c r="U942" i="10"/>
  <c r="U982" i="10"/>
  <c r="U939" i="10"/>
  <c r="U933" i="10"/>
  <c r="U954" i="10"/>
  <c r="Y954" i="10" s="1"/>
  <c r="U124" i="10"/>
  <c r="U83" i="10"/>
  <c r="U131" i="10"/>
  <c r="U102" i="10"/>
  <c r="U84" i="10"/>
  <c r="U136" i="10"/>
  <c r="U78" i="10"/>
  <c r="U88" i="10"/>
  <c r="U128" i="10"/>
  <c r="U95" i="10"/>
  <c r="U91" i="10"/>
  <c r="U145" i="10"/>
  <c r="U77" i="10"/>
  <c r="U99" i="10"/>
  <c r="U107" i="10"/>
  <c r="U76" i="10"/>
  <c r="U138" i="10"/>
  <c r="U101" i="10"/>
  <c r="U75" i="10"/>
  <c r="U127" i="10"/>
  <c r="U133" i="10"/>
  <c r="U121" i="10"/>
  <c r="U126" i="10"/>
  <c r="U108" i="10"/>
  <c r="U112" i="10"/>
  <c r="U94" i="10"/>
  <c r="U116" i="10"/>
  <c r="U85" i="10"/>
  <c r="U115" i="10"/>
  <c r="U98" i="10"/>
  <c r="U113" i="10"/>
  <c r="U118" i="10"/>
  <c r="U106" i="10"/>
  <c r="U96" i="10"/>
  <c r="U104" i="10"/>
  <c r="U140" i="10"/>
  <c r="U125" i="10"/>
  <c r="U110" i="10"/>
  <c r="U129" i="10"/>
  <c r="U117" i="10"/>
  <c r="U120" i="10"/>
  <c r="U90" i="10"/>
  <c r="U130" i="10"/>
  <c r="U141" i="10"/>
  <c r="U105" i="10"/>
  <c r="U114" i="10"/>
  <c r="U134" i="10"/>
  <c r="U122" i="10"/>
  <c r="U142" i="10"/>
  <c r="U119" i="10"/>
  <c r="U82" i="10"/>
  <c r="U87" i="10"/>
  <c r="U97" i="10"/>
  <c r="U132" i="10"/>
  <c r="Y132" i="10" s="1"/>
  <c r="U143" i="10"/>
  <c r="U89" i="10"/>
  <c r="U135" i="10"/>
  <c r="U123" i="10"/>
  <c r="U81" i="10"/>
  <c r="U100" i="10"/>
  <c r="U80" i="10"/>
  <c r="U144" i="10"/>
  <c r="U139" i="10"/>
  <c r="U111" i="10"/>
  <c r="U79" i="10"/>
  <c r="U86" i="10"/>
  <c r="U92" i="10"/>
  <c r="U93" i="10"/>
  <c r="U103" i="10"/>
  <c r="U137" i="10"/>
  <c r="U109" i="10"/>
  <c r="V430" i="10" l="1"/>
  <c r="V431" i="10"/>
  <c r="V432" i="10"/>
  <c r="V433" i="10"/>
  <c r="V434" i="10"/>
  <c r="V435" i="10"/>
  <c r="V436" i="10"/>
  <c r="V437" i="10"/>
  <c r="V438" i="10"/>
  <c r="V439" i="10"/>
  <c r="V440" i="10"/>
  <c r="V441" i="10"/>
  <c r="V442" i="10"/>
  <c r="V443" i="10"/>
  <c r="V444" i="10"/>
  <c r="V445" i="10"/>
  <c r="V446" i="10"/>
  <c r="V447" i="10"/>
  <c r="V448" i="10"/>
  <c r="V449" i="10"/>
  <c r="V450" i="10"/>
  <c r="V451" i="10"/>
  <c r="V452" i="10"/>
  <c r="V453" i="10"/>
  <c r="V454" i="10"/>
  <c r="V455" i="10"/>
  <c r="V456" i="10"/>
  <c r="V457" i="10"/>
  <c r="V458" i="10"/>
  <c r="V459" i="10"/>
  <c r="V460" i="10"/>
  <c r="V461" i="10"/>
  <c r="V462" i="10"/>
  <c r="V463" i="10"/>
  <c r="V464" i="10"/>
  <c r="V465" i="10"/>
  <c r="V466" i="10"/>
  <c r="V467" i="10"/>
  <c r="V468" i="10"/>
  <c r="V469" i="10"/>
  <c r="V470" i="10"/>
  <c r="V471" i="10"/>
  <c r="V472" i="10"/>
  <c r="V473" i="10"/>
  <c r="V474" i="10"/>
  <c r="V475" i="10"/>
  <c r="V476" i="10"/>
  <c r="V477" i="10"/>
  <c r="V478" i="10"/>
  <c r="V479" i="10"/>
  <c r="V480" i="10"/>
  <c r="V481" i="10"/>
  <c r="V482" i="10"/>
  <c r="V483" i="10"/>
  <c r="V484" i="10"/>
  <c r="V485" i="10"/>
  <c r="V486" i="10"/>
  <c r="V487" i="10"/>
  <c r="V488" i="10"/>
  <c r="V489" i="10"/>
  <c r="V490" i="10"/>
  <c r="V491" i="10"/>
  <c r="V492" i="10"/>
  <c r="V493" i="10"/>
  <c r="V494" i="10"/>
  <c r="V495" i="10"/>
  <c r="V496" i="10"/>
  <c r="V497" i="10"/>
  <c r="V498" i="10"/>
  <c r="Z498" i="10" s="1"/>
  <c r="AA498" i="10" s="1"/>
  <c r="V499" i="10"/>
  <c r="Z499" i="10" s="1"/>
  <c r="AA499" i="10" s="1"/>
  <c r="V500" i="10"/>
  <c r="N501" i="10"/>
  <c r="C28" i="8"/>
  <c r="F359" i="10"/>
  <c r="F363" i="10"/>
  <c r="F364" i="10"/>
  <c r="F367" i="10"/>
  <c r="F368" i="10"/>
  <c r="F371" i="10"/>
  <c r="F373" i="10"/>
  <c r="F374" i="10"/>
  <c r="F375" i="10"/>
  <c r="F376" i="10"/>
  <c r="F381" i="10"/>
  <c r="F387" i="10"/>
  <c r="F388" i="10"/>
  <c r="F390" i="10"/>
  <c r="F391" i="10"/>
  <c r="F405" i="10"/>
  <c r="F407" i="10"/>
  <c r="F412" i="10"/>
  <c r="F413" i="10"/>
  <c r="F414" i="10"/>
  <c r="F415" i="10"/>
  <c r="F416" i="10"/>
  <c r="F417" i="10"/>
  <c r="F418" i="10"/>
  <c r="F419" i="10"/>
  <c r="F420" i="10"/>
  <c r="F421" i="10"/>
  <c r="F422" i="10"/>
  <c r="F423" i="10"/>
  <c r="F424" i="10"/>
  <c r="F425" i="10"/>
  <c r="F426" i="10"/>
  <c r="F427" i="10"/>
  <c r="F428" i="10"/>
  <c r="F429" i="10"/>
  <c r="F360" i="10"/>
  <c r="F366" i="10"/>
  <c r="F369" i="10"/>
  <c r="F372" i="10"/>
  <c r="F378" i="10"/>
  <c r="F380" i="10"/>
  <c r="F382" i="10"/>
  <c r="F383" i="10"/>
  <c r="F384" i="10"/>
  <c r="F389" i="10"/>
  <c r="F393" i="10"/>
  <c r="F394" i="10"/>
  <c r="F396" i="10"/>
  <c r="F398" i="10"/>
  <c r="F400" i="10"/>
  <c r="F401" i="10"/>
  <c r="F404" i="10"/>
  <c r="F409" i="10"/>
  <c r="F410" i="10"/>
  <c r="F361" i="10"/>
  <c r="F362" i="10"/>
  <c r="F365" i="10"/>
  <c r="F370" i="10"/>
  <c r="F377" i="10"/>
  <c r="F379" i="10"/>
  <c r="F385" i="10"/>
  <c r="F386" i="10"/>
  <c r="F392" i="10"/>
  <c r="F395" i="10"/>
  <c r="F397" i="10"/>
  <c r="F399" i="10"/>
  <c r="F402" i="10"/>
  <c r="F403" i="10"/>
  <c r="F406" i="10"/>
  <c r="F408" i="10"/>
  <c r="F411" i="10"/>
  <c r="AC306" i="10"/>
  <c r="AC312" i="10"/>
  <c r="AC313" i="10"/>
  <c r="AC315" i="10"/>
  <c r="AC316" i="10"/>
  <c r="AC317" i="10"/>
  <c r="AC318" i="10"/>
  <c r="AC321" i="10"/>
  <c r="AC322" i="10"/>
  <c r="AC324" i="10"/>
  <c r="AC325" i="10"/>
  <c r="AC326" i="10"/>
  <c r="AC329" i="10"/>
  <c r="AC331" i="10"/>
  <c r="AC336" i="10"/>
  <c r="AC337" i="10"/>
  <c r="AC338" i="10"/>
  <c r="AC339" i="10"/>
  <c r="AC340" i="10"/>
  <c r="AC344" i="10"/>
  <c r="AC346" i="10"/>
  <c r="AC349" i="10"/>
  <c r="AC350" i="10"/>
  <c r="AC351" i="10"/>
  <c r="AC352" i="10"/>
  <c r="AC356" i="10"/>
  <c r="AC357" i="10"/>
  <c r="AC358" i="10"/>
  <c r="AC292" i="10"/>
  <c r="AC294" i="10"/>
  <c r="AC295" i="10"/>
  <c r="AC304" i="10"/>
  <c r="AC308" i="10"/>
  <c r="AC314" i="10"/>
  <c r="AC320" i="10"/>
  <c r="AC330" i="10"/>
  <c r="AC335" i="10"/>
  <c r="AC343" i="10"/>
  <c r="AC354" i="10"/>
  <c r="C16" i="11"/>
  <c r="AC288" i="10"/>
  <c r="AC290" i="10"/>
  <c r="AC291" i="10"/>
  <c r="AC293" i="10"/>
  <c r="AC298" i="10"/>
  <c r="AC300" i="10"/>
  <c r="AC301" i="10"/>
  <c r="AC309" i="10"/>
  <c r="AC310" i="10"/>
  <c r="AC327" i="10"/>
  <c r="AF269" i="10"/>
  <c r="AE269" i="10"/>
  <c r="AF276" i="10"/>
  <c r="AE276" i="10"/>
  <c r="AF286" i="10"/>
  <c r="AE286" i="10"/>
  <c r="AF277" i="10"/>
  <c r="AE277" i="10"/>
  <c r="AF281" i="10"/>
  <c r="AE281" i="10"/>
  <c r="AF284" i="10"/>
  <c r="AE284" i="10"/>
  <c r="Y950" i="10"/>
  <c r="Y977" i="10"/>
  <c r="Y989" i="10"/>
  <c r="Y957" i="10"/>
  <c r="Y974" i="10"/>
  <c r="Y927" i="10"/>
  <c r="Y928" i="10"/>
  <c r="Z360" i="10"/>
  <c r="AA360" i="10" s="1"/>
  <c r="Z366" i="10"/>
  <c r="AA366" i="10" s="1"/>
  <c r="Z370" i="10"/>
  <c r="AA370" i="10" s="1"/>
  <c r="Z372" i="10"/>
  <c r="AA372" i="10" s="1"/>
  <c r="Z374" i="10"/>
  <c r="AA374" i="10" s="1"/>
  <c r="Z376" i="10"/>
  <c r="AA376" i="10" s="1"/>
  <c r="Z381" i="10"/>
  <c r="AA381" i="10" s="1"/>
  <c r="Z384" i="10"/>
  <c r="AA384" i="10" s="1"/>
  <c r="Z391" i="10"/>
  <c r="AA391" i="10" s="1"/>
  <c r="Z398" i="10"/>
  <c r="AA398" i="10" s="1"/>
  <c r="Z400" i="10"/>
  <c r="AA400" i="10" s="1"/>
  <c r="Z401" i="10"/>
  <c r="AA401" i="10" s="1"/>
  <c r="Z403" i="10"/>
  <c r="AA403" i="10" s="1"/>
  <c r="Z405" i="10"/>
  <c r="AA405" i="10" s="1"/>
  <c r="Z409" i="10"/>
  <c r="AA409" i="10" s="1"/>
  <c r="Z410" i="10"/>
  <c r="AA410" i="10" s="1"/>
  <c r="Z359" i="10"/>
  <c r="AA359" i="10" s="1"/>
  <c r="G13" i="12" s="1"/>
  <c r="Z369" i="10"/>
  <c r="AA369" i="10" s="1"/>
  <c r="Z371" i="10"/>
  <c r="AA371" i="10" s="1"/>
  <c r="Z382" i="10"/>
  <c r="AA382" i="10" s="1"/>
  <c r="Z386" i="10"/>
  <c r="AA386" i="10" s="1"/>
  <c r="Z390" i="10"/>
  <c r="AA390" i="10" s="1"/>
  <c r="Z396" i="10"/>
  <c r="AA396" i="10" s="1"/>
  <c r="Z397" i="10"/>
  <c r="AA397" i="10" s="1"/>
  <c r="Z407" i="10"/>
  <c r="AA407" i="10" s="1"/>
  <c r="Z362" i="10"/>
  <c r="AA362" i="10" s="1"/>
  <c r="Z365" i="10"/>
  <c r="AA365" i="10" s="1"/>
  <c r="Z373" i="10"/>
  <c r="AA373" i="10" s="1"/>
  <c r="Z375" i="10"/>
  <c r="AA375" i="10" s="1"/>
  <c r="Z380" i="10"/>
  <c r="AA380" i="10" s="1"/>
  <c r="Z387" i="10"/>
  <c r="AA387" i="10" s="1"/>
  <c r="Z406" i="10"/>
  <c r="AA406" i="10" s="1"/>
  <c r="Z413" i="10"/>
  <c r="AA413" i="10" s="1"/>
  <c r="Z415" i="10"/>
  <c r="AA415" i="10" s="1"/>
  <c r="Z418" i="10"/>
  <c r="AA418" i="10" s="1"/>
  <c r="Z419" i="10"/>
  <c r="AA419" i="10" s="1"/>
  <c r="Z422" i="10"/>
  <c r="AA422" i="10" s="1"/>
  <c r="Z424" i="10"/>
  <c r="AA424" i="10" s="1"/>
  <c r="Z427" i="10"/>
  <c r="AA427" i="10" s="1"/>
  <c r="Z429" i="10"/>
  <c r="AA429" i="10" s="1"/>
  <c r="Y167" i="10"/>
  <c r="AA167" i="10" s="1"/>
  <c r="AC167" i="10" s="1"/>
  <c r="Y187" i="10"/>
  <c r="AA187" i="10" s="1"/>
  <c r="AC187" i="10" s="1"/>
  <c r="Y195" i="10"/>
  <c r="Y162" i="10"/>
  <c r="AA162" i="10" s="1"/>
  <c r="AC162" i="10" s="1"/>
  <c r="Y158" i="10"/>
  <c r="AA158" i="10" s="1"/>
  <c r="AC158" i="10" s="1"/>
  <c r="Y148" i="10"/>
  <c r="AA148" i="10" s="1"/>
  <c r="AC148" i="10" s="1"/>
  <c r="Y180" i="10"/>
  <c r="AA180" i="10" s="1"/>
  <c r="AC180" i="10" s="1"/>
  <c r="Y178" i="10"/>
  <c r="AA178" i="10" s="1"/>
  <c r="AC178" i="10" s="1"/>
  <c r="Y192" i="10"/>
  <c r="AA192" i="10" s="1"/>
  <c r="AC192" i="10" s="1"/>
  <c r="Y213" i="10"/>
  <c r="Y206" i="10"/>
  <c r="AA206" i="10" s="1"/>
  <c r="AC206" i="10" s="1"/>
  <c r="Y160" i="10"/>
  <c r="Y152" i="10"/>
  <c r="AA152" i="10" s="1"/>
  <c r="AC152" i="10" s="1"/>
  <c r="Y179" i="10"/>
  <c r="Y156" i="10"/>
  <c r="AA156" i="10" s="1"/>
  <c r="AC156" i="10" s="1"/>
  <c r="Y165" i="10"/>
  <c r="Y193" i="10"/>
  <c r="Y215" i="10"/>
  <c r="AA215" i="10" s="1"/>
  <c r="AC215" i="10" s="1"/>
  <c r="Y155" i="10"/>
  <c r="AA155" i="10" s="1"/>
  <c r="AC155" i="10" s="1"/>
  <c r="Y151" i="10"/>
  <c r="AA151" i="10" s="1"/>
  <c r="AC151" i="10" s="1"/>
  <c r="Y171" i="10"/>
  <c r="AA171" i="10" s="1"/>
  <c r="AC171" i="10" s="1"/>
  <c r="Y204" i="10"/>
  <c r="Y210" i="10"/>
  <c r="AA210" i="10" s="1"/>
  <c r="AC210" i="10" s="1"/>
  <c r="Y190" i="10"/>
  <c r="AA190" i="10" s="1"/>
  <c r="AC190" i="10" s="1"/>
  <c r="Y209" i="10"/>
  <c r="Y184" i="10"/>
  <c r="AA184" i="10" s="1"/>
  <c r="AC184" i="10" s="1"/>
  <c r="Y169" i="10"/>
  <c r="AA169" i="10" s="1"/>
  <c r="AC169" i="10" s="1"/>
  <c r="Y175" i="10"/>
  <c r="Y174" i="10"/>
  <c r="AA174" i="10" s="1"/>
  <c r="AC174" i="10" s="1"/>
  <c r="Y191" i="10"/>
  <c r="Y176" i="10"/>
  <c r="AA176" i="10" s="1"/>
  <c r="AC176" i="10" s="1"/>
  <c r="Y166" i="10"/>
  <c r="AA166" i="10" s="1"/>
  <c r="AC166" i="10" s="1"/>
  <c r="Y188" i="10"/>
  <c r="AA188" i="10" s="1"/>
  <c r="AC188" i="10" s="1"/>
  <c r="Y207" i="10"/>
  <c r="AA207" i="10" s="1"/>
  <c r="AC207" i="10" s="1"/>
  <c r="Y589" i="10"/>
  <c r="Y584" i="10"/>
  <c r="Y573" i="10"/>
  <c r="Y585" i="10"/>
  <c r="Y578" i="10"/>
  <c r="Y582" i="10"/>
  <c r="Y605" i="10"/>
  <c r="Y583" i="10"/>
  <c r="Y608" i="10"/>
  <c r="Y610" i="10"/>
  <c r="Y611" i="10"/>
  <c r="Y614" i="10"/>
  <c r="Y580" i="10"/>
  <c r="Y596" i="10"/>
  <c r="Y574" i="10"/>
  <c r="Y618" i="10"/>
  <c r="Y620" i="10"/>
  <c r="Y588" i="10"/>
  <c r="Y639" i="10"/>
  <c r="Y624" i="10"/>
  <c r="Y625" i="10"/>
  <c r="Y638" i="10"/>
  <c r="Y627" i="10"/>
  <c r="Y633" i="10"/>
  <c r="Y46" i="10"/>
  <c r="AA46" i="10" s="1"/>
  <c r="AC46" i="10" s="1"/>
  <c r="Y32" i="10"/>
  <c r="AA32" i="10" s="1"/>
  <c r="AC32" i="10" s="1"/>
  <c r="Y10" i="10"/>
  <c r="AA10" i="10" s="1"/>
  <c r="AC10" i="10" s="1"/>
  <c r="Y38" i="10"/>
  <c r="Y29" i="10"/>
  <c r="Y24" i="10"/>
  <c r="Y35" i="10"/>
  <c r="Y49" i="10"/>
  <c r="Y53" i="10"/>
  <c r="AA53" i="10" s="1"/>
  <c r="AC53" i="10" s="1"/>
  <c r="Y50" i="10"/>
  <c r="Y56" i="10"/>
  <c r="AA56" i="10" s="1"/>
  <c r="AC56" i="10" s="1"/>
  <c r="Y42" i="10"/>
  <c r="Y26" i="10"/>
  <c r="Y14" i="10"/>
  <c r="Y45" i="10"/>
  <c r="Y37" i="10"/>
  <c r="AA37" i="10" s="1"/>
  <c r="AC37" i="10" s="1"/>
  <c r="Y22" i="10"/>
  <c r="AA22" i="10" s="1"/>
  <c r="AC22" i="10" s="1"/>
  <c r="Y9" i="10"/>
  <c r="AA9" i="10" s="1"/>
  <c r="AC9" i="10" s="1"/>
  <c r="Y71" i="10"/>
  <c r="Y67" i="10"/>
  <c r="AA67" i="10" s="1"/>
  <c r="AC67" i="10" s="1"/>
  <c r="Y70" i="10"/>
  <c r="AA70" i="10" s="1"/>
  <c r="AC70" i="10" s="1"/>
  <c r="Y61" i="10"/>
  <c r="Y822" i="10"/>
  <c r="Y809" i="10"/>
  <c r="Y825" i="10"/>
  <c r="Y811" i="10"/>
  <c r="Y818" i="10"/>
  <c r="Y838" i="10"/>
  <c r="Y853" i="10"/>
  <c r="Y794" i="10"/>
  <c r="Y805" i="10"/>
  <c r="Y843" i="10"/>
  <c r="Y790" i="10"/>
  <c r="Y847" i="10"/>
  <c r="Y806" i="10"/>
  <c r="Y756" i="10"/>
  <c r="Y755" i="10"/>
  <c r="Y743" i="10"/>
  <c r="Y734" i="10"/>
  <c r="Y752" i="10"/>
  <c r="Y720" i="10"/>
  <c r="Y776" i="10"/>
  <c r="Y758" i="10"/>
  <c r="Y724" i="10"/>
  <c r="Y767" i="10"/>
  <c r="Y750" i="10"/>
  <c r="Y744" i="10"/>
  <c r="Y780" i="10"/>
  <c r="Y751" i="10"/>
  <c r="Y87" i="10"/>
  <c r="AA87" i="10" s="1"/>
  <c r="AC87" i="10" s="1"/>
  <c r="Y807" i="10"/>
  <c r="Y813" i="10"/>
  <c r="Y829" i="10"/>
  <c r="Y804" i="10"/>
  <c r="Y802" i="10"/>
  <c r="Y786" i="10"/>
  <c r="Y837" i="10"/>
  <c r="Y841" i="10"/>
  <c r="Y789" i="10"/>
  <c r="Y833" i="10"/>
  <c r="Y854" i="10"/>
  <c r="Y846" i="10"/>
  <c r="Y848" i="10"/>
  <c r="Y835" i="10"/>
  <c r="Y797" i="10"/>
  <c r="Y800" i="10"/>
  <c r="Y812" i="10"/>
  <c r="Y828" i="10"/>
  <c r="Y815" i="10"/>
  <c r="Y817" i="10"/>
  <c r="Y824" i="10"/>
  <c r="Y844" i="10"/>
  <c r="Y840" i="10"/>
  <c r="Y819" i="10"/>
  <c r="Y791" i="10"/>
  <c r="Y855" i="10"/>
  <c r="Y850" i="10"/>
  <c r="Y851" i="10"/>
  <c r="Y714" i="10"/>
  <c r="Y717" i="10"/>
  <c r="Y715" i="10"/>
  <c r="Y764" i="10"/>
  <c r="Y741" i="10"/>
  <c r="Y739" i="10"/>
  <c r="Y777" i="10"/>
  <c r="Y737" i="10"/>
  <c r="Y754" i="10"/>
  <c r="Y748" i="10"/>
  <c r="Y760" i="10"/>
  <c r="Y746" i="10"/>
  <c r="Y728" i="10"/>
  <c r="Y719" i="10"/>
  <c r="Y731" i="10"/>
  <c r="Y766" i="10"/>
  <c r="Y770" i="10"/>
  <c r="Y773" i="10"/>
  <c r="Y727" i="10"/>
  <c r="Y782" i="10"/>
  <c r="Y765" i="10"/>
  <c r="Y762" i="10"/>
  <c r="Y718" i="10"/>
  <c r="Y783" i="10"/>
  <c r="AA4" i="10"/>
  <c r="AA17" i="10"/>
  <c r="AC17" i="10" s="1"/>
  <c r="AA33" i="10"/>
  <c r="AC33" i="10" s="1"/>
  <c r="AA38" i="10"/>
  <c r="AC38" i="10" s="1"/>
  <c r="AA49" i="10"/>
  <c r="AC49" i="10" s="1"/>
  <c r="AA54" i="10"/>
  <c r="AC54" i="10" s="1"/>
  <c r="AA334" i="10"/>
  <c r="AC334" i="10" s="1"/>
  <c r="AA345" i="10"/>
  <c r="AC345" i="10" s="1"/>
  <c r="AA311" i="10"/>
  <c r="AC311" i="10" s="1"/>
  <c r="AA217" i="10"/>
  <c r="AA220" i="10"/>
  <c r="AA132" i="10"/>
  <c r="AC132" i="10" s="1"/>
  <c r="AA71" i="10"/>
  <c r="AC71" i="10" s="1"/>
  <c r="AA72" i="10"/>
  <c r="AC72" i="10" s="1"/>
  <c r="AA154" i="10"/>
  <c r="AC154" i="10" s="1"/>
  <c r="AA157" i="10"/>
  <c r="AC157" i="10" s="1"/>
  <c r="AA160" i="10"/>
  <c r="AC160" i="10" s="1"/>
  <c r="AA163" i="10"/>
  <c r="AC163" i="10" s="1"/>
  <c r="AA165" i="10"/>
  <c r="AC165" i="10" s="1"/>
  <c r="AA175" i="10"/>
  <c r="AC175" i="10" s="1"/>
  <c r="AA179" i="10"/>
  <c r="AC179" i="10" s="1"/>
  <c r="AA173" i="10"/>
  <c r="AC173" i="10" s="1"/>
  <c r="AA195" i="10"/>
  <c r="AC195" i="10" s="1"/>
  <c r="AA203" i="10"/>
  <c r="AC203" i="10" s="1"/>
  <c r="AA204" i="10"/>
  <c r="AC204" i="10" s="1"/>
  <c r="AA279" i="10"/>
  <c r="Y965" i="10"/>
  <c r="AA333" i="10"/>
  <c r="AC333" i="10" s="1"/>
  <c r="AA280" i="10"/>
  <c r="AA232" i="10"/>
  <c r="AA234" i="10"/>
  <c r="AA221" i="10"/>
  <c r="AA228" i="10"/>
  <c r="AA302" i="10"/>
  <c r="AC302" i="10" s="1"/>
  <c r="AA252" i="10"/>
  <c r="AA226" i="10"/>
  <c r="AA289" i="10"/>
  <c r="AC289" i="10" s="1"/>
  <c r="AA283" i="10"/>
  <c r="AA305" i="10"/>
  <c r="AC305" i="10" s="1"/>
  <c r="AA347" i="10"/>
  <c r="AC347" i="10" s="1"/>
  <c r="AA323" i="10"/>
  <c r="AC323" i="10" s="1"/>
  <c r="AA355" i="10"/>
  <c r="AC355" i="10" s="1"/>
  <c r="AA218" i="10"/>
  <c r="AA274" i="10"/>
  <c r="AA240" i="10"/>
  <c r="AA5" i="10"/>
  <c r="AC5" i="10" s="1"/>
  <c r="AA13" i="10"/>
  <c r="AC13" i="10" s="1"/>
  <c r="AA18" i="10"/>
  <c r="AC18" i="10" s="1"/>
  <c r="AA21" i="10"/>
  <c r="AC21" i="10" s="1"/>
  <c r="AA26" i="10"/>
  <c r="AC26" i="10" s="1"/>
  <c r="AA29" i="10"/>
  <c r="AC29" i="10" s="1"/>
  <c r="AA34" i="10"/>
  <c r="AC34" i="10" s="1"/>
  <c r="AA39" i="10"/>
  <c r="AC39" i="10" s="1"/>
  <c r="AA42" i="10"/>
  <c r="AC42" i="10" s="1"/>
  <c r="AA44" i="10"/>
  <c r="AC44" i="10" s="1"/>
  <c r="AA60" i="10"/>
  <c r="AC60" i="10" s="1"/>
  <c r="AA63" i="10"/>
  <c r="AC63" i="10" s="1"/>
  <c r="AA209" i="10"/>
  <c r="AC209" i="10" s="1"/>
  <c r="AA186" i="10"/>
  <c r="AC186" i="10" s="1"/>
  <c r="AA191" i="10"/>
  <c r="AC191" i="10" s="1"/>
  <c r="AA193" i="10"/>
  <c r="AC193" i="10" s="1"/>
  <c r="Y938" i="10"/>
  <c r="Y932" i="10"/>
  <c r="Y983" i="10"/>
  <c r="Y966" i="10"/>
  <c r="Y935" i="10"/>
  <c r="Y937" i="10"/>
  <c r="Y993" i="10"/>
  <c r="Y946" i="10"/>
  <c r="Y982" i="10"/>
  <c r="Y83" i="10"/>
  <c r="AA83" i="10" s="1"/>
  <c r="AC83" i="10" s="1"/>
  <c r="Y131" i="10"/>
  <c r="Y84" i="10"/>
  <c r="AA84" i="10" s="1"/>
  <c r="AC84" i="10" s="1"/>
  <c r="Y88" i="10"/>
  <c r="AA88" i="10" s="1"/>
  <c r="AC88" i="10" s="1"/>
  <c r="Y95" i="10"/>
  <c r="AA95" i="10" s="1"/>
  <c r="AC95" i="10" s="1"/>
  <c r="Y145" i="10"/>
  <c r="Y77" i="10"/>
  <c r="AA77" i="10" s="1"/>
  <c r="AC77" i="10" s="1"/>
  <c r="Y107" i="10"/>
  <c r="Y138" i="10"/>
  <c r="AA138" i="10" s="1"/>
  <c r="AC138" i="10" s="1"/>
  <c r="Y75" i="10"/>
  <c r="AA75" i="10" s="1"/>
  <c r="Y133" i="10"/>
  <c r="AA133" i="10" s="1"/>
  <c r="AC133" i="10" s="1"/>
  <c r="Y126" i="10"/>
  <c r="Y112" i="10"/>
  <c r="AA112" i="10" s="1"/>
  <c r="AC112" i="10" s="1"/>
  <c r="Y116" i="10"/>
  <c r="AA116" i="10" s="1"/>
  <c r="AC116" i="10" s="1"/>
  <c r="Y115" i="10"/>
  <c r="AA115" i="10" s="1"/>
  <c r="AC115" i="10" s="1"/>
  <c r="Y113" i="10"/>
  <c r="AA113" i="10" s="1"/>
  <c r="AC113" i="10" s="1"/>
  <c r="Y106" i="10"/>
  <c r="Y104" i="10"/>
  <c r="AA104" i="10" s="1"/>
  <c r="AC104" i="10" s="1"/>
  <c r="Y125" i="10"/>
  <c r="AA125" i="10" s="1"/>
  <c r="AC125" i="10" s="1"/>
  <c r="Y129" i="10"/>
  <c r="AA129" i="10" s="1"/>
  <c r="AC129" i="10" s="1"/>
  <c r="Y120" i="10"/>
  <c r="AA120" i="10" s="1"/>
  <c r="AC120" i="10" s="1"/>
  <c r="Y130" i="10"/>
  <c r="AA130" i="10" s="1"/>
  <c r="AC130" i="10" s="1"/>
  <c r="Y105" i="10"/>
  <c r="AA105" i="10" s="1"/>
  <c r="AC105" i="10" s="1"/>
  <c r="Y134" i="10"/>
  <c r="AA134" i="10" s="1"/>
  <c r="AC134" i="10" s="1"/>
  <c r="Y142" i="10"/>
  <c r="AA142" i="10" s="1"/>
  <c r="AC142" i="10" s="1"/>
  <c r="Y97" i="10"/>
  <c r="AA97" i="10" s="1"/>
  <c r="AC97" i="10" s="1"/>
  <c r="AA303" i="10"/>
  <c r="AC303" i="10" s="1"/>
  <c r="AA341" i="10"/>
  <c r="AC341" i="10" s="1"/>
  <c r="AA328" i="10"/>
  <c r="AC328" i="10" s="1"/>
  <c r="AA348" i="10"/>
  <c r="AC348" i="10" s="1"/>
  <c r="AA342" i="10"/>
  <c r="AC342" i="10" s="1"/>
  <c r="AA297" i="10"/>
  <c r="AC297" i="10" s="1"/>
  <c r="AA296" i="10"/>
  <c r="AC296" i="10" s="1"/>
  <c r="AA307" i="10"/>
  <c r="AC307" i="10" s="1"/>
  <c r="AA319" i="10"/>
  <c r="AC319" i="10" s="1"/>
  <c r="AA332" i="10"/>
  <c r="AC332" i="10" s="1"/>
  <c r="AA353" i="10"/>
  <c r="AC353" i="10" s="1"/>
  <c r="AA299" i="10"/>
  <c r="AC299" i="10" s="1"/>
  <c r="AA287" i="10"/>
  <c r="AA242" i="10"/>
  <c r="AA244" i="10"/>
  <c r="AA273" i="10"/>
  <c r="AA233" i="10"/>
  <c r="AA282" i="10"/>
  <c r="AA236" i="10"/>
  <c r="AA231" i="10"/>
  <c r="AA235" i="10"/>
  <c r="AA250" i="10"/>
  <c r="AA222" i="10"/>
  <c r="AA258" i="10"/>
  <c r="AA107" i="10"/>
  <c r="AC107" i="10" s="1"/>
  <c r="AA126" i="10"/>
  <c r="AC126" i="10" s="1"/>
  <c r="AA145" i="10"/>
  <c r="AC145" i="10" s="1"/>
  <c r="AA82" i="10"/>
  <c r="AC82" i="10" s="1"/>
  <c r="AA131" i="10"/>
  <c r="AC131" i="10" s="1"/>
  <c r="AA8" i="10"/>
  <c r="AC8" i="10" s="1"/>
  <c r="AA14" i="10"/>
  <c r="AC14" i="10" s="1"/>
  <c r="AA19" i="10"/>
  <c r="AC19" i="10" s="1"/>
  <c r="AA24" i="10"/>
  <c r="AC24" i="10" s="1"/>
  <c r="AA30" i="10"/>
  <c r="AC30" i="10" s="1"/>
  <c r="AA35" i="10"/>
  <c r="AC35" i="10" s="1"/>
  <c r="AA40" i="10"/>
  <c r="AC40" i="10" s="1"/>
  <c r="AA45" i="10"/>
  <c r="AC45" i="10" s="1"/>
  <c r="AA50" i="10"/>
  <c r="AC50" i="10" s="1"/>
  <c r="AA55" i="10"/>
  <c r="AC55" i="10" s="1"/>
  <c r="AA61" i="10"/>
  <c r="AC61" i="10" s="1"/>
  <c r="AA66" i="10"/>
  <c r="AC66" i="10" s="1"/>
  <c r="AA213" i="10"/>
  <c r="AC213" i="10" s="1"/>
  <c r="AA272" i="10"/>
  <c r="AA264" i="10"/>
  <c r="AA263" i="10"/>
  <c r="AA246" i="10"/>
  <c r="AA245" i="10"/>
  <c r="AA237" i="10"/>
  <c r="AA106" i="10"/>
  <c r="AC106" i="10" s="1"/>
  <c r="Y969" i="10"/>
  <c r="Y952" i="10"/>
  <c r="Y947" i="10"/>
  <c r="Y972" i="10"/>
  <c r="Y956" i="10"/>
  <c r="Y929" i="10"/>
  <c r="Y981" i="10"/>
  <c r="Y934" i="10"/>
  <c r="Y940" i="10"/>
  <c r="Y951" i="10"/>
  <c r="Y986" i="10"/>
  <c r="Y930" i="10"/>
  <c r="Y942" i="10"/>
  <c r="Y939" i="10"/>
  <c r="Y124" i="10"/>
  <c r="AA124" i="10" s="1"/>
  <c r="AC124" i="10" s="1"/>
  <c r="Y102" i="10"/>
  <c r="AA102" i="10" s="1"/>
  <c r="AC102" i="10" s="1"/>
  <c r="Y136" i="10"/>
  <c r="AA136" i="10" s="1"/>
  <c r="AC136" i="10" s="1"/>
  <c r="Y78" i="10"/>
  <c r="AA78" i="10" s="1"/>
  <c r="AC78" i="10" s="1"/>
  <c r="Y128" i="10"/>
  <c r="AA128" i="10" s="1"/>
  <c r="AC128" i="10" s="1"/>
  <c r="Y91" i="10"/>
  <c r="AA91" i="10" s="1"/>
  <c r="AC91" i="10" s="1"/>
  <c r="Y99" i="10"/>
  <c r="AA99" i="10" s="1"/>
  <c r="AC99" i="10" s="1"/>
  <c r="Y76" i="10"/>
  <c r="AA76" i="10" s="1"/>
  <c r="AC76" i="10" s="1"/>
  <c r="Y101" i="10"/>
  <c r="AA101" i="10" s="1"/>
  <c r="AC101" i="10" s="1"/>
  <c r="Y127" i="10"/>
  <c r="AA127" i="10" s="1"/>
  <c r="AC127" i="10" s="1"/>
  <c r="Y121" i="10"/>
  <c r="AA121" i="10" s="1"/>
  <c r="AC121" i="10" s="1"/>
  <c r="Y108" i="10"/>
  <c r="AA108" i="10" s="1"/>
  <c r="AC108" i="10" s="1"/>
  <c r="Y94" i="10"/>
  <c r="AA94" i="10" s="1"/>
  <c r="AC94" i="10" s="1"/>
  <c r="Y85" i="10"/>
  <c r="AA85" i="10" s="1"/>
  <c r="AC85" i="10" s="1"/>
  <c r="Y98" i="10"/>
  <c r="AA98" i="10" s="1"/>
  <c r="AC98" i="10" s="1"/>
  <c r="Y118" i="10"/>
  <c r="AA118" i="10" s="1"/>
  <c r="AC118" i="10" s="1"/>
  <c r="Y96" i="10"/>
  <c r="AA96" i="10" s="1"/>
  <c r="AC96" i="10" s="1"/>
  <c r="Y140" i="10"/>
  <c r="AA140" i="10" s="1"/>
  <c r="AC140" i="10" s="1"/>
  <c r="Y110" i="10"/>
  <c r="AA110" i="10" s="1"/>
  <c r="AC110" i="10" s="1"/>
  <c r="Y117" i="10"/>
  <c r="AA117" i="10" s="1"/>
  <c r="AC117" i="10" s="1"/>
  <c r="Y90" i="10"/>
  <c r="AA90" i="10" s="1"/>
  <c r="AC90" i="10" s="1"/>
  <c r="Y141" i="10"/>
  <c r="AA141" i="10" s="1"/>
  <c r="AC141" i="10" s="1"/>
  <c r="Y114" i="10"/>
  <c r="AA114" i="10" s="1"/>
  <c r="AC114" i="10" s="1"/>
  <c r="Y122" i="10"/>
  <c r="AA122" i="10" s="1"/>
  <c r="AC122" i="10" s="1"/>
  <c r="Y119" i="10"/>
  <c r="AA119" i="10" s="1"/>
  <c r="AC119" i="10" s="1"/>
  <c r="Y143" i="10"/>
  <c r="AA143" i="10" s="1"/>
  <c r="AC143" i="10" s="1"/>
  <c r="Y89" i="10"/>
  <c r="AA89" i="10" s="1"/>
  <c r="AC89" i="10" s="1"/>
  <c r="Y135" i="10"/>
  <c r="AA135" i="10" s="1"/>
  <c r="AC135" i="10" s="1"/>
  <c r="Y123" i="10"/>
  <c r="AA123" i="10" s="1"/>
  <c r="AC123" i="10" s="1"/>
  <c r="Y81" i="10"/>
  <c r="AA81" i="10" s="1"/>
  <c r="AC81" i="10" s="1"/>
  <c r="Y100" i="10"/>
  <c r="AA100" i="10" s="1"/>
  <c r="AC100" i="10" s="1"/>
  <c r="Y80" i="10"/>
  <c r="AA80" i="10" s="1"/>
  <c r="AC80" i="10" s="1"/>
  <c r="Y144" i="10"/>
  <c r="AA144" i="10" s="1"/>
  <c r="AC144" i="10" s="1"/>
  <c r="Y139" i="10"/>
  <c r="AA139" i="10" s="1"/>
  <c r="AC139" i="10" s="1"/>
  <c r="Y111" i="10"/>
  <c r="AA111" i="10" s="1"/>
  <c r="AC111" i="10" s="1"/>
  <c r="Y79" i="10"/>
  <c r="AA79" i="10" s="1"/>
  <c r="AC79" i="10" s="1"/>
  <c r="Y86" i="10"/>
  <c r="AA86" i="10" s="1"/>
  <c r="AC86" i="10" s="1"/>
  <c r="Y92" i="10"/>
  <c r="AA92" i="10" s="1"/>
  <c r="AC92" i="10" s="1"/>
  <c r="Y93" i="10"/>
  <c r="AA93" i="10" s="1"/>
  <c r="AC93" i="10" s="1"/>
  <c r="Y103" i="10"/>
  <c r="AA103" i="10" s="1"/>
  <c r="AC103" i="10" s="1"/>
  <c r="Y137" i="10"/>
  <c r="AA137" i="10" s="1"/>
  <c r="AC137" i="10" s="1"/>
  <c r="Y109" i="10"/>
  <c r="AA109" i="10" s="1"/>
  <c r="AC109" i="10" s="1"/>
  <c r="Y205" i="10"/>
  <c r="AA205" i="10" s="1"/>
  <c r="AC205" i="10" s="1"/>
  <c r="Y197" i="10"/>
  <c r="AA197" i="10" s="1"/>
  <c r="AC197" i="10" s="1"/>
  <c r="Y161" i="10"/>
  <c r="AA161" i="10" s="1"/>
  <c r="AC161" i="10" s="1"/>
  <c r="Y183" i="10"/>
  <c r="AA183" i="10" s="1"/>
  <c r="AC183" i="10" s="1"/>
  <c r="Y177" i="10"/>
  <c r="AA177" i="10" s="1"/>
  <c r="AC177" i="10" s="1"/>
  <c r="Y164" i="10"/>
  <c r="AA164" i="10" s="1"/>
  <c r="AC164" i="10" s="1"/>
  <c r="Y153" i="10"/>
  <c r="AA153" i="10" s="1"/>
  <c r="AC153" i="10" s="1"/>
  <c r="Y147" i="10"/>
  <c r="AA147" i="10" s="1"/>
  <c r="AC147" i="10" s="1"/>
  <c r="Y202" i="10"/>
  <c r="AA202" i="10" s="1"/>
  <c r="AC202" i="10" s="1"/>
  <c r="Y200" i="10"/>
  <c r="AA200" i="10" s="1"/>
  <c r="AC200" i="10" s="1"/>
  <c r="Y198" i="10"/>
  <c r="AA198" i="10" s="1"/>
  <c r="AC198" i="10" s="1"/>
  <c r="Y216" i="10"/>
  <c r="AA216" i="10" s="1"/>
  <c r="AC216" i="10" s="1"/>
  <c r="Y181" i="10"/>
  <c r="AA181" i="10" s="1"/>
  <c r="AC181" i="10" s="1"/>
  <c r="Y163" i="10"/>
  <c r="Y211" i="10"/>
  <c r="AA211" i="10" s="1"/>
  <c r="AC211" i="10" s="1"/>
  <c r="Y196" i="10"/>
  <c r="AA196" i="10" s="1"/>
  <c r="AC196" i="10" s="1"/>
  <c r="Y157" i="10"/>
  <c r="Y186" i="10"/>
  <c r="Y154" i="10"/>
  <c r="Y185" i="10"/>
  <c r="AA185" i="10" s="1"/>
  <c r="AC185" i="10" s="1"/>
  <c r="Y201" i="10"/>
  <c r="AA201" i="10" s="1"/>
  <c r="AC201" i="10" s="1"/>
  <c r="Y597" i="10"/>
  <c r="Y598" i="10"/>
  <c r="Y579" i="10"/>
  <c r="Y601" i="10"/>
  <c r="Y602" i="10"/>
  <c r="Y603" i="10"/>
  <c r="Y604" i="10"/>
  <c r="Y607" i="10"/>
  <c r="Y592" i="10"/>
  <c r="Y609" i="10"/>
  <c r="Y595" i="10"/>
  <c r="Y613" i="10"/>
  <c r="Y581" i="10"/>
  <c r="Y615" i="10"/>
  <c r="Y617" i="10"/>
  <c r="Y590" i="10"/>
  <c r="Y619" i="10"/>
  <c r="Y572" i="10"/>
  <c r="Y629" i="10"/>
  <c r="Y630" i="10"/>
  <c r="Y637" i="10"/>
  <c r="Y635" i="10"/>
  <c r="Y632" i="10"/>
  <c r="Y636" i="10"/>
  <c r="Y621" i="10"/>
  <c r="Y54" i="10"/>
  <c r="Y30" i="10"/>
  <c r="Y47" i="10"/>
  <c r="AA47" i="10" s="1"/>
  <c r="AC47" i="10" s="1"/>
  <c r="Y44" i="10"/>
  <c r="Y48" i="10"/>
  <c r="AA48" i="10" s="1"/>
  <c r="AC48" i="10" s="1"/>
  <c r="Y17" i="10"/>
  <c r="Y57" i="10"/>
  <c r="AA57" i="10" s="1"/>
  <c r="AC57" i="10" s="1"/>
  <c r="Y19" i="10"/>
  <c r="Y40" i="10"/>
  <c r="Y4" i="10"/>
  <c r="Y39" i="10"/>
  <c r="Y51" i="10"/>
  <c r="AA51" i="10" s="1"/>
  <c r="AC51" i="10" s="1"/>
  <c r="Y55" i="10"/>
  <c r="Y18" i="10"/>
  <c r="Y41" i="10"/>
  <c r="AA41" i="10" s="1"/>
  <c r="AC41" i="10" s="1"/>
  <c r="Y5" i="10"/>
  <c r="Y8" i="10"/>
  <c r="Y68" i="10"/>
  <c r="AA68" i="10" s="1"/>
  <c r="AC68" i="10" s="1"/>
  <c r="Y66" i="10"/>
  <c r="Y73" i="10"/>
  <c r="AA73" i="10" s="1"/>
  <c r="AC73" i="10" s="1"/>
  <c r="Y72" i="10"/>
  <c r="Y65" i="10"/>
  <c r="AA65" i="10" s="1"/>
  <c r="AC65" i="10" s="1"/>
  <c r="Y820" i="10"/>
  <c r="Y816" i="10"/>
  <c r="Y830" i="10"/>
  <c r="Y814" i="10"/>
  <c r="Y787" i="10"/>
  <c r="Y834" i="10"/>
  <c r="Y849" i="10"/>
  <c r="Y796" i="10"/>
  <c r="Y799" i="10"/>
  <c r="Y836" i="10"/>
  <c r="Y839" i="10"/>
  <c r="Y845" i="10"/>
  <c r="Y821" i="10"/>
  <c r="Y781" i="10"/>
  <c r="Y732" i="10"/>
  <c r="Y716" i="10"/>
  <c r="Y735" i="10"/>
  <c r="Y753" i="10"/>
  <c r="Y722" i="10"/>
  <c r="Y769" i="10"/>
  <c r="Y733" i="10"/>
  <c r="Y723" i="10"/>
  <c r="Y763" i="10"/>
  <c r="Y779" i="10"/>
  <c r="Y726" i="10"/>
  <c r="Y768" i="10"/>
  <c r="Y759" i="10"/>
  <c r="Y82" i="10"/>
  <c r="Z411" i="10"/>
  <c r="AA411" i="10" s="1"/>
  <c r="Z394" i="10"/>
  <c r="AA394" i="10" s="1"/>
  <c r="Z404" i="10"/>
  <c r="AA404" i="10" s="1"/>
  <c r="Z367" i="10"/>
  <c r="AA367" i="10" s="1"/>
  <c r="Z379" i="10"/>
  <c r="AA379" i="10" s="1"/>
  <c r="Z393" i="10"/>
  <c r="AA393" i="10" s="1"/>
  <c r="Z416" i="10"/>
  <c r="AA416" i="10" s="1"/>
  <c r="Z421" i="10"/>
  <c r="AA421" i="10" s="1"/>
  <c r="Y616" i="10"/>
  <c r="Y587" i="10"/>
  <c r="Y623" i="10"/>
  <c r="Y631" i="10"/>
  <c r="Y628" i="10"/>
  <c r="Y60" i="10"/>
  <c r="Y59" i="10"/>
  <c r="AA59" i="10" s="1"/>
  <c r="AC59" i="10" s="1"/>
  <c r="Y58" i="10"/>
  <c r="AA58" i="10" s="1"/>
  <c r="AC58" i="10" s="1"/>
  <c r="Y12" i="10"/>
  <c r="AA12" i="10" s="1"/>
  <c r="AC12" i="10" s="1"/>
  <c r="Y28" i="10"/>
  <c r="AA28" i="10" s="1"/>
  <c r="AC28" i="10" s="1"/>
  <c r="Y52" i="10"/>
  <c r="AA52" i="10" s="1"/>
  <c r="AC52" i="10" s="1"/>
  <c r="Y20" i="10"/>
  <c r="AA20" i="10" s="1"/>
  <c r="AC20" i="10" s="1"/>
  <c r="Y74" i="10"/>
  <c r="AA74" i="10" s="1"/>
  <c r="AC74" i="10" s="1"/>
  <c r="Y64" i="10"/>
  <c r="AA64" i="10" s="1"/>
  <c r="AC64" i="10" s="1"/>
  <c r="Y798" i="10"/>
  <c r="Y827" i="10"/>
  <c r="Y788" i="10"/>
  <c r="Y826" i="10"/>
  <c r="Y795" i="10"/>
  <c r="Y761" i="10"/>
  <c r="Y774" i="10"/>
  <c r="Y730" i="10"/>
  <c r="Y747" i="10"/>
  <c r="Y736" i="10"/>
  <c r="Y772" i="10"/>
  <c r="Z395" i="10"/>
  <c r="AA395" i="10" s="1"/>
  <c r="Z368" i="10"/>
  <c r="AA368" i="10" s="1"/>
  <c r="Z385" i="10"/>
  <c r="AA385" i="10" s="1"/>
  <c r="Z412" i="10"/>
  <c r="AA412" i="10" s="1"/>
  <c r="Z417" i="10"/>
  <c r="AA417" i="10" s="1"/>
  <c r="Z423" i="10"/>
  <c r="AA423" i="10" s="1"/>
  <c r="Z428" i="10"/>
  <c r="AA428" i="10" s="1"/>
  <c r="Y575" i="10"/>
  <c r="Y612" i="10"/>
  <c r="Y586" i="10"/>
  <c r="Y576" i="10"/>
  <c r="Y622" i="10"/>
  <c r="Y641" i="10"/>
  <c r="Y640" i="10"/>
  <c r="Y15" i="10"/>
  <c r="AA15" i="10" s="1"/>
  <c r="AC15" i="10" s="1"/>
  <c r="Y16" i="10"/>
  <c r="AA16" i="10" s="1"/>
  <c r="AC16" i="10" s="1"/>
  <c r="Y11" i="10"/>
  <c r="AA11" i="10" s="1"/>
  <c r="AC11" i="10" s="1"/>
  <c r="Y43" i="10"/>
  <c r="AA43" i="10" s="1"/>
  <c r="AC43" i="10" s="1"/>
  <c r="Y36" i="10"/>
  <c r="AA36" i="10" s="1"/>
  <c r="AC36" i="10" s="1"/>
  <c r="Y27" i="10"/>
  <c r="AA27" i="10" s="1"/>
  <c r="AC27" i="10" s="1"/>
  <c r="Y7" i="10"/>
  <c r="AA7" i="10" s="1"/>
  <c r="AC7" i="10" s="1"/>
  <c r="Y23" i="10"/>
  <c r="AA23" i="10" s="1"/>
  <c r="AC23" i="10" s="1"/>
  <c r="Y63" i="10"/>
  <c r="Y793" i="10"/>
  <c r="Y801" i="10"/>
  <c r="Y785" i="10"/>
  <c r="Y810" i="10"/>
  <c r="Y803" i="10"/>
  <c r="Y832" i="10"/>
  <c r="Y775" i="10"/>
  <c r="Y740" i="10"/>
  <c r="Y745" i="10"/>
  <c r="Y784" i="10"/>
  <c r="Y771" i="10"/>
  <c r="Y742" i="10"/>
  <c r="Z364" i="10"/>
  <c r="AA364" i="10" s="1"/>
  <c r="Z383" i="10"/>
  <c r="AA383" i="10" s="1"/>
  <c r="Z392" i="10"/>
  <c r="AA392" i="10" s="1"/>
  <c r="Z402" i="10"/>
  <c r="AA402" i="10" s="1"/>
  <c r="Z408" i="10"/>
  <c r="AA408" i="10" s="1"/>
  <c r="Z361" i="10"/>
  <c r="AA361" i="10" s="1"/>
  <c r="Z377" i="10"/>
  <c r="AA377" i="10" s="1"/>
  <c r="Z389" i="10"/>
  <c r="AA389" i="10" s="1"/>
  <c r="Z399" i="10"/>
  <c r="AA399" i="10" s="1"/>
  <c r="Z363" i="10"/>
  <c r="AA363" i="10" s="1"/>
  <c r="Z378" i="10"/>
  <c r="AA378" i="10" s="1"/>
  <c r="Z388" i="10"/>
  <c r="AA388" i="10" s="1"/>
  <c r="Z414" i="10"/>
  <c r="AA414" i="10" s="1"/>
  <c r="Z420" i="10"/>
  <c r="AA420" i="10" s="1"/>
  <c r="Z425" i="10"/>
  <c r="AA425" i="10" s="1"/>
  <c r="Y170" i="10"/>
  <c r="AA170" i="10" s="1"/>
  <c r="AC170" i="10" s="1"/>
  <c r="Y182" i="10"/>
  <c r="AA182" i="10" s="1"/>
  <c r="AC182" i="10" s="1"/>
  <c r="Y194" i="10"/>
  <c r="AA194" i="10" s="1"/>
  <c r="AC194" i="10" s="1"/>
  <c r="Y212" i="10"/>
  <c r="AA212" i="10" s="1"/>
  <c r="AC212" i="10" s="1"/>
  <c r="Y199" i="10"/>
  <c r="AA199" i="10" s="1"/>
  <c r="AC199" i="10" s="1"/>
  <c r="Y146" i="10"/>
  <c r="AA146" i="10" s="1"/>
  <c r="Y168" i="10"/>
  <c r="AA168" i="10" s="1"/>
  <c r="AC168" i="10" s="1"/>
  <c r="Y208" i="10"/>
  <c r="AA208" i="10" s="1"/>
  <c r="AC208" i="10" s="1"/>
  <c r="Y149" i="10"/>
  <c r="AA149" i="10" s="1"/>
  <c r="AC149" i="10" s="1"/>
  <c r="Y189" i="10"/>
  <c r="AA189" i="10" s="1"/>
  <c r="AC189" i="10" s="1"/>
  <c r="Y214" i="10"/>
  <c r="AA214" i="10" s="1"/>
  <c r="AC214" i="10" s="1"/>
  <c r="Y172" i="10"/>
  <c r="AA172" i="10" s="1"/>
  <c r="AC172" i="10" s="1"/>
  <c r="Y150" i="10"/>
  <c r="AA150" i="10" s="1"/>
  <c r="AC150" i="10" s="1"/>
  <c r="Y159" i="10"/>
  <c r="AA159" i="10" s="1"/>
  <c r="AC159" i="10" s="1"/>
  <c r="Y600" i="10"/>
  <c r="Y599" i="10"/>
  <c r="Y606" i="10"/>
  <c r="Y577" i="10"/>
  <c r="Y593" i="10"/>
  <c r="Y591" i="10"/>
  <c r="Y594" i="10"/>
  <c r="Y634" i="10"/>
  <c r="Y626" i="10"/>
  <c r="Y33" i="10"/>
  <c r="Y34" i="10"/>
  <c r="Y25" i="10"/>
  <c r="AA25" i="10" s="1"/>
  <c r="AC25" i="10" s="1"/>
  <c r="Y31" i="10"/>
  <c r="AA31" i="10" s="1"/>
  <c r="AC31" i="10" s="1"/>
  <c r="Y13" i="10"/>
  <c r="Y21" i="10"/>
  <c r="Y6" i="10"/>
  <c r="AA6" i="10" s="1"/>
  <c r="AC6" i="10" s="1"/>
  <c r="Y62" i="10"/>
  <c r="AA62" i="10" s="1"/>
  <c r="AC62" i="10" s="1"/>
  <c r="Y808" i="10"/>
  <c r="Y792" i="10"/>
  <c r="Y831" i="10"/>
  <c r="Y823" i="10"/>
  <c r="Y842" i="10"/>
  <c r="Y778" i="10"/>
  <c r="Y729" i="10"/>
  <c r="Y749" i="10"/>
  <c r="Y738" i="10"/>
  <c r="Y721" i="10"/>
  <c r="Y725" i="10"/>
  <c r="AC268" i="10"/>
  <c r="AD268" i="10"/>
  <c r="AC285" i="10"/>
  <c r="AD285" i="10"/>
  <c r="AC275" i="10"/>
  <c r="AD275" i="10"/>
  <c r="AC260" i="10"/>
  <c r="AD260" i="10"/>
  <c r="AF260" i="10" s="1"/>
  <c r="AC225" i="10"/>
  <c r="AD225" i="10"/>
  <c r="AF225" i="10" s="1"/>
  <c r="AD229" i="10"/>
  <c r="AF229" i="10" s="1"/>
  <c r="AC229" i="10"/>
  <c r="AD271" i="10"/>
  <c r="AC271" i="10"/>
  <c r="AD270" i="10"/>
  <c r="AC270" i="10"/>
  <c r="AD262" i="10"/>
  <c r="AF262" i="10" s="1"/>
  <c r="AC262" i="10"/>
  <c r="AD227" i="10"/>
  <c r="AF227" i="10" s="1"/>
  <c r="AC227" i="10"/>
  <c r="AC247" i="10"/>
  <c r="AD247" i="10"/>
  <c r="AF247" i="10" s="1"/>
  <c r="AD243" i="10"/>
  <c r="AF243" i="10" s="1"/>
  <c r="AC243" i="10"/>
  <c r="AD278" i="10"/>
  <c r="AC278" i="10"/>
  <c r="AC259" i="10"/>
  <c r="AD259" i="10"/>
  <c r="AF259" i="10" s="1"/>
  <c r="AD256" i="10"/>
  <c r="AF256" i="10" s="1"/>
  <c r="AC256" i="10"/>
  <c r="AD267" i="10"/>
  <c r="AC267" i="10"/>
  <c r="AD257" i="10"/>
  <c r="AF257" i="10" s="1"/>
  <c r="AC257" i="10"/>
  <c r="AC249" i="10"/>
  <c r="AD249" i="10"/>
  <c r="AF249" i="10" s="1"/>
  <c r="Y997" i="10"/>
  <c r="Y994" i="10"/>
  <c r="Y979" i="10"/>
  <c r="Y976" i="10"/>
  <c r="Y984" i="10"/>
  <c r="Y975" i="10"/>
  <c r="Y931" i="10"/>
  <c r="Y933" i="10"/>
  <c r="Y967" i="10"/>
  <c r="Y961" i="10"/>
  <c r="Y953" i="10"/>
  <c r="Y964" i="10"/>
  <c r="Y941" i="10"/>
  <c r="Y985" i="10"/>
  <c r="Y943" i="10"/>
  <c r="Y962" i="10"/>
  <c r="Y990" i="10"/>
  <c r="Y968" i="10"/>
  <c r="Y945" i="10"/>
  <c r="Y960" i="10"/>
  <c r="Y996" i="10"/>
  <c r="Y991" i="10"/>
  <c r="Y948" i="10"/>
  <c r="V501" i="10" l="1"/>
  <c r="V502" i="10"/>
  <c r="V503" i="10"/>
  <c r="V504" i="10"/>
  <c r="V505" i="10"/>
  <c r="V506" i="10"/>
  <c r="V507" i="10"/>
  <c r="V508" i="10"/>
  <c r="V509" i="10"/>
  <c r="V510" i="10"/>
  <c r="V511" i="10"/>
  <c r="V512" i="10"/>
  <c r="V513" i="10"/>
  <c r="V514" i="10"/>
  <c r="V515" i="10"/>
  <c r="V516" i="10"/>
  <c r="V517" i="10"/>
  <c r="V518" i="10"/>
  <c r="V519" i="10"/>
  <c r="V520" i="10"/>
  <c r="V521" i="10"/>
  <c r="V522" i="10"/>
  <c r="V523" i="10"/>
  <c r="V524" i="10"/>
  <c r="V525" i="10"/>
  <c r="V526" i="10"/>
  <c r="V527" i="10"/>
  <c r="V528" i="10"/>
  <c r="V529" i="10"/>
  <c r="V530" i="10"/>
  <c r="V531" i="10"/>
  <c r="V532" i="10"/>
  <c r="V533" i="10"/>
  <c r="V534" i="10"/>
  <c r="V535" i="10"/>
  <c r="V536" i="10"/>
  <c r="V537" i="10"/>
  <c r="V538" i="10"/>
  <c r="V539" i="10"/>
  <c r="V540" i="10"/>
  <c r="Z540" i="10" s="1"/>
  <c r="AA540" i="10" s="1"/>
  <c r="V541" i="10"/>
  <c r="V542" i="10"/>
  <c r="V543" i="10"/>
  <c r="V544" i="10"/>
  <c r="V545" i="10"/>
  <c r="V546" i="10"/>
  <c r="V547" i="10"/>
  <c r="V548" i="10"/>
  <c r="V549" i="10"/>
  <c r="V550" i="10"/>
  <c r="V551" i="10"/>
  <c r="V552" i="10"/>
  <c r="V553" i="10"/>
  <c r="V554" i="10"/>
  <c r="V555" i="10"/>
  <c r="V556" i="10"/>
  <c r="V557" i="10"/>
  <c r="V558" i="10"/>
  <c r="V559" i="10"/>
  <c r="V560" i="10"/>
  <c r="V561" i="10"/>
  <c r="V562" i="10"/>
  <c r="V563" i="10"/>
  <c r="V564" i="10"/>
  <c r="V565" i="10"/>
  <c r="V566" i="10"/>
  <c r="V567" i="10"/>
  <c r="V568" i="10"/>
  <c r="V569" i="10"/>
  <c r="V570" i="10"/>
  <c r="V571" i="10"/>
  <c r="N572" i="10"/>
  <c r="C29" i="8"/>
  <c r="F430" i="10"/>
  <c r="F431" i="10"/>
  <c r="F432" i="10"/>
  <c r="F433" i="10"/>
  <c r="F434" i="10"/>
  <c r="F435" i="10"/>
  <c r="F436" i="10"/>
  <c r="F437" i="10"/>
  <c r="F438" i="10"/>
  <c r="F439" i="10"/>
  <c r="F440" i="10"/>
  <c r="F441" i="10"/>
  <c r="F442" i="10"/>
  <c r="F443" i="10"/>
  <c r="F444" i="10"/>
  <c r="F445" i="10"/>
  <c r="F446" i="10"/>
  <c r="F447" i="10"/>
  <c r="F448" i="10"/>
  <c r="F449" i="10"/>
  <c r="F450" i="10"/>
  <c r="F451" i="10"/>
  <c r="F452" i="10"/>
  <c r="F453" i="10"/>
  <c r="F454" i="10"/>
  <c r="F455" i="10"/>
  <c r="F456" i="10"/>
  <c r="F457" i="10"/>
  <c r="F458" i="10"/>
  <c r="F459" i="10"/>
  <c r="F460" i="10"/>
  <c r="F461" i="10"/>
  <c r="F462" i="10"/>
  <c r="F463" i="10"/>
  <c r="F464" i="10"/>
  <c r="F465" i="10"/>
  <c r="F466" i="10"/>
  <c r="F467" i="10"/>
  <c r="F468" i="10"/>
  <c r="F469" i="10"/>
  <c r="F470" i="10"/>
  <c r="F471" i="10"/>
  <c r="F472" i="10"/>
  <c r="F473" i="10"/>
  <c r="F474" i="10"/>
  <c r="F475" i="10"/>
  <c r="F476" i="10"/>
  <c r="F477" i="10"/>
  <c r="F478" i="10"/>
  <c r="F479" i="10"/>
  <c r="F480" i="10"/>
  <c r="F481" i="10"/>
  <c r="F482" i="10"/>
  <c r="F483" i="10"/>
  <c r="F484" i="10"/>
  <c r="F485" i="10"/>
  <c r="F486" i="10"/>
  <c r="F487" i="10"/>
  <c r="F488" i="10"/>
  <c r="F489" i="10"/>
  <c r="F490" i="10"/>
  <c r="F491" i="10"/>
  <c r="F492" i="10"/>
  <c r="F493" i="10"/>
  <c r="F494" i="10"/>
  <c r="F495" i="10"/>
  <c r="F496" i="10"/>
  <c r="F497" i="10"/>
  <c r="F498" i="10"/>
  <c r="F499" i="10"/>
  <c r="F500" i="10"/>
  <c r="AC359" i="10"/>
  <c r="C17" i="11"/>
  <c r="AC363" i="10"/>
  <c r="AC364" i="10"/>
  <c r="AC367" i="10"/>
  <c r="AC368" i="10"/>
  <c r="AC371" i="10"/>
  <c r="AC373" i="10"/>
  <c r="AC374" i="10"/>
  <c r="AC375" i="10"/>
  <c r="AC376" i="10"/>
  <c r="AC381" i="10"/>
  <c r="AC387" i="10"/>
  <c r="AC388" i="10"/>
  <c r="AC390" i="10"/>
  <c r="AC391" i="10"/>
  <c r="AC405" i="10"/>
  <c r="AC407" i="10"/>
  <c r="AC412" i="10"/>
  <c r="AC413" i="10"/>
  <c r="AC414" i="10"/>
  <c r="AC415" i="10"/>
  <c r="AC416" i="10"/>
  <c r="AC417" i="10"/>
  <c r="AC418" i="10"/>
  <c r="AC419" i="10"/>
  <c r="AC420" i="10"/>
  <c r="AC421" i="10"/>
  <c r="AC422" i="10"/>
  <c r="AC423" i="10"/>
  <c r="AC424" i="10"/>
  <c r="AC425" i="10"/>
  <c r="AC426" i="10"/>
  <c r="AC427" i="10"/>
  <c r="AC428" i="10"/>
  <c r="AC429" i="10"/>
  <c r="AC360" i="10"/>
  <c r="AC366" i="10"/>
  <c r="AC369" i="10"/>
  <c r="AC372" i="10"/>
  <c r="AC378" i="10"/>
  <c r="AC380" i="10"/>
  <c r="AC382" i="10"/>
  <c r="AC383" i="10"/>
  <c r="AC384" i="10"/>
  <c r="AC389" i="10"/>
  <c r="AC393" i="10"/>
  <c r="AC394" i="10"/>
  <c r="AC396" i="10"/>
  <c r="AC398" i="10"/>
  <c r="AC400" i="10"/>
  <c r="AC401" i="10"/>
  <c r="AC404" i="10"/>
  <c r="AC409" i="10"/>
  <c r="AC410" i="10"/>
  <c r="AC361" i="10"/>
  <c r="AC362" i="10"/>
  <c r="AC365" i="10"/>
  <c r="AC370" i="10"/>
  <c r="AC377" i="10"/>
  <c r="AC379" i="10"/>
  <c r="AC385" i="10"/>
  <c r="AC386" i="10"/>
  <c r="AC392" i="10"/>
  <c r="AC395" i="10"/>
  <c r="AC397" i="10"/>
  <c r="AC399" i="10"/>
  <c r="AC402" i="10"/>
  <c r="AC403" i="10"/>
  <c r="AC406" i="10"/>
  <c r="AC408" i="10"/>
  <c r="AC411" i="10"/>
  <c r="AC4" i="10"/>
  <c r="G8" i="12"/>
  <c r="AD217" i="10"/>
  <c r="AF217" i="10" s="1"/>
  <c r="AC217" i="10"/>
  <c r="G11" i="12"/>
  <c r="AC220" i="10"/>
  <c r="AD220" i="10"/>
  <c r="AF220" i="10" s="1"/>
  <c r="AC146" i="10"/>
  <c r="G10" i="12"/>
  <c r="AD279" i="10"/>
  <c r="AC279" i="10"/>
  <c r="AC280" i="10"/>
  <c r="AD280" i="10"/>
  <c r="AC232" i="10"/>
  <c r="AD232" i="10"/>
  <c r="AF232" i="10" s="1"/>
  <c r="AD234" i="10"/>
  <c r="AF234" i="10" s="1"/>
  <c r="AC234" i="10"/>
  <c r="AD221" i="10"/>
  <c r="AF221" i="10" s="1"/>
  <c r="AC221" i="10"/>
  <c r="AD228" i="10"/>
  <c r="AF228" i="10" s="1"/>
  <c r="AC228" i="10"/>
  <c r="AD252" i="10"/>
  <c r="AF252" i="10" s="1"/>
  <c r="AC252" i="10"/>
  <c r="AC226" i="10"/>
  <c r="AD226" i="10"/>
  <c r="AF226" i="10" s="1"/>
  <c r="AD283" i="10"/>
  <c r="AC283" i="10"/>
  <c r="AD218" i="10"/>
  <c r="AF218" i="10" s="1"/>
  <c r="AC218" i="10"/>
  <c r="AC274" i="10"/>
  <c r="AD274" i="10"/>
  <c r="AC240" i="10"/>
  <c r="AD240" i="10"/>
  <c r="AF240" i="10" s="1"/>
  <c r="AC75" i="10"/>
  <c r="G9" i="12"/>
  <c r="AD287" i="10"/>
  <c r="AC287" i="10"/>
  <c r="AD242" i="10"/>
  <c r="AF242" i="10" s="1"/>
  <c r="AC242" i="10"/>
  <c r="AC244" i="10"/>
  <c r="AD244" i="10"/>
  <c r="AF244" i="10" s="1"/>
  <c r="AC273" i="10"/>
  <c r="AD273" i="10"/>
  <c r="AC233" i="10"/>
  <c r="AD233" i="10"/>
  <c r="AF233" i="10" s="1"/>
  <c r="AC282" i="10"/>
  <c r="AD282" i="10"/>
  <c r="AC236" i="10"/>
  <c r="AD236" i="10"/>
  <c r="AF236" i="10" s="1"/>
  <c r="AC231" i="10"/>
  <c r="AD231" i="10"/>
  <c r="AF231" i="10" s="1"/>
  <c r="AD235" i="10"/>
  <c r="AF235" i="10" s="1"/>
  <c r="AC235" i="10"/>
  <c r="AC250" i="10"/>
  <c r="AD250" i="10"/>
  <c r="AF250" i="10" s="1"/>
  <c r="AC222" i="10"/>
  <c r="AD222" i="10"/>
  <c r="AF222" i="10" s="1"/>
  <c r="AC258" i="10"/>
  <c r="AD258" i="10"/>
  <c r="AF258" i="10" s="1"/>
  <c r="AD272" i="10"/>
  <c r="AC272" i="10"/>
  <c r="AD264" i="10"/>
  <c r="AF264" i="10" s="1"/>
  <c r="AC264" i="10"/>
  <c r="AC263" i="10"/>
  <c r="AD263" i="10"/>
  <c r="AF263" i="10" s="1"/>
  <c r="AC246" i="10"/>
  <c r="AD246" i="10"/>
  <c r="AF246" i="10" s="1"/>
  <c r="AC245" i="10"/>
  <c r="AD245" i="10"/>
  <c r="AF245" i="10" s="1"/>
  <c r="AC237" i="10"/>
  <c r="AD237" i="10"/>
  <c r="AF237" i="10" s="1"/>
  <c r="AE268" i="10"/>
  <c r="AF268" i="10"/>
  <c r="AE285" i="10"/>
  <c r="AF285" i="10"/>
  <c r="AE275" i="10"/>
  <c r="AF275" i="10"/>
  <c r="AE271" i="10"/>
  <c r="AF271" i="10"/>
  <c r="AE270" i="10"/>
  <c r="AF270" i="10"/>
  <c r="AE278" i="10"/>
  <c r="AF278" i="10"/>
  <c r="AE267" i="10"/>
  <c r="AF267" i="10"/>
  <c r="Z444" i="10"/>
  <c r="AA444" i="10" s="1"/>
  <c r="Z469" i="10"/>
  <c r="AA469" i="10" s="1"/>
  <c r="Z479" i="10"/>
  <c r="AA479" i="10" s="1"/>
  <c r="Z487" i="10"/>
  <c r="AA487" i="10" s="1"/>
  <c r="Z495" i="10"/>
  <c r="AA495" i="10" s="1"/>
  <c r="Z448" i="10"/>
  <c r="AA448" i="10" s="1"/>
  <c r="Z450" i="10"/>
  <c r="AA450" i="10" s="1"/>
  <c r="Z454" i="10"/>
  <c r="AA454" i="10" s="1"/>
  <c r="Z456" i="10"/>
  <c r="AA456" i="10" s="1"/>
  <c r="Z460" i="10"/>
  <c r="AA460" i="10" s="1"/>
  <c r="Z463" i="10"/>
  <c r="AA463" i="10" s="1"/>
  <c r="Z466" i="10"/>
  <c r="AA466" i="10" s="1"/>
  <c r="Z470" i="10"/>
  <c r="AA470" i="10" s="1"/>
  <c r="Z474" i="10"/>
  <c r="AA474" i="10" s="1"/>
  <c r="Z477" i="10"/>
  <c r="AA477" i="10" s="1"/>
  <c r="Z481" i="10"/>
  <c r="AA481" i="10" s="1"/>
  <c r="Z484" i="10"/>
  <c r="AA484" i="10" s="1"/>
  <c r="Z488" i="10"/>
  <c r="AA488" i="10" s="1"/>
  <c r="Z492" i="10"/>
  <c r="AA492" i="10" s="1"/>
  <c r="Z496" i="10"/>
  <c r="AA496" i="10" s="1"/>
  <c r="Z500" i="10"/>
  <c r="AA500" i="10" s="1"/>
  <c r="Z462" i="10"/>
  <c r="AA462" i="10" s="1"/>
  <c r="Z476" i="10"/>
  <c r="AA476" i="10" s="1"/>
  <c r="Z486" i="10"/>
  <c r="AA486" i="10" s="1"/>
  <c r="Z494" i="10"/>
  <c r="AA494" i="10" s="1"/>
  <c r="Z431" i="10"/>
  <c r="AA431" i="10" s="1"/>
  <c r="Z432" i="10"/>
  <c r="AA432" i="10" s="1"/>
  <c r="Z433" i="10"/>
  <c r="AA433" i="10" s="1"/>
  <c r="Z434" i="10"/>
  <c r="AA434" i="10" s="1"/>
  <c r="Z436" i="10"/>
  <c r="AA436" i="10" s="1"/>
  <c r="Z437" i="10"/>
  <c r="AA437" i="10" s="1"/>
  <c r="Z439" i="10"/>
  <c r="AA439" i="10" s="1"/>
  <c r="Z440" i="10"/>
  <c r="AA440" i="10" s="1"/>
  <c r="Z443" i="10"/>
  <c r="AA443" i="10" s="1"/>
  <c r="Z445" i="10"/>
  <c r="AA445" i="10" s="1"/>
  <c r="Z446" i="10"/>
  <c r="AA446" i="10" s="1"/>
  <c r="Z449" i="10"/>
  <c r="AA449" i="10" s="1"/>
  <c r="Z451" i="10"/>
  <c r="AA451" i="10" s="1"/>
  <c r="Z455" i="10"/>
  <c r="AA455" i="10" s="1"/>
  <c r="Z457" i="10"/>
  <c r="AA457" i="10" s="1"/>
  <c r="Z461" i="10"/>
  <c r="AA461" i="10" s="1"/>
  <c r="Z464" i="10"/>
  <c r="AA464" i="10" s="1"/>
  <c r="Z467" i="10"/>
  <c r="AA467" i="10" s="1"/>
  <c r="Z471" i="10"/>
  <c r="AA471" i="10" s="1"/>
  <c r="Z473" i="10"/>
  <c r="AA473" i="10" s="1"/>
  <c r="Z478" i="10"/>
  <c r="AA478" i="10" s="1"/>
  <c r="Z482" i="10"/>
  <c r="AA482" i="10" s="1"/>
  <c r="Z485" i="10"/>
  <c r="AA485" i="10" s="1"/>
  <c r="Z489" i="10"/>
  <c r="AA489" i="10" s="1"/>
  <c r="Z493" i="10"/>
  <c r="AA493" i="10" s="1"/>
  <c r="Z497" i="10"/>
  <c r="AA497" i="10" s="1"/>
  <c r="Z442" i="10"/>
  <c r="AA442" i="10" s="1"/>
  <c r="Z453" i="10"/>
  <c r="AA453" i="10" s="1"/>
  <c r="Z459" i="10"/>
  <c r="AA459" i="10" s="1"/>
  <c r="Z468" i="10"/>
  <c r="AA468" i="10" s="1"/>
  <c r="Z475" i="10"/>
  <c r="AA475" i="10" s="1"/>
  <c r="Z483" i="10"/>
  <c r="AA483" i="10" s="1"/>
  <c r="Z491" i="10"/>
  <c r="AA491" i="10" s="1"/>
  <c r="Z430" i="10"/>
  <c r="AA430" i="10" s="1"/>
  <c r="G14" i="12" s="1"/>
  <c r="Z435" i="10"/>
  <c r="AA435" i="10" s="1"/>
  <c r="Z438" i="10"/>
  <c r="AA438" i="10" s="1"/>
  <c r="Z441" i="10"/>
  <c r="AA441" i="10" s="1"/>
  <c r="Z447" i="10"/>
  <c r="AA447" i="10" s="1"/>
  <c r="Z452" i="10"/>
  <c r="AA452" i="10" s="1"/>
  <c r="Z458" i="10"/>
  <c r="AA458" i="10" s="1"/>
  <c r="Z465" i="10"/>
  <c r="AA465" i="10" s="1"/>
  <c r="Z472" i="10"/>
  <c r="AA472" i="10" s="1"/>
  <c r="Z480" i="10"/>
  <c r="AA480" i="10" s="1"/>
  <c r="Z490" i="10"/>
  <c r="AA490" i="10" s="1"/>
  <c r="V572" i="10" l="1"/>
  <c r="V573" i="10"/>
  <c r="V574" i="10"/>
  <c r="V575" i="10"/>
  <c r="V576" i="10"/>
  <c r="V577" i="10"/>
  <c r="V578" i="10"/>
  <c r="V579" i="10"/>
  <c r="V580" i="10"/>
  <c r="V581" i="10"/>
  <c r="V582" i="10"/>
  <c r="V583" i="10"/>
  <c r="V584" i="10"/>
  <c r="V585" i="10"/>
  <c r="V586" i="10"/>
  <c r="V587" i="10"/>
  <c r="V588" i="10"/>
  <c r="V589" i="10"/>
  <c r="V590" i="10"/>
  <c r="V591" i="10"/>
  <c r="V592" i="10"/>
  <c r="V593" i="10"/>
  <c r="V594" i="10"/>
  <c r="V595" i="10"/>
  <c r="V596" i="10"/>
  <c r="V597" i="10"/>
  <c r="V598" i="10"/>
  <c r="V599" i="10"/>
  <c r="V600" i="10"/>
  <c r="V601" i="10"/>
  <c r="V602" i="10"/>
  <c r="V603" i="10"/>
  <c r="V604" i="10"/>
  <c r="V605" i="10"/>
  <c r="V606" i="10"/>
  <c r="V607" i="10"/>
  <c r="V608" i="10"/>
  <c r="V609" i="10"/>
  <c r="V610" i="10"/>
  <c r="V611" i="10"/>
  <c r="V612" i="10"/>
  <c r="V613" i="10"/>
  <c r="V614" i="10"/>
  <c r="V615" i="10"/>
  <c r="V616" i="10"/>
  <c r="V617" i="10"/>
  <c r="V618" i="10"/>
  <c r="V619" i="10"/>
  <c r="V620" i="10"/>
  <c r="V622" i="10"/>
  <c r="V623" i="10"/>
  <c r="V624" i="10"/>
  <c r="V625" i="10"/>
  <c r="V626" i="10"/>
  <c r="V627" i="10"/>
  <c r="V628" i="10"/>
  <c r="V629" i="10"/>
  <c r="V630" i="10"/>
  <c r="V631" i="10"/>
  <c r="V632" i="10"/>
  <c r="V633" i="10"/>
  <c r="V634" i="10"/>
  <c r="V635" i="10"/>
  <c r="V636" i="10"/>
  <c r="V637" i="10"/>
  <c r="V638" i="10"/>
  <c r="V639" i="10"/>
  <c r="V640" i="10"/>
  <c r="V641" i="10"/>
  <c r="V642" i="10"/>
  <c r="N643" i="10"/>
  <c r="V621" i="10"/>
  <c r="Z621" i="10" s="1"/>
  <c r="AA621" i="10" s="1"/>
  <c r="C30" i="8"/>
  <c r="F501" i="10"/>
  <c r="F502" i="10"/>
  <c r="F503" i="10"/>
  <c r="F504" i="10"/>
  <c r="F505" i="10"/>
  <c r="F506" i="10"/>
  <c r="F507" i="10"/>
  <c r="F508" i="10"/>
  <c r="F509" i="10"/>
  <c r="F510" i="10"/>
  <c r="F511" i="10"/>
  <c r="F512" i="10"/>
  <c r="F513" i="10"/>
  <c r="F514" i="10"/>
  <c r="F515" i="10"/>
  <c r="F516" i="10"/>
  <c r="F517" i="10"/>
  <c r="F518" i="10"/>
  <c r="F519" i="10"/>
  <c r="F520" i="10"/>
  <c r="F521" i="10"/>
  <c r="F522" i="10"/>
  <c r="F523" i="10"/>
  <c r="F524" i="10"/>
  <c r="F525" i="10"/>
  <c r="F526" i="10"/>
  <c r="F527" i="10"/>
  <c r="F528" i="10"/>
  <c r="F529" i="10"/>
  <c r="F530" i="10"/>
  <c r="F531" i="10"/>
  <c r="F532" i="10"/>
  <c r="F533" i="10"/>
  <c r="F534" i="10"/>
  <c r="F535" i="10"/>
  <c r="F536" i="10"/>
  <c r="F537" i="10"/>
  <c r="F538" i="10"/>
  <c r="F539" i="10"/>
  <c r="F540" i="10"/>
  <c r="F541" i="10"/>
  <c r="F542" i="10"/>
  <c r="F543" i="10"/>
  <c r="F544" i="10"/>
  <c r="F545" i="10"/>
  <c r="F546" i="10"/>
  <c r="F547" i="10"/>
  <c r="F548" i="10"/>
  <c r="F549" i="10"/>
  <c r="F550" i="10"/>
  <c r="F551" i="10"/>
  <c r="F552" i="10"/>
  <c r="F553" i="10"/>
  <c r="F554" i="10"/>
  <c r="F555" i="10"/>
  <c r="F556" i="10"/>
  <c r="F557" i="10"/>
  <c r="F558" i="10"/>
  <c r="F559" i="10"/>
  <c r="F560" i="10"/>
  <c r="F561" i="10"/>
  <c r="F562" i="10"/>
  <c r="F563" i="10"/>
  <c r="F564" i="10"/>
  <c r="F565" i="10"/>
  <c r="F566" i="10"/>
  <c r="F567" i="10"/>
  <c r="F568" i="10"/>
  <c r="F569" i="10"/>
  <c r="F570" i="10"/>
  <c r="F571" i="10"/>
  <c r="AC430" i="10"/>
  <c r="C18" i="11"/>
  <c r="AC431" i="10"/>
  <c r="AC432" i="10"/>
  <c r="AC433" i="10"/>
  <c r="AC434" i="10"/>
  <c r="AC435" i="10"/>
  <c r="AC436" i="10"/>
  <c r="AC437" i="10"/>
  <c r="AC438" i="10"/>
  <c r="AC439" i="10"/>
  <c r="AC440" i="10"/>
  <c r="AC441" i="10"/>
  <c r="AC442" i="10"/>
  <c r="AC443" i="10"/>
  <c r="AC444" i="10"/>
  <c r="AC445" i="10"/>
  <c r="AC446" i="10"/>
  <c r="AC447" i="10"/>
  <c r="AC448" i="10"/>
  <c r="AC449" i="10"/>
  <c r="AC450" i="10"/>
  <c r="AC451" i="10"/>
  <c r="AC452" i="10"/>
  <c r="AC453" i="10"/>
  <c r="AC454" i="10"/>
  <c r="AC455" i="10"/>
  <c r="AC456" i="10"/>
  <c r="AC457" i="10"/>
  <c r="AC458" i="10"/>
  <c r="AC459" i="10"/>
  <c r="AC460" i="10"/>
  <c r="AC461" i="10"/>
  <c r="AC462" i="10"/>
  <c r="AC463" i="10"/>
  <c r="AC464" i="10"/>
  <c r="AC465" i="10"/>
  <c r="AC466" i="10"/>
  <c r="AC467" i="10"/>
  <c r="AC468" i="10"/>
  <c r="AC469" i="10"/>
  <c r="AC470" i="10"/>
  <c r="AC471" i="10"/>
  <c r="AC472" i="10"/>
  <c r="AC473" i="10"/>
  <c r="AC474" i="10"/>
  <c r="AC475" i="10"/>
  <c r="AC476" i="10"/>
  <c r="AC477" i="10"/>
  <c r="AC478" i="10"/>
  <c r="AC479" i="10"/>
  <c r="AC480" i="10"/>
  <c r="AC481" i="10"/>
  <c r="AC482" i="10"/>
  <c r="AC483" i="10"/>
  <c r="AC484" i="10"/>
  <c r="AC485" i="10"/>
  <c r="AC486" i="10"/>
  <c r="AC487" i="10"/>
  <c r="AC488" i="10"/>
  <c r="AC489" i="10"/>
  <c r="AC490" i="10"/>
  <c r="AC491" i="10"/>
  <c r="AC492" i="10"/>
  <c r="AC493" i="10"/>
  <c r="AC494" i="10"/>
  <c r="AC495" i="10"/>
  <c r="AC496" i="10"/>
  <c r="AC497" i="10"/>
  <c r="AC498" i="10"/>
  <c r="AC499" i="10"/>
  <c r="AC500" i="10"/>
  <c r="AE279" i="10"/>
  <c r="AF279" i="10"/>
  <c r="AE280" i="10"/>
  <c r="AF280" i="10"/>
  <c r="AE283" i="10"/>
  <c r="AF283" i="10"/>
  <c r="AE274" i="10"/>
  <c r="AF274" i="10"/>
  <c r="AE287" i="10"/>
  <c r="AF287" i="10"/>
  <c r="AE273" i="10"/>
  <c r="AF273" i="10"/>
  <c r="AE282" i="10"/>
  <c r="AF282" i="10"/>
  <c r="AE272" i="10"/>
  <c r="AF272" i="10"/>
  <c r="Z501" i="10"/>
  <c r="AA501" i="10" s="1"/>
  <c r="G15" i="12" s="1"/>
  <c r="Z503" i="10"/>
  <c r="AA503" i="10" s="1"/>
  <c r="Z505" i="10"/>
  <c r="AA505" i="10" s="1"/>
  <c r="Z507" i="10"/>
  <c r="AA507" i="10" s="1"/>
  <c r="Z509" i="10"/>
  <c r="AA509" i="10" s="1"/>
  <c r="Z511" i="10"/>
  <c r="AA511" i="10" s="1"/>
  <c r="Z514" i="10"/>
  <c r="AA514" i="10" s="1"/>
  <c r="Z518" i="10"/>
  <c r="AA518" i="10" s="1"/>
  <c r="Z523" i="10"/>
  <c r="AA523" i="10" s="1"/>
  <c r="Z529" i="10"/>
  <c r="AA529" i="10" s="1"/>
  <c r="Z535" i="10"/>
  <c r="AA535" i="10" s="1"/>
  <c r="Z541" i="10"/>
  <c r="AA541" i="10" s="1"/>
  <c r="Z542" i="10"/>
  <c r="AA542" i="10" s="1"/>
  <c r="Z543" i="10"/>
  <c r="AA543" i="10" s="1"/>
  <c r="Z544" i="10"/>
  <c r="AA544" i="10" s="1"/>
  <c r="Z545" i="10"/>
  <c r="AA545" i="10" s="1"/>
  <c r="Z546" i="10"/>
  <c r="AA546" i="10" s="1"/>
  <c r="Z547" i="10"/>
  <c r="AA547" i="10" s="1"/>
  <c r="Z548" i="10"/>
  <c r="AA548" i="10" s="1"/>
  <c r="Z549" i="10"/>
  <c r="AA549" i="10" s="1"/>
  <c r="Z550" i="10"/>
  <c r="AA550" i="10" s="1"/>
  <c r="Z551" i="10"/>
  <c r="AA551" i="10" s="1"/>
  <c r="Z552" i="10"/>
  <c r="AA552" i="10" s="1"/>
  <c r="Z553" i="10"/>
  <c r="AA553" i="10" s="1"/>
  <c r="Z554" i="10"/>
  <c r="AA554" i="10" s="1"/>
  <c r="Z555" i="10"/>
  <c r="AA555" i="10" s="1"/>
  <c r="Z556" i="10"/>
  <c r="AA556" i="10" s="1"/>
  <c r="Z557" i="10"/>
  <c r="AA557" i="10" s="1"/>
  <c r="Z558" i="10"/>
  <c r="AA558" i="10" s="1"/>
  <c r="Z559" i="10"/>
  <c r="AA559" i="10" s="1"/>
  <c r="Z560" i="10"/>
  <c r="AA560" i="10" s="1"/>
  <c r="Z561" i="10"/>
  <c r="AA561" i="10" s="1"/>
  <c r="Z562" i="10"/>
  <c r="AA562" i="10" s="1"/>
  <c r="Z563" i="10"/>
  <c r="AA563" i="10" s="1"/>
  <c r="Z564" i="10"/>
  <c r="AA564" i="10" s="1"/>
  <c r="Z565" i="10"/>
  <c r="AA565" i="10" s="1"/>
  <c r="Z566" i="10"/>
  <c r="AA566" i="10" s="1"/>
  <c r="Z567" i="10"/>
  <c r="AA567" i="10" s="1"/>
  <c r="Z568" i="10"/>
  <c r="AA568" i="10" s="1"/>
  <c r="Z569" i="10"/>
  <c r="AA569" i="10" s="1"/>
  <c r="Z570" i="10"/>
  <c r="AA570" i="10" s="1"/>
  <c r="Z571" i="10"/>
  <c r="AA571" i="10" s="1"/>
  <c r="Z515" i="10"/>
  <c r="AA515" i="10" s="1"/>
  <c r="Z517" i="10"/>
  <c r="AA517" i="10" s="1"/>
  <c r="Z520" i="10"/>
  <c r="AA520" i="10" s="1"/>
  <c r="Z522" i="10"/>
  <c r="AA522" i="10" s="1"/>
  <c r="Z524" i="10"/>
  <c r="AA524" i="10" s="1"/>
  <c r="Z527" i="10"/>
  <c r="AA527" i="10" s="1"/>
  <c r="Z530" i="10"/>
  <c r="AA530" i="10" s="1"/>
  <c r="Z532" i="10"/>
  <c r="AA532" i="10" s="1"/>
  <c r="Z534" i="10"/>
  <c r="AA534" i="10" s="1"/>
  <c r="Z536" i="10"/>
  <c r="AA536" i="10" s="1"/>
  <c r="Z539" i="10"/>
  <c r="AA539" i="10" s="1"/>
  <c r="Z513" i="10"/>
  <c r="AA513" i="10" s="1"/>
  <c r="Z521" i="10"/>
  <c r="AA521" i="10" s="1"/>
  <c r="Z528" i="10"/>
  <c r="AA528" i="10" s="1"/>
  <c r="Z533" i="10"/>
  <c r="AA533" i="10" s="1"/>
  <c r="Z502" i="10"/>
  <c r="AA502" i="10" s="1"/>
  <c r="Z504" i="10"/>
  <c r="AA504" i="10" s="1"/>
  <c r="Z506" i="10"/>
  <c r="AA506" i="10" s="1"/>
  <c r="Z508" i="10"/>
  <c r="AA508" i="10" s="1"/>
  <c r="Z510" i="10"/>
  <c r="AA510" i="10" s="1"/>
  <c r="Z512" i="10"/>
  <c r="AA512" i="10" s="1"/>
  <c r="Z516" i="10"/>
  <c r="AA516" i="10" s="1"/>
  <c r="Z519" i="10"/>
  <c r="AA519" i="10" s="1"/>
  <c r="Z525" i="10"/>
  <c r="AA525" i="10" s="1"/>
  <c r="Z531" i="10"/>
  <c r="AA531" i="10" s="1"/>
  <c r="Z537" i="10"/>
  <c r="AA537" i="10" s="1"/>
  <c r="Z526" i="10"/>
  <c r="AA526" i="10" s="1"/>
  <c r="Z538" i="10"/>
  <c r="AA538" i="10" s="1"/>
  <c r="V643" i="10" l="1"/>
  <c r="V644" i="10"/>
  <c r="V645" i="10"/>
  <c r="V646" i="10"/>
  <c r="V647" i="10"/>
  <c r="V648" i="10"/>
  <c r="V649" i="10"/>
  <c r="V650" i="10"/>
  <c r="V651" i="10"/>
  <c r="V652" i="10"/>
  <c r="V653" i="10"/>
  <c r="V654" i="10"/>
  <c r="V655" i="10"/>
  <c r="V656" i="10"/>
  <c r="V657" i="10"/>
  <c r="V658" i="10"/>
  <c r="V659" i="10"/>
  <c r="V660" i="10"/>
  <c r="V661" i="10"/>
  <c r="V662" i="10"/>
  <c r="V663" i="10"/>
  <c r="V664" i="10"/>
  <c r="V665" i="10"/>
  <c r="V666" i="10"/>
  <c r="V667" i="10"/>
  <c r="V668" i="10"/>
  <c r="V669" i="10"/>
  <c r="V670" i="10"/>
  <c r="V671" i="10"/>
  <c r="V672" i="10"/>
  <c r="V673" i="10"/>
  <c r="V674" i="10"/>
  <c r="V675" i="10"/>
  <c r="V676" i="10"/>
  <c r="V677" i="10"/>
  <c r="V678" i="10"/>
  <c r="V679" i="10"/>
  <c r="V680" i="10"/>
  <c r="V681" i="10"/>
  <c r="V682" i="10"/>
  <c r="V683" i="10"/>
  <c r="V684" i="10"/>
  <c r="V685" i="10"/>
  <c r="V686" i="10"/>
  <c r="V687" i="10"/>
  <c r="V688" i="10"/>
  <c r="V689" i="10"/>
  <c r="V690" i="10"/>
  <c r="V691" i="10"/>
  <c r="V692" i="10"/>
  <c r="V693" i="10"/>
  <c r="V694" i="10"/>
  <c r="V695" i="10"/>
  <c r="V696" i="10"/>
  <c r="V697" i="10"/>
  <c r="V698" i="10"/>
  <c r="V699" i="10"/>
  <c r="V700" i="10"/>
  <c r="V701" i="10"/>
  <c r="V702" i="10"/>
  <c r="V703" i="10"/>
  <c r="V704" i="10"/>
  <c r="V705" i="10"/>
  <c r="V706" i="10"/>
  <c r="V707" i="10"/>
  <c r="V708" i="10"/>
  <c r="Z708" i="10" s="1"/>
  <c r="AA708" i="10" s="1"/>
  <c r="V709" i="10"/>
  <c r="V710" i="10"/>
  <c r="V711" i="10"/>
  <c r="V712" i="10"/>
  <c r="V713" i="10"/>
  <c r="Z713" i="10" s="1"/>
  <c r="AA713" i="10" s="1"/>
  <c r="N714" i="10"/>
  <c r="C31" i="8"/>
  <c r="F572" i="10"/>
  <c r="F573" i="10"/>
  <c r="F574" i="10"/>
  <c r="F575" i="10"/>
  <c r="F576" i="10"/>
  <c r="F577" i="10"/>
  <c r="F578" i="10"/>
  <c r="F579" i="10"/>
  <c r="F580" i="10"/>
  <c r="F581" i="10"/>
  <c r="F582" i="10"/>
  <c r="F583" i="10"/>
  <c r="F584" i="10"/>
  <c r="F585" i="10"/>
  <c r="F586" i="10"/>
  <c r="F587" i="10"/>
  <c r="F588" i="10"/>
  <c r="F589" i="10"/>
  <c r="F590" i="10"/>
  <c r="F591" i="10"/>
  <c r="F592" i="10"/>
  <c r="F593" i="10"/>
  <c r="F594" i="10"/>
  <c r="F595" i="10"/>
  <c r="F596" i="10"/>
  <c r="F597" i="10"/>
  <c r="F598" i="10"/>
  <c r="F599" i="10"/>
  <c r="F600" i="10"/>
  <c r="F601" i="10"/>
  <c r="F602" i="10"/>
  <c r="F603" i="10"/>
  <c r="F604" i="10"/>
  <c r="F605" i="10"/>
  <c r="F606" i="10"/>
  <c r="F607" i="10"/>
  <c r="F608" i="10"/>
  <c r="F609" i="10"/>
  <c r="F610" i="10"/>
  <c r="F611" i="10"/>
  <c r="F612" i="10"/>
  <c r="F613" i="10"/>
  <c r="F614" i="10"/>
  <c r="F615" i="10"/>
  <c r="F616" i="10"/>
  <c r="F617" i="10"/>
  <c r="F618" i="10"/>
  <c r="F619" i="10"/>
  <c r="F620" i="10"/>
  <c r="F621" i="10"/>
  <c r="F623" i="10"/>
  <c r="F624" i="10"/>
  <c r="F625" i="10"/>
  <c r="F626" i="10"/>
  <c r="F627" i="10"/>
  <c r="F628" i="10"/>
  <c r="F629" i="10"/>
  <c r="F630" i="10"/>
  <c r="F631" i="10"/>
  <c r="F632" i="10"/>
  <c r="F633" i="10"/>
  <c r="F634" i="10"/>
  <c r="F635" i="10"/>
  <c r="F636" i="10"/>
  <c r="F637" i="10"/>
  <c r="F638" i="10"/>
  <c r="F639" i="10"/>
  <c r="F640" i="10"/>
  <c r="F641" i="10"/>
  <c r="F642" i="10"/>
  <c r="F622" i="10"/>
  <c r="AC501" i="10"/>
  <c r="C19" i="11"/>
  <c r="AC502" i="10"/>
  <c r="AC503" i="10"/>
  <c r="AC504" i="10"/>
  <c r="AC505" i="10"/>
  <c r="AC506" i="10"/>
  <c r="AC507" i="10"/>
  <c r="AC508" i="10"/>
  <c r="AC509" i="10"/>
  <c r="AC510" i="10"/>
  <c r="AC511" i="10"/>
  <c r="AC512" i="10"/>
  <c r="AC513" i="10"/>
  <c r="AC514" i="10"/>
  <c r="AC515" i="10"/>
  <c r="AC516" i="10"/>
  <c r="AC517" i="10"/>
  <c r="AC518" i="10"/>
  <c r="AC519" i="10"/>
  <c r="AC520" i="10"/>
  <c r="AC521" i="10"/>
  <c r="AC522" i="10"/>
  <c r="AC523" i="10"/>
  <c r="AC524" i="10"/>
  <c r="AC525" i="10"/>
  <c r="AC526" i="10"/>
  <c r="AC527" i="10"/>
  <c r="AC528" i="10"/>
  <c r="AC529" i="10"/>
  <c r="AC530" i="10"/>
  <c r="AC531" i="10"/>
  <c r="AC532" i="10"/>
  <c r="AC533" i="10"/>
  <c r="AC534" i="10"/>
  <c r="AC535" i="10"/>
  <c r="AC536" i="10"/>
  <c r="AC537" i="10"/>
  <c r="AC538" i="10"/>
  <c r="AC539" i="10"/>
  <c r="AC540" i="10"/>
  <c r="AC541" i="10"/>
  <c r="AC542" i="10"/>
  <c r="AC543" i="10"/>
  <c r="AC544" i="10"/>
  <c r="AC545" i="10"/>
  <c r="AC546" i="10"/>
  <c r="AC547" i="10"/>
  <c r="AC548" i="10"/>
  <c r="AC549" i="10"/>
  <c r="AC550" i="10"/>
  <c r="AC551" i="10"/>
  <c r="AC552" i="10"/>
  <c r="AC553" i="10"/>
  <c r="AC554" i="10"/>
  <c r="AC555" i="10"/>
  <c r="AC556" i="10"/>
  <c r="AC557" i="10"/>
  <c r="AC558" i="10"/>
  <c r="AC559" i="10"/>
  <c r="AC560" i="10"/>
  <c r="AC561" i="10"/>
  <c r="AC562" i="10"/>
  <c r="AC563" i="10"/>
  <c r="AC564" i="10"/>
  <c r="AC565" i="10"/>
  <c r="AC566" i="10"/>
  <c r="AC567" i="10"/>
  <c r="AC568" i="10"/>
  <c r="AC569" i="10"/>
  <c r="AC570" i="10"/>
  <c r="AC571" i="10"/>
  <c r="Z580" i="10"/>
  <c r="AA580" i="10" s="1"/>
  <c r="Z585" i="10"/>
  <c r="AA585" i="10" s="1"/>
  <c r="Z588" i="10"/>
  <c r="AA588" i="10" s="1"/>
  <c r="Z591" i="10"/>
  <c r="AA591" i="10" s="1"/>
  <c r="Z594" i="10"/>
  <c r="AA594" i="10" s="1"/>
  <c r="Z597" i="10"/>
  <c r="AA597" i="10" s="1"/>
  <c r="Z600" i="10"/>
  <c r="AA600" i="10" s="1"/>
  <c r="Z604" i="10"/>
  <c r="AA604" i="10" s="1"/>
  <c r="Z607" i="10"/>
  <c r="AA607" i="10" s="1"/>
  <c r="Z628" i="10"/>
  <c r="AA628" i="10" s="1"/>
  <c r="Z633" i="10"/>
  <c r="AA633" i="10" s="1"/>
  <c r="Z638" i="10"/>
  <c r="AA638" i="10" s="1"/>
  <c r="Z611" i="10"/>
  <c r="AA611" i="10" s="1"/>
  <c r="Z612" i="10"/>
  <c r="AA612" i="10" s="1"/>
  <c r="Z613" i="10"/>
  <c r="AA613" i="10" s="1"/>
  <c r="Z614" i="10"/>
  <c r="AA614" i="10" s="1"/>
  <c r="Z615" i="10"/>
  <c r="AA615" i="10" s="1"/>
  <c r="Z616" i="10"/>
  <c r="AA616" i="10" s="1"/>
  <c r="Z617" i="10"/>
  <c r="AA617" i="10" s="1"/>
  <c r="Z618" i="10"/>
  <c r="AA618" i="10" s="1"/>
  <c r="Z619" i="10"/>
  <c r="AA619" i="10" s="1"/>
  <c r="Z620" i="10"/>
  <c r="AA620" i="10" s="1"/>
  <c r="Z622" i="10"/>
  <c r="AA622" i="10" s="1"/>
  <c r="Z623" i="10"/>
  <c r="AA623" i="10" s="1"/>
  <c r="Z624" i="10"/>
  <c r="AA624" i="10" s="1"/>
  <c r="Z625" i="10"/>
  <c r="AA625" i="10" s="1"/>
  <c r="Z626" i="10"/>
  <c r="AA626" i="10" s="1"/>
  <c r="Z627" i="10"/>
  <c r="AA627" i="10" s="1"/>
  <c r="Z631" i="10"/>
  <c r="AA631" i="10" s="1"/>
  <c r="Z635" i="10"/>
  <c r="AA635" i="10" s="1"/>
  <c r="Z640" i="10"/>
  <c r="AA640" i="10" s="1"/>
  <c r="Z575" i="10"/>
  <c r="AA575" i="10" s="1"/>
  <c r="Z578" i="10"/>
  <c r="AA578" i="10" s="1"/>
  <c r="Z581" i="10"/>
  <c r="AA581" i="10" s="1"/>
  <c r="Z583" i="10"/>
  <c r="AA583" i="10" s="1"/>
  <c r="Z586" i="10"/>
  <c r="AA586" i="10" s="1"/>
  <c r="Z589" i="10"/>
  <c r="AA589" i="10" s="1"/>
  <c r="Z592" i="10"/>
  <c r="AA592" i="10" s="1"/>
  <c r="Z595" i="10"/>
  <c r="AA595" i="10" s="1"/>
  <c r="Z598" i="10"/>
  <c r="AA598" i="10" s="1"/>
  <c r="Z602" i="10"/>
  <c r="AA602" i="10" s="1"/>
  <c r="Z605" i="10"/>
  <c r="AA605" i="10" s="1"/>
  <c r="Z608" i="10"/>
  <c r="AA608" i="10" s="1"/>
  <c r="Z629" i="10"/>
  <c r="AA629" i="10" s="1"/>
  <c r="Z634" i="10"/>
  <c r="AA634" i="10" s="1"/>
  <c r="Z639" i="10"/>
  <c r="AA639" i="10" s="1"/>
  <c r="Z601" i="10"/>
  <c r="AA601" i="10" s="1"/>
  <c r="Z609" i="10"/>
  <c r="AA609" i="10" s="1"/>
  <c r="Z630" i="10"/>
  <c r="AA630" i="10" s="1"/>
  <c r="Z636" i="10"/>
  <c r="AA636" i="10" s="1"/>
  <c r="Z641" i="10"/>
  <c r="AA641" i="10" s="1"/>
  <c r="Z572" i="10"/>
  <c r="AA572" i="10" s="1"/>
  <c r="G16" i="12" s="1"/>
  <c r="Z573" i="10"/>
  <c r="AA573" i="10" s="1"/>
  <c r="Z574" i="10"/>
  <c r="AA574" i="10" s="1"/>
  <c r="Z576" i="10"/>
  <c r="AA576" i="10" s="1"/>
  <c r="Z577" i="10"/>
  <c r="AA577" i="10" s="1"/>
  <c r="Z579" i="10"/>
  <c r="AA579" i="10" s="1"/>
  <c r="Z582" i="10"/>
  <c r="AA582" i="10" s="1"/>
  <c r="Z584" i="10"/>
  <c r="AA584" i="10" s="1"/>
  <c r="Z587" i="10"/>
  <c r="AA587" i="10" s="1"/>
  <c r="Z590" i="10"/>
  <c r="AA590" i="10" s="1"/>
  <c r="Z593" i="10"/>
  <c r="AA593" i="10" s="1"/>
  <c r="Z596" i="10"/>
  <c r="AA596" i="10" s="1"/>
  <c r="Z599" i="10"/>
  <c r="AA599" i="10" s="1"/>
  <c r="Z603" i="10"/>
  <c r="AA603" i="10" s="1"/>
  <c r="Z606" i="10"/>
  <c r="AA606" i="10" s="1"/>
  <c r="Z610" i="10"/>
  <c r="AA610" i="10" s="1"/>
  <c r="Z632" i="10"/>
  <c r="AA632" i="10" s="1"/>
  <c r="Z637" i="10"/>
  <c r="AA637" i="10" s="1"/>
  <c r="Z642" i="10"/>
  <c r="AA642" i="10" s="1"/>
  <c r="AG284" i="10"/>
  <c r="AH284" i="10" s="1"/>
  <c r="AG281" i="10"/>
  <c r="AH281" i="10" s="1"/>
  <c r="AG275" i="10"/>
  <c r="AH275" i="10" s="1"/>
  <c r="AG273" i="10"/>
  <c r="AH273" i="10" s="1"/>
  <c r="AG271" i="10"/>
  <c r="AH271" i="10" s="1"/>
  <c r="AG268" i="10"/>
  <c r="AH268" i="10" s="1"/>
  <c r="AG266" i="10"/>
  <c r="AH266" i="10" s="1"/>
  <c r="AG263" i="10"/>
  <c r="AH263" i="10" s="1"/>
  <c r="AG262" i="10"/>
  <c r="AH262" i="10" s="1"/>
  <c r="AG261" i="10"/>
  <c r="AH261" i="10" s="1"/>
  <c r="AG249" i="10"/>
  <c r="AH249" i="10" s="1"/>
  <c r="AG244" i="10"/>
  <c r="AH244" i="10" s="1"/>
  <c r="AG239" i="10"/>
  <c r="AH239" i="10" s="1"/>
  <c r="AG237" i="10"/>
  <c r="AH237" i="10" s="1"/>
  <c r="AG236" i="10"/>
  <c r="AH236" i="10" s="1"/>
  <c r="AG233" i="10"/>
  <c r="AH233" i="10" s="1"/>
  <c r="AG227" i="10"/>
  <c r="AH227" i="10" s="1"/>
  <c r="AG279" i="10"/>
  <c r="AH279" i="10" s="1"/>
  <c r="AG278" i="10"/>
  <c r="AH278" i="10" s="1"/>
  <c r="AG274" i="10"/>
  <c r="AH274" i="10" s="1"/>
  <c r="AG272" i="10"/>
  <c r="AH272" i="10" s="1"/>
  <c r="AG269" i="10"/>
  <c r="AH269" i="10" s="1"/>
  <c r="AG258" i="10"/>
  <c r="AH258" i="10" s="1"/>
  <c r="AG255" i="10"/>
  <c r="AH255" i="10" s="1"/>
  <c r="AG248" i="10"/>
  <c r="AH248" i="10" s="1"/>
  <c r="AG232" i="10"/>
  <c r="AH232" i="10" s="1"/>
  <c r="AG229" i="10"/>
  <c r="AH229" i="10" s="1"/>
  <c r="AG228" i="10"/>
  <c r="AH228" i="10" s="1"/>
  <c r="AG218" i="10"/>
  <c r="AH218" i="10" s="1"/>
  <c r="AG217" i="10"/>
  <c r="AH217" i="10" s="1"/>
  <c r="AG282" i="10"/>
  <c r="AH282" i="10" s="1"/>
  <c r="AG277" i="10"/>
  <c r="AH277" i="10" s="1"/>
  <c r="AG251" i="10"/>
  <c r="AH251" i="10" s="1"/>
  <c r="AG247" i="10"/>
  <c r="AH247" i="10" s="1"/>
  <c r="AG245" i="10"/>
  <c r="AH245" i="10" s="1"/>
  <c r="AG230" i="10"/>
  <c r="AH230" i="10" s="1"/>
  <c r="AG286" i="10"/>
  <c r="AH286" i="10" s="1"/>
  <c r="AG280" i="10"/>
  <c r="AH280" i="10" s="1"/>
  <c r="AG259" i="10"/>
  <c r="AH259" i="10" s="1"/>
  <c r="AG257" i="10"/>
  <c r="AH257" i="10" s="1"/>
  <c r="AG254" i="10"/>
  <c r="AH254" i="10" s="1"/>
  <c r="AG252" i="10"/>
  <c r="AH252" i="10" s="1"/>
  <c r="AG246" i="10"/>
  <c r="AH246" i="10" s="1"/>
  <c r="AG240" i="10"/>
  <c r="AH240" i="10" s="1"/>
  <c r="AG267" i="10"/>
  <c r="AH267" i="10" s="1"/>
  <c r="AG270" i="10"/>
  <c r="AH270" i="10" s="1"/>
  <c r="AG222" i="10"/>
  <c r="AH222" i="10" s="1"/>
  <c r="AG221" i="10"/>
  <c r="AH221" i="10" s="1"/>
  <c r="AG220" i="10"/>
  <c r="AH220" i="10" s="1"/>
  <c r="AG225" i="10"/>
  <c r="AH225" i="10" s="1"/>
  <c r="AG283" i="10"/>
  <c r="AH283" i="10" s="1"/>
  <c r="AG265" i="10"/>
  <c r="AH265" i="10" s="1"/>
  <c r="AG242" i="10"/>
  <c r="AH242" i="10" s="1"/>
  <c r="AG285" i="10"/>
  <c r="AH285" i="10" s="1"/>
  <c r="AG264" i="10"/>
  <c r="AH264" i="10" s="1"/>
  <c r="AG260" i="10"/>
  <c r="AH260" i="10" s="1"/>
  <c r="AG253" i="10"/>
  <c r="AH253" i="10" s="1"/>
  <c r="AG250" i="10"/>
  <c r="AH250" i="10" s="1"/>
  <c r="AG234" i="10"/>
  <c r="AH234" i="10" s="1"/>
  <c r="AG226" i="10"/>
  <c r="AH226" i="10" s="1"/>
  <c r="AG223" i="10"/>
  <c r="AH223" i="10" s="1"/>
  <c r="AG219" i="10"/>
  <c r="AH219" i="10" s="1"/>
  <c r="AG224" i="10"/>
  <c r="AH224" i="10" s="1"/>
  <c r="AG287" i="10"/>
  <c r="AH287" i="10" s="1"/>
  <c r="AG241" i="10"/>
  <c r="AH241" i="10" s="1"/>
  <c r="AG235" i="10"/>
  <c r="AH235" i="10" s="1"/>
  <c r="AG276" i="10"/>
  <c r="AH276" i="10" s="1"/>
  <c r="AG256" i="10"/>
  <c r="AH256" i="10" s="1"/>
  <c r="AG243" i="10"/>
  <c r="AH243" i="10" s="1"/>
  <c r="AG238" i="10"/>
  <c r="AH238" i="10" s="1"/>
  <c r="AG231" i="10"/>
  <c r="AH231" i="10" s="1"/>
  <c r="V714" i="10" l="1"/>
  <c r="V715" i="10"/>
  <c r="V716" i="10"/>
  <c r="V717" i="10"/>
  <c r="V718" i="10"/>
  <c r="V719" i="10"/>
  <c r="V720" i="10"/>
  <c r="V721" i="10"/>
  <c r="V722" i="10"/>
  <c r="V723" i="10"/>
  <c r="V724" i="10"/>
  <c r="V725" i="10"/>
  <c r="V726" i="10"/>
  <c r="V727" i="10"/>
  <c r="V728" i="10"/>
  <c r="V729" i="10"/>
  <c r="V730" i="10"/>
  <c r="V731" i="10"/>
  <c r="V732" i="10"/>
  <c r="V733" i="10"/>
  <c r="V734" i="10"/>
  <c r="V735" i="10"/>
  <c r="V736" i="10"/>
  <c r="V737" i="10"/>
  <c r="V738" i="10"/>
  <c r="V739" i="10"/>
  <c r="V740" i="10"/>
  <c r="V741" i="10"/>
  <c r="V742" i="10"/>
  <c r="V743" i="10"/>
  <c r="V744" i="10"/>
  <c r="V745" i="10"/>
  <c r="V746" i="10"/>
  <c r="V747" i="10"/>
  <c r="V748" i="10"/>
  <c r="V749" i="10"/>
  <c r="V750" i="10"/>
  <c r="V751" i="10"/>
  <c r="V752" i="10"/>
  <c r="V753" i="10"/>
  <c r="V754" i="10"/>
  <c r="V755" i="10"/>
  <c r="V756" i="10"/>
  <c r="V757" i="10"/>
  <c r="V758" i="10"/>
  <c r="V759" i="10"/>
  <c r="V760" i="10"/>
  <c r="V761" i="10"/>
  <c r="V762" i="10"/>
  <c r="V763" i="10"/>
  <c r="V764" i="10"/>
  <c r="V765" i="10"/>
  <c r="Z765" i="10" s="1"/>
  <c r="AA765" i="10" s="1"/>
  <c r="V766" i="10"/>
  <c r="Z766" i="10" s="1"/>
  <c r="AA766" i="10" s="1"/>
  <c r="V767" i="10"/>
  <c r="V768" i="10"/>
  <c r="V769" i="10"/>
  <c r="V770" i="10"/>
  <c r="V771" i="10"/>
  <c r="V772" i="10"/>
  <c r="V773" i="10"/>
  <c r="V774" i="10"/>
  <c r="V775" i="10"/>
  <c r="V776" i="10"/>
  <c r="V777" i="10"/>
  <c r="V778" i="10"/>
  <c r="V779" i="10"/>
  <c r="V780" i="10"/>
  <c r="V781" i="10"/>
  <c r="V782" i="10"/>
  <c r="V783" i="10"/>
  <c r="V784" i="10"/>
  <c r="N785" i="10"/>
  <c r="C32" i="8"/>
  <c r="F643" i="10"/>
  <c r="F644" i="10"/>
  <c r="F645" i="10"/>
  <c r="F646" i="10"/>
  <c r="F647" i="10"/>
  <c r="F648" i="10"/>
  <c r="F649" i="10"/>
  <c r="F650" i="10"/>
  <c r="F651" i="10"/>
  <c r="F652" i="10"/>
  <c r="F653" i="10"/>
  <c r="F654" i="10"/>
  <c r="F655" i="10"/>
  <c r="F656" i="10"/>
  <c r="F657" i="10"/>
  <c r="F658" i="10"/>
  <c r="F659" i="10"/>
  <c r="F660" i="10"/>
  <c r="F661" i="10"/>
  <c r="F662" i="10"/>
  <c r="F663" i="10"/>
  <c r="F664" i="10"/>
  <c r="F665" i="10"/>
  <c r="F666" i="10"/>
  <c r="F667" i="10"/>
  <c r="F668" i="10"/>
  <c r="F669" i="10"/>
  <c r="F670" i="10"/>
  <c r="F671" i="10"/>
  <c r="F672" i="10"/>
  <c r="F673" i="10"/>
  <c r="F674" i="10"/>
  <c r="F675" i="10"/>
  <c r="F676" i="10"/>
  <c r="F677" i="10"/>
  <c r="F678" i="10"/>
  <c r="F679" i="10"/>
  <c r="F680" i="10"/>
  <c r="F681" i="10"/>
  <c r="F682" i="10"/>
  <c r="F683" i="10"/>
  <c r="F684" i="10"/>
  <c r="F685" i="10"/>
  <c r="F686" i="10"/>
  <c r="F687" i="10"/>
  <c r="F688" i="10"/>
  <c r="F689" i="10"/>
  <c r="F690" i="10"/>
  <c r="F691" i="10"/>
  <c r="F692" i="10"/>
  <c r="F693" i="10"/>
  <c r="F694" i="10"/>
  <c r="F695" i="10"/>
  <c r="F696" i="10"/>
  <c r="F697" i="10"/>
  <c r="F698" i="10"/>
  <c r="F699" i="10"/>
  <c r="F700" i="10"/>
  <c r="F701" i="10"/>
  <c r="F702" i="10"/>
  <c r="F703" i="10"/>
  <c r="F704" i="10"/>
  <c r="F705" i="10"/>
  <c r="F706" i="10"/>
  <c r="F707" i="10"/>
  <c r="F708" i="10"/>
  <c r="F709" i="10"/>
  <c r="F710" i="10"/>
  <c r="F711" i="10"/>
  <c r="F712" i="10"/>
  <c r="F713" i="10"/>
  <c r="AC572" i="10"/>
  <c r="C20" i="11"/>
  <c r="AC573" i="10"/>
  <c r="AC574" i="10"/>
  <c r="AC575" i="10"/>
  <c r="AC576" i="10"/>
  <c r="AC577" i="10"/>
  <c r="AC578" i="10"/>
  <c r="AC579" i="10"/>
  <c r="AC580" i="10"/>
  <c r="AC581" i="10"/>
  <c r="AC582" i="10"/>
  <c r="AC583" i="10"/>
  <c r="AC584" i="10"/>
  <c r="AC585" i="10"/>
  <c r="AC586" i="10"/>
  <c r="AC587" i="10"/>
  <c r="AC588" i="10"/>
  <c r="AC589" i="10"/>
  <c r="AC590" i="10"/>
  <c r="AC591" i="10"/>
  <c r="AC592" i="10"/>
  <c r="AC593" i="10"/>
  <c r="AC594" i="10"/>
  <c r="AC595" i="10"/>
  <c r="AC596" i="10"/>
  <c r="AC597" i="10"/>
  <c r="AC598" i="10"/>
  <c r="AC599" i="10"/>
  <c r="AC600" i="10"/>
  <c r="AC601" i="10"/>
  <c r="AC602" i="10"/>
  <c r="AC603" i="10"/>
  <c r="AC604" i="10"/>
  <c r="AC605" i="10"/>
  <c r="AC606" i="10"/>
  <c r="AC607" i="10"/>
  <c r="AC608" i="10"/>
  <c r="AC609" i="10"/>
  <c r="AC610" i="10"/>
  <c r="AC611" i="10"/>
  <c r="AC612" i="10"/>
  <c r="AC613" i="10"/>
  <c r="AC614" i="10"/>
  <c r="AC615" i="10"/>
  <c r="AC616" i="10"/>
  <c r="AC617" i="10"/>
  <c r="AC618" i="10"/>
  <c r="AC619" i="10"/>
  <c r="AC620" i="10"/>
  <c r="AC621" i="10"/>
  <c r="AC623" i="10"/>
  <c r="AC624" i="10"/>
  <c r="AC625" i="10"/>
  <c r="AC626" i="10"/>
  <c r="AC627" i="10"/>
  <c r="AC628" i="10"/>
  <c r="AC629" i="10"/>
  <c r="AC630" i="10"/>
  <c r="AC631" i="10"/>
  <c r="AC632" i="10"/>
  <c r="AC633" i="10"/>
  <c r="AC634" i="10"/>
  <c r="AC635" i="10"/>
  <c r="AC636" i="10"/>
  <c r="AC637" i="10"/>
  <c r="AC638" i="10"/>
  <c r="AC639" i="10"/>
  <c r="AC640" i="10"/>
  <c r="AC641" i="10"/>
  <c r="AC642" i="10"/>
  <c r="AC622" i="10"/>
  <c r="G90" i="4"/>
  <c r="AB355" i="10"/>
  <c r="AD355" i="10" s="1"/>
  <c r="AI284" i="10"/>
  <c r="AJ284" i="10"/>
  <c r="AK284" i="10"/>
  <c r="AJ281" i="10"/>
  <c r="G86" i="4"/>
  <c r="AI281" i="10"/>
  <c r="AK281" i="10"/>
  <c r="AB352" i="10"/>
  <c r="AD352" i="10" s="1"/>
  <c r="G79" i="4"/>
  <c r="AI275" i="10"/>
  <c r="AB346" i="10"/>
  <c r="AD346" i="10" s="1"/>
  <c r="AK275" i="10"/>
  <c r="AJ275" i="10"/>
  <c r="AB344" i="10"/>
  <c r="AD344" i="10" s="1"/>
  <c r="G77" i="4"/>
  <c r="AK273" i="10"/>
  <c r="AI273" i="10"/>
  <c r="AJ273" i="10"/>
  <c r="AK271" i="10"/>
  <c r="AJ271" i="10"/>
  <c r="AI271" i="10"/>
  <c r="AB342" i="10"/>
  <c r="AD342" i="10" s="1"/>
  <c r="G75" i="4"/>
  <c r="AB339" i="10"/>
  <c r="AD339" i="10" s="1"/>
  <c r="G71" i="4"/>
  <c r="AK268" i="10"/>
  <c r="AJ268" i="10"/>
  <c r="AI268" i="10"/>
  <c r="AJ266" i="10"/>
  <c r="AI266" i="10"/>
  <c r="AK266" i="10"/>
  <c r="AB337" i="10"/>
  <c r="AD337" i="10" s="1"/>
  <c r="G68" i="4"/>
  <c r="G65" i="4"/>
  <c r="AI263" i="10"/>
  <c r="AJ263" i="10"/>
  <c r="AB334" i="10"/>
  <c r="AD334" i="10" s="1"/>
  <c r="AK263" i="10"/>
  <c r="AB333" i="10"/>
  <c r="AD333" i="10" s="1"/>
  <c r="G63" i="4"/>
  <c r="AK262" i="10"/>
  <c r="AI262" i="10"/>
  <c r="AJ262" i="10"/>
  <c r="AJ261" i="10"/>
  <c r="AK261" i="10"/>
  <c r="G62" i="4"/>
  <c r="AI261" i="10"/>
  <c r="AB332" i="10"/>
  <c r="AD332" i="10" s="1"/>
  <c r="AB320" i="10"/>
  <c r="AD320" i="10" s="1"/>
  <c r="AK249" i="10"/>
  <c r="AI249" i="10"/>
  <c r="G48" i="4"/>
  <c r="AJ249" i="10"/>
  <c r="AI244" i="10"/>
  <c r="AJ244" i="10"/>
  <c r="AK244" i="10"/>
  <c r="AB315" i="10"/>
  <c r="AD315" i="10" s="1"/>
  <c r="G41" i="4"/>
  <c r="AI239" i="10"/>
  <c r="AK239" i="10"/>
  <c r="AJ239" i="10"/>
  <c r="G35" i="4"/>
  <c r="AB310" i="10"/>
  <c r="AD310" i="10" s="1"/>
  <c r="G33" i="4"/>
  <c r="AB308" i="10"/>
  <c r="AD308" i="10" s="1"/>
  <c r="AK237" i="10"/>
  <c r="AJ237" i="10"/>
  <c r="AI237" i="10"/>
  <c r="AK236" i="10"/>
  <c r="AI236" i="10"/>
  <c r="G31" i="4"/>
  <c r="AJ236" i="10"/>
  <c r="AB307" i="10"/>
  <c r="AD307" i="10" s="1"/>
  <c r="G28" i="4"/>
  <c r="AI233" i="10"/>
  <c r="AK233" i="10"/>
  <c r="AB304" i="10"/>
  <c r="AD304" i="10" s="1"/>
  <c r="AJ233" i="10"/>
  <c r="G21" i="4"/>
  <c r="AJ227" i="10"/>
  <c r="AI227" i="10"/>
  <c r="AB298" i="10"/>
  <c r="AD298" i="10" s="1"/>
  <c r="AK227" i="10"/>
  <c r="AB350" i="10"/>
  <c r="AD350" i="10" s="1"/>
  <c r="AK279" i="10"/>
  <c r="AI279" i="10"/>
  <c r="G84" i="4"/>
  <c r="AJ279" i="10"/>
  <c r="AK278" i="10"/>
  <c r="AI278" i="10"/>
  <c r="AB349" i="10"/>
  <c r="AD349" i="10" s="1"/>
  <c r="G83" i="4"/>
  <c r="AJ278" i="10"/>
  <c r="AI274" i="10"/>
  <c r="AB345" i="10"/>
  <c r="AD345" i="10" s="1"/>
  <c r="G78" i="4"/>
  <c r="AK274" i="10"/>
  <c r="AJ274" i="10"/>
  <c r="AB343" i="10"/>
  <c r="AD343" i="10" s="1"/>
  <c r="AI272" i="10"/>
  <c r="G76" i="4"/>
  <c r="AK272" i="10"/>
  <c r="AJ272" i="10"/>
  <c r="AJ269" i="10"/>
  <c r="AK269" i="10"/>
  <c r="AI269" i="10"/>
  <c r="G72" i="4"/>
  <c r="AB340" i="10"/>
  <c r="AD340" i="10" s="1"/>
  <c r="AJ258" i="10"/>
  <c r="AI258" i="10"/>
  <c r="AK258" i="10"/>
  <c r="G58" i="4"/>
  <c r="AB329" i="10"/>
  <c r="AD329" i="10" s="1"/>
  <c r="AJ255" i="10"/>
  <c r="G55" i="4"/>
  <c r="AI255" i="10"/>
  <c r="AK255" i="10"/>
  <c r="AB326" i="10"/>
  <c r="AD326" i="10" s="1"/>
  <c r="AJ248" i="10"/>
  <c r="AK248" i="10"/>
  <c r="G47" i="4"/>
  <c r="AB319" i="10"/>
  <c r="AD319" i="10" s="1"/>
  <c r="AI248" i="10"/>
  <c r="G27" i="4"/>
  <c r="AJ232" i="10"/>
  <c r="AI232" i="10"/>
  <c r="AK232" i="10"/>
  <c r="AB303" i="10"/>
  <c r="AD303" i="10" s="1"/>
  <c r="AB300" i="10"/>
  <c r="AD300" i="10" s="1"/>
  <c r="AI229" i="10"/>
  <c r="G23" i="4"/>
  <c r="AK229" i="10"/>
  <c r="AJ229" i="10"/>
  <c r="AJ228" i="10"/>
  <c r="G22" i="4"/>
  <c r="AI228" i="10"/>
  <c r="AK228" i="10"/>
  <c r="AB299" i="10"/>
  <c r="AD299" i="10" s="1"/>
  <c r="G11" i="4"/>
  <c r="AI218" i="10"/>
  <c r="AJ218" i="10"/>
  <c r="AK218" i="10"/>
  <c r="AB289" i="10"/>
  <c r="AD289" i="10" s="1"/>
  <c r="AI217" i="10"/>
  <c r="F11" i="12" s="1"/>
  <c r="AJ217" i="10"/>
  <c r="I11" i="12" s="1"/>
  <c r="AK217" i="10"/>
  <c r="AB288" i="10"/>
  <c r="D15" i="11"/>
  <c r="E11" i="12"/>
  <c r="G10" i="4"/>
  <c r="G87" i="4"/>
  <c r="AB353" i="10"/>
  <c r="AD353" i="10" s="1"/>
  <c r="AK282" i="10"/>
  <c r="AI282" i="10"/>
  <c r="AJ282" i="10"/>
  <c r="AJ277" i="10"/>
  <c r="G82" i="4"/>
  <c r="AB348" i="10"/>
  <c r="AD348" i="10" s="1"/>
  <c r="AI277" i="10"/>
  <c r="AK277" i="10"/>
  <c r="AJ251" i="10"/>
  <c r="AK251" i="10"/>
  <c r="AI251" i="10"/>
  <c r="AB322" i="10"/>
  <c r="AD322" i="10" s="1"/>
  <c r="G51" i="4"/>
  <c r="G45" i="4"/>
  <c r="AK247" i="10"/>
  <c r="AI247" i="10"/>
  <c r="AB318" i="10"/>
  <c r="AD318" i="10" s="1"/>
  <c r="AJ247" i="10"/>
  <c r="AJ245" i="10"/>
  <c r="AB316" i="10"/>
  <c r="AD316" i="10" s="1"/>
  <c r="G43" i="4"/>
  <c r="AI245" i="10"/>
  <c r="AK245" i="10"/>
  <c r="AK230" i="10"/>
  <c r="AI230" i="10"/>
  <c r="AJ230" i="10"/>
  <c r="AB301" i="10"/>
  <c r="AD301" i="10" s="1"/>
  <c r="G25" i="4"/>
  <c r="AJ286" i="10"/>
  <c r="AI286" i="10"/>
  <c r="AK286" i="10"/>
  <c r="G92" i="4"/>
  <c r="AB357" i="10"/>
  <c r="AD357" i="10" s="1"/>
  <c r="AB351" i="10"/>
  <c r="AD351" i="10" s="1"/>
  <c r="G85" i="4"/>
  <c r="AK280" i="10"/>
  <c r="AJ280" i="10"/>
  <c r="AI280" i="10"/>
  <c r="AB330" i="10"/>
  <c r="AD330" i="10" s="1"/>
  <c r="AK259" i="10"/>
  <c r="AI259" i="10"/>
  <c r="G60" i="4"/>
  <c r="AJ259" i="10"/>
  <c r="G57" i="4"/>
  <c r="AI257" i="10"/>
  <c r="AB328" i="10"/>
  <c r="AD328" i="10" s="1"/>
  <c r="AK257" i="10"/>
  <c r="AJ257" i="10"/>
  <c r="AJ254" i="10"/>
  <c r="G54" i="4"/>
  <c r="AB325" i="10"/>
  <c r="AD325" i="10" s="1"/>
  <c r="AI254" i="10"/>
  <c r="AK254" i="10"/>
  <c r="G52" i="4"/>
  <c r="AB323" i="10"/>
  <c r="AD323" i="10" s="1"/>
  <c r="AJ252" i="10"/>
  <c r="AK252" i="10"/>
  <c r="AI252" i="10"/>
  <c r="AB317" i="10"/>
  <c r="AD317" i="10" s="1"/>
  <c r="AJ246" i="10"/>
  <c r="AI246" i="10"/>
  <c r="AK246" i="10"/>
  <c r="G44" i="4"/>
  <c r="AJ240" i="10"/>
  <c r="AI240" i="10"/>
  <c r="AK240" i="10"/>
  <c r="G36" i="4"/>
  <c r="AB311" i="10"/>
  <c r="AD311" i="10" s="1"/>
  <c r="AB338" i="10"/>
  <c r="AD338" i="10" s="1"/>
  <c r="G69" i="4"/>
  <c r="AK267" i="10"/>
  <c r="AI267" i="10"/>
  <c r="AJ267" i="10"/>
  <c r="G74" i="4"/>
  <c r="AB341" i="10"/>
  <c r="AD341" i="10" s="1"/>
  <c r="AK270" i="10"/>
  <c r="AJ270" i="10"/>
  <c r="AI270" i="10"/>
  <c r="G15" i="4"/>
  <c r="AI222" i="10"/>
  <c r="AJ222" i="10"/>
  <c r="AK222" i="10"/>
  <c r="AB293" i="10"/>
  <c r="AD293" i="10" s="1"/>
  <c r="G14" i="4"/>
  <c r="AI221" i="10"/>
  <c r="AJ221" i="10"/>
  <c r="AK221" i="10"/>
  <c r="AB292" i="10"/>
  <c r="AD292" i="10" s="1"/>
  <c r="AI220" i="10"/>
  <c r="AJ220" i="10"/>
  <c r="AK220" i="10"/>
  <c r="AB291" i="10"/>
  <c r="AD291" i="10" s="1"/>
  <c r="G13" i="4"/>
  <c r="G18" i="4"/>
  <c r="AB296" i="10"/>
  <c r="AD296" i="10" s="1"/>
  <c r="AK225" i="10"/>
  <c r="AJ225" i="10"/>
  <c r="AI225" i="10"/>
  <c r="AI283" i="10"/>
  <c r="G88" i="4"/>
  <c r="AB354" i="10"/>
  <c r="AD354" i="10" s="1"/>
  <c r="AK283" i="10"/>
  <c r="AJ283" i="10"/>
  <c r="AI265" i="10"/>
  <c r="AJ265" i="10"/>
  <c r="AB336" i="10"/>
  <c r="AD336" i="10" s="1"/>
  <c r="G67" i="4"/>
  <c r="AK265" i="10"/>
  <c r="G39" i="4"/>
  <c r="AB313" i="10"/>
  <c r="AD313" i="10" s="1"/>
  <c r="AJ242" i="10"/>
  <c r="AI242" i="10"/>
  <c r="AK242" i="10"/>
  <c r="AK285" i="10"/>
  <c r="AI285" i="10"/>
  <c r="G91" i="4"/>
  <c r="AB356" i="10"/>
  <c r="AD356" i="10" s="1"/>
  <c r="AJ285" i="10"/>
  <c r="G66" i="4"/>
  <c r="AJ264" i="10"/>
  <c r="AB335" i="10"/>
  <c r="AD335" i="10" s="1"/>
  <c r="AI264" i="10"/>
  <c r="AK264" i="10"/>
  <c r="AB331" i="10"/>
  <c r="AD331" i="10" s="1"/>
  <c r="AI260" i="10"/>
  <c r="G61" i="4"/>
  <c r="AK260" i="10"/>
  <c r="AJ260" i="10"/>
  <c r="AJ253" i="10"/>
  <c r="AK253" i="10"/>
  <c r="AI253" i="10"/>
  <c r="G53" i="4"/>
  <c r="AB324" i="10"/>
  <c r="AD324" i="10" s="1"/>
  <c r="G49" i="4"/>
  <c r="AJ250" i="10"/>
  <c r="AI250" i="10"/>
  <c r="AK250" i="10"/>
  <c r="AB321" i="10"/>
  <c r="AD321" i="10" s="1"/>
  <c r="AJ234" i="10"/>
  <c r="AB305" i="10"/>
  <c r="AD305" i="10" s="1"/>
  <c r="AI234" i="10"/>
  <c r="AK234" i="10"/>
  <c r="G29" i="4"/>
  <c r="AI226" i="10"/>
  <c r="AJ226" i="10"/>
  <c r="AK226" i="10"/>
  <c r="G19" i="4"/>
  <c r="AB297" i="10"/>
  <c r="AD297" i="10" s="1"/>
  <c r="AI223" i="10"/>
  <c r="AJ223" i="10"/>
  <c r="AK223" i="10"/>
  <c r="AB294" i="10"/>
  <c r="AD294" i="10" s="1"/>
  <c r="G16" i="4"/>
  <c r="AI219" i="10"/>
  <c r="AJ219" i="10"/>
  <c r="AK219" i="10"/>
  <c r="AB290" i="10"/>
  <c r="AD290" i="10" s="1"/>
  <c r="G12" i="4"/>
  <c r="AK224" i="10"/>
  <c r="AB295" i="10"/>
  <c r="AD295" i="10" s="1"/>
  <c r="G17" i="4"/>
  <c r="AI224" i="10"/>
  <c r="AJ224" i="10"/>
  <c r="G93" i="4"/>
  <c r="AB358" i="10"/>
  <c r="AD358" i="10" s="1"/>
  <c r="AK287" i="10"/>
  <c r="AJ287" i="10"/>
  <c r="AI287" i="10"/>
  <c r="AI241" i="10"/>
  <c r="AJ241" i="10"/>
  <c r="AK241" i="10"/>
  <c r="G38" i="4"/>
  <c r="AB312" i="10"/>
  <c r="AD312" i="10" s="1"/>
  <c r="AI235" i="10"/>
  <c r="AJ235" i="10"/>
  <c r="AB306" i="10"/>
  <c r="AD306" i="10" s="1"/>
  <c r="G30" i="4"/>
  <c r="AK235" i="10"/>
  <c r="AJ276" i="10"/>
  <c r="AK276" i="10"/>
  <c r="AB347" i="10"/>
  <c r="AD347" i="10" s="1"/>
  <c r="G81" i="4"/>
  <c r="AI276" i="10"/>
  <c r="AK256" i="10"/>
  <c r="AI256" i="10"/>
  <c r="AB327" i="10"/>
  <c r="AD327" i="10" s="1"/>
  <c r="G56" i="4"/>
  <c r="AJ256" i="10"/>
  <c r="AK243" i="10"/>
  <c r="AI243" i="10"/>
  <c r="AB314" i="10"/>
  <c r="AD314" i="10" s="1"/>
  <c r="G40" i="4"/>
  <c r="AJ243" i="10"/>
  <c r="AJ238" i="10"/>
  <c r="AI238" i="10"/>
  <c r="AK238" i="10"/>
  <c r="G34" i="4"/>
  <c r="AB309" i="10"/>
  <c r="AD309" i="10" s="1"/>
  <c r="G26" i="4"/>
  <c r="AJ231" i="10"/>
  <c r="AK231" i="10"/>
  <c r="AI231" i="10"/>
  <c r="AB302" i="10"/>
  <c r="AD302" i="10" s="1"/>
  <c r="Z644" i="10"/>
  <c r="AA644" i="10" s="1"/>
  <c r="Z645" i="10"/>
  <c r="AA645" i="10" s="1"/>
  <c r="Z648" i="10"/>
  <c r="AA648" i="10" s="1"/>
  <c r="Z652" i="10"/>
  <c r="AA652" i="10" s="1"/>
  <c r="Z655" i="10"/>
  <c r="AA655" i="10" s="1"/>
  <c r="Z661" i="10"/>
  <c r="AA661" i="10" s="1"/>
  <c r="Z669" i="10"/>
  <c r="AA669" i="10" s="1"/>
  <c r="Z675" i="10"/>
  <c r="AA675" i="10" s="1"/>
  <c r="Z688" i="10"/>
  <c r="AA688" i="10" s="1"/>
  <c r="Z695" i="10"/>
  <c r="AA695" i="10" s="1"/>
  <c r="Z703" i="10"/>
  <c r="AA703" i="10" s="1"/>
  <c r="Z711" i="10"/>
  <c r="AA711" i="10" s="1"/>
  <c r="Z679" i="10"/>
  <c r="AA679" i="10" s="1"/>
  <c r="Z680" i="10"/>
  <c r="AA680" i="10" s="1"/>
  <c r="Z681" i="10"/>
  <c r="AA681" i="10" s="1"/>
  <c r="Z682" i="10"/>
  <c r="AA682" i="10" s="1"/>
  <c r="Z683" i="10"/>
  <c r="AA683" i="10" s="1"/>
  <c r="Z684" i="10"/>
  <c r="AA684" i="10" s="1"/>
  <c r="Z685" i="10"/>
  <c r="AA685" i="10" s="1"/>
  <c r="Z691" i="10"/>
  <c r="AA691" i="10" s="1"/>
  <c r="Z698" i="10"/>
  <c r="AA698" i="10" s="1"/>
  <c r="Z705" i="10"/>
  <c r="AA705" i="10" s="1"/>
  <c r="Z651" i="10"/>
  <c r="AA651" i="10" s="1"/>
  <c r="Z654" i="10"/>
  <c r="AA654" i="10" s="1"/>
  <c r="Z658" i="10"/>
  <c r="AA658" i="10" s="1"/>
  <c r="Z660" i="10"/>
  <c r="AA660" i="10" s="1"/>
  <c r="Z662" i="10"/>
  <c r="AA662" i="10" s="1"/>
  <c r="Z666" i="10"/>
  <c r="AA666" i="10" s="1"/>
  <c r="Z667" i="10"/>
  <c r="AA667" i="10" s="1"/>
  <c r="Z672" i="10"/>
  <c r="AA672" i="10" s="1"/>
  <c r="Z673" i="10"/>
  <c r="AA673" i="10" s="1"/>
  <c r="Z677" i="10"/>
  <c r="AA677" i="10" s="1"/>
  <c r="Z686" i="10"/>
  <c r="AA686" i="10" s="1"/>
  <c r="Z690" i="10"/>
  <c r="AA690" i="10" s="1"/>
  <c r="Z693" i="10"/>
  <c r="AA693" i="10" s="1"/>
  <c r="Z696" i="10"/>
  <c r="AA696" i="10" s="1"/>
  <c r="Z700" i="10"/>
  <c r="AA700" i="10" s="1"/>
  <c r="Z701" i="10"/>
  <c r="AA701" i="10" s="1"/>
  <c r="Z707" i="10"/>
  <c r="AA707" i="10" s="1"/>
  <c r="Z709" i="10"/>
  <c r="AA709" i="10" s="1"/>
  <c r="Z647" i="10"/>
  <c r="AA647" i="10" s="1"/>
  <c r="Z657" i="10"/>
  <c r="AA657" i="10" s="1"/>
  <c r="Z664" i="10"/>
  <c r="AA664" i="10" s="1"/>
  <c r="Z670" i="10"/>
  <c r="AA670" i="10" s="1"/>
  <c r="Z676" i="10"/>
  <c r="AA676" i="10" s="1"/>
  <c r="Z689" i="10"/>
  <c r="AA689" i="10" s="1"/>
  <c r="Z697" i="10"/>
  <c r="AA697" i="10" s="1"/>
  <c r="Z704" i="10"/>
  <c r="AA704" i="10" s="1"/>
  <c r="Z712" i="10"/>
  <c r="AA712" i="10" s="1"/>
  <c r="Z643" i="10"/>
  <c r="AA643" i="10" s="1"/>
  <c r="G17" i="12" s="1"/>
  <c r="Z646" i="10"/>
  <c r="AA646" i="10" s="1"/>
  <c r="Z649" i="10"/>
  <c r="AA649" i="10" s="1"/>
  <c r="Z653" i="10"/>
  <c r="AA653" i="10" s="1"/>
  <c r="Z656" i="10"/>
  <c r="AA656" i="10" s="1"/>
  <c r="Z663" i="10"/>
  <c r="AA663" i="10" s="1"/>
  <c r="Z668" i="10"/>
  <c r="AA668" i="10" s="1"/>
  <c r="Z674" i="10"/>
  <c r="AA674" i="10" s="1"/>
  <c r="Z687" i="10"/>
  <c r="AA687" i="10" s="1"/>
  <c r="Z694" i="10"/>
  <c r="AA694" i="10" s="1"/>
  <c r="Z702" i="10"/>
  <c r="AA702" i="10" s="1"/>
  <c r="Z710" i="10"/>
  <c r="AA710" i="10" s="1"/>
  <c r="Z650" i="10"/>
  <c r="AA650" i="10" s="1"/>
  <c r="Z659" i="10"/>
  <c r="AA659" i="10" s="1"/>
  <c r="Z665" i="10"/>
  <c r="AA665" i="10" s="1"/>
  <c r="Z671" i="10"/>
  <c r="AA671" i="10" s="1"/>
  <c r="Z678" i="10"/>
  <c r="AA678" i="10" s="1"/>
  <c r="Z692" i="10"/>
  <c r="AA692" i="10" s="1"/>
  <c r="Z699" i="10"/>
  <c r="AA699" i="10" s="1"/>
  <c r="Z706" i="10"/>
  <c r="AA706" i="10" s="1"/>
  <c r="V785" i="10" l="1"/>
  <c r="V786" i="10"/>
  <c r="V787" i="10"/>
  <c r="V788" i="10"/>
  <c r="V789" i="10"/>
  <c r="V790" i="10"/>
  <c r="V791" i="10"/>
  <c r="V792" i="10"/>
  <c r="V793" i="10"/>
  <c r="V794" i="10"/>
  <c r="V795" i="10"/>
  <c r="V796" i="10"/>
  <c r="V797" i="10"/>
  <c r="V798" i="10"/>
  <c r="V799" i="10"/>
  <c r="V800" i="10"/>
  <c r="V801" i="10"/>
  <c r="V802" i="10"/>
  <c r="V803" i="10"/>
  <c r="V804" i="10"/>
  <c r="V805" i="10"/>
  <c r="V806" i="10"/>
  <c r="V807" i="10"/>
  <c r="V808" i="10"/>
  <c r="V809" i="10"/>
  <c r="V810" i="10"/>
  <c r="V811" i="10"/>
  <c r="V812" i="10"/>
  <c r="V813" i="10"/>
  <c r="V814" i="10"/>
  <c r="V815" i="10"/>
  <c r="V816" i="10"/>
  <c r="V817" i="10"/>
  <c r="V818" i="10"/>
  <c r="V819" i="10"/>
  <c r="V820" i="10"/>
  <c r="V821" i="10"/>
  <c r="V822" i="10"/>
  <c r="V823" i="10"/>
  <c r="V824" i="10"/>
  <c r="V825" i="10"/>
  <c r="V826" i="10"/>
  <c r="V827" i="10"/>
  <c r="V828" i="10"/>
  <c r="V829" i="10"/>
  <c r="V830" i="10"/>
  <c r="V831" i="10"/>
  <c r="V832" i="10"/>
  <c r="V833" i="10"/>
  <c r="V834" i="10"/>
  <c r="V835" i="10"/>
  <c r="V836" i="10"/>
  <c r="V837" i="10"/>
  <c r="V838" i="10"/>
  <c r="V839" i="10"/>
  <c r="V840" i="10"/>
  <c r="V841" i="10"/>
  <c r="V842" i="10"/>
  <c r="V843" i="10"/>
  <c r="V844" i="10"/>
  <c r="V845" i="10"/>
  <c r="V846" i="10"/>
  <c r="V853" i="10"/>
  <c r="V854" i="10"/>
  <c r="V849" i="10"/>
  <c r="V847" i="10"/>
  <c r="V848" i="10"/>
  <c r="V850" i="10"/>
  <c r="V851" i="10"/>
  <c r="V852" i="10"/>
  <c r="V855" i="10"/>
  <c r="Z855" i="10" s="1"/>
  <c r="AA855" i="10" s="1"/>
  <c r="N856" i="10"/>
  <c r="C33" i="8"/>
  <c r="F714" i="10"/>
  <c r="F715" i="10"/>
  <c r="F716" i="10"/>
  <c r="F717" i="10"/>
  <c r="F718" i="10"/>
  <c r="F719" i="10"/>
  <c r="F720" i="10"/>
  <c r="F721" i="10"/>
  <c r="F722" i="10"/>
  <c r="F723" i="10"/>
  <c r="F724" i="10"/>
  <c r="F725" i="10"/>
  <c r="F726" i="10"/>
  <c r="F727" i="10"/>
  <c r="F728" i="10"/>
  <c r="F729" i="10"/>
  <c r="F730" i="10"/>
  <c r="F731" i="10"/>
  <c r="F732" i="10"/>
  <c r="F733" i="10"/>
  <c r="F734" i="10"/>
  <c r="F735" i="10"/>
  <c r="F736" i="10"/>
  <c r="F737" i="10"/>
  <c r="F738" i="10"/>
  <c r="F739" i="10"/>
  <c r="F740" i="10"/>
  <c r="F741" i="10"/>
  <c r="F742" i="10"/>
  <c r="F743" i="10"/>
  <c r="F744" i="10"/>
  <c r="F745" i="10"/>
  <c r="F746" i="10"/>
  <c r="F747" i="10"/>
  <c r="F748" i="10"/>
  <c r="F749" i="10"/>
  <c r="F750" i="10"/>
  <c r="F751" i="10"/>
  <c r="F752" i="10"/>
  <c r="F753" i="10"/>
  <c r="F754" i="10"/>
  <c r="F755" i="10"/>
  <c r="F756" i="10"/>
  <c r="F757" i="10"/>
  <c r="F758" i="10"/>
  <c r="F759" i="10"/>
  <c r="F760" i="10"/>
  <c r="F761" i="10"/>
  <c r="F762" i="10"/>
  <c r="F763" i="10"/>
  <c r="F764" i="10"/>
  <c r="F765" i="10"/>
  <c r="F766" i="10"/>
  <c r="F767" i="10"/>
  <c r="F768" i="10"/>
  <c r="F769" i="10"/>
  <c r="F770" i="10"/>
  <c r="F771" i="10"/>
  <c r="F772" i="10"/>
  <c r="F773" i="10"/>
  <c r="F774" i="10"/>
  <c r="F775" i="10"/>
  <c r="F776" i="10"/>
  <c r="F777" i="10"/>
  <c r="F778" i="10"/>
  <c r="F779" i="10"/>
  <c r="F780" i="10"/>
  <c r="F781" i="10"/>
  <c r="F782" i="10"/>
  <c r="F783" i="10"/>
  <c r="F784" i="10"/>
  <c r="AC643" i="10"/>
  <c r="C21" i="11"/>
  <c r="AC644" i="10"/>
  <c r="AC645" i="10"/>
  <c r="AC646" i="10"/>
  <c r="AC647" i="10"/>
  <c r="AC648" i="10"/>
  <c r="AC649" i="10"/>
  <c r="AC650" i="10"/>
  <c r="AC651" i="10"/>
  <c r="AC652" i="10"/>
  <c r="AC653" i="10"/>
  <c r="AC654" i="10"/>
  <c r="AC655" i="10"/>
  <c r="AC656" i="10"/>
  <c r="AC657" i="10"/>
  <c r="AC658" i="10"/>
  <c r="AC659" i="10"/>
  <c r="AC660" i="10"/>
  <c r="AC661" i="10"/>
  <c r="AC662" i="10"/>
  <c r="AC663" i="10"/>
  <c r="AC664" i="10"/>
  <c r="AC665" i="10"/>
  <c r="AC666" i="10"/>
  <c r="AC667" i="10"/>
  <c r="AC668" i="10"/>
  <c r="AC669" i="10"/>
  <c r="AC670" i="10"/>
  <c r="AC671" i="10"/>
  <c r="AC672" i="10"/>
  <c r="AC673" i="10"/>
  <c r="AC674" i="10"/>
  <c r="AC675" i="10"/>
  <c r="AC676" i="10"/>
  <c r="AC677" i="10"/>
  <c r="AC678" i="10"/>
  <c r="AC679" i="10"/>
  <c r="AC680" i="10"/>
  <c r="AC681" i="10"/>
  <c r="AC682" i="10"/>
  <c r="AC683" i="10"/>
  <c r="AC684" i="10"/>
  <c r="AC685" i="10"/>
  <c r="AC686" i="10"/>
  <c r="AC687" i="10"/>
  <c r="AC688" i="10"/>
  <c r="AC689" i="10"/>
  <c r="AC690" i="10"/>
  <c r="AC691" i="10"/>
  <c r="AC692" i="10"/>
  <c r="AC693" i="10"/>
  <c r="AC694" i="10"/>
  <c r="AC695" i="10"/>
  <c r="AC696" i="10"/>
  <c r="AC697" i="10"/>
  <c r="AC698" i="10"/>
  <c r="AC699" i="10"/>
  <c r="AC700" i="10"/>
  <c r="AC701" i="10"/>
  <c r="AC702" i="10"/>
  <c r="AC703" i="10"/>
  <c r="AC704" i="10"/>
  <c r="AC705" i="10"/>
  <c r="AC706" i="10"/>
  <c r="AC707" i="10"/>
  <c r="AC708" i="10"/>
  <c r="AC709" i="10"/>
  <c r="AC710" i="10"/>
  <c r="AC711" i="10"/>
  <c r="AC712" i="10"/>
  <c r="AC713" i="10"/>
  <c r="AE355" i="10"/>
  <c r="AF355" i="10"/>
  <c r="AF352" i="10"/>
  <c r="AE352" i="10"/>
  <c r="AE346" i="10"/>
  <c r="AF346" i="10"/>
  <c r="AF344" i="10"/>
  <c r="AE344" i="10"/>
  <c r="AF342" i="10"/>
  <c r="AE342" i="10"/>
  <c r="AE339" i="10"/>
  <c r="AF339" i="10"/>
  <c r="AF337" i="10"/>
  <c r="AE337" i="10"/>
  <c r="AF334" i="10"/>
  <c r="AE334" i="10"/>
  <c r="AE333" i="10"/>
  <c r="AF333" i="10"/>
  <c r="AE332" i="10"/>
  <c r="AF332" i="10"/>
  <c r="AE320" i="10"/>
  <c r="AF320" i="10"/>
  <c r="AF315" i="10"/>
  <c r="AE315" i="10"/>
  <c r="AE310" i="10"/>
  <c r="AF310" i="10"/>
  <c r="AE308" i="10"/>
  <c r="AF308" i="10"/>
  <c r="AF307" i="10"/>
  <c r="AE307" i="10"/>
  <c r="AF304" i="10"/>
  <c r="AE304" i="10"/>
  <c r="AE298" i="10"/>
  <c r="AF298" i="10"/>
  <c r="AF350" i="10"/>
  <c r="AE350" i="10"/>
  <c r="AE349" i="10"/>
  <c r="AF349" i="10"/>
  <c r="AE345" i="10"/>
  <c r="AF345" i="10"/>
  <c r="AE343" i="10"/>
  <c r="AF343" i="10"/>
  <c r="AE340" i="10"/>
  <c r="AF340" i="10"/>
  <c r="AF329" i="10"/>
  <c r="AE329" i="10"/>
  <c r="AE326" i="10"/>
  <c r="AF326" i="10"/>
  <c r="AF319" i="10"/>
  <c r="AE319" i="10"/>
  <c r="AF303" i="10"/>
  <c r="AE303" i="10"/>
  <c r="AE300" i="10"/>
  <c r="AF300" i="10"/>
  <c r="AF299" i="10"/>
  <c r="AE299" i="10"/>
  <c r="AF289" i="10"/>
  <c r="AE289" i="10"/>
  <c r="AD288" i="10"/>
  <c r="H12" i="12"/>
  <c r="E15" i="11"/>
  <c r="G15" i="11"/>
  <c r="G95" i="4"/>
  <c r="AE353" i="10"/>
  <c r="AF353" i="10"/>
  <c r="AE348" i="10"/>
  <c r="AF348" i="10"/>
  <c r="AE322" i="10"/>
  <c r="AF322" i="10"/>
  <c r="AF318" i="10"/>
  <c r="AE318" i="10"/>
  <c r="AF316" i="10"/>
  <c r="AE316" i="10"/>
  <c r="AE301" i="10"/>
  <c r="AF301" i="10"/>
  <c r="AF357" i="10"/>
  <c r="AE357" i="10"/>
  <c r="AF351" i="10"/>
  <c r="AE351" i="10"/>
  <c r="AE330" i="10"/>
  <c r="AF330" i="10"/>
  <c r="AE328" i="10"/>
  <c r="AF328" i="10"/>
  <c r="AE325" i="10"/>
  <c r="AF325" i="10"/>
  <c r="AF323" i="10"/>
  <c r="AE323" i="10"/>
  <c r="AF317" i="10"/>
  <c r="AE317" i="10"/>
  <c r="AF311" i="10"/>
  <c r="AE311" i="10"/>
  <c r="AF338" i="10"/>
  <c r="AE338" i="10"/>
  <c r="AE341" i="10"/>
  <c r="AF341" i="10"/>
  <c r="AF293" i="10"/>
  <c r="AE293" i="10"/>
  <c r="AF292" i="10"/>
  <c r="AE292" i="10"/>
  <c r="AF291" i="10"/>
  <c r="AE291" i="10"/>
  <c r="AE296" i="10"/>
  <c r="AF296" i="10"/>
  <c r="AE354" i="10"/>
  <c r="AF354" i="10"/>
  <c r="AF336" i="10"/>
  <c r="AE336" i="10"/>
  <c r="AE313" i="10"/>
  <c r="AF313" i="10"/>
  <c r="AE356" i="10"/>
  <c r="AF356" i="10"/>
  <c r="AF335" i="10"/>
  <c r="AE335" i="10"/>
  <c r="AE331" i="10"/>
  <c r="AF331" i="10"/>
  <c r="AE324" i="10"/>
  <c r="AF324" i="10"/>
  <c r="AF321" i="10"/>
  <c r="AE321" i="10"/>
  <c r="AF305" i="10"/>
  <c r="AE305" i="10"/>
  <c r="AF297" i="10"/>
  <c r="AE297" i="10"/>
  <c r="AE294" i="10"/>
  <c r="AF294" i="10"/>
  <c r="AF290" i="10"/>
  <c r="AE290" i="10"/>
  <c r="AE295" i="10"/>
  <c r="AF295" i="10"/>
  <c r="AE358" i="10"/>
  <c r="AF358" i="10"/>
  <c r="AE312" i="10"/>
  <c r="AF312" i="10"/>
  <c r="AF306" i="10"/>
  <c r="AE306" i="10"/>
  <c r="AE347" i="10"/>
  <c r="AF347" i="10"/>
  <c r="AE327" i="10"/>
  <c r="AF327" i="10"/>
  <c r="AF314" i="10"/>
  <c r="AE314" i="10"/>
  <c r="AE309" i="10"/>
  <c r="AF309" i="10"/>
  <c r="AF302" i="10"/>
  <c r="AE302" i="10"/>
  <c r="Z727" i="10"/>
  <c r="AA727" i="10" s="1"/>
  <c r="Z732" i="10"/>
  <c r="AA732" i="10" s="1"/>
  <c r="Z735" i="10"/>
  <c r="AA735" i="10" s="1"/>
  <c r="Z738" i="10"/>
  <c r="AA738" i="10" s="1"/>
  <c r="Z741" i="10"/>
  <c r="AA741" i="10" s="1"/>
  <c r="Z744" i="10"/>
  <c r="AA744" i="10" s="1"/>
  <c r="Z747" i="10"/>
  <c r="AA747" i="10" s="1"/>
  <c r="Z750" i="10"/>
  <c r="AA750" i="10" s="1"/>
  <c r="Z753" i="10"/>
  <c r="AA753" i="10" s="1"/>
  <c r="Z756" i="10"/>
  <c r="AA756" i="10" s="1"/>
  <c r="Z759" i="10"/>
  <c r="AA759" i="10" s="1"/>
  <c r="Z763" i="10"/>
  <c r="AA763" i="10" s="1"/>
  <c r="Z767" i="10"/>
  <c r="AA767" i="10" s="1"/>
  <c r="Z768" i="10"/>
  <c r="AA768" i="10" s="1"/>
  <c r="Z769" i="10"/>
  <c r="AA769" i="10" s="1"/>
  <c r="Z770" i="10"/>
  <c r="AA770" i="10" s="1"/>
  <c r="Z771" i="10"/>
  <c r="AA771" i="10" s="1"/>
  <c r="Z772" i="10"/>
  <c r="AA772" i="10" s="1"/>
  <c r="Z773" i="10"/>
  <c r="AA773" i="10" s="1"/>
  <c r="Z774" i="10"/>
  <c r="AA774" i="10" s="1"/>
  <c r="Z775" i="10"/>
  <c r="AA775" i="10" s="1"/>
  <c r="Z776" i="10"/>
  <c r="AA776" i="10" s="1"/>
  <c r="Z777" i="10"/>
  <c r="AA777" i="10" s="1"/>
  <c r="Z778" i="10"/>
  <c r="AA778" i="10" s="1"/>
  <c r="Z779" i="10"/>
  <c r="AA779" i="10" s="1"/>
  <c r="Z780" i="10"/>
  <c r="AA780" i="10" s="1"/>
  <c r="Z781" i="10"/>
  <c r="AA781" i="10" s="1"/>
  <c r="Z782" i="10"/>
  <c r="AA782" i="10" s="1"/>
  <c r="Z783" i="10"/>
  <c r="AA783" i="10" s="1"/>
  <c r="Z784" i="10"/>
  <c r="AA784" i="10" s="1"/>
  <c r="Z724" i="10"/>
  <c r="AA724" i="10" s="1"/>
  <c r="Z728" i="10"/>
  <c r="AA728" i="10" s="1"/>
  <c r="Z730" i="10"/>
  <c r="AA730" i="10" s="1"/>
  <c r="Z733" i="10"/>
  <c r="AA733" i="10" s="1"/>
  <c r="Z736" i="10"/>
  <c r="AA736" i="10" s="1"/>
  <c r="Z739" i="10"/>
  <c r="AA739" i="10" s="1"/>
  <c r="Z742" i="10"/>
  <c r="AA742" i="10" s="1"/>
  <c r="Z745" i="10"/>
  <c r="AA745" i="10" s="1"/>
  <c r="Z748" i="10"/>
  <c r="AA748" i="10" s="1"/>
  <c r="Z751" i="10"/>
  <c r="AA751" i="10" s="1"/>
  <c r="Z754" i="10"/>
  <c r="AA754" i="10" s="1"/>
  <c r="Z757" i="10"/>
  <c r="AA757" i="10" s="1"/>
  <c r="Z760" i="10"/>
  <c r="AA760" i="10" s="1"/>
  <c r="Z762" i="10"/>
  <c r="AA762" i="10" s="1"/>
  <c r="Z714" i="10"/>
  <c r="AA714" i="10" s="1"/>
  <c r="G18" i="12" s="1"/>
  <c r="Z715" i="10"/>
  <c r="AA715" i="10" s="1"/>
  <c r="Z716" i="10"/>
  <c r="AA716" i="10" s="1"/>
  <c r="Z717" i="10"/>
  <c r="AA717" i="10" s="1"/>
  <c r="Z718" i="10"/>
  <c r="AA718" i="10" s="1"/>
  <c r="Z719" i="10"/>
  <c r="AA719" i="10" s="1"/>
  <c r="Z720" i="10"/>
  <c r="AA720" i="10" s="1"/>
  <c r="Z721" i="10"/>
  <c r="AA721" i="10" s="1"/>
  <c r="Z722" i="10"/>
  <c r="AA722" i="10" s="1"/>
  <c r="Z723" i="10"/>
  <c r="AA723" i="10" s="1"/>
  <c r="Z725" i="10"/>
  <c r="AA725" i="10" s="1"/>
  <c r="Z726" i="10"/>
  <c r="AA726" i="10" s="1"/>
  <c r="Z729" i="10"/>
  <c r="AA729" i="10" s="1"/>
  <c r="Z731" i="10"/>
  <c r="AA731" i="10" s="1"/>
  <c r="Z734" i="10"/>
  <c r="AA734" i="10" s="1"/>
  <c r="Z737" i="10"/>
  <c r="AA737" i="10" s="1"/>
  <c r="Z740" i="10"/>
  <c r="AA740" i="10" s="1"/>
  <c r="Z743" i="10"/>
  <c r="AA743" i="10" s="1"/>
  <c r="Z746" i="10"/>
  <c r="AA746" i="10" s="1"/>
  <c r="Z749" i="10"/>
  <c r="AA749" i="10" s="1"/>
  <c r="Z752" i="10"/>
  <c r="AA752" i="10" s="1"/>
  <c r="Z755" i="10"/>
  <c r="AA755" i="10" s="1"/>
  <c r="Z758" i="10"/>
  <c r="AA758" i="10" s="1"/>
  <c r="Z761" i="10"/>
  <c r="AA761" i="10" s="1"/>
  <c r="Z764" i="10"/>
  <c r="AA764" i="10" s="1"/>
  <c r="V858" i="10" l="1"/>
  <c r="V862" i="10"/>
  <c r="V863" i="10"/>
  <c r="V864" i="10"/>
  <c r="V867" i="10"/>
  <c r="V869" i="10"/>
  <c r="V872" i="10"/>
  <c r="V875" i="10"/>
  <c r="V878" i="10"/>
  <c r="V881" i="10"/>
  <c r="V882" i="10"/>
  <c r="V884" i="10"/>
  <c r="V885" i="10"/>
  <c r="V886" i="10"/>
  <c r="V887" i="10"/>
  <c r="V888" i="10"/>
  <c r="V890" i="10"/>
  <c r="V891" i="10"/>
  <c r="V892" i="10"/>
  <c r="V898" i="10"/>
  <c r="V901" i="10"/>
  <c r="V902" i="10"/>
  <c r="V907" i="10"/>
  <c r="V908" i="10"/>
  <c r="V910" i="10"/>
  <c r="V914" i="10"/>
  <c r="V915" i="10"/>
  <c r="V916" i="10"/>
  <c r="V922" i="10"/>
  <c r="V924" i="10"/>
  <c r="N927" i="10"/>
  <c r="V856" i="10"/>
  <c r="V857" i="10"/>
  <c r="V861" i="10"/>
  <c r="V866" i="10"/>
  <c r="V870" i="10"/>
  <c r="V871" i="10"/>
  <c r="V873" i="10"/>
  <c r="V874" i="10"/>
  <c r="V876" i="10"/>
  <c r="V877" i="10"/>
  <c r="V893" i="10"/>
  <c r="V894" i="10"/>
  <c r="V895" i="10"/>
  <c r="V896" i="10"/>
  <c r="V899" i="10"/>
  <c r="V900" i="10"/>
  <c r="V904" i="10"/>
  <c r="V905" i="10"/>
  <c r="V906" i="10"/>
  <c r="V909" i="10"/>
  <c r="V917" i="10"/>
  <c r="V918" i="10"/>
  <c r="V919" i="10"/>
  <c r="V921" i="10"/>
  <c r="V925" i="10"/>
  <c r="V859" i="10"/>
  <c r="V860" i="10"/>
  <c r="V865" i="10"/>
  <c r="V868" i="10"/>
  <c r="Z868" i="10" s="1"/>
  <c r="AA868" i="10" s="1"/>
  <c r="V879" i="10"/>
  <c r="V880" i="10"/>
  <c r="V883" i="10"/>
  <c r="V889" i="10"/>
  <c r="V897" i="10"/>
  <c r="V903" i="10"/>
  <c r="V911" i="10"/>
  <c r="V912" i="10"/>
  <c r="V913" i="10"/>
  <c r="V920" i="10"/>
  <c r="V923" i="10"/>
  <c r="V926" i="10"/>
  <c r="C34" i="8"/>
  <c r="F785" i="10"/>
  <c r="F786" i="10"/>
  <c r="F787" i="10"/>
  <c r="F788" i="10"/>
  <c r="F789" i="10"/>
  <c r="F790" i="10"/>
  <c r="F791" i="10"/>
  <c r="F792" i="10"/>
  <c r="F793" i="10"/>
  <c r="F794" i="10"/>
  <c r="F795" i="10"/>
  <c r="F796" i="10"/>
  <c r="F797" i="10"/>
  <c r="F798" i="10"/>
  <c r="F799" i="10"/>
  <c r="F800" i="10"/>
  <c r="F801" i="10"/>
  <c r="F802" i="10"/>
  <c r="F803" i="10"/>
  <c r="F804" i="10"/>
  <c r="F805" i="10"/>
  <c r="F806" i="10"/>
  <c r="F807" i="10"/>
  <c r="F808" i="10"/>
  <c r="F809" i="10"/>
  <c r="F810" i="10"/>
  <c r="F811" i="10"/>
  <c r="F812" i="10"/>
  <c r="F813" i="10"/>
  <c r="F814" i="10"/>
  <c r="F815" i="10"/>
  <c r="F816" i="10"/>
  <c r="F817" i="10"/>
  <c r="F818" i="10"/>
  <c r="F819" i="10"/>
  <c r="F820" i="10"/>
  <c r="F821" i="10"/>
  <c r="F822" i="10"/>
  <c r="F823" i="10"/>
  <c r="F824" i="10"/>
  <c r="F825" i="10"/>
  <c r="F826" i="10"/>
  <c r="F827" i="10"/>
  <c r="F828" i="10"/>
  <c r="F829" i="10"/>
  <c r="F830" i="10"/>
  <c r="F831" i="10"/>
  <c r="F832" i="10"/>
  <c r="F833" i="10"/>
  <c r="F834" i="10"/>
  <c r="F835" i="10"/>
  <c r="F836" i="10"/>
  <c r="F837" i="10"/>
  <c r="F838" i="10"/>
  <c r="F839" i="10"/>
  <c r="F840" i="10"/>
  <c r="F841" i="10"/>
  <c r="F842" i="10"/>
  <c r="F843" i="10"/>
  <c r="F844" i="10"/>
  <c r="F845" i="10"/>
  <c r="F847" i="10"/>
  <c r="F851" i="10"/>
  <c r="F853" i="10"/>
  <c r="F846" i="10"/>
  <c r="F849" i="10"/>
  <c r="F854" i="10"/>
  <c r="F848" i="10"/>
  <c r="F850" i="10"/>
  <c r="F852" i="10"/>
  <c r="F855" i="10"/>
  <c r="AC714" i="10"/>
  <c r="C22" i="11"/>
  <c r="AC715" i="10"/>
  <c r="AC716" i="10"/>
  <c r="AC717" i="10"/>
  <c r="AC718" i="10"/>
  <c r="AC719" i="10"/>
  <c r="AC720" i="10"/>
  <c r="AC721" i="10"/>
  <c r="AC722" i="10"/>
  <c r="AC723" i="10"/>
  <c r="AC724" i="10"/>
  <c r="AC725" i="10"/>
  <c r="AC726" i="10"/>
  <c r="AC727" i="10"/>
  <c r="AC728" i="10"/>
  <c r="AC729" i="10"/>
  <c r="AC730" i="10"/>
  <c r="AC731" i="10"/>
  <c r="AC732" i="10"/>
  <c r="AC733" i="10"/>
  <c r="AC734" i="10"/>
  <c r="AC735" i="10"/>
  <c r="AC736" i="10"/>
  <c r="AC737" i="10"/>
  <c r="AC738" i="10"/>
  <c r="AC739" i="10"/>
  <c r="AC740" i="10"/>
  <c r="AC741" i="10"/>
  <c r="AC742" i="10"/>
  <c r="AC743" i="10"/>
  <c r="AC744" i="10"/>
  <c r="AC745" i="10"/>
  <c r="AC746" i="10"/>
  <c r="AC747" i="10"/>
  <c r="AC748" i="10"/>
  <c r="AC749" i="10"/>
  <c r="AC750" i="10"/>
  <c r="AC751" i="10"/>
  <c r="AC752" i="10"/>
  <c r="AC753" i="10"/>
  <c r="AC754" i="10"/>
  <c r="AC755" i="10"/>
  <c r="AC756" i="10"/>
  <c r="AC757" i="10"/>
  <c r="AC758" i="10"/>
  <c r="AC759" i="10"/>
  <c r="AC760" i="10"/>
  <c r="AC761" i="10"/>
  <c r="AC762" i="10"/>
  <c r="AC763" i="10"/>
  <c r="AC764" i="10"/>
  <c r="AC765" i="10"/>
  <c r="AC766" i="10"/>
  <c r="AC767" i="10"/>
  <c r="AC768" i="10"/>
  <c r="AC769" i="10"/>
  <c r="AC770" i="10"/>
  <c r="AC771" i="10"/>
  <c r="AC772" i="10"/>
  <c r="AC773" i="10"/>
  <c r="AC774" i="10"/>
  <c r="AC775" i="10"/>
  <c r="AC776" i="10"/>
  <c r="AC777" i="10"/>
  <c r="AC778" i="10"/>
  <c r="AC779" i="10"/>
  <c r="AC780" i="10"/>
  <c r="AC781" i="10"/>
  <c r="AC782" i="10"/>
  <c r="AC783" i="10"/>
  <c r="AC784" i="10"/>
  <c r="AE288" i="10"/>
  <c r="AF288" i="10"/>
  <c r="Z787" i="10"/>
  <c r="AA787" i="10" s="1"/>
  <c r="Z791" i="10"/>
  <c r="AA791" i="10" s="1"/>
  <c r="Z795" i="10"/>
  <c r="AA795" i="10" s="1"/>
  <c r="Z798" i="10"/>
  <c r="AA798" i="10" s="1"/>
  <c r="Z803" i="10"/>
  <c r="AA803" i="10" s="1"/>
  <c r="Z808" i="10"/>
  <c r="AA808" i="10" s="1"/>
  <c r="Z814" i="10"/>
  <c r="AA814" i="10" s="1"/>
  <c r="Z821" i="10"/>
  <c r="AA821" i="10" s="1"/>
  <c r="Z823" i="10"/>
  <c r="AA823" i="10" s="1"/>
  <c r="Z824" i="10"/>
  <c r="AA824" i="10" s="1"/>
  <c r="Z825" i="10"/>
  <c r="AA825" i="10" s="1"/>
  <c r="Z826" i="10"/>
  <c r="AA826" i="10" s="1"/>
  <c r="Z827" i="10"/>
  <c r="AA827" i="10" s="1"/>
  <c r="Z828" i="10"/>
  <c r="AA828" i="10" s="1"/>
  <c r="Z829" i="10"/>
  <c r="AA829" i="10" s="1"/>
  <c r="Z830" i="10"/>
  <c r="AA830" i="10" s="1"/>
  <c r="Z831" i="10"/>
  <c r="AA831" i="10" s="1"/>
  <c r="Z832" i="10"/>
  <c r="AA832" i="10" s="1"/>
  <c r="Z833" i="10"/>
  <c r="AA833" i="10" s="1"/>
  <c r="Z834" i="10"/>
  <c r="AA834" i="10" s="1"/>
  <c r="Z835" i="10"/>
  <c r="AA835" i="10" s="1"/>
  <c r="Z836" i="10"/>
  <c r="AA836" i="10" s="1"/>
  <c r="Z837" i="10"/>
  <c r="AA837" i="10" s="1"/>
  <c r="Z838" i="10"/>
  <c r="AA838" i="10" s="1"/>
  <c r="Z839" i="10"/>
  <c r="AA839" i="10" s="1"/>
  <c r="Z840" i="10"/>
  <c r="AA840" i="10" s="1"/>
  <c r="Z841" i="10"/>
  <c r="AA841" i="10" s="1"/>
  <c r="Z842" i="10"/>
  <c r="AA842" i="10" s="1"/>
  <c r="Z843" i="10"/>
  <c r="AA843" i="10" s="1"/>
  <c r="Z844" i="10"/>
  <c r="AA844" i="10" s="1"/>
  <c r="Z845" i="10"/>
  <c r="AA845" i="10" s="1"/>
  <c r="Z846" i="10"/>
  <c r="AA846" i="10" s="1"/>
  <c r="Z853" i="10"/>
  <c r="AA853" i="10" s="1"/>
  <c r="Z854" i="10"/>
  <c r="AA854" i="10" s="1"/>
  <c r="Z849" i="10"/>
  <c r="AA849" i="10" s="1"/>
  <c r="Z847" i="10"/>
  <c r="AA847" i="10" s="1"/>
  <c r="Z848" i="10"/>
  <c r="AA848" i="10" s="1"/>
  <c r="Z850" i="10"/>
  <c r="AA850" i="10" s="1"/>
  <c r="Z852" i="10"/>
  <c r="AA852" i="10" s="1"/>
  <c r="Z811" i="10"/>
  <c r="AA811" i="10" s="1"/>
  <c r="Z816" i="10"/>
  <c r="AA816" i="10" s="1"/>
  <c r="Z818" i="10"/>
  <c r="AA818" i="10" s="1"/>
  <c r="Z851" i="10"/>
  <c r="AA851" i="10" s="1"/>
  <c r="Z792" i="10"/>
  <c r="AA792" i="10" s="1"/>
  <c r="Z799" i="10"/>
  <c r="AA799" i="10" s="1"/>
  <c r="Z804" i="10"/>
  <c r="AA804" i="10" s="1"/>
  <c r="Z809" i="10"/>
  <c r="AA809" i="10" s="1"/>
  <c r="Z815" i="10"/>
  <c r="AA815" i="10" s="1"/>
  <c r="Z822" i="10"/>
  <c r="AA822" i="10" s="1"/>
  <c r="Z793" i="10"/>
  <c r="AA793" i="10" s="1"/>
  <c r="Z800" i="10"/>
  <c r="AA800" i="10" s="1"/>
  <c r="Z805" i="10"/>
  <c r="AA805" i="10" s="1"/>
  <c r="Z810" i="10"/>
  <c r="AA810" i="10" s="1"/>
  <c r="Z817" i="10"/>
  <c r="AA817" i="10" s="1"/>
  <c r="Z785" i="10"/>
  <c r="AA785" i="10" s="1"/>
  <c r="G19" i="12" s="1"/>
  <c r="Z786" i="10"/>
  <c r="AA786" i="10" s="1"/>
  <c r="Z788" i="10"/>
  <c r="AA788" i="10" s="1"/>
  <c r="Z790" i="10"/>
  <c r="AA790" i="10" s="1"/>
  <c r="Z794" i="10"/>
  <c r="AA794" i="10" s="1"/>
  <c r="Z796" i="10"/>
  <c r="AA796" i="10" s="1"/>
  <c r="Z801" i="10"/>
  <c r="AA801" i="10" s="1"/>
  <c r="Z806" i="10"/>
  <c r="AA806" i="10" s="1"/>
  <c r="Z812" i="10"/>
  <c r="AA812" i="10" s="1"/>
  <c r="Z819" i="10"/>
  <c r="AA819" i="10" s="1"/>
  <c r="Z789" i="10"/>
  <c r="AA789" i="10" s="1"/>
  <c r="Z797" i="10"/>
  <c r="AA797" i="10" s="1"/>
  <c r="Z802" i="10"/>
  <c r="AA802" i="10" s="1"/>
  <c r="Z807" i="10"/>
  <c r="AA807" i="10" s="1"/>
  <c r="Z813" i="10"/>
  <c r="AA813" i="10" s="1"/>
  <c r="Z820" i="10"/>
  <c r="AA820" i="10" s="1"/>
  <c r="V929" i="10" l="1"/>
  <c r="V930" i="10"/>
  <c r="V934" i="10"/>
  <c r="V935" i="10"/>
  <c r="V936" i="10"/>
  <c r="V940" i="10"/>
  <c r="V941" i="10"/>
  <c r="V942" i="10"/>
  <c r="V943" i="10"/>
  <c r="V946" i="10"/>
  <c r="V960" i="10"/>
  <c r="V962" i="10"/>
  <c r="V963" i="10"/>
  <c r="V966" i="10"/>
  <c r="V967" i="10"/>
  <c r="V968" i="10"/>
  <c r="V970" i="10"/>
  <c r="V971" i="10"/>
  <c r="V973" i="10"/>
  <c r="V977" i="10"/>
  <c r="V979" i="10"/>
  <c r="V980" i="10"/>
  <c r="V984" i="10"/>
  <c r="V985" i="10"/>
  <c r="V989" i="10"/>
  <c r="V991" i="10"/>
  <c r="V992" i="10"/>
  <c r="V948" i="10"/>
  <c r="V949" i="10"/>
  <c r="V950" i="10"/>
  <c r="V951" i="10"/>
  <c r="V952" i="10"/>
  <c r="V953" i="10"/>
  <c r="V954" i="10"/>
  <c r="V955" i="10"/>
  <c r="V956" i="10"/>
  <c r="V957" i="10"/>
  <c r="V958" i="10"/>
  <c r="V959" i="10"/>
  <c r="V927" i="10"/>
  <c r="V931" i="10"/>
  <c r="V932" i="10"/>
  <c r="V933" i="10"/>
  <c r="V938" i="10"/>
  <c r="V939" i="10"/>
  <c r="V944" i="10"/>
  <c r="V945" i="10"/>
  <c r="V947" i="10"/>
  <c r="V961" i="10"/>
  <c r="V965" i="10"/>
  <c r="V969" i="10"/>
  <c r="V974" i="10"/>
  <c r="V975" i="10"/>
  <c r="V976" i="10"/>
  <c r="V981" i="10"/>
  <c r="V982" i="10"/>
  <c r="V986" i="10"/>
  <c r="V994" i="10"/>
  <c r="V995" i="10"/>
  <c r="V996" i="10"/>
  <c r="V997" i="10"/>
  <c r="N998" i="10"/>
  <c r="V928" i="10"/>
  <c r="V937" i="10"/>
  <c r="V964" i="10"/>
  <c r="V972" i="10"/>
  <c r="V978" i="10"/>
  <c r="V983" i="10"/>
  <c r="V987" i="10"/>
  <c r="V988" i="10"/>
  <c r="V990" i="10"/>
  <c r="Z990" i="10" s="1"/>
  <c r="AA990" i="10" s="1"/>
  <c r="V993" i="10"/>
  <c r="C35" i="8"/>
  <c r="F856" i="10"/>
  <c r="F859" i="10"/>
  <c r="F865" i="10"/>
  <c r="F867" i="10"/>
  <c r="F870" i="10"/>
  <c r="F876" i="10"/>
  <c r="F879" i="10"/>
  <c r="F884" i="10"/>
  <c r="F886" i="10"/>
  <c r="F899" i="10"/>
  <c r="F905" i="10"/>
  <c r="F909" i="10"/>
  <c r="F910" i="10"/>
  <c r="F911" i="10"/>
  <c r="F913" i="10"/>
  <c r="F915" i="10"/>
  <c r="F921" i="10"/>
  <c r="F857" i="10"/>
  <c r="F858" i="10"/>
  <c r="F860" i="10"/>
  <c r="F861" i="10"/>
  <c r="F863" i="10"/>
  <c r="F866" i="10"/>
  <c r="F869" i="10"/>
  <c r="F872" i="10"/>
  <c r="F874" i="10"/>
  <c r="F875" i="10"/>
  <c r="F881" i="10"/>
  <c r="F885" i="10"/>
  <c r="F888" i="10"/>
  <c r="F895" i="10"/>
  <c r="F897" i="10"/>
  <c r="F900" i="10"/>
  <c r="F904" i="10"/>
  <c r="F906" i="10"/>
  <c r="F907" i="10"/>
  <c r="F908" i="10"/>
  <c r="F912" i="10"/>
  <c r="F914" i="10"/>
  <c r="F918" i="10"/>
  <c r="F923" i="10"/>
  <c r="F924" i="10"/>
  <c r="F925" i="10"/>
  <c r="F926" i="10"/>
  <c r="F862" i="10"/>
  <c r="F864" i="10"/>
  <c r="F868" i="10"/>
  <c r="F871" i="10"/>
  <c r="F873" i="10"/>
  <c r="F877" i="10"/>
  <c r="F878" i="10"/>
  <c r="F880" i="10"/>
  <c r="F882" i="10"/>
  <c r="F883" i="10"/>
  <c r="F887" i="10"/>
  <c r="F889" i="10"/>
  <c r="F890" i="10"/>
  <c r="F891" i="10"/>
  <c r="F892" i="10"/>
  <c r="F893" i="10"/>
  <c r="F894" i="10"/>
  <c r="F896" i="10"/>
  <c r="F898" i="10"/>
  <c r="F901" i="10"/>
  <c r="F902" i="10"/>
  <c r="F903" i="10"/>
  <c r="F916" i="10"/>
  <c r="F917" i="10"/>
  <c r="F919" i="10"/>
  <c r="F920" i="10"/>
  <c r="F922" i="10"/>
  <c r="AC785" i="10"/>
  <c r="C23" i="11"/>
  <c r="AC786" i="10"/>
  <c r="AC787" i="10"/>
  <c r="AC788" i="10"/>
  <c r="AC789" i="10"/>
  <c r="AC790" i="10"/>
  <c r="AC791" i="10"/>
  <c r="AC792" i="10"/>
  <c r="AC793" i="10"/>
  <c r="AC794" i="10"/>
  <c r="AC795" i="10"/>
  <c r="AC796" i="10"/>
  <c r="AC797" i="10"/>
  <c r="AC798" i="10"/>
  <c r="AC799" i="10"/>
  <c r="AC800" i="10"/>
  <c r="AC801" i="10"/>
  <c r="AC802" i="10"/>
  <c r="AC803" i="10"/>
  <c r="AC804" i="10"/>
  <c r="AC805" i="10"/>
  <c r="AC806" i="10"/>
  <c r="AC807" i="10"/>
  <c r="AC808" i="10"/>
  <c r="AC809" i="10"/>
  <c r="AC810" i="10"/>
  <c r="AC811" i="10"/>
  <c r="AC812" i="10"/>
  <c r="AC813" i="10"/>
  <c r="AC814" i="10"/>
  <c r="AC815" i="10"/>
  <c r="AC816" i="10"/>
  <c r="AC817" i="10"/>
  <c r="AC818" i="10"/>
  <c r="AC819" i="10"/>
  <c r="AC820" i="10"/>
  <c r="AC821" i="10"/>
  <c r="AC822" i="10"/>
  <c r="AC823" i="10"/>
  <c r="AC824" i="10"/>
  <c r="AC825" i="10"/>
  <c r="AC826" i="10"/>
  <c r="AC827" i="10"/>
  <c r="AC828" i="10"/>
  <c r="AC829" i="10"/>
  <c r="AC830" i="10"/>
  <c r="AC831" i="10"/>
  <c r="AC832" i="10"/>
  <c r="AC833" i="10"/>
  <c r="AC834" i="10"/>
  <c r="AC835" i="10"/>
  <c r="AC836" i="10"/>
  <c r="AC837" i="10"/>
  <c r="AC838" i="10"/>
  <c r="AC839" i="10"/>
  <c r="AC840" i="10"/>
  <c r="AC841" i="10"/>
  <c r="AC842" i="10"/>
  <c r="AC843" i="10"/>
  <c r="AC844" i="10"/>
  <c r="AC845" i="10"/>
  <c r="AC847" i="10"/>
  <c r="AC851" i="10"/>
  <c r="AC853" i="10"/>
  <c r="AC846" i="10"/>
  <c r="AC849" i="10"/>
  <c r="AC854" i="10"/>
  <c r="AC848" i="10"/>
  <c r="AC850" i="10"/>
  <c r="AC852" i="10"/>
  <c r="AC855" i="10"/>
  <c r="AG313" i="10"/>
  <c r="AH313" i="10" s="1"/>
  <c r="AG306" i="10"/>
  <c r="AH306" i="10" s="1"/>
  <c r="AG303" i="10"/>
  <c r="AH303" i="10" s="1"/>
  <c r="AG312" i="10"/>
  <c r="AH312" i="10" s="1"/>
  <c r="AG300" i="10"/>
  <c r="AH300" i="10" s="1"/>
  <c r="AG299" i="10"/>
  <c r="AH299" i="10" s="1"/>
  <c r="AG298" i="10"/>
  <c r="AH298" i="10" s="1"/>
  <c r="AG289" i="10"/>
  <c r="AH289" i="10" s="1"/>
  <c r="AG288" i="10"/>
  <c r="AG316" i="10"/>
  <c r="AH316" i="10" s="1"/>
  <c r="AG311" i="10"/>
  <c r="AH311" i="10" s="1"/>
  <c r="AG296" i="10"/>
  <c r="AH296" i="10" s="1"/>
  <c r="AG334" i="10"/>
  <c r="AH334" i="10" s="1"/>
  <c r="AG327" i="10"/>
  <c r="AH327" i="10" s="1"/>
  <c r="AG319" i="10"/>
  <c r="AH319" i="10" s="1"/>
  <c r="AG310" i="10"/>
  <c r="AH310" i="10" s="1"/>
  <c r="AG301" i="10"/>
  <c r="AH301" i="10" s="1"/>
  <c r="AG290" i="10"/>
  <c r="AH290" i="10" s="1"/>
  <c r="AG315" i="10"/>
  <c r="AH315" i="10" s="1"/>
  <c r="AG307" i="10"/>
  <c r="AH307" i="10" s="1"/>
  <c r="AG354" i="10"/>
  <c r="AH354" i="10" s="1"/>
  <c r="AG353" i="10"/>
  <c r="AH353" i="10" s="1"/>
  <c r="AG347" i="10"/>
  <c r="AH347" i="10" s="1"/>
  <c r="AG345" i="10"/>
  <c r="AH345" i="10" s="1"/>
  <c r="AG343" i="10"/>
  <c r="AH343" i="10" s="1"/>
  <c r="AG335" i="10"/>
  <c r="AH335" i="10" s="1"/>
  <c r="AG330" i="10"/>
  <c r="AH330" i="10" s="1"/>
  <c r="AG323" i="10"/>
  <c r="AH323" i="10" s="1"/>
  <c r="AG320" i="10"/>
  <c r="AH320" i="10" s="1"/>
  <c r="AG314" i="10"/>
  <c r="AH314" i="10" s="1"/>
  <c r="AG308" i="10"/>
  <c r="AH308" i="10" s="1"/>
  <c r="AG305" i="10"/>
  <c r="AH305" i="10" s="1"/>
  <c r="AG304" i="10"/>
  <c r="AH304" i="10" s="1"/>
  <c r="AG302" i="10"/>
  <c r="AH302" i="10" s="1"/>
  <c r="AG297" i="10"/>
  <c r="AH297" i="10" s="1"/>
  <c r="AG295" i="10"/>
  <c r="AH295" i="10" s="1"/>
  <c r="AG294" i="10"/>
  <c r="AH294" i="10" s="1"/>
  <c r="AG292" i="10"/>
  <c r="AH292" i="10" s="1"/>
  <c r="AG358" i="10"/>
  <c r="AH358" i="10" s="1"/>
  <c r="AG357" i="10"/>
  <c r="AH357" i="10" s="1"/>
  <c r="AG356" i="10"/>
  <c r="AH356" i="10" s="1"/>
  <c r="AG355" i="10"/>
  <c r="AH355" i="10" s="1"/>
  <c r="AG352" i="10"/>
  <c r="AH352" i="10" s="1"/>
  <c r="AG351" i="10"/>
  <c r="AH351" i="10" s="1"/>
  <c r="AG350" i="10"/>
  <c r="AH350" i="10" s="1"/>
  <c r="AG349" i="10"/>
  <c r="AH349" i="10" s="1"/>
  <c r="AG348" i="10"/>
  <c r="AH348" i="10" s="1"/>
  <c r="AG346" i="10"/>
  <c r="AH346" i="10" s="1"/>
  <c r="AG344" i="10"/>
  <c r="AH344" i="10" s="1"/>
  <c r="AG341" i="10"/>
  <c r="AH341" i="10" s="1"/>
  <c r="AG340" i="10"/>
  <c r="AH340" i="10" s="1"/>
  <c r="AG339" i="10"/>
  <c r="AH339" i="10" s="1"/>
  <c r="AG338" i="10"/>
  <c r="AH338" i="10" s="1"/>
  <c r="AG337" i="10"/>
  <c r="AH337" i="10" s="1"/>
  <c r="AG336" i="10"/>
  <c r="AH336" i="10" s="1"/>
  <c r="AG333" i="10"/>
  <c r="AH333" i="10" s="1"/>
  <c r="AG332" i="10"/>
  <c r="AH332" i="10" s="1"/>
  <c r="AG331" i="10"/>
  <c r="AH331" i="10" s="1"/>
  <c r="AG329" i="10"/>
  <c r="AH329" i="10" s="1"/>
  <c r="AG328" i="10"/>
  <c r="AH328" i="10" s="1"/>
  <c r="AG326" i="10"/>
  <c r="AH326" i="10" s="1"/>
  <c r="AG325" i="10"/>
  <c r="AH325" i="10" s="1"/>
  <c r="AG324" i="10"/>
  <c r="AH324" i="10" s="1"/>
  <c r="AG322" i="10"/>
  <c r="AH322" i="10" s="1"/>
  <c r="AG321" i="10"/>
  <c r="AH321" i="10" s="1"/>
  <c r="AG318" i="10"/>
  <c r="AH318" i="10" s="1"/>
  <c r="AG317" i="10"/>
  <c r="AH317" i="10" s="1"/>
  <c r="AG342" i="10"/>
  <c r="AH342" i="10" s="1"/>
  <c r="AG309" i="10"/>
  <c r="AH309" i="10" s="1"/>
  <c r="AG293" i="10"/>
  <c r="AH293" i="10" s="1"/>
  <c r="AG291" i="10"/>
  <c r="AH291" i="10" s="1"/>
  <c r="AH288" i="10"/>
  <c r="Z879" i="10"/>
  <c r="AA879" i="10" s="1"/>
  <c r="Z880" i="10"/>
  <c r="AA880" i="10" s="1"/>
  <c r="Z883" i="10"/>
  <c r="AA883" i="10" s="1"/>
  <c r="Z889" i="10"/>
  <c r="AA889" i="10" s="1"/>
  <c r="Z897" i="10"/>
  <c r="AA897" i="10" s="1"/>
  <c r="Z903" i="10"/>
  <c r="AA903" i="10" s="1"/>
  <c r="Z911" i="10"/>
  <c r="AA911" i="10" s="1"/>
  <c r="Z912" i="10"/>
  <c r="AA912" i="10" s="1"/>
  <c r="Z913" i="10"/>
  <c r="AA913" i="10" s="1"/>
  <c r="Z920" i="10"/>
  <c r="AA920" i="10" s="1"/>
  <c r="Z923" i="10"/>
  <c r="AA923" i="10" s="1"/>
  <c r="Z926" i="10"/>
  <c r="AA926" i="10" s="1"/>
  <c r="Z898" i="10"/>
  <c r="AA898" i="10" s="1"/>
  <c r="Z914" i="10"/>
  <c r="AA914" i="10" s="1"/>
  <c r="Z857" i="10"/>
  <c r="AA857" i="10" s="1"/>
  <c r="Z874" i="10"/>
  <c r="AA874" i="10" s="1"/>
  <c r="Z895" i="10"/>
  <c r="AA895" i="10" s="1"/>
  <c r="Z906" i="10"/>
  <c r="AA906" i="10" s="1"/>
  <c r="Z925" i="10"/>
  <c r="AA925" i="10" s="1"/>
  <c r="Z887" i="10"/>
  <c r="AA887" i="10" s="1"/>
  <c r="Z892" i="10"/>
  <c r="AA892" i="10" s="1"/>
  <c r="Z901" i="10"/>
  <c r="AA901" i="10" s="1"/>
  <c r="Z910" i="10"/>
  <c r="AA910" i="10" s="1"/>
  <c r="Z915" i="10"/>
  <c r="AA915" i="10" s="1"/>
  <c r="Z856" i="10"/>
  <c r="AA856" i="10" s="1"/>
  <c r="G20" i="12" s="1"/>
  <c r="Z866" i="10"/>
  <c r="AA866" i="10" s="1"/>
  <c r="Z873" i="10"/>
  <c r="AA873" i="10" s="1"/>
  <c r="Z894" i="10"/>
  <c r="AA894" i="10" s="1"/>
  <c r="Z896" i="10"/>
  <c r="AA896" i="10" s="1"/>
  <c r="Z905" i="10"/>
  <c r="AA905" i="10" s="1"/>
  <c r="Z917" i="10"/>
  <c r="AA917" i="10" s="1"/>
  <c r="Z921" i="10"/>
  <c r="AA921" i="10" s="1"/>
  <c r="Z859" i="10"/>
  <c r="AA859" i="10" s="1"/>
  <c r="Z888" i="10"/>
  <c r="AA888" i="10" s="1"/>
  <c r="Z908" i="10"/>
  <c r="AA908" i="10" s="1"/>
  <c r="Z924" i="10"/>
  <c r="AA924" i="10" s="1"/>
  <c r="Z871" i="10"/>
  <c r="AA871" i="10" s="1"/>
  <c r="Z893" i="10"/>
  <c r="AA893" i="10" s="1"/>
  <c r="Z904" i="10"/>
  <c r="AA904" i="10" s="1"/>
  <c r="Z919" i="10"/>
  <c r="AA919" i="10" s="1"/>
  <c r="Z869" i="10"/>
  <c r="AA869" i="10" s="1"/>
  <c r="Z878" i="10"/>
  <c r="AA878" i="10" s="1"/>
  <c r="Z882" i="10"/>
  <c r="AA882" i="10" s="1"/>
  <c r="Z885" i="10"/>
  <c r="AA885" i="10" s="1"/>
  <c r="Z890" i="10"/>
  <c r="AA890" i="10" s="1"/>
  <c r="Z902" i="10"/>
  <c r="AA902" i="10" s="1"/>
  <c r="Z916" i="10"/>
  <c r="AA916" i="10" s="1"/>
  <c r="Z861" i="10"/>
  <c r="AA861" i="10" s="1"/>
  <c r="Z876" i="10"/>
  <c r="AA876" i="10" s="1"/>
  <c r="Z899" i="10"/>
  <c r="AA899" i="10" s="1"/>
  <c r="Z909" i="10"/>
  <c r="AA909" i="10" s="1"/>
  <c r="Z860" i="10"/>
  <c r="AA860" i="10" s="1"/>
  <c r="Z858" i="10"/>
  <c r="AA858" i="10" s="1"/>
  <c r="Z862" i="10"/>
  <c r="AA862" i="10" s="1"/>
  <c r="Z863" i="10"/>
  <c r="AA863" i="10" s="1"/>
  <c r="Z864" i="10"/>
  <c r="AA864" i="10" s="1"/>
  <c r="Z867" i="10"/>
  <c r="AA867" i="10" s="1"/>
  <c r="Z872" i="10"/>
  <c r="AA872" i="10" s="1"/>
  <c r="Z875" i="10"/>
  <c r="AA875" i="10" s="1"/>
  <c r="Z881" i="10"/>
  <c r="AA881" i="10" s="1"/>
  <c r="Z884" i="10"/>
  <c r="AA884" i="10" s="1"/>
  <c r="Z886" i="10"/>
  <c r="AA886" i="10" s="1"/>
  <c r="Z891" i="10"/>
  <c r="AA891" i="10" s="1"/>
  <c r="Z907" i="10"/>
  <c r="AA907" i="10" s="1"/>
  <c r="Z922" i="10"/>
  <c r="AA922" i="10" s="1"/>
  <c r="Z870" i="10"/>
  <c r="AA870" i="10" s="1"/>
  <c r="Z877" i="10"/>
  <c r="AA877" i="10" s="1"/>
  <c r="Z900" i="10"/>
  <c r="AA900" i="10" s="1"/>
  <c r="Z918" i="10"/>
  <c r="AA918" i="10" s="1"/>
  <c r="Z865" i="10"/>
  <c r="AA865" i="10" s="1"/>
  <c r="V999" i="10" l="1"/>
  <c r="V1001" i="10"/>
  <c r="V1004" i="10"/>
  <c r="V1011" i="10"/>
  <c r="V1013" i="10"/>
  <c r="V1014" i="10"/>
  <c r="V1016" i="10"/>
  <c r="V1020" i="10"/>
  <c r="V1021" i="10"/>
  <c r="V1029" i="10"/>
  <c r="V1030" i="10"/>
  <c r="V1031" i="10"/>
  <c r="V1033" i="10"/>
  <c r="V1035" i="10"/>
  <c r="V1052" i="10"/>
  <c r="V1056" i="10"/>
  <c r="V1058" i="10"/>
  <c r="V1000" i="10"/>
  <c r="V1003" i="10"/>
  <c r="V1009" i="10"/>
  <c r="V1015" i="10"/>
  <c r="V1019" i="10"/>
  <c r="V1024" i="10"/>
  <c r="V1025" i="10"/>
  <c r="V1026" i="10"/>
  <c r="V1036" i="10"/>
  <c r="V1038" i="10"/>
  <c r="V1039" i="10"/>
  <c r="V1041" i="10"/>
  <c r="V1042" i="10"/>
  <c r="V1043" i="10"/>
  <c r="V1046" i="10"/>
  <c r="V1047" i="10"/>
  <c r="V1051" i="10"/>
  <c r="V1054" i="10"/>
  <c r="V1059" i="10"/>
  <c r="V1062" i="10"/>
  <c r="V1066" i="10"/>
  <c r="V1067" i="10"/>
  <c r="V1068" i="10"/>
  <c r="V998" i="10"/>
  <c r="V1002" i="10"/>
  <c r="V1005" i="10"/>
  <c r="V1006" i="10"/>
  <c r="V1007" i="10"/>
  <c r="V1008" i="10"/>
  <c r="V1010" i="10"/>
  <c r="V1012" i="10"/>
  <c r="V1017" i="10"/>
  <c r="V1018" i="10"/>
  <c r="V1022" i="10"/>
  <c r="V1023" i="10"/>
  <c r="V1027" i="10"/>
  <c r="V1028" i="10"/>
  <c r="V1032" i="10"/>
  <c r="V1034" i="10"/>
  <c r="V1037" i="10"/>
  <c r="V1040" i="10"/>
  <c r="V1044" i="10"/>
  <c r="V1045" i="10"/>
  <c r="V1048" i="10"/>
  <c r="V1049" i="10"/>
  <c r="V1050" i="10"/>
  <c r="V1053" i="10"/>
  <c r="V1055" i="10"/>
  <c r="V1057" i="10"/>
  <c r="V1060" i="10"/>
  <c r="V1061" i="10"/>
  <c r="V1063" i="10"/>
  <c r="V1064" i="10"/>
  <c r="Z1064" i="10" s="1"/>
  <c r="AA1064" i="10" s="1"/>
  <c r="V1065" i="10"/>
  <c r="Z1065" i="10" s="1"/>
  <c r="AA1065" i="10" s="1"/>
  <c r="C36" i="8"/>
  <c r="F948" i="10"/>
  <c r="F949" i="10"/>
  <c r="F950" i="10"/>
  <c r="F951" i="10"/>
  <c r="F952" i="10"/>
  <c r="F953" i="10"/>
  <c r="F954" i="10"/>
  <c r="F955" i="10"/>
  <c r="F956" i="10"/>
  <c r="F957" i="10"/>
  <c r="F958" i="10"/>
  <c r="F959" i="10"/>
  <c r="F960" i="10"/>
  <c r="F932" i="10"/>
  <c r="F933" i="10"/>
  <c r="F935" i="10"/>
  <c r="F937" i="10"/>
  <c r="F939" i="10"/>
  <c r="F942" i="10"/>
  <c r="F945" i="10"/>
  <c r="F963" i="10"/>
  <c r="F964" i="10"/>
  <c r="F965" i="10"/>
  <c r="F970" i="10"/>
  <c r="F983" i="10"/>
  <c r="F984" i="10"/>
  <c r="F987" i="10"/>
  <c r="F989" i="10"/>
  <c r="F990" i="10"/>
  <c r="F991" i="10"/>
  <c r="F993" i="10"/>
  <c r="F995" i="10"/>
  <c r="F928" i="10"/>
  <c r="F929" i="10"/>
  <c r="F931" i="10"/>
  <c r="F947" i="10"/>
  <c r="F961" i="10"/>
  <c r="F969" i="10"/>
  <c r="F971" i="10"/>
  <c r="F973" i="10"/>
  <c r="F974" i="10"/>
  <c r="F975" i="10"/>
  <c r="F978" i="10"/>
  <c r="F980" i="10"/>
  <c r="F985" i="10"/>
  <c r="F994" i="10"/>
  <c r="F927" i="10"/>
  <c r="F930" i="10"/>
  <c r="F934" i="10"/>
  <c r="F936" i="10"/>
  <c r="F938" i="10"/>
  <c r="F940" i="10"/>
  <c r="F941" i="10"/>
  <c r="F943" i="10"/>
  <c r="F944" i="10"/>
  <c r="F946" i="10"/>
  <c r="F962" i="10"/>
  <c r="F966" i="10"/>
  <c r="F967" i="10"/>
  <c r="F968" i="10"/>
  <c r="F972" i="10"/>
  <c r="F976" i="10"/>
  <c r="F977" i="10"/>
  <c r="F979" i="10"/>
  <c r="F981" i="10"/>
  <c r="F982" i="10"/>
  <c r="F986" i="10"/>
  <c r="F988" i="10"/>
  <c r="F992" i="10"/>
  <c r="F996" i="10"/>
  <c r="F997" i="10"/>
  <c r="AC856" i="10"/>
  <c r="C24" i="11"/>
  <c r="AC859" i="10"/>
  <c r="AC865" i="10"/>
  <c r="AC867" i="10"/>
  <c r="AC870" i="10"/>
  <c r="AC876" i="10"/>
  <c r="AC879" i="10"/>
  <c r="AC884" i="10"/>
  <c r="AC886" i="10"/>
  <c r="AC899" i="10"/>
  <c r="AC905" i="10"/>
  <c r="AC909" i="10"/>
  <c r="AC910" i="10"/>
  <c r="AC911" i="10"/>
  <c r="AC913" i="10"/>
  <c r="AC915" i="10"/>
  <c r="AC921" i="10"/>
  <c r="AC857" i="10"/>
  <c r="AC858" i="10"/>
  <c r="AC860" i="10"/>
  <c r="AC861" i="10"/>
  <c r="AC863" i="10"/>
  <c r="AC866" i="10"/>
  <c r="AC869" i="10"/>
  <c r="AC872" i="10"/>
  <c r="AC874" i="10"/>
  <c r="AC875" i="10"/>
  <c r="AC881" i="10"/>
  <c r="AC885" i="10"/>
  <c r="AC888" i="10"/>
  <c r="AC895" i="10"/>
  <c r="AC897" i="10"/>
  <c r="AC900" i="10"/>
  <c r="AC904" i="10"/>
  <c r="AC906" i="10"/>
  <c r="AC907" i="10"/>
  <c r="AC908" i="10"/>
  <c r="AC912" i="10"/>
  <c r="AC914" i="10"/>
  <c r="AC918" i="10"/>
  <c r="AC923" i="10"/>
  <c r="AC924" i="10"/>
  <c r="AC925" i="10"/>
  <c r="AC926" i="10"/>
  <c r="AC862" i="10"/>
  <c r="AC864" i="10"/>
  <c r="AC868" i="10"/>
  <c r="AC871" i="10"/>
  <c r="AC873" i="10"/>
  <c r="AC877" i="10"/>
  <c r="AC878" i="10"/>
  <c r="AC880" i="10"/>
  <c r="AC882" i="10"/>
  <c r="AC883" i="10"/>
  <c r="AC887" i="10"/>
  <c r="AC889" i="10"/>
  <c r="AC890" i="10"/>
  <c r="AC891" i="10"/>
  <c r="AC892" i="10"/>
  <c r="AC893" i="10"/>
  <c r="AC894" i="10"/>
  <c r="AC896" i="10"/>
  <c r="AC898" i="10"/>
  <c r="AC901" i="10"/>
  <c r="AC902" i="10"/>
  <c r="AC903" i="10"/>
  <c r="AC916" i="10"/>
  <c r="AC917" i="10"/>
  <c r="AC919" i="10"/>
  <c r="AC920" i="10"/>
  <c r="AC922" i="10"/>
  <c r="AI313" i="10"/>
  <c r="H39" i="4"/>
  <c r="AB384" i="10"/>
  <c r="AD384" i="10" s="1"/>
  <c r="AK313" i="10"/>
  <c r="AJ313" i="10"/>
  <c r="H30" i="4"/>
  <c r="AB377" i="10"/>
  <c r="AD377" i="10" s="1"/>
  <c r="AK306" i="10"/>
  <c r="AI306" i="10"/>
  <c r="AJ306" i="10"/>
  <c r="AK303" i="10"/>
  <c r="AI303" i="10"/>
  <c r="H27" i="4"/>
  <c r="AB374" i="10"/>
  <c r="AD374" i="10" s="1"/>
  <c r="AJ303" i="10"/>
  <c r="AB383" i="10"/>
  <c r="AD383" i="10" s="1"/>
  <c r="AJ312" i="10"/>
  <c r="AI312" i="10"/>
  <c r="H38" i="4"/>
  <c r="AK312" i="10"/>
  <c r="H23" i="4"/>
  <c r="AB371" i="10"/>
  <c r="AD371" i="10" s="1"/>
  <c r="AK300" i="10"/>
  <c r="AJ300" i="10"/>
  <c r="AI300" i="10"/>
  <c r="H22" i="4"/>
  <c r="AK299" i="10"/>
  <c r="AI299" i="10"/>
  <c r="AB370" i="10"/>
  <c r="AD370" i="10" s="1"/>
  <c r="AJ299" i="10"/>
  <c r="H21" i="4"/>
  <c r="AK298" i="10"/>
  <c r="AI298" i="10"/>
  <c r="AB369" i="10"/>
  <c r="AD369" i="10" s="1"/>
  <c r="AJ298" i="10"/>
  <c r="AB360" i="10"/>
  <c r="AD360" i="10" s="1"/>
  <c r="AJ289" i="10"/>
  <c r="AI289" i="10"/>
  <c r="H11" i="4"/>
  <c r="AK289" i="10"/>
  <c r="H43" i="4"/>
  <c r="AB387" i="10"/>
  <c r="AD387" i="10" s="1"/>
  <c r="AK316" i="10"/>
  <c r="AJ316" i="10"/>
  <c r="AI316" i="10"/>
  <c r="AB382" i="10"/>
  <c r="AD382" i="10" s="1"/>
  <c r="AJ311" i="10"/>
  <c r="AI311" i="10"/>
  <c r="H36" i="4"/>
  <c r="AK311" i="10"/>
  <c r="AB367" i="10"/>
  <c r="AD367" i="10" s="1"/>
  <c r="H18" i="4"/>
  <c r="AI296" i="10"/>
  <c r="AK296" i="10"/>
  <c r="AJ296" i="10"/>
  <c r="AK334" i="10"/>
  <c r="AJ334" i="10"/>
  <c r="AI334" i="10"/>
  <c r="H65" i="4"/>
  <c r="AB405" i="10"/>
  <c r="AD405" i="10" s="1"/>
  <c r="AJ327" i="10"/>
  <c r="AI327" i="10"/>
  <c r="H56" i="4"/>
  <c r="AB398" i="10"/>
  <c r="AD398" i="10" s="1"/>
  <c r="AK327" i="10"/>
  <c r="AJ319" i="10"/>
  <c r="H47" i="4"/>
  <c r="AB390" i="10"/>
  <c r="AD390" i="10" s="1"/>
  <c r="AK319" i="10"/>
  <c r="AI319" i="10"/>
  <c r="AB381" i="10"/>
  <c r="AD381" i="10" s="1"/>
  <c r="AJ310" i="10"/>
  <c r="AI310" i="10"/>
  <c r="H35" i="4"/>
  <c r="AK310" i="10"/>
  <c r="AK301" i="10"/>
  <c r="AI301" i="10"/>
  <c r="H25" i="4"/>
  <c r="AB372" i="10"/>
  <c r="AD372" i="10" s="1"/>
  <c r="AJ301" i="10"/>
  <c r="H12" i="4"/>
  <c r="AB361" i="10"/>
  <c r="AD361" i="10" s="1"/>
  <c r="AK290" i="10"/>
  <c r="AI290" i="10"/>
  <c r="AJ290" i="10"/>
  <c r="AB386" i="10"/>
  <c r="AD386" i="10" s="1"/>
  <c r="AJ315" i="10"/>
  <c r="AI315" i="10"/>
  <c r="H41" i="4"/>
  <c r="AK315" i="10"/>
  <c r="H31" i="4"/>
  <c r="AB378" i="10"/>
  <c r="AD378" i="10" s="1"/>
  <c r="AK307" i="10"/>
  <c r="AJ307" i="10"/>
  <c r="AI307" i="10"/>
  <c r="H88" i="4"/>
  <c r="AJ354" i="10"/>
  <c r="AB425" i="10"/>
  <c r="AD425" i="10" s="1"/>
  <c r="AK354" i="10"/>
  <c r="AI354" i="10"/>
  <c r="H87" i="4"/>
  <c r="AI353" i="10"/>
  <c r="AB424" i="10"/>
  <c r="AD424" i="10" s="1"/>
  <c r="AK353" i="10"/>
  <c r="AJ353" i="10"/>
  <c r="AB418" i="10"/>
  <c r="AD418" i="10" s="1"/>
  <c r="AJ347" i="10"/>
  <c r="AI347" i="10"/>
  <c r="H81" i="4"/>
  <c r="AK347" i="10"/>
  <c r="H78" i="4"/>
  <c r="AK345" i="10"/>
  <c r="AI345" i="10"/>
  <c r="AB416" i="10"/>
  <c r="AD416" i="10" s="1"/>
  <c r="AJ345" i="10"/>
  <c r="AB414" i="10"/>
  <c r="AD414" i="10" s="1"/>
  <c r="AJ343" i="10"/>
  <c r="AI343" i="10"/>
  <c r="H76" i="4"/>
  <c r="AK343" i="10"/>
  <c r="AB406" i="10"/>
  <c r="AD406" i="10" s="1"/>
  <c r="AK335" i="10"/>
  <c r="H66" i="4"/>
  <c r="AJ335" i="10"/>
  <c r="AI335" i="10"/>
  <c r="H60" i="4"/>
  <c r="AK330" i="10"/>
  <c r="AI330" i="10"/>
  <c r="AB401" i="10"/>
  <c r="AD401" i="10" s="1"/>
  <c r="AJ330" i="10"/>
  <c r="AK323" i="10"/>
  <c r="AB394" i="10"/>
  <c r="AD394" i="10" s="1"/>
  <c r="H52" i="4"/>
  <c r="AJ323" i="10"/>
  <c r="AI323" i="10"/>
  <c r="AB391" i="10"/>
  <c r="AD391" i="10" s="1"/>
  <c r="AJ320" i="10"/>
  <c r="AI320" i="10"/>
  <c r="H48" i="4"/>
  <c r="AK320" i="10"/>
  <c r="AI314" i="10"/>
  <c r="H40" i="4"/>
  <c r="AB385" i="10"/>
  <c r="AD385" i="10" s="1"/>
  <c r="AK314" i="10"/>
  <c r="AJ314" i="10"/>
  <c r="AB379" i="10"/>
  <c r="AD379" i="10" s="1"/>
  <c r="AK308" i="10"/>
  <c r="AJ308" i="10"/>
  <c r="AI308" i="10"/>
  <c r="H33" i="4"/>
  <c r="H29" i="4"/>
  <c r="AK305" i="10"/>
  <c r="AI305" i="10"/>
  <c r="AB376" i="10"/>
  <c r="AD376" i="10" s="1"/>
  <c r="AJ305" i="10"/>
  <c r="AK304" i="10"/>
  <c r="AJ304" i="10"/>
  <c r="AI304" i="10"/>
  <c r="H28" i="4"/>
  <c r="AB375" i="10"/>
  <c r="AD375" i="10" s="1"/>
  <c r="AI302" i="10"/>
  <c r="H26" i="4"/>
  <c r="AB373" i="10"/>
  <c r="AD373" i="10" s="1"/>
  <c r="AK302" i="10"/>
  <c r="AJ302" i="10"/>
  <c r="H19" i="4"/>
  <c r="AK297" i="10"/>
  <c r="AI297" i="10"/>
  <c r="AB368" i="10"/>
  <c r="AD368" i="10" s="1"/>
  <c r="AJ297" i="10"/>
  <c r="AB366" i="10"/>
  <c r="AD366" i="10" s="1"/>
  <c r="AK295" i="10"/>
  <c r="AI295" i="10"/>
  <c r="H17" i="4"/>
  <c r="AJ295" i="10"/>
  <c r="H16" i="4"/>
  <c r="AK294" i="10"/>
  <c r="AJ294" i="10"/>
  <c r="AB365" i="10"/>
  <c r="AD365" i="10" s="1"/>
  <c r="AI294" i="10"/>
  <c r="AK292" i="10"/>
  <c r="AI292" i="10"/>
  <c r="AB363" i="10"/>
  <c r="AD363" i="10" s="1"/>
  <c r="H14" i="4"/>
  <c r="AJ292" i="10"/>
  <c r="H93" i="4"/>
  <c r="AK358" i="10"/>
  <c r="AI358" i="10"/>
  <c r="AB429" i="10"/>
  <c r="AD429" i="10" s="1"/>
  <c r="AJ358" i="10"/>
  <c r="H92" i="4"/>
  <c r="AK357" i="10"/>
  <c r="AB428" i="10"/>
  <c r="AD428" i="10" s="1"/>
  <c r="AJ357" i="10"/>
  <c r="AI357" i="10"/>
  <c r="AK356" i="10"/>
  <c r="H91" i="4"/>
  <c r="AB427" i="10"/>
  <c r="AD427" i="10" s="1"/>
  <c r="AJ356" i="10"/>
  <c r="AI356" i="10"/>
  <c r="H90" i="4"/>
  <c r="AJ355" i="10"/>
  <c r="AB426" i="10"/>
  <c r="AD426" i="10" s="1"/>
  <c r="AK355" i="10"/>
  <c r="AI355" i="10"/>
  <c r="H86" i="4"/>
  <c r="AI352" i="10"/>
  <c r="AB423" i="10"/>
  <c r="AD423" i="10" s="1"/>
  <c r="AK352" i="10"/>
  <c r="AJ352" i="10"/>
  <c r="H85" i="4"/>
  <c r="AK351" i="10"/>
  <c r="AB422" i="10"/>
  <c r="AD422" i="10" s="1"/>
  <c r="AJ351" i="10"/>
  <c r="AI351" i="10"/>
  <c r="AB421" i="10"/>
  <c r="AD421" i="10" s="1"/>
  <c r="AJ350" i="10"/>
  <c r="AI350" i="10"/>
  <c r="H84" i="4"/>
  <c r="AK350" i="10"/>
  <c r="AB420" i="10"/>
  <c r="AD420" i="10" s="1"/>
  <c r="AJ349" i="10"/>
  <c r="AI349" i="10"/>
  <c r="H83" i="4"/>
  <c r="AK349" i="10"/>
  <c r="AB419" i="10"/>
  <c r="AD419" i="10" s="1"/>
  <c r="AJ348" i="10"/>
  <c r="AI348" i="10"/>
  <c r="H82" i="4"/>
  <c r="AK348" i="10"/>
  <c r="AI346" i="10"/>
  <c r="H79" i="4"/>
  <c r="AB417" i="10"/>
  <c r="AD417" i="10" s="1"/>
  <c r="AK346" i="10"/>
  <c r="AJ346" i="10"/>
  <c r="AB415" i="10"/>
  <c r="AD415" i="10" s="1"/>
  <c r="AK344" i="10"/>
  <c r="AJ344" i="10"/>
  <c r="AI344" i="10"/>
  <c r="H77" i="4"/>
  <c r="H74" i="4"/>
  <c r="AI341" i="10"/>
  <c r="AB412" i="10"/>
  <c r="AD412" i="10" s="1"/>
  <c r="AK341" i="10"/>
  <c r="AJ341" i="10"/>
  <c r="AJ340" i="10"/>
  <c r="AI340" i="10"/>
  <c r="H72" i="4"/>
  <c r="AB411" i="10"/>
  <c r="AD411" i="10" s="1"/>
  <c r="AK340" i="10"/>
  <c r="H71" i="4"/>
  <c r="AB410" i="10"/>
  <c r="AD410" i="10" s="1"/>
  <c r="AK339" i="10"/>
  <c r="AJ339" i="10"/>
  <c r="AI339" i="10"/>
  <c r="H69" i="4"/>
  <c r="AK338" i="10"/>
  <c r="AI338" i="10"/>
  <c r="AB409" i="10"/>
  <c r="AD409" i="10" s="1"/>
  <c r="AJ338" i="10"/>
  <c r="H68" i="4"/>
  <c r="AB408" i="10"/>
  <c r="AD408" i="10" s="1"/>
  <c r="AK337" i="10"/>
  <c r="AJ337" i="10"/>
  <c r="AI337" i="10"/>
  <c r="AB407" i="10"/>
  <c r="AD407" i="10" s="1"/>
  <c r="AJ336" i="10"/>
  <c r="AI336" i="10"/>
  <c r="H67" i="4"/>
  <c r="AK336" i="10"/>
  <c r="AJ333" i="10"/>
  <c r="H63" i="4"/>
  <c r="AI333" i="10"/>
  <c r="AB404" i="10"/>
  <c r="AD404" i="10" s="1"/>
  <c r="AK333" i="10"/>
  <c r="H62" i="4"/>
  <c r="AB403" i="10"/>
  <c r="AD403" i="10" s="1"/>
  <c r="AK332" i="10"/>
  <c r="AJ332" i="10"/>
  <c r="AI332" i="10"/>
  <c r="AI331" i="10"/>
  <c r="AJ331" i="10"/>
  <c r="H61" i="4"/>
  <c r="AB402" i="10"/>
  <c r="AD402" i="10" s="1"/>
  <c r="AK331" i="10"/>
  <c r="AK329" i="10"/>
  <c r="AJ329" i="10"/>
  <c r="AI329" i="10"/>
  <c r="H58" i="4"/>
  <c r="AB400" i="10"/>
  <c r="AD400" i="10" s="1"/>
  <c r="AJ328" i="10"/>
  <c r="AI328" i="10"/>
  <c r="H57" i="4"/>
  <c r="AB399" i="10"/>
  <c r="AD399" i="10" s="1"/>
  <c r="AK328" i="10"/>
  <c r="AB397" i="10"/>
  <c r="AD397" i="10" s="1"/>
  <c r="AK326" i="10"/>
  <c r="AJ326" i="10"/>
  <c r="AI326" i="10"/>
  <c r="H55" i="4"/>
  <c r="H54" i="4"/>
  <c r="AB396" i="10"/>
  <c r="AD396" i="10" s="1"/>
  <c r="AK325" i="10"/>
  <c r="AJ325" i="10"/>
  <c r="AI325" i="10"/>
  <c r="AJ324" i="10"/>
  <c r="AI324" i="10"/>
  <c r="H53" i="4"/>
  <c r="AB395" i="10"/>
  <c r="AD395" i="10" s="1"/>
  <c r="AK324" i="10"/>
  <c r="H51" i="4"/>
  <c r="AB393" i="10"/>
  <c r="AD393" i="10" s="1"/>
  <c r="AI322" i="10"/>
  <c r="AK322" i="10"/>
  <c r="AJ322" i="10"/>
  <c r="AJ321" i="10"/>
  <c r="AI321" i="10"/>
  <c r="H49" i="4"/>
  <c r="AB392" i="10"/>
  <c r="AD392" i="10" s="1"/>
  <c r="AK321" i="10"/>
  <c r="H45" i="4"/>
  <c r="AI318" i="10"/>
  <c r="AB389" i="10"/>
  <c r="AD389" i="10" s="1"/>
  <c r="AK318" i="10"/>
  <c r="AJ318" i="10"/>
  <c r="H44" i="4"/>
  <c r="AK317" i="10"/>
  <c r="AI317" i="10"/>
  <c r="AB388" i="10"/>
  <c r="AD388" i="10" s="1"/>
  <c r="AJ317" i="10"/>
  <c r="H75" i="4"/>
  <c r="AI342" i="10"/>
  <c r="AB413" i="10"/>
  <c r="AD413" i="10" s="1"/>
  <c r="AK342" i="10"/>
  <c r="AJ342" i="10"/>
  <c r="H34" i="4"/>
  <c r="AI309" i="10"/>
  <c r="AB380" i="10"/>
  <c r="AD380" i="10" s="1"/>
  <c r="AK309" i="10"/>
  <c r="AJ309" i="10"/>
  <c r="AB364" i="10"/>
  <c r="AD364" i="10" s="1"/>
  <c r="AJ293" i="10"/>
  <c r="AI293" i="10"/>
  <c r="H15" i="4"/>
  <c r="AK293" i="10"/>
  <c r="AK291" i="10"/>
  <c r="H13" i="4"/>
  <c r="AB362" i="10"/>
  <c r="AD362" i="10" s="1"/>
  <c r="AJ291" i="10"/>
  <c r="AI291" i="10"/>
  <c r="AI288" i="10"/>
  <c r="F12" i="12" s="1"/>
  <c r="AJ288" i="10"/>
  <c r="I12" i="12" s="1"/>
  <c r="AK288" i="10"/>
  <c r="D16" i="11"/>
  <c r="E12" i="12"/>
  <c r="H10" i="4"/>
  <c r="AB359" i="10"/>
  <c r="Z942" i="10"/>
  <c r="AA942" i="10" s="1"/>
  <c r="Z963" i="10"/>
  <c r="AA963" i="10" s="1"/>
  <c r="Z977" i="10"/>
  <c r="AA977" i="10" s="1"/>
  <c r="Z992" i="10"/>
  <c r="AA992" i="10" s="1"/>
  <c r="Z952" i="10"/>
  <c r="AA952" i="10" s="1"/>
  <c r="Z957" i="10"/>
  <c r="AA957" i="10" s="1"/>
  <c r="Z933" i="10"/>
  <c r="AA933" i="10" s="1"/>
  <c r="Z961" i="10"/>
  <c r="AA961" i="10" s="1"/>
  <c r="Z986" i="10"/>
  <c r="AA986" i="10" s="1"/>
  <c r="Z972" i="10"/>
  <c r="AA972" i="10" s="1"/>
  <c r="Z959" i="10"/>
  <c r="AA959" i="10" s="1"/>
  <c r="Z939" i="10"/>
  <c r="AA939" i="10" s="1"/>
  <c r="Z974" i="10"/>
  <c r="AA974" i="10" s="1"/>
  <c r="Z996" i="10"/>
  <c r="AA996" i="10" s="1"/>
  <c r="Z987" i="10"/>
  <c r="AA987" i="10" s="1"/>
  <c r="Z967" i="10"/>
  <c r="AA967" i="10" s="1"/>
  <c r="Z971" i="10"/>
  <c r="AA971" i="10" s="1"/>
  <c r="Z980" i="10"/>
  <c r="AA980" i="10" s="1"/>
  <c r="Z985" i="10"/>
  <c r="AA985" i="10" s="1"/>
  <c r="Z969" i="10"/>
  <c r="AA969" i="10" s="1"/>
  <c r="Z981" i="10"/>
  <c r="AA981" i="10" s="1"/>
  <c r="Z995" i="10"/>
  <c r="AA995" i="10" s="1"/>
  <c r="Z964" i="10"/>
  <c r="AA964" i="10" s="1"/>
  <c r="Z983" i="10"/>
  <c r="AA983" i="10" s="1"/>
  <c r="Z993" i="10"/>
  <c r="AA993" i="10" s="1"/>
  <c r="Z966" i="10"/>
  <c r="AA966" i="10" s="1"/>
  <c r="Z984" i="10"/>
  <c r="AA984" i="10" s="1"/>
  <c r="Z949" i="10"/>
  <c r="AA949" i="10" s="1"/>
  <c r="Z954" i="10"/>
  <c r="AA954" i="10" s="1"/>
  <c r="Z927" i="10"/>
  <c r="AA927" i="10" s="1"/>
  <c r="G21" i="12" s="1"/>
  <c r="Z944" i="10"/>
  <c r="AA944" i="10" s="1"/>
  <c r="Z975" i="10"/>
  <c r="AA975" i="10" s="1"/>
  <c r="Z997" i="10"/>
  <c r="AA997" i="10" s="1"/>
  <c r="Z988" i="10"/>
  <c r="AA988" i="10" s="1"/>
  <c r="Z946" i="10"/>
  <c r="AA946" i="10" s="1"/>
  <c r="Z970" i="10"/>
  <c r="AA970" i="10" s="1"/>
  <c r="Z989" i="10"/>
  <c r="AA989" i="10" s="1"/>
  <c r="Z951" i="10"/>
  <c r="AA951" i="10" s="1"/>
  <c r="Z956" i="10"/>
  <c r="AA956" i="10" s="1"/>
  <c r="Z932" i="10"/>
  <c r="AA932" i="10" s="1"/>
  <c r="Z947" i="10"/>
  <c r="AA947" i="10" s="1"/>
  <c r="Z982" i="10"/>
  <c r="AA982" i="10" s="1"/>
  <c r="Z937" i="10"/>
  <c r="AA937" i="10" s="1"/>
  <c r="Z929" i="10"/>
  <c r="AA929" i="10" s="1"/>
  <c r="Z930" i="10"/>
  <c r="AA930" i="10" s="1"/>
  <c r="Z934" i="10"/>
  <c r="AA934" i="10" s="1"/>
  <c r="Z935" i="10"/>
  <c r="AA935" i="10" s="1"/>
  <c r="Z936" i="10"/>
  <c r="AA936" i="10" s="1"/>
  <c r="Z940" i="10"/>
  <c r="AA940" i="10" s="1"/>
  <c r="Z941" i="10"/>
  <c r="AA941" i="10" s="1"/>
  <c r="Z960" i="10"/>
  <c r="AA960" i="10" s="1"/>
  <c r="Z962" i="10"/>
  <c r="AA962" i="10" s="1"/>
  <c r="Z973" i="10"/>
  <c r="AA973" i="10" s="1"/>
  <c r="Z991" i="10"/>
  <c r="AA991" i="10" s="1"/>
  <c r="Z950" i="10"/>
  <c r="AA950" i="10" s="1"/>
  <c r="Z955" i="10"/>
  <c r="AA955" i="10" s="1"/>
  <c r="Z931" i="10"/>
  <c r="AA931" i="10" s="1"/>
  <c r="Z945" i="10"/>
  <c r="AA945" i="10" s="1"/>
  <c r="Z976" i="10"/>
  <c r="AA976" i="10" s="1"/>
  <c r="Z928" i="10"/>
  <c r="AA928" i="10" s="1"/>
  <c r="Z943" i="10"/>
  <c r="AA943" i="10" s="1"/>
  <c r="Z968" i="10"/>
  <c r="AA968" i="10" s="1"/>
  <c r="Z979" i="10"/>
  <c r="AA979" i="10" s="1"/>
  <c r="Z948" i="10"/>
  <c r="AA948" i="10" s="1"/>
  <c r="Z953" i="10"/>
  <c r="AA953" i="10" s="1"/>
  <c r="Z958" i="10"/>
  <c r="AA958" i="10" s="1"/>
  <c r="Z938" i="10"/>
  <c r="AA938" i="10" s="1"/>
  <c r="Z965" i="10"/>
  <c r="AA965" i="10" s="1"/>
  <c r="Z994" i="10"/>
  <c r="AA994" i="10" s="1"/>
  <c r="Z978" i="10"/>
  <c r="AA978" i="10" s="1"/>
  <c r="F1001" i="10" l="1"/>
  <c r="F1002" i="10"/>
  <c r="F1005" i="10"/>
  <c r="F1006" i="10"/>
  <c r="F1007" i="10"/>
  <c r="F1014" i="10"/>
  <c r="F1016" i="10"/>
  <c r="F1018" i="10"/>
  <c r="F1019" i="10"/>
  <c r="F1024" i="10"/>
  <c r="F1028" i="10"/>
  <c r="F1030" i="10"/>
  <c r="F1034" i="10"/>
  <c r="F1038" i="10"/>
  <c r="F1042" i="10"/>
  <c r="F1046" i="10"/>
  <c r="F1049" i="10"/>
  <c r="F1052" i="10"/>
  <c r="F1055" i="10"/>
  <c r="F1059" i="10"/>
  <c r="F999" i="10"/>
  <c r="F1004" i="10"/>
  <c r="F1020" i="10"/>
  <c r="F1022" i="10"/>
  <c r="F1023" i="10"/>
  <c r="F1026" i="10"/>
  <c r="F1027" i="10"/>
  <c r="F1029" i="10"/>
  <c r="F1032" i="10"/>
  <c r="F1033" i="10"/>
  <c r="F1037" i="10"/>
  <c r="F998" i="10"/>
  <c r="F1000" i="10"/>
  <c r="F1003" i="10"/>
  <c r="F1008" i="10"/>
  <c r="F1009" i="10"/>
  <c r="F1010" i="10"/>
  <c r="F1011" i="10"/>
  <c r="F1012" i="10"/>
  <c r="F1013" i="10"/>
  <c r="F1015" i="10"/>
  <c r="F1017" i="10"/>
  <c r="F1021" i="10"/>
  <c r="F1025" i="10"/>
  <c r="F1031" i="10"/>
  <c r="F1035" i="10"/>
  <c r="F1036" i="10"/>
  <c r="F1039" i="10"/>
  <c r="F1040" i="10"/>
  <c r="F1041" i="10"/>
  <c r="F1043" i="10"/>
  <c r="F1044" i="10"/>
  <c r="F1045" i="10"/>
  <c r="F1047" i="10"/>
  <c r="F1048" i="10"/>
  <c r="F1050" i="10"/>
  <c r="F1051" i="10"/>
  <c r="F1053" i="10"/>
  <c r="F1054" i="10"/>
  <c r="F1056" i="10"/>
  <c r="F1057" i="10"/>
  <c r="F1058" i="10"/>
  <c r="F1060" i="10"/>
  <c r="F1061" i="10"/>
  <c r="F1062" i="10"/>
  <c r="F1063" i="10"/>
  <c r="F1064" i="10"/>
  <c r="F1065" i="10"/>
  <c r="F1066" i="10"/>
  <c r="F1067" i="10"/>
  <c r="F1068" i="10"/>
  <c r="AC948" i="10"/>
  <c r="AC949" i="10"/>
  <c r="AC950" i="10"/>
  <c r="AC951" i="10"/>
  <c r="AC952" i="10"/>
  <c r="AC953" i="10"/>
  <c r="AC954" i="10"/>
  <c r="AC955" i="10"/>
  <c r="AC956" i="10"/>
  <c r="AC957" i="10"/>
  <c r="AC958" i="10"/>
  <c r="AC959" i="10"/>
  <c r="AC960" i="10"/>
  <c r="AC932" i="10"/>
  <c r="AC933" i="10"/>
  <c r="AC935" i="10"/>
  <c r="AC937" i="10"/>
  <c r="AC939" i="10"/>
  <c r="AC942" i="10"/>
  <c r="AC945" i="10"/>
  <c r="AC963" i="10"/>
  <c r="AC964" i="10"/>
  <c r="AC965" i="10"/>
  <c r="AC970" i="10"/>
  <c r="AC983" i="10"/>
  <c r="AC984" i="10"/>
  <c r="AC987" i="10"/>
  <c r="AC989" i="10"/>
  <c r="AC990" i="10"/>
  <c r="AC991" i="10"/>
  <c r="AC993" i="10"/>
  <c r="AC995" i="10"/>
  <c r="AC928" i="10"/>
  <c r="AC929" i="10"/>
  <c r="AC931" i="10"/>
  <c r="AC947" i="10"/>
  <c r="AC961" i="10"/>
  <c r="AC969" i="10"/>
  <c r="AC971" i="10"/>
  <c r="AC973" i="10"/>
  <c r="AC974" i="10"/>
  <c r="AC975" i="10"/>
  <c r="AC978" i="10"/>
  <c r="AC980" i="10"/>
  <c r="AC985" i="10"/>
  <c r="AC994" i="10"/>
  <c r="AC927" i="10"/>
  <c r="C25" i="11"/>
  <c r="AC930" i="10"/>
  <c r="AC934" i="10"/>
  <c r="AC936" i="10"/>
  <c r="AC938" i="10"/>
  <c r="AC940" i="10"/>
  <c r="AC941" i="10"/>
  <c r="AC943" i="10"/>
  <c r="AC944" i="10"/>
  <c r="AC946" i="10"/>
  <c r="AC962" i="10"/>
  <c r="AC966" i="10"/>
  <c r="AC967" i="10"/>
  <c r="AC968" i="10"/>
  <c r="AC972" i="10"/>
  <c r="AC976" i="10"/>
  <c r="AC977" i="10"/>
  <c r="AC979" i="10"/>
  <c r="AC981" i="10"/>
  <c r="AC982" i="10"/>
  <c r="AC986" i="10"/>
  <c r="AC988" i="10"/>
  <c r="AC992" i="10"/>
  <c r="AC996" i="10"/>
  <c r="AC997" i="10"/>
  <c r="AF384" i="10"/>
  <c r="AE384" i="10"/>
  <c r="AF377" i="10"/>
  <c r="AE377" i="10"/>
  <c r="AF374" i="10"/>
  <c r="AE374" i="10"/>
  <c r="AE383" i="10"/>
  <c r="AF383" i="10"/>
  <c r="AE371" i="10"/>
  <c r="AF371" i="10"/>
  <c r="AF370" i="10"/>
  <c r="AE370" i="10"/>
  <c r="AF369" i="10"/>
  <c r="AE369" i="10"/>
  <c r="AE360" i="10"/>
  <c r="AF360" i="10"/>
  <c r="AE387" i="10"/>
  <c r="AF387" i="10"/>
  <c r="AF382" i="10"/>
  <c r="AE382" i="10"/>
  <c r="AF367" i="10"/>
  <c r="AE367" i="10"/>
  <c r="AE405" i="10"/>
  <c r="AF405" i="10"/>
  <c r="AE398" i="10"/>
  <c r="AF398" i="10"/>
  <c r="AE390" i="10"/>
  <c r="AF390" i="10"/>
  <c r="AF381" i="10"/>
  <c r="AE381" i="10"/>
  <c r="AE372" i="10"/>
  <c r="AF372" i="10"/>
  <c r="AF361" i="10"/>
  <c r="AE361" i="10"/>
  <c r="AF386" i="10"/>
  <c r="AE386" i="10"/>
  <c r="AE378" i="10"/>
  <c r="AF378" i="10"/>
  <c r="AF425" i="10"/>
  <c r="AE425" i="10"/>
  <c r="AF424" i="10"/>
  <c r="AE424" i="10"/>
  <c r="AF418" i="10"/>
  <c r="AE418" i="10"/>
  <c r="AF416" i="10"/>
  <c r="AE416" i="10"/>
  <c r="AF414" i="10"/>
  <c r="AE414" i="10"/>
  <c r="AE406" i="10"/>
  <c r="AF406" i="10"/>
  <c r="AE401" i="10"/>
  <c r="AF401" i="10"/>
  <c r="AE394" i="10"/>
  <c r="AF394" i="10"/>
  <c r="AF391" i="10"/>
  <c r="AE391" i="10"/>
  <c r="AE385" i="10"/>
  <c r="AF385" i="10"/>
  <c r="AF379" i="10"/>
  <c r="AE379" i="10"/>
  <c r="AF376" i="10"/>
  <c r="AE376" i="10"/>
  <c r="AE375" i="10"/>
  <c r="AF375" i="10"/>
  <c r="AE373" i="10"/>
  <c r="AF373" i="10"/>
  <c r="AE368" i="10"/>
  <c r="AF368" i="10"/>
  <c r="AE366" i="10"/>
  <c r="AF366" i="10"/>
  <c r="AE365" i="10"/>
  <c r="AF365" i="10"/>
  <c r="AE363" i="10"/>
  <c r="AF363" i="10"/>
  <c r="AF429" i="10"/>
  <c r="AE429" i="10"/>
  <c r="AF428" i="10"/>
  <c r="AE428" i="10"/>
  <c r="AF427" i="10"/>
  <c r="AE427" i="10"/>
  <c r="AF426" i="10"/>
  <c r="AE426" i="10"/>
  <c r="AF423" i="10"/>
  <c r="AE423" i="10"/>
  <c r="AF422" i="10"/>
  <c r="AE422" i="10"/>
  <c r="AF421" i="10"/>
  <c r="AE421" i="10"/>
  <c r="AF420" i="10"/>
  <c r="AE420" i="10"/>
  <c r="AF419" i="10"/>
  <c r="AE419" i="10"/>
  <c r="AF417" i="10"/>
  <c r="AE417" i="10"/>
  <c r="AF415" i="10"/>
  <c r="AE415" i="10"/>
  <c r="AF412" i="10"/>
  <c r="AE412" i="10"/>
  <c r="AE411" i="10"/>
  <c r="AF411" i="10"/>
  <c r="AF410" i="10"/>
  <c r="AE410" i="10"/>
  <c r="AE409" i="10"/>
  <c r="AF409" i="10"/>
  <c r="AF408" i="10"/>
  <c r="AE408" i="10"/>
  <c r="AF407" i="10"/>
  <c r="AE407" i="10"/>
  <c r="AF404" i="10"/>
  <c r="AE404" i="10"/>
  <c r="AE403" i="10"/>
  <c r="AF403" i="10"/>
  <c r="AE402" i="10"/>
  <c r="AF402" i="10"/>
  <c r="AE400" i="10"/>
  <c r="AF400" i="10"/>
  <c r="AE399" i="10"/>
  <c r="AF399" i="10"/>
  <c r="AF397" i="10"/>
  <c r="AE397" i="10"/>
  <c r="AF396" i="10"/>
  <c r="AE396" i="10"/>
  <c r="AE395" i="10"/>
  <c r="AF395" i="10"/>
  <c r="AE393" i="10"/>
  <c r="AF393" i="10"/>
  <c r="AF392" i="10"/>
  <c r="AE392" i="10"/>
  <c r="AE389" i="10"/>
  <c r="AF389" i="10"/>
  <c r="AE388" i="10"/>
  <c r="AF388" i="10"/>
  <c r="AF413" i="10"/>
  <c r="AE413" i="10"/>
  <c r="AE380" i="10"/>
  <c r="AF380" i="10"/>
  <c r="AF364" i="10"/>
  <c r="AE364" i="10"/>
  <c r="AE362" i="10"/>
  <c r="AF362" i="10"/>
  <c r="E16" i="11"/>
  <c r="G16" i="11"/>
  <c r="H95" i="4"/>
  <c r="AD359" i="10"/>
  <c r="H13" i="12"/>
  <c r="Z1058" i="10"/>
  <c r="AA1058" i="10" s="1"/>
  <c r="Z1019" i="10"/>
  <c r="AA1019" i="10" s="1"/>
  <c r="Z1036" i="10"/>
  <c r="AA1036" i="10" s="1"/>
  <c r="Z1041" i="10"/>
  <c r="AA1041" i="10" s="1"/>
  <c r="Z1046" i="10"/>
  <c r="AA1046" i="10" s="1"/>
  <c r="Z1054" i="10"/>
  <c r="AA1054" i="10" s="1"/>
  <c r="Z1066" i="10"/>
  <c r="AA1066" i="10" s="1"/>
  <c r="Z998" i="10"/>
  <c r="AA998" i="10" s="1"/>
  <c r="Z1006" i="10"/>
  <c r="AA1006" i="10" s="1"/>
  <c r="Z1010" i="10"/>
  <c r="AA1010" i="10" s="1"/>
  <c r="Z1018" i="10"/>
  <c r="AA1018" i="10" s="1"/>
  <c r="Z1027" i="10"/>
  <c r="AA1027" i="10" s="1"/>
  <c r="Z1028" i="10"/>
  <c r="AA1028" i="10" s="1"/>
  <c r="Z1032" i="10"/>
  <c r="AA1032" i="10" s="1"/>
  <c r="Z1034" i="10"/>
  <c r="AA1034" i="10" s="1"/>
  <c r="Z1037" i="10"/>
  <c r="AA1037" i="10" s="1"/>
  <c r="Z1040" i="10"/>
  <c r="AA1040" i="10" s="1"/>
  <c r="Z1044" i="10"/>
  <c r="AA1044" i="10" s="1"/>
  <c r="Z1045" i="10"/>
  <c r="AA1045" i="10" s="1"/>
  <c r="Z1048" i="10"/>
  <c r="AA1048" i="10" s="1"/>
  <c r="Z1049" i="10"/>
  <c r="AA1049" i="10" s="1"/>
  <c r="Z1050" i="10"/>
  <c r="AA1050" i="10" s="1"/>
  <c r="Z1053" i="10"/>
  <c r="AA1053" i="10" s="1"/>
  <c r="Z1055" i="10"/>
  <c r="AA1055" i="10" s="1"/>
  <c r="Z1057" i="10"/>
  <c r="AA1057" i="10" s="1"/>
  <c r="Z1060" i="10"/>
  <c r="AA1060" i="10" s="1"/>
  <c r="Z1061" i="10"/>
  <c r="AA1061" i="10" s="1"/>
  <c r="Z1063" i="10"/>
  <c r="AA1063" i="10" s="1"/>
  <c r="Z999" i="10"/>
  <c r="AA999" i="10" s="1"/>
  <c r="Z1004" i="10"/>
  <c r="AA1004" i="10" s="1"/>
  <c r="Z1011" i="10"/>
  <c r="AA1011" i="10" s="1"/>
  <c r="Z1013" i="10"/>
  <c r="AA1013" i="10" s="1"/>
  <c r="Z1014" i="10"/>
  <c r="AA1014" i="10" s="1"/>
  <c r="Z1020" i="10"/>
  <c r="AA1020" i="10" s="1"/>
  <c r="Z1029" i="10"/>
  <c r="AA1029" i="10" s="1"/>
  <c r="Z1030" i="10"/>
  <c r="AA1030" i="10" s="1"/>
  <c r="Z1033" i="10"/>
  <c r="AA1033" i="10" s="1"/>
  <c r="Z1052" i="10"/>
  <c r="AA1052" i="10" s="1"/>
  <c r="Z1000" i="10"/>
  <c r="AA1000" i="10" s="1"/>
  <c r="Z1009" i="10"/>
  <c r="AA1009" i="10" s="1"/>
  <c r="Z1024" i="10"/>
  <c r="AA1024" i="10" s="1"/>
  <c r="Z1026" i="10"/>
  <c r="AA1026" i="10" s="1"/>
  <c r="Z1039" i="10"/>
  <c r="AA1039" i="10" s="1"/>
  <c r="Z1043" i="10"/>
  <c r="AA1043" i="10" s="1"/>
  <c r="Z1051" i="10"/>
  <c r="AA1051" i="10" s="1"/>
  <c r="Z1062" i="10"/>
  <c r="AA1062" i="10" s="1"/>
  <c r="Z1068" i="10"/>
  <c r="AA1068" i="10" s="1"/>
  <c r="Z1005" i="10"/>
  <c r="AA1005" i="10" s="1"/>
  <c r="Z1008" i="10"/>
  <c r="AA1008" i="10" s="1"/>
  <c r="Z1017" i="10"/>
  <c r="AA1017" i="10" s="1"/>
  <c r="Z1023" i="10"/>
  <c r="AA1023" i="10" s="1"/>
  <c r="Z1001" i="10"/>
  <c r="AA1001" i="10" s="1"/>
  <c r="Z1016" i="10"/>
  <c r="AA1016" i="10" s="1"/>
  <c r="Z1021" i="10"/>
  <c r="AA1021" i="10" s="1"/>
  <c r="Z1031" i="10"/>
  <c r="AA1031" i="10" s="1"/>
  <c r="Z1035" i="10"/>
  <c r="AA1035" i="10" s="1"/>
  <c r="Z1056" i="10"/>
  <c r="AA1056" i="10" s="1"/>
  <c r="Z1003" i="10"/>
  <c r="AA1003" i="10" s="1"/>
  <c r="Z1015" i="10"/>
  <c r="AA1015" i="10" s="1"/>
  <c r="Z1025" i="10"/>
  <c r="AA1025" i="10" s="1"/>
  <c r="Z1038" i="10"/>
  <c r="AA1038" i="10" s="1"/>
  <c r="Z1042" i="10"/>
  <c r="AA1042" i="10" s="1"/>
  <c r="Z1047" i="10"/>
  <c r="AA1047" i="10" s="1"/>
  <c r="Z1059" i="10"/>
  <c r="AA1059" i="10" s="1"/>
  <c r="Z1067" i="10"/>
  <c r="AA1067" i="10" s="1"/>
  <c r="Z1002" i="10"/>
  <c r="AA1002" i="10" s="1"/>
  <c r="Z1007" i="10"/>
  <c r="AA1007" i="10" s="1"/>
  <c r="Z1012" i="10"/>
  <c r="AA1012" i="10" s="1"/>
  <c r="Z1022" i="10"/>
  <c r="AA1022" i="10" s="1"/>
  <c r="AC1001" i="10" l="1"/>
  <c r="AC1002" i="10"/>
  <c r="AC1005" i="10"/>
  <c r="AC1006" i="10"/>
  <c r="AC1007" i="10"/>
  <c r="AC1014" i="10"/>
  <c r="AC1016" i="10"/>
  <c r="AC1018" i="10"/>
  <c r="AC1019" i="10"/>
  <c r="AC1024" i="10"/>
  <c r="AC1028" i="10"/>
  <c r="AC1030" i="10"/>
  <c r="AC1034" i="10"/>
  <c r="AC1038" i="10"/>
  <c r="AC1042" i="10"/>
  <c r="AC1046" i="10"/>
  <c r="AC1049" i="10"/>
  <c r="AC1052" i="10"/>
  <c r="AC1055" i="10"/>
  <c r="AC1059" i="10"/>
  <c r="AC999" i="10"/>
  <c r="AC1004" i="10"/>
  <c r="AC1020" i="10"/>
  <c r="AC1022" i="10"/>
  <c r="AC1023" i="10"/>
  <c r="AC1026" i="10"/>
  <c r="AC1027" i="10"/>
  <c r="AC1029" i="10"/>
  <c r="AC1032" i="10"/>
  <c r="AC1033" i="10"/>
  <c r="AC1037" i="10"/>
  <c r="C26" i="11"/>
  <c r="AC998" i="10"/>
  <c r="E4" i="11"/>
  <c r="C8" i="13"/>
  <c r="AC1000" i="10"/>
  <c r="AC1003" i="10"/>
  <c r="AC1008" i="10"/>
  <c r="AC1009" i="10"/>
  <c r="AC1010" i="10"/>
  <c r="AC1011" i="10"/>
  <c r="AC1012" i="10"/>
  <c r="AC1013" i="10"/>
  <c r="AC1015" i="10"/>
  <c r="AC1017" i="10"/>
  <c r="AC1021" i="10"/>
  <c r="AC1025" i="10"/>
  <c r="AC1031" i="10"/>
  <c r="AC1035" i="10"/>
  <c r="AC1036" i="10"/>
  <c r="AC1039" i="10"/>
  <c r="AC1040" i="10"/>
  <c r="AC1041" i="10"/>
  <c r="AC1043" i="10"/>
  <c r="AC1044" i="10"/>
  <c r="AC1045" i="10"/>
  <c r="AC1047" i="10"/>
  <c r="AC1048" i="10"/>
  <c r="AC1050" i="10"/>
  <c r="AC1051" i="10"/>
  <c r="AC1053" i="10"/>
  <c r="AC1054" i="10"/>
  <c r="AC1056" i="10"/>
  <c r="AC1057" i="10"/>
  <c r="AC1058" i="10"/>
  <c r="AC1060" i="10"/>
  <c r="AC1061" i="10"/>
  <c r="AC1062" i="10"/>
  <c r="AC1063" i="10"/>
  <c r="AC1064" i="10"/>
  <c r="AC1065" i="10"/>
  <c r="AC1066" i="10"/>
  <c r="AC1067" i="10"/>
  <c r="AC1068" i="10"/>
  <c r="AE359" i="10"/>
  <c r="AF359" i="10"/>
  <c r="G22" i="12"/>
  <c r="B9" i="13"/>
  <c r="E9" i="13" s="1"/>
  <c r="AG411" i="10" l="1"/>
  <c r="AH411" i="10" s="1"/>
  <c r="AG406" i="10"/>
  <c r="AH406" i="10" s="1"/>
  <c r="AG395" i="10"/>
  <c r="AH395" i="10" s="1"/>
  <c r="AG385" i="10"/>
  <c r="AH385" i="10" s="1"/>
  <c r="AG379" i="10"/>
  <c r="AH379" i="10" s="1"/>
  <c r="AG365" i="10"/>
  <c r="AH365" i="10" s="1"/>
  <c r="AG409" i="10"/>
  <c r="AH409" i="10" s="1"/>
  <c r="AG401" i="10"/>
  <c r="AH401" i="10" s="1"/>
  <c r="AG400" i="10"/>
  <c r="AH400" i="10" s="1"/>
  <c r="AG396" i="10"/>
  <c r="AH396" i="10" s="1"/>
  <c r="AG393" i="10"/>
  <c r="AH393" i="10" s="1"/>
  <c r="AG389" i="10"/>
  <c r="AH389" i="10" s="1"/>
  <c r="AG384" i="10"/>
  <c r="AH384" i="10" s="1"/>
  <c r="AG383" i="10"/>
  <c r="AH383" i="10" s="1"/>
  <c r="AG382" i="10"/>
  <c r="AH382" i="10" s="1"/>
  <c r="AG380" i="10"/>
  <c r="AH380" i="10" s="1"/>
  <c r="AG378" i="10"/>
  <c r="AH378" i="10" s="1"/>
  <c r="AG372" i="10"/>
  <c r="AH372" i="10" s="1"/>
  <c r="AG369" i="10"/>
  <c r="AH369" i="10" s="1"/>
  <c r="AG366" i="10"/>
  <c r="AH366" i="10" s="1"/>
  <c r="AG360" i="10"/>
  <c r="AH360" i="10" s="1"/>
  <c r="AG429" i="10"/>
  <c r="AH429" i="10" s="1"/>
  <c r="AG428" i="10"/>
  <c r="AH428" i="10" s="1"/>
  <c r="AG427" i="10"/>
  <c r="AH427" i="10" s="1"/>
  <c r="AG426" i="10"/>
  <c r="AH426" i="10" s="1"/>
  <c r="AG425" i="10"/>
  <c r="AH425" i="10" s="1"/>
  <c r="AG424" i="10"/>
  <c r="AH424" i="10" s="1"/>
  <c r="AG423" i="10"/>
  <c r="AH423" i="10" s="1"/>
  <c r="AG422" i="10"/>
  <c r="AH422" i="10" s="1"/>
  <c r="AG421" i="10"/>
  <c r="AH421" i="10" s="1"/>
  <c r="AG420" i="10"/>
  <c r="AH420" i="10" s="1"/>
  <c r="AG419" i="10"/>
  <c r="AH419" i="10" s="1"/>
  <c r="AG418" i="10"/>
  <c r="AH418" i="10" s="1"/>
  <c r="AG417" i="10"/>
  <c r="AH417" i="10" s="1"/>
  <c r="AG416" i="10"/>
  <c r="AH416" i="10" s="1"/>
  <c r="AG415" i="10"/>
  <c r="AH415" i="10" s="1"/>
  <c r="AG414" i="10"/>
  <c r="AH414" i="10" s="1"/>
  <c r="AG413" i="10"/>
  <c r="AH413" i="10" s="1"/>
  <c r="AG412" i="10"/>
  <c r="AH412" i="10" s="1"/>
  <c r="AG407" i="10"/>
  <c r="AH407" i="10" s="1"/>
  <c r="AG405" i="10"/>
  <c r="AH405" i="10" s="1"/>
  <c r="AG391" i="10"/>
  <c r="AH391" i="10" s="1"/>
  <c r="AG390" i="10"/>
  <c r="AH390" i="10" s="1"/>
  <c r="AG388" i="10"/>
  <c r="AH388" i="10" s="1"/>
  <c r="AG387" i="10"/>
  <c r="AH387" i="10" s="1"/>
  <c r="AG381" i="10"/>
  <c r="AH381" i="10" s="1"/>
  <c r="AG376" i="10"/>
  <c r="AH376" i="10" s="1"/>
  <c r="AG375" i="10"/>
  <c r="AH375" i="10" s="1"/>
  <c r="AG374" i="10"/>
  <c r="AH374" i="10" s="1"/>
  <c r="AG373" i="10"/>
  <c r="AH373" i="10" s="1"/>
  <c r="AG371" i="10"/>
  <c r="AH371" i="10" s="1"/>
  <c r="AG368" i="10"/>
  <c r="AH368" i="10" s="1"/>
  <c r="AG367" i="10"/>
  <c r="AH367" i="10" s="1"/>
  <c r="AG364" i="10"/>
  <c r="AH364" i="10" s="1"/>
  <c r="AG363" i="10"/>
  <c r="AH363" i="10" s="1"/>
  <c r="AG408" i="10"/>
  <c r="AH408" i="10" s="1"/>
  <c r="AG403" i="10"/>
  <c r="AH403" i="10" s="1"/>
  <c r="AG402" i="10"/>
  <c r="AH402" i="10" s="1"/>
  <c r="AG399" i="10"/>
  <c r="AH399" i="10" s="1"/>
  <c r="AG397" i="10"/>
  <c r="AH397" i="10" s="1"/>
  <c r="AG392" i="10"/>
  <c r="AH392" i="10" s="1"/>
  <c r="AG386" i="10"/>
  <c r="AH386" i="10" s="1"/>
  <c r="AG377" i="10"/>
  <c r="AH377" i="10" s="1"/>
  <c r="AG370" i="10"/>
  <c r="AH370" i="10" s="1"/>
  <c r="AG362" i="10"/>
  <c r="AH362" i="10" s="1"/>
  <c r="AG361" i="10"/>
  <c r="AH361" i="10" s="1"/>
  <c r="AG410" i="10"/>
  <c r="AH410" i="10" s="1"/>
  <c r="AG404" i="10"/>
  <c r="AH404" i="10" s="1"/>
  <c r="AG398" i="10"/>
  <c r="AH398" i="10" s="1"/>
  <c r="AG394" i="10"/>
  <c r="AH394" i="10" s="1"/>
  <c r="AG359" i="10"/>
  <c r="AH359" i="10" s="1"/>
  <c r="I72" i="4" l="1"/>
  <c r="AK411" i="10"/>
  <c r="AB482" i="10"/>
  <c r="AD482" i="10" s="1"/>
  <c r="AJ411" i="10"/>
  <c r="AI411" i="10"/>
  <c r="I66" i="4"/>
  <c r="AJ406" i="10"/>
  <c r="AB477" i="10"/>
  <c r="AD477" i="10" s="1"/>
  <c r="AK406" i="10"/>
  <c r="AI406" i="10"/>
  <c r="AB466" i="10"/>
  <c r="AD466" i="10" s="1"/>
  <c r="I53" i="4"/>
  <c r="AJ395" i="10"/>
  <c r="AK395" i="10"/>
  <c r="AI395" i="10"/>
  <c r="I40" i="4"/>
  <c r="AI385" i="10"/>
  <c r="AB456" i="10"/>
  <c r="AD456" i="10" s="1"/>
  <c r="AK385" i="10"/>
  <c r="AJ385" i="10"/>
  <c r="I33" i="4"/>
  <c r="AJ379" i="10"/>
  <c r="AB450" i="10"/>
  <c r="AD450" i="10" s="1"/>
  <c r="AK379" i="10"/>
  <c r="AI379" i="10"/>
  <c r="I16" i="4"/>
  <c r="AB436" i="10"/>
  <c r="AD436" i="10" s="1"/>
  <c r="AK365" i="10"/>
  <c r="AJ365" i="10"/>
  <c r="AI365" i="10"/>
  <c r="I69" i="4"/>
  <c r="AK409" i="10"/>
  <c r="AI409" i="10"/>
  <c r="AB480" i="10"/>
  <c r="AD480" i="10" s="1"/>
  <c r="AJ409" i="10"/>
  <c r="AB472" i="10"/>
  <c r="AD472" i="10" s="1"/>
  <c r="I60" i="4"/>
  <c r="AK401" i="10"/>
  <c r="AI401" i="10"/>
  <c r="AJ401" i="10"/>
  <c r="AB471" i="10"/>
  <c r="AD471" i="10" s="1"/>
  <c r="I58" i="4"/>
  <c r="AJ400" i="10"/>
  <c r="AK400" i="10"/>
  <c r="AI400" i="10"/>
  <c r="AK396" i="10"/>
  <c r="AI396" i="10"/>
  <c r="AB467" i="10"/>
  <c r="AD467" i="10" s="1"/>
  <c r="I54" i="4"/>
  <c r="AJ396" i="10"/>
  <c r="I51" i="4"/>
  <c r="AI393" i="10"/>
  <c r="AB464" i="10"/>
  <c r="AD464" i="10" s="1"/>
  <c r="AK393" i="10"/>
  <c r="AJ393" i="10"/>
  <c r="I45" i="4"/>
  <c r="AK389" i="10"/>
  <c r="AI389" i="10"/>
  <c r="AB460" i="10"/>
  <c r="AD460" i="10" s="1"/>
  <c r="AJ389" i="10"/>
  <c r="AK384" i="10"/>
  <c r="AI384" i="10"/>
  <c r="AB455" i="10"/>
  <c r="AD455" i="10" s="1"/>
  <c r="AJ384" i="10"/>
  <c r="I39" i="4"/>
  <c r="I38" i="4"/>
  <c r="AI383" i="10"/>
  <c r="AB454" i="10"/>
  <c r="AD454" i="10" s="1"/>
  <c r="AK383" i="10"/>
  <c r="AJ383" i="10"/>
  <c r="AB453" i="10"/>
  <c r="AD453" i="10" s="1"/>
  <c r="AJ382" i="10"/>
  <c r="I36" i="4"/>
  <c r="AK382" i="10"/>
  <c r="AI382" i="10"/>
  <c r="AB451" i="10"/>
  <c r="AD451" i="10" s="1"/>
  <c r="AJ380" i="10"/>
  <c r="AI380" i="10"/>
  <c r="I34" i="4"/>
  <c r="AK380" i="10"/>
  <c r="AK378" i="10"/>
  <c r="AI378" i="10"/>
  <c r="AB449" i="10"/>
  <c r="AD449" i="10" s="1"/>
  <c r="AJ378" i="10"/>
  <c r="I31" i="4"/>
  <c r="AB443" i="10"/>
  <c r="AD443" i="10" s="1"/>
  <c r="AJ372" i="10"/>
  <c r="AI372" i="10"/>
  <c r="I25" i="4"/>
  <c r="AK372" i="10"/>
  <c r="I21" i="4"/>
  <c r="AI369" i="10"/>
  <c r="AB440" i="10"/>
  <c r="AD440" i="10" s="1"/>
  <c r="AK369" i="10"/>
  <c r="AJ369" i="10"/>
  <c r="AB437" i="10"/>
  <c r="AD437" i="10" s="1"/>
  <c r="AJ366" i="10"/>
  <c r="AI366" i="10"/>
  <c r="I17" i="4"/>
  <c r="AK366" i="10"/>
  <c r="AB431" i="10"/>
  <c r="AD431" i="10" s="1"/>
  <c r="AJ360" i="10"/>
  <c r="I11" i="4"/>
  <c r="AI360" i="10"/>
  <c r="AK360" i="10"/>
  <c r="I93" i="4"/>
  <c r="AB500" i="10"/>
  <c r="AD500" i="10" s="1"/>
  <c r="AK429" i="10"/>
  <c r="AJ429" i="10"/>
  <c r="AI429" i="10"/>
  <c r="I92" i="4"/>
  <c r="AB499" i="10"/>
  <c r="AD499" i="10" s="1"/>
  <c r="AK428" i="10"/>
  <c r="AJ428" i="10"/>
  <c r="AI428" i="10"/>
  <c r="I91" i="4"/>
  <c r="AB498" i="10"/>
  <c r="AD498" i="10" s="1"/>
  <c r="AK427" i="10"/>
  <c r="AJ427" i="10"/>
  <c r="AI427" i="10"/>
  <c r="I90" i="4"/>
  <c r="AB497" i="10"/>
  <c r="AD497" i="10" s="1"/>
  <c r="AK426" i="10"/>
  <c r="AJ426" i="10"/>
  <c r="AI426" i="10"/>
  <c r="I88" i="4"/>
  <c r="AB496" i="10"/>
  <c r="AD496" i="10" s="1"/>
  <c r="AK425" i="10"/>
  <c r="AJ425" i="10"/>
  <c r="AI425" i="10"/>
  <c r="I87" i="4"/>
  <c r="AB495" i="10"/>
  <c r="AD495" i="10" s="1"/>
  <c r="AK424" i="10"/>
  <c r="AJ424" i="10"/>
  <c r="AI424" i="10"/>
  <c r="I86" i="4"/>
  <c r="AB494" i="10"/>
  <c r="AD494" i="10" s="1"/>
  <c r="AK423" i="10"/>
  <c r="AJ423" i="10"/>
  <c r="AI423" i="10"/>
  <c r="I85" i="4"/>
  <c r="AB493" i="10"/>
  <c r="AD493" i="10" s="1"/>
  <c r="AK422" i="10"/>
  <c r="AJ422" i="10"/>
  <c r="AI422" i="10"/>
  <c r="I84" i="4"/>
  <c r="AB492" i="10"/>
  <c r="AD492" i="10" s="1"/>
  <c r="AK421" i="10"/>
  <c r="AJ421" i="10"/>
  <c r="AI421" i="10"/>
  <c r="I83" i="4"/>
  <c r="AB491" i="10"/>
  <c r="AD491" i="10" s="1"/>
  <c r="AK420" i="10"/>
  <c r="AJ420" i="10"/>
  <c r="AI420" i="10"/>
  <c r="I82" i="4"/>
  <c r="AB490" i="10"/>
  <c r="AD490" i="10" s="1"/>
  <c r="AK419" i="10"/>
  <c r="AJ419" i="10"/>
  <c r="AI419" i="10"/>
  <c r="I81" i="4"/>
  <c r="AB489" i="10"/>
  <c r="AD489" i="10" s="1"/>
  <c r="AK418" i="10"/>
  <c r="AJ418" i="10"/>
  <c r="AI418" i="10"/>
  <c r="I79" i="4"/>
  <c r="AB488" i="10"/>
  <c r="AD488" i="10" s="1"/>
  <c r="AK417" i="10"/>
  <c r="AJ417" i="10"/>
  <c r="AI417" i="10"/>
  <c r="I78" i="4"/>
  <c r="AB487" i="10"/>
  <c r="AD487" i="10" s="1"/>
  <c r="AK416" i="10"/>
  <c r="AJ416" i="10"/>
  <c r="AI416" i="10"/>
  <c r="I77" i="4"/>
  <c r="AB486" i="10"/>
  <c r="AD486" i="10" s="1"/>
  <c r="AK415" i="10"/>
  <c r="AJ415" i="10"/>
  <c r="AI415" i="10"/>
  <c r="I76" i="4"/>
  <c r="AB485" i="10"/>
  <c r="AD485" i="10" s="1"/>
  <c r="AK414" i="10"/>
  <c r="AJ414" i="10"/>
  <c r="AI414" i="10"/>
  <c r="I75" i="4"/>
  <c r="AB484" i="10"/>
  <c r="AD484" i="10" s="1"/>
  <c r="AK413" i="10"/>
  <c r="AJ413" i="10"/>
  <c r="AI413" i="10"/>
  <c r="I74" i="4"/>
  <c r="AB483" i="10"/>
  <c r="AD483" i="10" s="1"/>
  <c r="AK412" i="10"/>
  <c r="AJ412" i="10"/>
  <c r="AI412" i="10"/>
  <c r="AB478" i="10"/>
  <c r="AD478" i="10" s="1"/>
  <c r="AJ407" i="10"/>
  <c r="I67" i="4"/>
  <c r="AI407" i="10"/>
  <c r="AK407" i="10"/>
  <c r="I65" i="4"/>
  <c r="AI405" i="10"/>
  <c r="AJ405" i="10"/>
  <c r="AB476" i="10"/>
  <c r="AD476" i="10" s="1"/>
  <c r="AK405" i="10"/>
  <c r="AB462" i="10"/>
  <c r="AD462" i="10" s="1"/>
  <c r="AK391" i="10"/>
  <c r="AJ391" i="10"/>
  <c r="AI391" i="10"/>
  <c r="I48" i="4"/>
  <c r="AB461" i="10"/>
  <c r="AD461" i="10" s="1"/>
  <c r="AJ390" i="10"/>
  <c r="AI390" i="10"/>
  <c r="I47" i="4"/>
  <c r="AK390" i="10"/>
  <c r="AI388" i="10"/>
  <c r="AB459" i="10"/>
  <c r="AD459" i="10" s="1"/>
  <c r="AJ388" i="10"/>
  <c r="I44" i="4"/>
  <c r="AK388" i="10"/>
  <c r="I43" i="4"/>
  <c r="AK387" i="10"/>
  <c r="AI387" i="10"/>
  <c r="AB458" i="10"/>
  <c r="AD458" i="10" s="1"/>
  <c r="AJ387" i="10"/>
  <c r="AB452" i="10"/>
  <c r="AD452" i="10" s="1"/>
  <c r="AK381" i="10"/>
  <c r="AJ381" i="10"/>
  <c r="I35" i="4"/>
  <c r="AI381" i="10"/>
  <c r="AI376" i="10"/>
  <c r="I29" i="4"/>
  <c r="AB447" i="10"/>
  <c r="AD447" i="10" s="1"/>
  <c r="AK376" i="10"/>
  <c r="AJ376" i="10"/>
  <c r="I28" i="4"/>
  <c r="AB446" i="10"/>
  <c r="AD446" i="10" s="1"/>
  <c r="AJ375" i="10"/>
  <c r="AI375" i="10"/>
  <c r="AK375" i="10"/>
  <c r="AJ374" i="10"/>
  <c r="AB445" i="10"/>
  <c r="AD445" i="10" s="1"/>
  <c r="AK374" i="10"/>
  <c r="AI374" i="10"/>
  <c r="I27" i="4"/>
  <c r="AB444" i="10"/>
  <c r="AD444" i="10" s="1"/>
  <c r="AJ373" i="10"/>
  <c r="AI373" i="10"/>
  <c r="I26" i="4"/>
  <c r="AK373" i="10"/>
  <c r="AK371" i="10"/>
  <c r="I23" i="4"/>
  <c r="AB442" i="10"/>
  <c r="AD442" i="10" s="1"/>
  <c r="AJ371" i="10"/>
  <c r="AI371" i="10"/>
  <c r="I19" i="4"/>
  <c r="AB439" i="10"/>
  <c r="AD439" i="10" s="1"/>
  <c r="AK368" i="10"/>
  <c r="AJ368" i="10"/>
  <c r="AI368" i="10"/>
  <c r="I18" i="4"/>
  <c r="AK367" i="10"/>
  <c r="AB438" i="10"/>
  <c r="AD438" i="10" s="1"/>
  <c r="AJ367" i="10"/>
  <c r="AI367" i="10"/>
  <c r="I15" i="4"/>
  <c r="AJ364" i="10"/>
  <c r="AK364" i="10"/>
  <c r="AI364" i="10"/>
  <c r="AB435" i="10"/>
  <c r="AD435" i="10" s="1"/>
  <c r="I14" i="4"/>
  <c r="AK363" i="10"/>
  <c r="AB434" i="10"/>
  <c r="AD434" i="10" s="1"/>
  <c r="AJ363" i="10"/>
  <c r="AI363" i="10"/>
  <c r="AB479" i="10"/>
  <c r="AD479" i="10" s="1"/>
  <c r="AK408" i="10"/>
  <c r="AJ408" i="10"/>
  <c r="AI408" i="10"/>
  <c r="I68" i="4"/>
  <c r="AB474" i="10"/>
  <c r="AD474" i="10" s="1"/>
  <c r="I62" i="4"/>
  <c r="AK403" i="10"/>
  <c r="AI403" i="10"/>
  <c r="AJ403" i="10"/>
  <c r="AI402" i="10"/>
  <c r="AB473" i="10"/>
  <c r="AD473" i="10" s="1"/>
  <c r="I61" i="4"/>
  <c r="AK402" i="10"/>
  <c r="AJ402" i="10"/>
  <c r="AK399" i="10"/>
  <c r="AI399" i="10"/>
  <c r="AB470" i="10"/>
  <c r="AD470" i="10" s="1"/>
  <c r="I57" i="4"/>
  <c r="AJ399" i="10"/>
  <c r="AK397" i="10"/>
  <c r="AJ397" i="10"/>
  <c r="AI397" i="10"/>
  <c r="AB468" i="10"/>
  <c r="AD468" i="10" s="1"/>
  <c r="I55" i="4"/>
  <c r="AB463" i="10"/>
  <c r="AD463" i="10" s="1"/>
  <c r="AK392" i="10"/>
  <c r="AJ392" i="10"/>
  <c r="AI392" i="10"/>
  <c r="I49" i="4"/>
  <c r="I41" i="4"/>
  <c r="AK386" i="10"/>
  <c r="AB457" i="10"/>
  <c r="AD457" i="10" s="1"/>
  <c r="AJ386" i="10"/>
  <c r="AI386" i="10"/>
  <c r="I30" i="4"/>
  <c r="AJ377" i="10"/>
  <c r="AB448" i="10"/>
  <c r="AD448" i="10" s="1"/>
  <c r="AK377" i="10"/>
  <c r="AI377" i="10"/>
  <c r="I22" i="4"/>
  <c r="AB441" i="10"/>
  <c r="AD441" i="10" s="1"/>
  <c r="AJ370" i="10"/>
  <c r="AI370" i="10"/>
  <c r="AK370" i="10"/>
  <c r="I13" i="4"/>
  <c r="AB433" i="10"/>
  <c r="AD433" i="10" s="1"/>
  <c r="AJ362" i="10"/>
  <c r="AI362" i="10"/>
  <c r="AK362" i="10"/>
  <c r="I12" i="4"/>
  <c r="AI361" i="10"/>
  <c r="AB432" i="10"/>
  <c r="AD432" i="10" s="1"/>
  <c r="AK361" i="10"/>
  <c r="AJ361" i="10"/>
  <c r="AJ410" i="10"/>
  <c r="AB481" i="10"/>
  <c r="AD481" i="10" s="1"/>
  <c r="AK410" i="10"/>
  <c r="AI410" i="10"/>
  <c r="I71" i="4"/>
  <c r="AB475" i="10"/>
  <c r="AD475" i="10" s="1"/>
  <c r="AJ404" i="10"/>
  <c r="AI404" i="10"/>
  <c r="I63" i="4"/>
  <c r="AK404" i="10"/>
  <c r="AB469" i="10"/>
  <c r="AD469" i="10" s="1"/>
  <c r="I56" i="4"/>
  <c r="AK398" i="10"/>
  <c r="AJ398" i="10"/>
  <c r="AI398" i="10"/>
  <c r="AB465" i="10"/>
  <c r="AD465" i="10" s="1"/>
  <c r="I52" i="4"/>
  <c r="AK394" i="10"/>
  <c r="AI394" i="10"/>
  <c r="AJ394" i="10"/>
  <c r="AI359" i="10"/>
  <c r="F13" i="12" s="1"/>
  <c r="AJ359" i="10"/>
  <c r="I13" i="12" s="1"/>
  <c r="AK359" i="10"/>
  <c r="AB430" i="10"/>
  <c r="D17" i="11"/>
  <c r="E13" i="12"/>
  <c r="I10" i="4"/>
  <c r="AF482" i="10" l="1"/>
  <c r="AE482" i="10"/>
  <c r="AF477" i="10"/>
  <c r="AE477" i="10"/>
  <c r="AF466" i="10"/>
  <c r="AE466" i="10"/>
  <c r="AF456" i="10"/>
  <c r="AE456" i="10"/>
  <c r="AF450" i="10"/>
  <c r="AE450" i="10"/>
  <c r="AF436" i="10"/>
  <c r="AE436" i="10"/>
  <c r="AF480" i="10"/>
  <c r="AE480" i="10"/>
  <c r="AF472" i="10"/>
  <c r="AE472" i="10"/>
  <c r="AF471" i="10"/>
  <c r="AE471" i="10"/>
  <c r="AF467" i="10"/>
  <c r="AE467" i="10"/>
  <c r="AF464" i="10"/>
  <c r="AE464" i="10"/>
  <c r="AF460" i="10"/>
  <c r="AE460" i="10"/>
  <c r="AF455" i="10"/>
  <c r="AE455" i="10"/>
  <c r="AF454" i="10"/>
  <c r="AE454" i="10"/>
  <c r="AF453" i="10"/>
  <c r="AE453" i="10"/>
  <c r="AF451" i="10"/>
  <c r="AE451" i="10"/>
  <c r="AF449" i="10"/>
  <c r="AE449" i="10"/>
  <c r="AF443" i="10"/>
  <c r="AE443" i="10"/>
  <c r="AF440" i="10"/>
  <c r="AE440" i="10"/>
  <c r="AF437" i="10"/>
  <c r="AE437" i="10"/>
  <c r="AF431" i="10"/>
  <c r="AE431" i="10"/>
  <c r="AF500" i="10"/>
  <c r="AE500" i="10"/>
  <c r="AF499" i="10"/>
  <c r="AE499" i="10"/>
  <c r="AF498" i="10"/>
  <c r="AE498" i="10"/>
  <c r="AF497" i="10"/>
  <c r="AE497" i="10"/>
  <c r="AF496" i="10"/>
  <c r="AE496" i="10"/>
  <c r="AF495" i="10"/>
  <c r="AE495" i="10"/>
  <c r="AF494" i="10"/>
  <c r="AE494" i="10"/>
  <c r="AF493" i="10"/>
  <c r="AE493" i="10"/>
  <c r="AF492" i="10"/>
  <c r="AE492" i="10"/>
  <c r="AF491" i="10"/>
  <c r="AE491" i="10"/>
  <c r="AF490" i="10"/>
  <c r="AE490" i="10"/>
  <c r="AF489" i="10"/>
  <c r="AE489" i="10"/>
  <c r="AF488" i="10"/>
  <c r="AE488" i="10"/>
  <c r="AF487" i="10"/>
  <c r="AE487" i="10"/>
  <c r="AF486" i="10"/>
  <c r="AE486" i="10"/>
  <c r="AF485" i="10"/>
  <c r="AE485" i="10"/>
  <c r="AF484" i="10"/>
  <c r="AE484" i="10"/>
  <c r="AF483" i="10"/>
  <c r="AE483" i="10"/>
  <c r="AF478" i="10"/>
  <c r="AE478" i="10"/>
  <c r="AF476" i="10"/>
  <c r="AE476" i="10"/>
  <c r="AF462" i="10"/>
  <c r="AE462" i="10"/>
  <c r="AF461" i="10"/>
  <c r="AE461" i="10"/>
  <c r="AF459" i="10"/>
  <c r="AE459" i="10"/>
  <c r="AF458" i="10"/>
  <c r="AE458" i="10"/>
  <c r="AF452" i="10"/>
  <c r="AE452" i="10"/>
  <c r="AF447" i="10"/>
  <c r="AE447" i="10"/>
  <c r="AF446" i="10"/>
  <c r="AE446" i="10"/>
  <c r="AF445" i="10"/>
  <c r="AE445" i="10"/>
  <c r="AF444" i="10"/>
  <c r="AE444" i="10"/>
  <c r="AF442" i="10"/>
  <c r="AE442" i="10"/>
  <c r="AF439" i="10"/>
  <c r="AE439" i="10"/>
  <c r="AF438" i="10"/>
  <c r="AE438" i="10"/>
  <c r="AF435" i="10"/>
  <c r="AE435" i="10"/>
  <c r="AF434" i="10"/>
  <c r="AE434" i="10"/>
  <c r="AF479" i="10"/>
  <c r="AE479" i="10"/>
  <c r="AF474" i="10"/>
  <c r="AE474" i="10"/>
  <c r="AF473" i="10"/>
  <c r="AE473" i="10"/>
  <c r="AF470" i="10"/>
  <c r="AE470" i="10"/>
  <c r="AF468" i="10"/>
  <c r="AE468" i="10"/>
  <c r="AF463" i="10"/>
  <c r="AE463" i="10"/>
  <c r="AF457" i="10"/>
  <c r="AE457" i="10"/>
  <c r="AF448" i="10"/>
  <c r="AE448" i="10"/>
  <c r="AF441" i="10"/>
  <c r="AE441" i="10"/>
  <c r="AF433" i="10"/>
  <c r="AE433" i="10"/>
  <c r="AF432" i="10"/>
  <c r="AE432" i="10"/>
  <c r="AF481" i="10"/>
  <c r="AE481" i="10"/>
  <c r="AF475" i="10"/>
  <c r="AE475" i="10"/>
  <c r="AF469" i="10"/>
  <c r="AE469" i="10"/>
  <c r="AF465" i="10"/>
  <c r="AE465" i="10"/>
  <c r="AD430" i="10"/>
  <c r="H14" i="12"/>
  <c r="E17" i="11"/>
  <c r="G17" i="11"/>
  <c r="I95" i="4"/>
  <c r="AF430" i="10" l="1"/>
  <c r="AE430" i="10"/>
  <c r="AG500" i="10" l="1"/>
  <c r="AH500" i="10" s="1"/>
  <c r="AG499" i="10"/>
  <c r="AH499" i="10" s="1"/>
  <c r="AG498" i="10"/>
  <c r="AH498" i="10" s="1"/>
  <c r="AG497" i="10"/>
  <c r="AH497" i="10" s="1"/>
  <c r="AG496" i="10"/>
  <c r="AH496" i="10" s="1"/>
  <c r="AG495" i="10"/>
  <c r="AH495" i="10" s="1"/>
  <c r="AG494" i="10"/>
  <c r="AH494" i="10" s="1"/>
  <c r="AG493" i="10"/>
  <c r="AH493" i="10" s="1"/>
  <c r="AG492" i="10"/>
  <c r="AH492" i="10" s="1"/>
  <c r="AG491" i="10"/>
  <c r="AH491" i="10" s="1"/>
  <c r="AG490" i="10"/>
  <c r="AH490" i="10" s="1"/>
  <c r="AG489" i="10"/>
  <c r="AH489" i="10" s="1"/>
  <c r="AG488" i="10"/>
  <c r="AH488" i="10" s="1"/>
  <c r="AG487" i="10"/>
  <c r="AH487" i="10" s="1"/>
  <c r="AG486" i="10"/>
  <c r="AH486" i="10" s="1"/>
  <c r="AG485" i="10"/>
  <c r="AH485" i="10" s="1"/>
  <c r="AG484" i="10"/>
  <c r="AH484" i="10" s="1"/>
  <c r="AG483" i="10"/>
  <c r="AH483" i="10" s="1"/>
  <c r="AG482" i="10"/>
  <c r="AH482" i="10" s="1"/>
  <c r="AG481" i="10"/>
  <c r="AH481" i="10" s="1"/>
  <c r="AG480" i="10"/>
  <c r="AH480" i="10" s="1"/>
  <c r="AG479" i="10"/>
  <c r="AH479" i="10" s="1"/>
  <c r="AG478" i="10"/>
  <c r="AH478" i="10" s="1"/>
  <c r="AG477" i="10"/>
  <c r="AH477" i="10" s="1"/>
  <c r="AG476" i="10"/>
  <c r="AH476" i="10" s="1"/>
  <c r="AG475" i="10"/>
  <c r="AH475" i="10" s="1"/>
  <c r="AG474" i="10"/>
  <c r="AH474" i="10" s="1"/>
  <c r="AG473" i="10"/>
  <c r="AH473" i="10" s="1"/>
  <c r="AG472" i="10"/>
  <c r="AH472" i="10" s="1"/>
  <c r="AG471" i="10"/>
  <c r="AH471" i="10" s="1"/>
  <c r="AG470" i="10"/>
  <c r="AH470" i="10" s="1"/>
  <c r="AG469" i="10"/>
  <c r="AH469" i="10" s="1"/>
  <c r="AG468" i="10"/>
  <c r="AH468" i="10" s="1"/>
  <c r="AG467" i="10"/>
  <c r="AH467" i="10" s="1"/>
  <c r="AG466" i="10"/>
  <c r="AH466" i="10" s="1"/>
  <c r="AG465" i="10"/>
  <c r="AH465" i="10" s="1"/>
  <c r="AG464" i="10"/>
  <c r="AH464" i="10" s="1"/>
  <c r="AG463" i="10"/>
  <c r="AH463" i="10" s="1"/>
  <c r="AG462" i="10"/>
  <c r="AH462" i="10" s="1"/>
  <c r="AG461" i="10"/>
  <c r="AH461" i="10" s="1"/>
  <c r="AG460" i="10"/>
  <c r="AH460" i="10" s="1"/>
  <c r="AG459" i="10"/>
  <c r="AH459" i="10" s="1"/>
  <c r="AG458" i="10"/>
  <c r="AH458" i="10" s="1"/>
  <c r="AG457" i="10"/>
  <c r="AH457" i="10" s="1"/>
  <c r="AG456" i="10"/>
  <c r="AH456" i="10" s="1"/>
  <c r="AG455" i="10"/>
  <c r="AH455" i="10" s="1"/>
  <c r="AG454" i="10"/>
  <c r="AH454" i="10" s="1"/>
  <c r="AG453" i="10"/>
  <c r="AH453" i="10" s="1"/>
  <c r="AG452" i="10"/>
  <c r="AH452" i="10" s="1"/>
  <c r="AG451" i="10"/>
  <c r="AH451" i="10" s="1"/>
  <c r="AG450" i="10"/>
  <c r="AH450" i="10" s="1"/>
  <c r="AG449" i="10"/>
  <c r="AH449" i="10" s="1"/>
  <c r="AG448" i="10"/>
  <c r="AH448" i="10" s="1"/>
  <c r="AG447" i="10"/>
  <c r="AH447" i="10" s="1"/>
  <c r="AG446" i="10"/>
  <c r="AH446" i="10" s="1"/>
  <c r="AG445" i="10"/>
  <c r="AH445" i="10" s="1"/>
  <c r="AG444" i="10"/>
  <c r="AH444" i="10" s="1"/>
  <c r="AG443" i="10"/>
  <c r="AH443" i="10" s="1"/>
  <c r="AG442" i="10"/>
  <c r="AH442" i="10" s="1"/>
  <c r="AG441" i="10"/>
  <c r="AH441" i="10" s="1"/>
  <c r="AG440" i="10"/>
  <c r="AH440" i="10" s="1"/>
  <c r="AG439" i="10"/>
  <c r="AH439" i="10" s="1"/>
  <c r="AG438" i="10"/>
  <c r="AH438" i="10" s="1"/>
  <c r="AG437" i="10"/>
  <c r="AH437" i="10" s="1"/>
  <c r="AG436" i="10"/>
  <c r="AH436" i="10" s="1"/>
  <c r="AG435" i="10"/>
  <c r="AH435" i="10" s="1"/>
  <c r="AG434" i="10"/>
  <c r="AH434" i="10" s="1"/>
  <c r="AG433" i="10"/>
  <c r="AH433" i="10" s="1"/>
  <c r="AG432" i="10"/>
  <c r="AH432" i="10" s="1"/>
  <c r="AG431" i="10"/>
  <c r="AH431" i="10" s="1"/>
  <c r="AG430" i="10"/>
  <c r="AH430" i="10" s="1"/>
  <c r="J93" i="4" l="1"/>
  <c r="AB571" i="10"/>
  <c r="AD571" i="10" s="1"/>
  <c r="AK500" i="10"/>
  <c r="AJ500" i="10"/>
  <c r="AI500" i="10"/>
  <c r="J92" i="4"/>
  <c r="AB570" i="10"/>
  <c r="AD570" i="10" s="1"/>
  <c r="AK499" i="10"/>
  <c r="AJ499" i="10"/>
  <c r="AI499" i="10"/>
  <c r="J91" i="4"/>
  <c r="AB569" i="10"/>
  <c r="AD569" i="10" s="1"/>
  <c r="AK498" i="10"/>
  <c r="AJ498" i="10"/>
  <c r="AI498" i="10"/>
  <c r="J90" i="4"/>
  <c r="AB568" i="10"/>
  <c r="AD568" i="10" s="1"/>
  <c r="AK497" i="10"/>
  <c r="AJ497" i="10"/>
  <c r="AI497" i="10"/>
  <c r="J88" i="4"/>
  <c r="AB567" i="10"/>
  <c r="AD567" i="10" s="1"/>
  <c r="AK496" i="10"/>
  <c r="AJ496" i="10"/>
  <c r="AI496" i="10"/>
  <c r="J87" i="4"/>
  <c r="AB566" i="10"/>
  <c r="AD566" i="10" s="1"/>
  <c r="AK495" i="10"/>
  <c r="AJ495" i="10"/>
  <c r="AI495" i="10"/>
  <c r="J86" i="4"/>
  <c r="AB565" i="10"/>
  <c r="AD565" i="10" s="1"/>
  <c r="AK494" i="10"/>
  <c r="AJ494" i="10"/>
  <c r="AI494" i="10"/>
  <c r="J85" i="4"/>
  <c r="AB564" i="10"/>
  <c r="AD564" i="10" s="1"/>
  <c r="AK493" i="10"/>
  <c r="AJ493" i="10"/>
  <c r="AI493" i="10"/>
  <c r="J84" i="4"/>
  <c r="AB563" i="10"/>
  <c r="AD563" i="10" s="1"/>
  <c r="AK492" i="10"/>
  <c r="AJ492" i="10"/>
  <c r="AI492" i="10"/>
  <c r="J83" i="4"/>
  <c r="AB562" i="10"/>
  <c r="AD562" i="10" s="1"/>
  <c r="AK491" i="10"/>
  <c r="AJ491" i="10"/>
  <c r="AI491" i="10"/>
  <c r="J82" i="4"/>
  <c r="AB561" i="10"/>
  <c r="AD561" i="10" s="1"/>
  <c r="AK490" i="10"/>
  <c r="AJ490" i="10"/>
  <c r="AI490" i="10"/>
  <c r="J81" i="4"/>
  <c r="AB560" i="10"/>
  <c r="AD560" i="10" s="1"/>
  <c r="AK489" i="10"/>
  <c r="AJ489" i="10"/>
  <c r="AI489" i="10"/>
  <c r="J79" i="4"/>
  <c r="AB559" i="10"/>
  <c r="AD559" i="10" s="1"/>
  <c r="AK488" i="10"/>
  <c r="AJ488" i="10"/>
  <c r="AI488" i="10"/>
  <c r="J78" i="4"/>
  <c r="AB558" i="10"/>
  <c r="AD558" i="10" s="1"/>
  <c r="AK487" i="10"/>
  <c r="AJ487" i="10"/>
  <c r="AI487" i="10"/>
  <c r="J77" i="4"/>
  <c r="AB557" i="10"/>
  <c r="AD557" i="10" s="1"/>
  <c r="AK486" i="10"/>
  <c r="AJ486" i="10"/>
  <c r="AI486" i="10"/>
  <c r="J76" i="4"/>
  <c r="AB556" i="10"/>
  <c r="AD556" i="10" s="1"/>
  <c r="AK485" i="10"/>
  <c r="AJ485" i="10"/>
  <c r="AI485" i="10"/>
  <c r="J75" i="4"/>
  <c r="AB555" i="10"/>
  <c r="AD555" i="10" s="1"/>
  <c r="AK484" i="10"/>
  <c r="AJ484" i="10"/>
  <c r="AI484" i="10"/>
  <c r="J74" i="4"/>
  <c r="AB554" i="10"/>
  <c r="AD554" i="10" s="1"/>
  <c r="AK483" i="10"/>
  <c r="AJ483" i="10"/>
  <c r="AI483" i="10"/>
  <c r="J72" i="4"/>
  <c r="AB553" i="10"/>
  <c r="AD553" i="10" s="1"/>
  <c r="AK482" i="10"/>
  <c r="AJ482" i="10"/>
  <c r="AI482" i="10"/>
  <c r="J71" i="4"/>
  <c r="AB552" i="10"/>
  <c r="AD552" i="10" s="1"/>
  <c r="AK481" i="10"/>
  <c r="AJ481" i="10"/>
  <c r="AI481" i="10"/>
  <c r="J69" i="4"/>
  <c r="AB551" i="10"/>
  <c r="AD551" i="10" s="1"/>
  <c r="AK480" i="10"/>
  <c r="AJ480" i="10"/>
  <c r="AI480" i="10"/>
  <c r="J68" i="4"/>
  <c r="AB550" i="10"/>
  <c r="AD550" i="10" s="1"/>
  <c r="AK479" i="10"/>
  <c r="AJ479" i="10"/>
  <c r="AI479" i="10"/>
  <c r="J67" i="4"/>
  <c r="AB549" i="10"/>
  <c r="AD549" i="10" s="1"/>
  <c r="AK478" i="10"/>
  <c r="AJ478" i="10"/>
  <c r="AI478" i="10"/>
  <c r="J66" i="4"/>
  <c r="AB548" i="10"/>
  <c r="AD548" i="10" s="1"/>
  <c r="AK477" i="10"/>
  <c r="AJ477" i="10"/>
  <c r="AI477" i="10"/>
  <c r="J65" i="4"/>
  <c r="AB547" i="10"/>
  <c r="AD547" i="10" s="1"/>
  <c r="AK476" i="10"/>
  <c r="AJ476" i="10"/>
  <c r="AI476" i="10"/>
  <c r="J63" i="4"/>
  <c r="AB546" i="10"/>
  <c r="AD546" i="10" s="1"/>
  <c r="AK475" i="10"/>
  <c r="AJ475" i="10"/>
  <c r="AI475" i="10"/>
  <c r="J62" i="4"/>
  <c r="AB545" i="10"/>
  <c r="AD545" i="10" s="1"/>
  <c r="AK474" i="10"/>
  <c r="AJ474" i="10"/>
  <c r="AI474" i="10"/>
  <c r="J61" i="4"/>
  <c r="AB544" i="10"/>
  <c r="AD544" i="10" s="1"/>
  <c r="AK473" i="10"/>
  <c r="AJ473" i="10"/>
  <c r="AI473" i="10"/>
  <c r="J60" i="4"/>
  <c r="AB543" i="10"/>
  <c r="AD543" i="10" s="1"/>
  <c r="AK472" i="10"/>
  <c r="AJ472" i="10"/>
  <c r="AI472" i="10"/>
  <c r="J58" i="4"/>
  <c r="AB542" i="10"/>
  <c r="AD542" i="10" s="1"/>
  <c r="AK471" i="10"/>
  <c r="AJ471" i="10"/>
  <c r="AI471" i="10"/>
  <c r="J57" i="4"/>
  <c r="AB541" i="10"/>
  <c r="AD541" i="10" s="1"/>
  <c r="AK470" i="10"/>
  <c r="AJ470" i="10"/>
  <c r="AI470" i="10"/>
  <c r="J56" i="4"/>
  <c r="AB540" i="10"/>
  <c r="AD540" i="10" s="1"/>
  <c r="AK469" i="10"/>
  <c r="AJ469" i="10"/>
  <c r="AI469" i="10"/>
  <c r="J55" i="4"/>
  <c r="AB539" i="10"/>
  <c r="AD539" i="10" s="1"/>
  <c r="AK468" i="10"/>
  <c r="AJ468" i="10"/>
  <c r="AI468" i="10"/>
  <c r="J54" i="4"/>
  <c r="AB538" i="10"/>
  <c r="AD538" i="10" s="1"/>
  <c r="AK467" i="10"/>
  <c r="AJ467" i="10"/>
  <c r="AI467" i="10"/>
  <c r="J53" i="4"/>
  <c r="AB537" i="10"/>
  <c r="AD537" i="10" s="1"/>
  <c r="AK466" i="10"/>
  <c r="AJ466" i="10"/>
  <c r="AI466" i="10"/>
  <c r="J52" i="4"/>
  <c r="AB536" i="10"/>
  <c r="AD536" i="10" s="1"/>
  <c r="AK465" i="10"/>
  <c r="AJ465" i="10"/>
  <c r="AI465" i="10"/>
  <c r="J51" i="4"/>
  <c r="AB535" i="10"/>
  <c r="AD535" i="10" s="1"/>
  <c r="AK464" i="10"/>
  <c r="AJ464" i="10"/>
  <c r="AI464" i="10"/>
  <c r="J49" i="4"/>
  <c r="AB534" i="10"/>
  <c r="AD534" i="10" s="1"/>
  <c r="AK463" i="10"/>
  <c r="AJ463" i="10"/>
  <c r="AI463" i="10"/>
  <c r="J48" i="4"/>
  <c r="AB533" i="10"/>
  <c r="AD533" i="10" s="1"/>
  <c r="AK462" i="10"/>
  <c r="AJ462" i="10"/>
  <c r="AI462" i="10"/>
  <c r="J47" i="4"/>
  <c r="AB532" i="10"/>
  <c r="AD532" i="10" s="1"/>
  <c r="AK461" i="10"/>
  <c r="AJ461" i="10"/>
  <c r="AI461" i="10"/>
  <c r="J45" i="4"/>
  <c r="AB531" i="10"/>
  <c r="AD531" i="10" s="1"/>
  <c r="AK460" i="10"/>
  <c r="AJ460" i="10"/>
  <c r="AI460" i="10"/>
  <c r="J44" i="4"/>
  <c r="AB530" i="10"/>
  <c r="AD530" i="10" s="1"/>
  <c r="AK459" i="10"/>
  <c r="AJ459" i="10"/>
  <c r="AI459" i="10"/>
  <c r="J43" i="4"/>
  <c r="AB529" i="10"/>
  <c r="AD529" i="10" s="1"/>
  <c r="AK458" i="10"/>
  <c r="AJ458" i="10"/>
  <c r="AI458" i="10"/>
  <c r="J41" i="4"/>
  <c r="AB528" i="10"/>
  <c r="AD528" i="10" s="1"/>
  <c r="AK457" i="10"/>
  <c r="AJ457" i="10"/>
  <c r="AI457" i="10"/>
  <c r="J40" i="4"/>
  <c r="AB527" i="10"/>
  <c r="AD527" i="10" s="1"/>
  <c r="AK456" i="10"/>
  <c r="AJ456" i="10"/>
  <c r="AI456" i="10"/>
  <c r="J39" i="4"/>
  <c r="AB526" i="10"/>
  <c r="AD526" i="10" s="1"/>
  <c r="AK455" i="10"/>
  <c r="AJ455" i="10"/>
  <c r="AI455" i="10"/>
  <c r="J38" i="4"/>
  <c r="AB525" i="10"/>
  <c r="AD525" i="10" s="1"/>
  <c r="AK454" i="10"/>
  <c r="AJ454" i="10"/>
  <c r="AI454" i="10"/>
  <c r="J36" i="4"/>
  <c r="AB524" i="10"/>
  <c r="AD524" i="10" s="1"/>
  <c r="AK453" i="10"/>
  <c r="AJ453" i="10"/>
  <c r="AI453" i="10"/>
  <c r="J35" i="4"/>
  <c r="AB523" i="10"/>
  <c r="AD523" i="10" s="1"/>
  <c r="AK452" i="10"/>
  <c r="AJ452" i="10"/>
  <c r="AI452" i="10"/>
  <c r="J34" i="4"/>
  <c r="AB522" i="10"/>
  <c r="AD522" i="10" s="1"/>
  <c r="AK451" i="10"/>
  <c r="AJ451" i="10"/>
  <c r="AI451" i="10"/>
  <c r="J33" i="4"/>
  <c r="AB521" i="10"/>
  <c r="AD521" i="10" s="1"/>
  <c r="AK450" i="10"/>
  <c r="AJ450" i="10"/>
  <c r="AI450" i="10"/>
  <c r="J31" i="4"/>
  <c r="AB520" i="10"/>
  <c r="AD520" i="10" s="1"/>
  <c r="AK449" i="10"/>
  <c r="AJ449" i="10"/>
  <c r="AI449" i="10"/>
  <c r="J30" i="4"/>
  <c r="AB519" i="10"/>
  <c r="AD519" i="10" s="1"/>
  <c r="AK448" i="10"/>
  <c r="AJ448" i="10"/>
  <c r="AI448" i="10"/>
  <c r="J29" i="4"/>
  <c r="AB518" i="10"/>
  <c r="AD518" i="10" s="1"/>
  <c r="AK447" i="10"/>
  <c r="AJ447" i="10"/>
  <c r="AI447" i="10"/>
  <c r="J28" i="4"/>
  <c r="AB517" i="10"/>
  <c r="AD517" i="10" s="1"/>
  <c r="AK446" i="10"/>
  <c r="AJ446" i="10"/>
  <c r="AI446" i="10"/>
  <c r="J27" i="4"/>
  <c r="AB516" i="10"/>
  <c r="AD516" i="10" s="1"/>
  <c r="AK445" i="10"/>
  <c r="AJ445" i="10"/>
  <c r="AI445" i="10"/>
  <c r="J26" i="4"/>
  <c r="AB515" i="10"/>
  <c r="AD515" i="10" s="1"/>
  <c r="AK444" i="10"/>
  <c r="AJ444" i="10"/>
  <c r="AI444" i="10"/>
  <c r="J25" i="4"/>
  <c r="AB514" i="10"/>
  <c r="AD514" i="10" s="1"/>
  <c r="AK443" i="10"/>
  <c r="AJ443" i="10"/>
  <c r="AI443" i="10"/>
  <c r="J23" i="4"/>
  <c r="AB513" i="10"/>
  <c r="AD513" i="10" s="1"/>
  <c r="AK442" i="10"/>
  <c r="AJ442" i="10"/>
  <c r="AI442" i="10"/>
  <c r="J22" i="4"/>
  <c r="AB512" i="10"/>
  <c r="AD512" i="10" s="1"/>
  <c r="AK441" i="10"/>
  <c r="AJ441" i="10"/>
  <c r="AI441" i="10"/>
  <c r="J21" i="4"/>
  <c r="AB511" i="10"/>
  <c r="AD511" i="10" s="1"/>
  <c r="AK440" i="10"/>
  <c r="AJ440" i="10"/>
  <c r="AI440" i="10"/>
  <c r="J19" i="4"/>
  <c r="AB510" i="10"/>
  <c r="AD510" i="10" s="1"/>
  <c r="AK439" i="10"/>
  <c r="AJ439" i="10"/>
  <c r="AI439" i="10"/>
  <c r="J18" i="4"/>
  <c r="AB509" i="10"/>
  <c r="AD509" i="10" s="1"/>
  <c r="AK438" i="10"/>
  <c r="AJ438" i="10"/>
  <c r="AI438" i="10"/>
  <c r="J17" i="4"/>
  <c r="AB508" i="10"/>
  <c r="AD508" i="10" s="1"/>
  <c r="AK437" i="10"/>
  <c r="AJ437" i="10"/>
  <c r="AI437" i="10"/>
  <c r="J16" i="4"/>
  <c r="AB507" i="10"/>
  <c r="AD507" i="10" s="1"/>
  <c r="AK436" i="10"/>
  <c r="AJ436" i="10"/>
  <c r="AI436" i="10"/>
  <c r="J15" i="4"/>
  <c r="AB506" i="10"/>
  <c r="AD506" i="10" s="1"/>
  <c r="AK435" i="10"/>
  <c r="AJ435" i="10"/>
  <c r="AI435" i="10"/>
  <c r="J14" i="4"/>
  <c r="AB505" i="10"/>
  <c r="AD505" i="10" s="1"/>
  <c r="AK434" i="10"/>
  <c r="AJ434" i="10"/>
  <c r="AI434" i="10"/>
  <c r="J13" i="4"/>
  <c r="AB504" i="10"/>
  <c r="AD504" i="10" s="1"/>
  <c r="AK433" i="10"/>
  <c r="AJ433" i="10"/>
  <c r="AI433" i="10"/>
  <c r="J12" i="4"/>
  <c r="AB503" i="10"/>
  <c r="AD503" i="10" s="1"/>
  <c r="AK432" i="10"/>
  <c r="AJ432" i="10"/>
  <c r="AI432" i="10"/>
  <c r="J11" i="4"/>
  <c r="AB502" i="10"/>
  <c r="AD502" i="10" s="1"/>
  <c r="AK431" i="10"/>
  <c r="AJ431" i="10"/>
  <c r="AI431" i="10"/>
  <c r="AI430" i="10"/>
  <c r="F14" i="12" s="1"/>
  <c r="AJ430" i="10"/>
  <c r="I14" i="12" s="1"/>
  <c r="AK430" i="10"/>
  <c r="AB501" i="10"/>
  <c r="E14" i="12"/>
  <c r="D18" i="11"/>
  <c r="J10" i="4"/>
  <c r="AF571" i="10" l="1"/>
  <c r="AE571" i="10"/>
  <c r="AF570" i="10"/>
  <c r="AE570" i="10"/>
  <c r="AF569" i="10"/>
  <c r="AE569" i="10"/>
  <c r="AF568" i="10"/>
  <c r="AE568" i="10"/>
  <c r="AF567" i="10"/>
  <c r="AE567" i="10"/>
  <c r="AF566" i="10"/>
  <c r="AE566" i="10"/>
  <c r="AF565" i="10"/>
  <c r="AE565" i="10"/>
  <c r="AF564" i="10"/>
  <c r="AE564" i="10"/>
  <c r="AF563" i="10"/>
  <c r="AE563" i="10"/>
  <c r="AF562" i="10"/>
  <c r="AE562" i="10"/>
  <c r="AF561" i="10"/>
  <c r="AE561" i="10"/>
  <c r="AF560" i="10"/>
  <c r="AE560" i="10"/>
  <c r="AF559" i="10"/>
  <c r="AE559" i="10"/>
  <c r="AF558" i="10"/>
  <c r="AE558" i="10"/>
  <c r="AF557" i="10"/>
  <c r="AE557" i="10"/>
  <c r="AF556" i="10"/>
  <c r="AE556" i="10"/>
  <c r="AF555" i="10"/>
  <c r="AE555" i="10"/>
  <c r="AF554" i="10"/>
  <c r="AE554" i="10"/>
  <c r="AF553" i="10"/>
  <c r="AE553" i="10"/>
  <c r="AF552" i="10"/>
  <c r="AE552" i="10"/>
  <c r="AF551" i="10"/>
  <c r="AE551" i="10"/>
  <c r="AF550" i="10"/>
  <c r="AE550" i="10"/>
  <c r="AF549" i="10"/>
  <c r="AE549" i="10"/>
  <c r="AF548" i="10"/>
  <c r="AE548" i="10"/>
  <c r="AF547" i="10"/>
  <c r="AE547" i="10"/>
  <c r="AF546" i="10"/>
  <c r="AE546" i="10"/>
  <c r="AF545" i="10"/>
  <c r="AE545" i="10"/>
  <c r="AF544" i="10"/>
  <c r="AE544" i="10"/>
  <c r="AF543" i="10"/>
  <c r="AE543" i="10"/>
  <c r="AF542" i="10"/>
  <c r="AE542" i="10"/>
  <c r="AF541" i="10"/>
  <c r="AE541" i="10"/>
  <c r="AF540" i="10"/>
  <c r="AE540" i="10"/>
  <c r="AF539" i="10"/>
  <c r="AE539" i="10"/>
  <c r="AF538" i="10"/>
  <c r="AE538" i="10"/>
  <c r="AF537" i="10"/>
  <c r="AE537" i="10"/>
  <c r="AF536" i="10"/>
  <c r="AE536" i="10"/>
  <c r="AF535" i="10"/>
  <c r="AE535" i="10"/>
  <c r="AF534" i="10"/>
  <c r="AE534" i="10"/>
  <c r="AF533" i="10"/>
  <c r="AE533" i="10"/>
  <c r="AF532" i="10"/>
  <c r="AE532" i="10"/>
  <c r="AF531" i="10"/>
  <c r="AE531" i="10"/>
  <c r="AF530" i="10"/>
  <c r="AE530" i="10"/>
  <c r="AF529" i="10"/>
  <c r="AE529" i="10"/>
  <c r="AF528" i="10"/>
  <c r="AE528" i="10"/>
  <c r="AF527" i="10"/>
  <c r="AE527" i="10"/>
  <c r="AF526" i="10"/>
  <c r="AE526" i="10"/>
  <c r="AF525" i="10"/>
  <c r="AE525" i="10"/>
  <c r="AF524" i="10"/>
  <c r="AE524" i="10"/>
  <c r="AF523" i="10"/>
  <c r="AE523" i="10"/>
  <c r="AF522" i="10"/>
  <c r="AE522" i="10"/>
  <c r="AF521" i="10"/>
  <c r="AE521" i="10"/>
  <c r="AF520" i="10"/>
  <c r="AE520" i="10"/>
  <c r="AF519" i="10"/>
  <c r="AE519" i="10"/>
  <c r="AF518" i="10"/>
  <c r="AE518" i="10"/>
  <c r="AF517" i="10"/>
  <c r="AE517" i="10"/>
  <c r="AF516" i="10"/>
  <c r="AE516" i="10"/>
  <c r="AF515" i="10"/>
  <c r="AE515" i="10"/>
  <c r="AF514" i="10"/>
  <c r="AE514" i="10"/>
  <c r="AF513" i="10"/>
  <c r="AE513" i="10"/>
  <c r="AF512" i="10"/>
  <c r="AE512" i="10"/>
  <c r="AF511" i="10"/>
  <c r="AE511" i="10"/>
  <c r="AF510" i="10"/>
  <c r="AE510" i="10"/>
  <c r="AF509" i="10"/>
  <c r="AE509" i="10"/>
  <c r="AF508" i="10"/>
  <c r="AE508" i="10"/>
  <c r="AF507" i="10"/>
  <c r="AE507" i="10"/>
  <c r="AF506" i="10"/>
  <c r="AE506" i="10"/>
  <c r="AF505" i="10"/>
  <c r="AE505" i="10"/>
  <c r="AF504" i="10"/>
  <c r="AE504" i="10"/>
  <c r="AF503" i="10"/>
  <c r="AE503" i="10"/>
  <c r="AF502" i="10"/>
  <c r="AE502" i="10"/>
  <c r="AD501" i="10"/>
  <c r="H15" i="12"/>
  <c r="E18" i="11"/>
  <c r="G18" i="11"/>
  <c r="J95" i="4"/>
  <c r="AF501" i="10" l="1"/>
  <c r="AE501" i="10"/>
  <c r="AG509" i="10" l="1"/>
  <c r="AH509" i="10" s="1"/>
  <c r="AG502" i="10"/>
  <c r="AH502" i="10" s="1"/>
  <c r="AG511" i="10"/>
  <c r="AH511" i="10" s="1"/>
  <c r="AG510" i="10"/>
  <c r="AH510" i="10" s="1"/>
  <c r="AG508" i="10"/>
  <c r="AH508" i="10" s="1"/>
  <c r="AG507" i="10"/>
  <c r="AH507" i="10" s="1"/>
  <c r="AG506" i="10"/>
  <c r="AH506" i="10" s="1"/>
  <c r="AG505" i="10"/>
  <c r="AH505" i="10" s="1"/>
  <c r="AG504" i="10"/>
  <c r="AH504" i="10" s="1"/>
  <c r="AG503" i="10"/>
  <c r="AH503" i="10" s="1"/>
  <c r="AG571" i="10"/>
  <c r="AH571" i="10" s="1"/>
  <c r="AG570" i="10"/>
  <c r="AH570" i="10" s="1"/>
  <c r="AG569" i="10"/>
  <c r="AH569" i="10" s="1"/>
  <c r="AG568" i="10"/>
  <c r="AH568" i="10" s="1"/>
  <c r="AG567" i="10"/>
  <c r="AH567" i="10" s="1"/>
  <c r="AG566" i="10"/>
  <c r="AH566" i="10" s="1"/>
  <c r="AG565" i="10"/>
  <c r="AH565" i="10" s="1"/>
  <c r="AG564" i="10"/>
  <c r="AH564" i="10" s="1"/>
  <c r="AG563" i="10"/>
  <c r="AH563" i="10" s="1"/>
  <c r="AG562" i="10"/>
  <c r="AH562" i="10" s="1"/>
  <c r="AG561" i="10"/>
  <c r="AH561" i="10" s="1"/>
  <c r="AG560" i="10"/>
  <c r="AH560" i="10" s="1"/>
  <c r="AG559" i="10"/>
  <c r="AH559" i="10" s="1"/>
  <c r="AG558" i="10"/>
  <c r="AH558" i="10" s="1"/>
  <c r="AG557" i="10"/>
  <c r="AH557" i="10" s="1"/>
  <c r="AG556" i="10"/>
  <c r="AH556" i="10" s="1"/>
  <c r="AG555" i="10"/>
  <c r="AH555" i="10" s="1"/>
  <c r="AG554" i="10"/>
  <c r="AH554" i="10" s="1"/>
  <c r="AG553" i="10"/>
  <c r="AH553" i="10" s="1"/>
  <c r="AG552" i="10"/>
  <c r="AH552" i="10" s="1"/>
  <c r="AG551" i="10"/>
  <c r="AH551" i="10" s="1"/>
  <c r="AG550" i="10"/>
  <c r="AH550" i="10" s="1"/>
  <c r="AG549" i="10"/>
  <c r="AH549" i="10" s="1"/>
  <c r="AG548" i="10"/>
  <c r="AH548" i="10" s="1"/>
  <c r="AG547" i="10"/>
  <c r="AH547" i="10" s="1"/>
  <c r="AG546" i="10"/>
  <c r="AH546" i="10" s="1"/>
  <c r="AG545" i="10"/>
  <c r="AH545" i="10" s="1"/>
  <c r="AG544" i="10"/>
  <c r="AH544" i="10" s="1"/>
  <c r="AG543" i="10"/>
  <c r="AH543" i="10" s="1"/>
  <c r="AG542" i="10"/>
  <c r="AH542" i="10" s="1"/>
  <c r="AG541" i="10"/>
  <c r="AH541" i="10" s="1"/>
  <c r="AG540" i="10"/>
  <c r="AH540" i="10" s="1"/>
  <c r="AG539" i="10"/>
  <c r="AH539" i="10" s="1"/>
  <c r="AG538" i="10"/>
  <c r="AH538" i="10" s="1"/>
  <c r="AG537" i="10"/>
  <c r="AH537" i="10" s="1"/>
  <c r="AG536" i="10"/>
  <c r="AH536" i="10" s="1"/>
  <c r="AG535" i="10"/>
  <c r="AH535" i="10" s="1"/>
  <c r="AG534" i="10"/>
  <c r="AH534" i="10" s="1"/>
  <c r="AG533" i="10"/>
  <c r="AH533" i="10" s="1"/>
  <c r="AG532" i="10"/>
  <c r="AH532" i="10" s="1"/>
  <c r="AG531" i="10"/>
  <c r="AH531" i="10" s="1"/>
  <c r="AG530" i="10"/>
  <c r="AH530" i="10" s="1"/>
  <c r="AG529" i="10"/>
  <c r="AH529" i="10" s="1"/>
  <c r="AG528" i="10"/>
  <c r="AH528" i="10" s="1"/>
  <c r="AG527" i="10"/>
  <c r="AH527" i="10" s="1"/>
  <c r="AG526" i="10"/>
  <c r="AH526" i="10" s="1"/>
  <c r="AG525" i="10"/>
  <c r="AH525" i="10" s="1"/>
  <c r="AG524" i="10"/>
  <c r="AH524" i="10" s="1"/>
  <c r="AG523" i="10"/>
  <c r="AH523" i="10" s="1"/>
  <c r="AG522" i="10"/>
  <c r="AH522" i="10" s="1"/>
  <c r="AG521" i="10"/>
  <c r="AH521" i="10" s="1"/>
  <c r="AG520" i="10"/>
  <c r="AH520" i="10" s="1"/>
  <c r="AG519" i="10"/>
  <c r="AH519" i="10" s="1"/>
  <c r="AG518" i="10"/>
  <c r="AH518" i="10" s="1"/>
  <c r="AG517" i="10"/>
  <c r="AH517" i="10" s="1"/>
  <c r="AG516" i="10"/>
  <c r="AH516" i="10" s="1"/>
  <c r="AG515" i="10"/>
  <c r="AH515" i="10" s="1"/>
  <c r="AG514" i="10"/>
  <c r="AH514" i="10" s="1"/>
  <c r="AG513" i="10"/>
  <c r="AH513" i="10" s="1"/>
  <c r="AG512" i="10"/>
  <c r="AH512" i="10" s="1"/>
  <c r="AG501" i="10"/>
  <c r="AH501" i="10" s="1"/>
  <c r="K18" i="4" l="1"/>
  <c r="AB580" i="10"/>
  <c r="AD580" i="10" s="1"/>
  <c r="AK509" i="10"/>
  <c r="AJ509" i="10"/>
  <c r="AI509" i="10"/>
  <c r="K11" i="4"/>
  <c r="AB573" i="10"/>
  <c r="AD573" i="10" s="1"/>
  <c r="AK502" i="10"/>
  <c r="AJ502" i="10"/>
  <c r="AI502" i="10"/>
  <c r="K21" i="4"/>
  <c r="AB582" i="10"/>
  <c r="AD582" i="10" s="1"/>
  <c r="AK511" i="10"/>
  <c r="AJ511" i="10"/>
  <c r="AI511" i="10"/>
  <c r="K19" i="4"/>
  <c r="AB581" i="10"/>
  <c r="AD581" i="10" s="1"/>
  <c r="AK510" i="10"/>
  <c r="AJ510" i="10"/>
  <c r="AI510" i="10"/>
  <c r="K17" i="4"/>
  <c r="AB579" i="10"/>
  <c r="AD579" i="10" s="1"/>
  <c r="AK508" i="10"/>
  <c r="AJ508" i="10"/>
  <c r="AI508" i="10"/>
  <c r="K16" i="4"/>
  <c r="AB578" i="10"/>
  <c r="AD578" i="10" s="1"/>
  <c r="AK507" i="10"/>
  <c r="AJ507" i="10"/>
  <c r="AI507" i="10"/>
  <c r="K15" i="4"/>
  <c r="AB577" i="10"/>
  <c r="AD577" i="10" s="1"/>
  <c r="AK506" i="10"/>
  <c r="AJ506" i="10"/>
  <c r="AI506" i="10"/>
  <c r="K14" i="4"/>
  <c r="AB576" i="10"/>
  <c r="AD576" i="10" s="1"/>
  <c r="AK505" i="10"/>
  <c r="AJ505" i="10"/>
  <c r="AI505" i="10"/>
  <c r="K13" i="4"/>
  <c r="AB575" i="10"/>
  <c r="AD575" i="10" s="1"/>
  <c r="AK504" i="10"/>
  <c r="AJ504" i="10"/>
  <c r="AI504" i="10"/>
  <c r="K12" i="4"/>
  <c r="AB574" i="10"/>
  <c r="AD574" i="10" s="1"/>
  <c r="AK503" i="10"/>
  <c r="AJ503" i="10"/>
  <c r="AI503" i="10"/>
  <c r="K93" i="4"/>
  <c r="AB642" i="10"/>
  <c r="AD642" i="10" s="1"/>
  <c r="AK571" i="10"/>
  <c r="AJ571" i="10"/>
  <c r="AI571" i="10"/>
  <c r="K92" i="4"/>
  <c r="AB641" i="10"/>
  <c r="AD641" i="10" s="1"/>
  <c r="AK570" i="10"/>
  <c r="AJ570" i="10"/>
  <c r="AI570" i="10"/>
  <c r="K91" i="4"/>
  <c r="AB640" i="10"/>
  <c r="AD640" i="10" s="1"/>
  <c r="AK569" i="10"/>
  <c r="AJ569" i="10"/>
  <c r="AI569" i="10"/>
  <c r="AB639" i="10"/>
  <c r="AD639" i="10" s="1"/>
  <c r="K90" i="4"/>
  <c r="AK568" i="10"/>
  <c r="AJ568" i="10"/>
  <c r="AI568" i="10"/>
  <c r="K88" i="4"/>
  <c r="AB638" i="10"/>
  <c r="AD638" i="10" s="1"/>
  <c r="AK567" i="10"/>
  <c r="AJ567" i="10"/>
  <c r="AI567" i="10"/>
  <c r="K87" i="4"/>
  <c r="AB637" i="10"/>
  <c r="AD637" i="10" s="1"/>
  <c r="AK566" i="10"/>
  <c r="AJ566" i="10"/>
  <c r="AI566" i="10"/>
  <c r="K86" i="4"/>
  <c r="AB636" i="10"/>
  <c r="AD636" i="10" s="1"/>
  <c r="AK565" i="10"/>
  <c r="AJ565" i="10"/>
  <c r="AI565" i="10"/>
  <c r="K85" i="4"/>
  <c r="AB635" i="10"/>
  <c r="AD635" i="10" s="1"/>
  <c r="AK564" i="10"/>
  <c r="AJ564" i="10"/>
  <c r="AI564" i="10"/>
  <c r="AB634" i="10"/>
  <c r="AD634" i="10" s="1"/>
  <c r="K84" i="4"/>
  <c r="AK563" i="10"/>
  <c r="AJ563" i="10"/>
  <c r="AI563" i="10"/>
  <c r="K83" i="4"/>
  <c r="AB633" i="10"/>
  <c r="AD633" i="10" s="1"/>
  <c r="AK562" i="10"/>
  <c r="AJ562" i="10"/>
  <c r="AI562" i="10"/>
  <c r="K82" i="4"/>
  <c r="AB632" i="10"/>
  <c r="AD632" i="10" s="1"/>
  <c r="AK561" i="10"/>
  <c r="AJ561" i="10"/>
  <c r="AI561" i="10"/>
  <c r="K81" i="4"/>
  <c r="AB631" i="10"/>
  <c r="AD631" i="10" s="1"/>
  <c r="AK560" i="10"/>
  <c r="AJ560" i="10"/>
  <c r="AI560" i="10"/>
  <c r="K79" i="4"/>
  <c r="AB630" i="10"/>
  <c r="AD630" i="10" s="1"/>
  <c r="AK559" i="10"/>
  <c r="AJ559" i="10"/>
  <c r="AI559" i="10"/>
  <c r="AB629" i="10"/>
  <c r="AD629" i="10" s="1"/>
  <c r="K78" i="4"/>
  <c r="AK558" i="10"/>
  <c r="AJ558" i="10"/>
  <c r="AI558" i="10"/>
  <c r="K77" i="4"/>
  <c r="AB628" i="10"/>
  <c r="AD628" i="10" s="1"/>
  <c r="AK557" i="10"/>
  <c r="AJ557" i="10"/>
  <c r="AI557" i="10"/>
  <c r="K76" i="4"/>
  <c r="AB627" i="10"/>
  <c r="AD627" i="10" s="1"/>
  <c r="AK556" i="10"/>
  <c r="AJ556" i="10"/>
  <c r="AI556" i="10"/>
  <c r="K75" i="4"/>
  <c r="AB626" i="10"/>
  <c r="AD626" i="10" s="1"/>
  <c r="AK555" i="10"/>
  <c r="AJ555" i="10"/>
  <c r="AI555" i="10"/>
  <c r="K74" i="4"/>
  <c r="AB625" i="10"/>
  <c r="AD625" i="10" s="1"/>
  <c r="AK554" i="10"/>
  <c r="AJ554" i="10"/>
  <c r="AI554" i="10"/>
  <c r="AB624" i="10"/>
  <c r="AD624" i="10" s="1"/>
  <c r="K72" i="4"/>
  <c r="AK553" i="10"/>
  <c r="AJ553" i="10"/>
  <c r="AI553" i="10"/>
  <c r="K71" i="4"/>
  <c r="AB623" i="10"/>
  <c r="AD623" i="10" s="1"/>
  <c r="AK552" i="10"/>
  <c r="AJ552" i="10"/>
  <c r="AI552" i="10"/>
  <c r="AB622" i="10"/>
  <c r="AD622" i="10" s="1"/>
  <c r="K69" i="4"/>
  <c r="AK551" i="10"/>
  <c r="AJ551" i="10"/>
  <c r="AI551" i="10"/>
  <c r="K68" i="4"/>
  <c r="AB621" i="10"/>
  <c r="AD621" i="10" s="1"/>
  <c r="AK550" i="10"/>
  <c r="AJ550" i="10"/>
  <c r="AI550" i="10"/>
  <c r="K67" i="4"/>
  <c r="AB620" i="10"/>
  <c r="AD620" i="10" s="1"/>
  <c r="AK549" i="10"/>
  <c r="AJ549" i="10"/>
  <c r="AI549" i="10"/>
  <c r="K66" i="4"/>
  <c r="AB619" i="10"/>
  <c r="AD619" i="10" s="1"/>
  <c r="AK548" i="10"/>
  <c r="AJ548" i="10"/>
  <c r="AI548" i="10"/>
  <c r="K65" i="4"/>
  <c r="AB618" i="10"/>
  <c r="AD618" i="10" s="1"/>
  <c r="AK547" i="10"/>
  <c r="AJ547" i="10"/>
  <c r="AI547" i="10"/>
  <c r="K63" i="4"/>
  <c r="AB617" i="10"/>
  <c r="AD617" i="10" s="1"/>
  <c r="AK546" i="10"/>
  <c r="AJ546" i="10"/>
  <c r="AI546" i="10"/>
  <c r="K62" i="4"/>
  <c r="AB616" i="10"/>
  <c r="AD616" i="10" s="1"/>
  <c r="AK545" i="10"/>
  <c r="AJ545" i="10"/>
  <c r="AI545" i="10"/>
  <c r="K61" i="4"/>
  <c r="AB615" i="10"/>
  <c r="AD615" i="10" s="1"/>
  <c r="AK544" i="10"/>
  <c r="AJ544" i="10"/>
  <c r="AI544" i="10"/>
  <c r="K60" i="4"/>
  <c r="AB614" i="10"/>
  <c r="AD614" i="10" s="1"/>
  <c r="AK543" i="10"/>
  <c r="AJ543" i="10"/>
  <c r="AI543" i="10"/>
  <c r="K58" i="4"/>
  <c r="AB613" i="10"/>
  <c r="AD613" i="10" s="1"/>
  <c r="AK542" i="10"/>
  <c r="AJ542" i="10"/>
  <c r="AI542" i="10"/>
  <c r="K57" i="4"/>
  <c r="AB612" i="10"/>
  <c r="AD612" i="10" s="1"/>
  <c r="AK541" i="10"/>
  <c r="AJ541" i="10"/>
  <c r="AI541" i="10"/>
  <c r="K56" i="4"/>
  <c r="AB611" i="10"/>
  <c r="AD611" i="10" s="1"/>
  <c r="AK540" i="10"/>
  <c r="AJ540" i="10"/>
  <c r="AI540" i="10"/>
  <c r="K55" i="4"/>
  <c r="AB610" i="10"/>
  <c r="AD610" i="10" s="1"/>
  <c r="AK539" i="10"/>
  <c r="AJ539" i="10"/>
  <c r="AI539" i="10"/>
  <c r="K54" i="4"/>
  <c r="AB609" i="10"/>
  <c r="AD609" i="10" s="1"/>
  <c r="AK538" i="10"/>
  <c r="AJ538" i="10"/>
  <c r="AI538" i="10"/>
  <c r="K53" i="4"/>
  <c r="AB608" i="10"/>
  <c r="AD608" i="10" s="1"/>
  <c r="AK537" i="10"/>
  <c r="AJ537" i="10"/>
  <c r="AI537" i="10"/>
  <c r="K52" i="4"/>
  <c r="AB607" i="10"/>
  <c r="AD607" i="10" s="1"/>
  <c r="AK536" i="10"/>
  <c r="AJ536" i="10"/>
  <c r="AI536" i="10"/>
  <c r="K51" i="4"/>
  <c r="AB606" i="10"/>
  <c r="AD606" i="10" s="1"/>
  <c r="AK535" i="10"/>
  <c r="AJ535" i="10"/>
  <c r="AI535" i="10"/>
  <c r="K49" i="4"/>
  <c r="AB605" i="10"/>
  <c r="AD605" i="10" s="1"/>
  <c r="AK534" i="10"/>
  <c r="AJ534" i="10"/>
  <c r="AI534" i="10"/>
  <c r="K48" i="4"/>
  <c r="AB604" i="10"/>
  <c r="AD604" i="10" s="1"/>
  <c r="AK533" i="10"/>
  <c r="AJ533" i="10"/>
  <c r="AI533" i="10"/>
  <c r="K47" i="4"/>
  <c r="AB603" i="10"/>
  <c r="AD603" i="10" s="1"/>
  <c r="AK532" i="10"/>
  <c r="AJ532" i="10"/>
  <c r="AI532" i="10"/>
  <c r="K45" i="4"/>
  <c r="AB602" i="10"/>
  <c r="AD602" i="10" s="1"/>
  <c r="AK531" i="10"/>
  <c r="AJ531" i="10"/>
  <c r="AI531" i="10"/>
  <c r="K44" i="4"/>
  <c r="AB601" i="10"/>
  <c r="AD601" i="10" s="1"/>
  <c r="AK530" i="10"/>
  <c r="AJ530" i="10"/>
  <c r="AI530" i="10"/>
  <c r="K43" i="4"/>
  <c r="AB600" i="10"/>
  <c r="AD600" i="10" s="1"/>
  <c r="AK529" i="10"/>
  <c r="AJ529" i="10"/>
  <c r="AI529" i="10"/>
  <c r="K41" i="4"/>
  <c r="AB599" i="10"/>
  <c r="AD599" i="10" s="1"/>
  <c r="AK528" i="10"/>
  <c r="AJ528" i="10"/>
  <c r="AI528" i="10"/>
  <c r="K40" i="4"/>
  <c r="AB598" i="10"/>
  <c r="AD598" i="10" s="1"/>
  <c r="AK527" i="10"/>
  <c r="AJ527" i="10"/>
  <c r="AI527" i="10"/>
  <c r="K39" i="4"/>
  <c r="AB597" i="10"/>
  <c r="AD597" i="10" s="1"/>
  <c r="AK526" i="10"/>
  <c r="AJ526" i="10"/>
  <c r="AI526" i="10"/>
  <c r="K38" i="4"/>
  <c r="AB596" i="10"/>
  <c r="AD596" i="10" s="1"/>
  <c r="AK525" i="10"/>
  <c r="AJ525" i="10"/>
  <c r="AI525" i="10"/>
  <c r="K36" i="4"/>
  <c r="AB595" i="10"/>
  <c r="AD595" i="10" s="1"/>
  <c r="AK524" i="10"/>
  <c r="AJ524" i="10"/>
  <c r="AI524" i="10"/>
  <c r="K35" i="4"/>
  <c r="AB594" i="10"/>
  <c r="AD594" i="10" s="1"/>
  <c r="AK523" i="10"/>
  <c r="AJ523" i="10"/>
  <c r="AI523" i="10"/>
  <c r="K34" i="4"/>
  <c r="AB593" i="10"/>
  <c r="AD593" i="10" s="1"/>
  <c r="AK522" i="10"/>
  <c r="AJ522" i="10"/>
  <c r="AI522" i="10"/>
  <c r="K33" i="4"/>
  <c r="AB592" i="10"/>
  <c r="AD592" i="10" s="1"/>
  <c r="AK521" i="10"/>
  <c r="AJ521" i="10"/>
  <c r="AI521" i="10"/>
  <c r="K31" i="4"/>
  <c r="AB591" i="10"/>
  <c r="AD591" i="10" s="1"/>
  <c r="AK520" i="10"/>
  <c r="AJ520" i="10"/>
  <c r="AI520" i="10"/>
  <c r="K30" i="4"/>
  <c r="AB590" i="10"/>
  <c r="AD590" i="10" s="1"/>
  <c r="AK519" i="10"/>
  <c r="AJ519" i="10"/>
  <c r="AI519" i="10"/>
  <c r="K29" i="4"/>
  <c r="AB589" i="10"/>
  <c r="AD589" i="10" s="1"/>
  <c r="AK518" i="10"/>
  <c r="AJ518" i="10"/>
  <c r="AI518" i="10"/>
  <c r="K28" i="4"/>
  <c r="AB588" i="10"/>
  <c r="AD588" i="10" s="1"/>
  <c r="AK517" i="10"/>
  <c r="AJ517" i="10"/>
  <c r="AI517" i="10"/>
  <c r="K27" i="4"/>
  <c r="AB587" i="10"/>
  <c r="AD587" i="10" s="1"/>
  <c r="AK516" i="10"/>
  <c r="AJ516" i="10"/>
  <c r="AI516" i="10"/>
  <c r="K26" i="4"/>
  <c r="AB586" i="10"/>
  <c r="AD586" i="10" s="1"/>
  <c r="AK515" i="10"/>
  <c r="AJ515" i="10"/>
  <c r="AI515" i="10"/>
  <c r="K25" i="4"/>
  <c r="AB585" i="10"/>
  <c r="AD585" i="10" s="1"/>
  <c r="AK514" i="10"/>
  <c r="AJ514" i="10"/>
  <c r="AI514" i="10"/>
  <c r="K23" i="4"/>
  <c r="AB584" i="10"/>
  <c r="AD584" i="10" s="1"/>
  <c r="AK513" i="10"/>
  <c r="AJ513" i="10"/>
  <c r="AI513" i="10"/>
  <c r="K22" i="4"/>
  <c r="AB583" i="10"/>
  <c r="AD583" i="10" s="1"/>
  <c r="AK512" i="10"/>
  <c r="AJ512" i="10"/>
  <c r="AI512" i="10"/>
  <c r="AI501" i="10"/>
  <c r="F15" i="12" s="1"/>
  <c r="AJ501" i="10"/>
  <c r="I15" i="12" s="1"/>
  <c r="AK501" i="10"/>
  <c r="AB572" i="10"/>
  <c r="D19" i="11"/>
  <c r="E15" i="12"/>
  <c r="K10" i="4"/>
  <c r="AF580" i="10" l="1"/>
  <c r="AE580" i="10"/>
  <c r="AF573" i="10"/>
  <c r="AE573" i="10"/>
  <c r="AF582" i="10"/>
  <c r="AE582" i="10"/>
  <c r="AF581" i="10"/>
  <c r="AE581" i="10"/>
  <c r="AF579" i="10"/>
  <c r="AE579" i="10"/>
  <c r="AF578" i="10"/>
  <c r="AE578" i="10"/>
  <c r="AF577" i="10"/>
  <c r="AE577" i="10"/>
  <c r="AF576" i="10"/>
  <c r="AE576" i="10"/>
  <c r="AF575" i="10"/>
  <c r="AE575" i="10"/>
  <c r="AF574" i="10"/>
  <c r="AE574" i="10"/>
  <c r="AF642" i="10"/>
  <c r="AE642" i="10"/>
  <c r="AF641" i="10"/>
  <c r="AE641" i="10"/>
  <c r="AF640" i="10"/>
  <c r="AE640" i="10"/>
  <c r="AF639" i="10"/>
  <c r="AE639" i="10"/>
  <c r="AF638" i="10"/>
  <c r="AE638" i="10"/>
  <c r="AF637" i="10"/>
  <c r="AE637" i="10"/>
  <c r="AF636" i="10"/>
  <c r="AE636" i="10"/>
  <c r="AF635" i="10"/>
  <c r="AE635" i="10"/>
  <c r="AF634" i="10"/>
  <c r="AE634" i="10"/>
  <c r="AF633" i="10"/>
  <c r="AE633" i="10"/>
  <c r="AF632" i="10"/>
  <c r="AE632" i="10"/>
  <c r="AF631" i="10"/>
  <c r="AE631" i="10"/>
  <c r="AF630" i="10"/>
  <c r="AE630" i="10"/>
  <c r="AF629" i="10"/>
  <c r="AE629" i="10"/>
  <c r="AF628" i="10"/>
  <c r="AE628" i="10"/>
  <c r="AF627" i="10"/>
  <c r="AE627" i="10"/>
  <c r="AF626" i="10"/>
  <c r="AE626" i="10"/>
  <c r="AF625" i="10"/>
  <c r="AE625" i="10"/>
  <c r="AF624" i="10"/>
  <c r="AE624" i="10"/>
  <c r="AF623" i="10"/>
  <c r="AE623" i="10"/>
  <c r="AF622" i="10"/>
  <c r="AE622" i="10"/>
  <c r="AE621" i="10"/>
  <c r="AF621" i="10"/>
  <c r="AF620" i="10"/>
  <c r="AE620" i="10"/>
  <c r="AF619" i="10"/>
  <c r="AE619" i="10"/>
  <c r="AF618" i="10"/>
  <c r="AE618" i="10"/>
  <c r="AF617" i="10"/>
  <c r="AE617" i="10"/>
  <c r="AF616" i="10"/>
  <c r="AE616" i="10"/>
  <c r="AF615" i="10"/>
  <c r="AE615" i="10"/>
  <c r="AF614" i="10"/>
  <c r="AE614" i="10"/>
  <c r="AF613" i="10"/>
  <c r="AE613" i="10"/>
  <c r="AF612" i="10"/>
  <c r="AE612" i="10"/>
  <c r="AF611" i="10"/>
  <c r="AE611" i="10"/>
  <c r="AF610" i="10"/>
  <c r="AE610" i="10"/>
  <c r="AF609" i="10"/>
  <c r="AE609" i="10"/>
  <c r="AF608" i="10"/>
  <c r="AE608" i="10"/>
  <c r="AF607" i="10"/>
  <c r="AE607" i="10"/>
  <c r="AF606" i="10"/>
  <c r="AE606" i="10"/>
  <c r="AF605" i="10"/>
  <c r="AE605" i="10"/>
  <c r="AF604" i="10"/>
  <c r="AE604" i="10"/>
  <c r="AF603" i="10"/>
  <c r="AE603" i="10"/>
  <c r="AF602" i="10"/>
  <c r="AE602" i="10"/>
  <c r="AF601" i="10"/>
  <c r="AE601" i="10"/>
  <c r="AF600" i="10"/>
  <c r="AE600" i="10"/>
  <c r="AF599" i="10"/>
  <c r="AE599" i="10"/>
  <c r="AF598" i="10"/>
  <c r="AE598" i="10"/>
  <c r="AF597" i="10"/>
  <c r="AE597" i="10"/>
  <c r="AF596" i="10"/>
  <c r="AE596" i="10"/>
  <c r="AF595" i="10"/>
  <c r="AE595" i="10"/>
  <c r="AF594" i="10"/>
  <c r="AE594" i="10"/>
  <c r="AF593" i="10"/>
  <c r="AE593" i="10"/>
  <c r="AF592" i="10"/>
  <c r="AE592" i="10"/>
  <c r="AF591" i="10"/>
  <c r="AE591" i="10"/>
  <c r="AF590" i="10"/>
  <c r="AE590" i="10"/>
  <c r="AF589" i="10"/>
  <c r="AE589" i="10"/>
  <c r="AF588" i="10"/>
  <c r="AE588" i="10"/>
  <c r="AF587" i="10"/>
  <c r="AE587" i="10"/>
  <c r="AF586" i="10"/>
  <c r="AE586" i="10"/>
  <c r="AF585" i="10"/>
  <c r="AE585" i="10"/>
  <c r="AF584" i="10"/>
  <c r="AE584" i="10"/>
  <c r="AF583" i="10"/>
  <c r="AE583" i="10"/>
  <c r="AD572" i="10"/>
  <c r="H16" i="12"/>
  <c r="E19" i="11"/>
  <c r="G19" i="11"/>
  <c r="K95" i="4"/>
  <c r="AF572" i="10" l="1"/>
  <c r="AE572" i="10"/>
  <c r="AG582" i="10" l="1"/>
  <c r="AH582" i="10" s="1"/>
  <c r="AG580" i="10"/>
  <c r="AH580" i="10" s="1"/>
  <c r="AG579" i="10"/>
  <c r="AH579" i="10" s="1"/>
  <c r="AG578" i="10"/>
  <c r="AH578" i="10" s="1"/>
  <c r="AG576" i="10"/>
  <c r="AH576" i="10" s="1"/>
  <c r="AG575" i="10"/>
  <c r="AH575" i="10" s="1"/>
  <c r="AG574" i="10"/>
  <c r="AH574" i="10" s="1"/>
  <c r="AG573" i="10"/>
  <c r="AH573" i="10" s="1"/>
  <c r="AG622" i="10"/>
  <c r="AH622" i="10" s="1"/>
  <c r="AG642" i="10"/>
  <c r="AH642" i="10" s="1"/>
  <c r="AG641" i="10"/>
  <c r="AH641" i="10" s="1"/>
  <c r="AG640" i="10"/>
  <c r="AH640" i="10" s="1"/>
  <c r="AG639" i="10"/>
  <c r="AH639" i="10" s="1"/>
  <c r="AG638" i="10"/>
  <c r="AH638" i="10" s="1"/>
  <c r="AG637" i="10"/>
  <c r="AH637" i="10" s="1"/>
  <c r="AG636" i="10"/>
  <c r="AH636" i="10" s="1"/>
  <c r="AG635" i="10"/>
  <c r="AH635" i="10" s="1"/>
  <c r="AG634" i="10"/>
  <c r="AH634" i="10" s="1"/>
  <c r="AG633" i="10"/>
  <c r="AH633" i="10" s="1"/>
  <c r="AG632" i="10"/>
  <c r="AH632" i="10" s="1"/>
  <c r="AG631" i="10"/>
  <c r="AH631" i="10" s="1"/>
  <c r="AG630" i="10"/>
  <c r="AH630" i="10" s="1"/>
  <c r="AG629" i="10"/>
  <c r="AH629" i="10" s="1"/>
  <c r="AG628" i="10"/>
  <c r="AH628" i="10" s="1"/>
  <c r="AG627" i="10"/>
  <c r="AH627" i="10" s="1"/>
  <c r="AG626" i="10"/>
  <c r="AH626" i="10" s="1"/>
  <c r="AG625" i="10"/>
  <c r="AH625" i="10" s="1"/>
  <c r="AG624" i="10"/>
  <c r="AH624" i="10" s="1"/>
  <c r="AG623" i="10"/>
  <c r="AH623" i="10" s="1"/>
  <c r="AG621" i="10"/>
  <c r="AH621" i="10" s="1"/>
  <c r="AG620" i="10"/>
  <c r="AH620" i="10" s="1"/>
  <c r="AG619" i="10"/>
  <c r="AH619" i="10" s="1"/>
  <c r="AG618" i="10"/>
  <c r="AH618" i="10" s="1"/>
  <c r="AG617" i="10"/>
  <c r="AH617" i="10" s="1"/>
  <c r="AG616" i="10"/>
  <c r="AH616" i="10" s="1"/>
  <c r="AG615" i="10"/>
  <c r="AH615" i="10" s="1"/>
  <c r="AG614" i="10"/>
  <c r="AH614" i="10" s="1"/>
  <c r="AG613" i="10"/>
  <c r="AH613" i="10" s="1"/>
  <c r="AG612" i="10"/>
  <c r="AH612" i="10" s="1"/>
  <c r="AG611" i="10"/>
  <c r="AH611" i="10" s="1"/>
  <c r="AG610" i="10"/>
  <c r="AH610" i="10" s="1"/>
  <c r="AG609" i="10"/>
  <c r="AH609" i="10" s="1"/>
  <c r="AG608" i="10"/>
  <c r="AH608" i="10" s="1"/>
  <c r="AG607" i="10"/>
  <c r="AH607" i="10" s="1"/>
  <c r="AG606" i="10"/>
  <c r="AH606" i="10" s="1"/>
  <c r="AG605" i="10"/>
  <c r="AH605" i="10" s="1"/>
  <c r="AG604" i="10"/>
  <c r="AH604" i="10" s="1"/>
  <c r="AG603" i="10"/>
  <c r="AH603" i="10" s="1"/>
  <c r="AG602" i="10"/>
  <c r="AH602" i="10" s="1"/>
  <c r="AG601" i="10"/>
  <c r="AH601" i="10" s="1"/>
  <c r="AG600" i="10"/>
  <c r="AH600" i="10" s="1"/>
  <c r="AG599" i="10"/>
  <c r="AH599" i="10" s="1"/>
  <c r="AG598" i="10"/>
  <c r="AH598" i="10" s="1"/>
  <c r="AG597" i="10"/>
  <c r="AH597" i="10" s="1"/>
  <c r="AG596" i="10"/>
  <c r="AH596" i="10" s="1"/>
  <c r="AG595" i="10"/>
  <c r="AH595" i="10" s="1"/>
  <c r="AG594" i="10"/>
  <c r="AH594" i="10" s="1"/>
  <c r="AG593" i="10"/>
  <c r="AH593" i="10" s="1"/>
  <c r="AG592" i="10"/>
  <c r="AH592" i="10" s="1"/>
  <c r="AG591" i="10"/>
  <c r="AH591" i="10" s="1"/>
  <c r="AG590" i="10"/>
  <c r="AH590" i="10" s="1"/>
  <c r="AG589" i="10"/>
  <c r="AH589" i="10" s="1"/>
  <c r="AG588" i="10"/>
  <c r="AH588" i="10" s="1"/>
  <c r="AG587" i="10"/>
  <c r="AH587" i="10" s="1"/>
  <c r="AG586" i="10"/>
  <c r="AH586" i="10" s="1"/>
  <c r="AG585" i="10"/>
  <c r="AH585" i="10" s="1"/>
  <c r="AG584" i="10"/>
  <c r="AH584" i="10" s="1"/>
  <c r="AG583" i="10"/>
  <c r="AH583" i="10" s="1"/>
  <c r="AG572" i="10"/>
  <c r="AG581" i="10"/>
  <c r="AH581" i="10" s="1"/>
  <c r="AG577" i="10"/>
  <c r="AH577" i="10" s="1"/>
  <c r="AH572" i="10"/>
  <c r="L21" i="4" l="1"/>
  <c r="AB653" i="10"/>
  <c r="AD653" i="10" s="1"/>
  <c r="AK582" i="10"/>
  <c r="AJ582" i="10"/>
  <c r="AI582" i="10"/>
  <c r="L18" i="4"/>
  <c r="AB651" i="10"/>
  <c r="AD651" i="10" s="1"/>
  <c r="AK580" i="10"/>
  <c r="AJ580" i="10"/>
  <c r="AI580" i="10"/>
  <c r="L17" i="4"/>
  <c r="AB650" i="10"/>
  <c r="AD650" i="10" s="1"/>
  <c r="AK579" i="10"/>
  <c r="AJ579" i="10"/>
  <c r="AI579" i="10"/>
  <c r="L16" i="4"/>
  <c r="AB649" i="10"/>
  <c r="AD649" i="10" s="1"/>
  <c r="AK578" i="10"/>
  <c r="AJ578" i="10"/>
  <c r="AI578" i="10"/>
  <c r="L14" i="4"/>
  <c r="AB647" i="10"/>
  <c r="AD647" i="10" s="1"/>
  <c r="AK576" i="10"/>
  <c r="AJ576" i="10"/>
  <c r="AI576" i="10"/>
  <c r="L13" i="4"/>
  <c r="AB646" i="10"/>
  <c r="AD646" i="10" s="1"/>
  <c r="AK575" i="10"/>
  <c r="AJ575" i="10"/>
  <c r="AI575" i="10"/>
  <c r="L12" i="4"/>
  <c r="AB645" i="10"/>
  <c r="AD645" i="10" s="1"/>
  <c r="AK574" i="10"/>
  <c r="AJ574" i="10"/>
  <c r="AI574" i="10"/>
  <c r="L11" i="4"/>
  <c r="AB644" i="10"/>
  <c r="AD644" i="10" s="1"/>
  <c r="AK573" i="10"/>
  <c r="AJ573" i="10"/>
  <c r="AI573" i="10"/>
  <c r="L69" i="4"/>
  <c r="AB693" i="10"/>
  <c r="AD693" i="10" s="1"/>
  <c r="AK622" i="10"/>
  <c r="AJ622" i="10"/>
  <c r="AI622" i="10"/>
  <c r="L93" i="4"/>
  <c r="AB713" i="10"/>
  <c r="AD713" i="10" s="1"/>
  <c r="AK642" i="10"/>
  <c r="AJ642" i="10"/>
  <c r="AI642" i="10"/>
  <c r="L92" i="4"/>
  <c r="AB712" i="10"/>
  <c r="AD712" i="10" s="1"/>
  <c r="AK641" i="10"/>
  <c r="AJ641" i="10"/>
  <c r="AI641" i="10"/>
  <c r="L91" i="4"/>
  <c r="AB711" i="10"/>
  <c r="AD711" i="10" s="1"/>
  <c r="AK640" i="10"/>
  <c r="AJ640" i="10"/>
  <c r="AI640" i="10"/>
  <c r="L90" i="4"/>
  <c r="AB710" i="10"/>
  <c r="AD710" i="10" s="1"/>
  <c r="AK639" i="10"/>
  <c r="AJ639" i="10"/>
  <c r="AI639" i="10"/>
  <c r="L88" i="4"/>
  <c r="AB709" i="10"/>
  <c r="AD709" i="10" s="1"/>
  <c r="AK638" i="10"/>
  <c r="AJ638" i="10"/>
  <c r="AI638" i="10"/>
  <c r="L87" i="4"/>
  <c r="AB708" i="10"/>
  <c r="AD708" i="10" s="1"/>
  <c r="AK637" i="10"/>
  <c r="AJ637" i="10"/>
  <c r="AI637" i="10"/>
  <c r="L86" i="4"/>
  <c r="AB707" i="10"/>
  <c r="AD707" i="10" s="1"/>
  <c r="AK636" i="10"/>
  <c r="AJ636" i="10"/>
  <c r="AI636" i="10"/>
  <c r="L85" i="4"/>
  <c r="AB706" i="10"/>
  <c r="AD706" i="10" s="1"/>
  <c r="AK635" i="10"/>
  <c r="AJ635" i="10"/>
  <c r="AI635" i="10"/>
  <c r="L84" i="4"/>
  <c r="AB705" i="10"/>
  <c r="AD705" i="10" s="1"/>
  <c r="AK634" i="10"/>
  <c r="AJ634" i="10"/>
  <c r="AI634" i="10"/>
  <c r="L83" i="4"/>
  <c r="AB704" i="10"/>
  <c r="AD704" i="10" s="1"/>
  <c r="AK633" i="10"/>
  <c r="AJ633" i="10"/>
  <c r="AI633" i="10"/>
  <c r="L82" i="4"/>
  <c r="AB703" i="10"/>
  <c r="AD703" i="10" s="1"/>
  <c r="AK632" i="10"/>
  <c r="AJ632" i="10"/>
  <c r="AI632" i="10"/>
  <c r="L81" i="4"/>
  <c r="AB702" i="10"/>
  <c r="AD702" i="10" s="1"/>
  <c r="AK631" i="10"/>
  <c r="AJ631" i="10"/>
  <c r="AI631" i="10"/>
  <c r="L79" i="4"/>
  <c r="AB701" i="10"/>
  <c r="AD701" i="10" s="1"/>
  <c r="AK630" i="10"/>
  <c r="AJ630" i="10"/>
  <c r="AI630" i="10"/>
  <c r="L78" i="4"/>
  <c r="AB700" i="10"/>
  <c r="AD700" i="10" s="1"/>
  <c r="AK629" i="10"/>
  <c r="AJ629" i="10"/>
  <c r="AI629" i="10"/>
  <c r="L77" i="4"/>
  <c r="AB699" i="10"/>
  <c r="AD699" i="10" s="1"/>
  <c r="AK628" i="10"/>
  <c r="AJ628" i="10"/>
  <c r="AI628" i="10"/>
  <c r="L76" i="4"/>
  <c r="AB698" i="10"/>
  <c r="AD698" i="10" s="1"/>
  <c r="AK627" i="10"/>
  <c r="AJ627" i="10"/>
  <c r="AI627" i="10"/>
  <c r="L75" i="4"/>
  <c r="AB697" i="10"/>
  <c r="AD697" i="10" s="1"/>
  <c r="AK626" i="10"/>
  <c r="AJ626" i="10"/>
  <c r="AI626" i="10"/>
  <c r="L74" i="4"/>
  <c r="AB696" i="10"/>
  <c r="AD696" i="10" s="1"/>
  <c r="AK625" i="10"/>
  <c r="AJ625" i="10"/>
  <c r="AI625" i="10"/>
  <c r="L72" i="4"/>
  <c r="AB695" i="10"/>
  <c r="AD695" i="10" s="1"/>
  <c r="AK624" i="10"/>
  <c r="AJ624" i="10"/>
  <c r="AI624" i="10"/>
  <c r="L71" i="4"/>
  <c r="AB694" i="10"/>
  <c r="AD694" i="10" s="1"/>
  <c r="AK623" i="10"/>
  <c r="AJ623" i="10"/>
  <c r="AI623" i="10"/>
  <c r="AB692" i="10"/>
  <c r="AD692" i="10" s="1"/>
  <c r="AK621" i="10"/>
  <c r="AI621" i="10"/>
  <c r="L68" i="4"/>
  <c r="AJ621" i="10"/>
  <c r="L67" i="4"/>
  <c r="AB691" i="10"/>
  <c r="AD691" i="10" s="1"/>
  <c r="AK620" i="10"/>
  <c r="AJ620" i="10"/>
  <c r="AI620" i="10"/>
  <c r="L66" i="4"/>
  <c r="AB690" i="10"/>
  <c r="AD690" i="10" s="1"/>
  <c r="AK619" i="10"/>
  <c r="AJ619" i="10"/>
  <c r="AI619" i="10"/>
  <c r="L65" i="4"/>
  <c r="AB689" i="10"/>
  <c r="AD689" i="10" s="1"/>
  <c r="AK618" i="10"/>
  <c r="AJ618" i="10"/>
  <c r="AI618" i="10"/>
  <c r="L63" i="4"/>
  <c r="AB688" i="10"/>
  <c r="AD688" i="10" s="1"/>
  <c r="AK617" i="10"/>
  <c r="AJ617" i="10"/>
  <c r="AI617" i="10"/>
  <c r="L62" i="4"/>
  <c r="AB687" i="10"/>
  <c r="AD687" i="10" s="1"/>
  <c r="AK616" i="10"/>
  <c r="AJ616" i="10"/>
  <c r="AI616" i="10"/>
  <c r="L61" i="4"/>
  <c r="AB686" i="10"/>
  <c r="AD686" i="10" s="1"/>
  <c r="AK615" i="10"/>
  <c r="AJ615" i="10"/>
  <c r="AI615" i="10"/>
  <c r="AB685" i="10"/>
  <c r="AD685" i="10" s="1"/>
  <c r="L60" i="4"/>
  <c r="AK614" i="10"/>
  <c r="AJ614" i="10"/>
  <c r="AI614" i="10"/>
  <c r="L58" i="4"/>
  <c r="AB684" i="10"/>
  <c r="AD684" i="10" s="1"/>
  <c r="AK613" i="10"/>
  <c r="AJ613" i="10"/>
  <c r="AI613" i="10"/>
  <c r="L57" i="4"/>
  <c r="AB683" i="10"/>
  <c r="AD683" i="10" s="1"/>
  <c r="AK612" i="10"/>
  <c r="AJ612" i="10"/>
  <c r="AI612" i="10"/>
  <c r="L56" i="4"/>
  <c r="AB682" i="10"/>
  <c r="AD682" i="10" s="1"/>
  <c r="AK611" i="10"/>
  <c r="AJ611" i="10"/>
  <c r="AI611" i="10"/>
  <c r="L55" i="4"/>
  <c r="AB681" i="10"/>
  <c r="AD681" i="10" s="1"/>
  <c r="AK610" i="10"/>
  <c r="AJ610" i="10"/>
  <c r="AI610" i="10"/>
  <c r="L54" i="4"/>
  <c r="AB680" i="10"/>
  <c r="AD680" i="10" s="1"/>
  <c r="AK609" i="10"/>
  <c r="AJ609" i="10"/>
  <c r="AI609" i="10"/>
  <c r="L53" i="4"/>
  <c r="AB679" i="10"/>
  <c r="AD679" i="10" s="1"/>
  <c r="AK608" i="10"/>
  <c r="AJ608" i="10"/>
  <c r="AI608" i="10"/>
  <c r="L52" i="4"/>
  <c r="AB678" i="10"/>
  <c r="AD678" i="10" s="1"/>
  <c r="AK607" i="10"/>
  <c r="AJ607" i="10"/>
  <c r="AI607" i="10"/>
  <c r="AB677" i="10"/>
  <c r="AD677" i="10" s="1"/>
  <c r="L51" i="4"/>
  <c r="AK606" i="10"/>
  <c r="AJ606" i="10"/>
  <c r="AI606" i="10"/>
  <c r="L49" i="4"/>
  <c r="AB676" i="10"/>
  <c r="AD676" i="10" s="1"/>
  <c r="AK605" i="10"/>
  <c r="AJ605" i="10"/>
  <c r="AI605" i="10"/>
  <c r="L48" i="4"/>
  <c r="AB675" i="10"/>
  <c r="AD675" i="10" s="1"/>
  <c r="AK604" i="10"/>
  <c r="AJ604" i="10"/>
  <c r="AI604" i="10"/>
  <c r="L47" i="4"/>
  <c r="AB674" i="10"/>
  <c r="AD674" i="10" s="1"/>
  <c r="AK603" i="10"/>
  <c r="AJ603" i="10"/>
  <c r="AI603" i="10"/>
  <c r="L45" i="4"/>
  <c r="AB673" i="10"/>
  <c r="AD673" i="10" s="1"/>
  <c r="AK602" i="10"/>
  <c r="AJ602" i="10"/>
  <c r="AI602" i="10"/>
  <c r="L44" i="4"/>
  <c r="AB672" i="10"/>
  <c r="AD672" i="10" s="1"/>
  <c r="AK601" i="10"/>
  <c r="AJ601" i="10"/>
  <c r="AI601" i="10"/>
  <c r="L43" i="4"/>
  <c r="AB671" i="10"/>
  <c r="AD671" i="10" s="1"/>
  <c r="AK600" i="10"/>
  <c r="AJ600" i="10"/>
  <c r="AI600" i="10"/>
  <c r="L41" i="4"/>
  <c r="AB670" i="10"/>
  <c r="AD670" i="10" s="1"/>
  <c r="AK599" i="10"/>
  <c r="AJ599" i="10"/>
  <c r="AI599" i="10"/>
  <c r="AB669" i="10"/>
  <c r="AD669" i="10" s="1"/>
  <c r="L40" i="4"/>
  <c r="AK598" i="10"/>
  <c r="AJ598" i="10"/>
  <c r="AI598" i="10"/>
  <c r="AB668" i="10"/>
  <c r="AD668" i="10" s="1"/>
  <c r="L39" i="4"/>
  <c r="AK597" i="10"/>
  <c r="AJ597" i="10"/>
  <c r="AI597" i="10"/>
  <c r="AB667" i="10"/>
  <c r="AD667" i="10" s="1"/>
  <c r="L38" i="4"/>
  <c r="AK596" i="10"/>
  <c r="AJ596" i="10"/>
  <c r="AI596" i="10"/>
  <c r="L36" i="4"/>
  <c r="AB666" i="10"/>
  <c r="AD666" i="10" s="1"/>
  <c r="AK595" i="10"/>
  <c r="AJ595" i="10"/>
  <c r="AI595" i="10"/>
  <c r="L35" i="4"/>
  <c r="AB665" i="10"/>
  <c r="AD665" i="10" s="1"/>
  <c r="AK594" i="10"/>
  <c r="AJ594" i="10"/>
  <c r="AI594" i="10"/>
  <c r="L34" i="4"/>
  <c r="AB664" i="10"/>
  <c r="AD664" i="10" s="1"/>
  <c r="AK593" i="10"/>
  <c r="AJ593" i="10"/>
  <c r="AI593" i="10"/>
  <c r="L33" i="4"/>
  <c r="AB663" i="10"/>
  <c r="AD663" i="10" s="1"/>
  <c r="AK592" i="10"/>
  <c r="AJ592" i="10"/>
  <c r="AI592" i="10"/>
  <c r="L31" i="4"/>
  <c r="AB662" i="10"/>
  <c r="AD662" i="10" s="1"/>
  <c r="AK591" i="10"/>
  <c r="AJ591" i="10"/>
  <c r="AI591" i="10"/>
  <c r="AB661" i="10"/>
  <c r="AD661" i="10" s="1"/>
  <c r="L30" i="4"/>
  <c r="AK590" i="10"/>
  <c r="AJ590" i="10"/>
  <c r="AI590" i="10"/>
  <c r="L29" i="4"/>
  <c r="AB660" i="10"/>
  <c r="AD660" i="10" s="1"/>
  <c r="AK589" i="10"/>
  <c r="AJ589" i="10"/>
  <c r="AI589" i="10"/>
  <c r="L28" i="4"/>
  <c r="AB659" i="10"/>
  <c r="AD659" i="10" s="1"/>
  <c r="AK588" i="10"/>
  <c r="AJ588" i="10"/>
  <c r="AI588" i="10"/>
  <c r="L27" i="4"/>
  <c r="AB658" i="10"/>
  <c r="AD658" i="10" s="1"/>
  <c r="AK587" i="10"/>
  <c r="AJ587" i="10"/>
  <c r="AI587" i="10"/>
  <c r="L26" i="4"/>
  <c r="AB657" i="10"/>
  <c r="AD657" i="10" s="1"/>
  <c r="AK586" i="10"/>
  <c r="AJ586" i="10"/>
  <c r="AI586" i="10"/>
  <c r="L25" i="4"/>
  <c r="AB656" i="10"/>
  <c r="AD656" i="10" s="1"/>
  <c r="AK585" i="10"/>
  <c r="AJ585" i="10"/>
  <c r="AI585" i="10"/>
  <c r="L23" i="4"/>
  <c r="AB655" i="10"/>
  <c r="AD655" i="10" s="1"/>
  <c r="AK584" i="10"/>
  <c r="AJ584" i="10"/>
  <c r="AI584" i="10"/>
  <c r="AB654" i="10"/>
  <c r="AD654" i="10" s="1"/>
  <c r="L22" i="4"/>
  <c r="AK583" i="10"/>
  <c r="AJ583" i="10"/>
  <c r="AI583" i="10"/>
  <c r="L19" i="4"/>
  <c r="AB652" i="10"/>
  <c r="AD652" i="10" s="1"/>
  <c r="AK581" i="10"/>
  <c r="AJ581" i="10"/>
  <c r="AI581" i="10"/>
  <c r="L15" i="4"/>
  <c r="AB648" i="10"/>
  <c r="AD648" i="10" s="1"/>
  <c r="AK577" i="10"/>
  <c r="AJ577" i="10"/>
  <c r="AI577" i="10"/>
  <c r="AI572" i="10"/>
  <c r="F16" i="12" s="1"/>
  <c r="AJ572" i="10"/>
  <c r="I16" i="12" s="1"/>
  <c r="AK572" i="10"/>
  <c r="AB643" i="10"/>
  <c r="D20" i="11"/>
  <c r="E16" i="12"/>
  <c r="L10" i="4"/>
  <c r="AF653" i="10" l="1"/>
  <c r="AE653" i="10"/>
  <c r="AF651" i="10"/>
  <c r="AE651" i="10"/>
  <c r="AF650" i="10"/>
  <c r="AE650" i="10"/>
  <c r="AF649" i="10"/>
  <c r="AE649" i="10"/>
  <c r="AF647" i="10"/>
  <c r="AE647" i="10"/>
  <c r="AF646" i="10"/>
  <c r="AE646" i="10"/>
  <c r="AF645" i="10"/>
  <c r="AE645" i="10"/>
  <c r="AF644" i="10"/>
  <c r="AE644" i="10"/>
  <c r="AF693" i="10"/>
  <c r="AE693" i="10"/>
  <c r="AF713" i="10"/>
  <c r="AE713" i="10"/>
  <c r="AF712" i="10"/>
  <c r="AE712" i="10"/>
  <c r="AF711" i="10"/>
  <c r="AE711" i="10"/>
  <c r="AF710" i="10"/>
  <c r="AE710" i="10"/>
  <c r="AF709" i="10"/>
  <c r="AE709" i="10"/>
  <c r="AF708" i="10"/>
  <c r="AE708" i="10"/>
  <c r="AF707" i="10"/>
  <c r="AE707" i="10"/>
  <c r="AF706" i="10"/>
  <c r="AE706" i="10"/>
  <c r="AF705" i="10"/>
  <c r="AE705" i="10"/>
  <c r="AF704" i="10"/>
  <c r="AE704" i="10"/>
  <c r="AF703" i="10"/>
  <c r="AE703" i="10"/>
  <c r="AF702" i="10"/>
  <c r="AE702" i="10"/>
  <c r="AF701" i="10"/>
  <c r="AE701" i="10"/>
  <c r="AF700" i="10"/>
  <c r="AE700" i="10"/>
  <c r="AF699" i="10"/>
  <c r="AE699" i="10"/>
  <c r="AF698" i="10"/>
  <c r="AE698" i="10"/>
  <c r="AF697" i="10"/>
  <c r="AE697" i="10"/>
  <c r="AF696" i="10"/>
  <c r="AE696" i="10"/>
  <c r="AF695" i="10"/>
  <c r="AE695" i="10"/>
  <c r="AF694" i="10"/>
  <c r="AE694" i="10"/>
  <c r="AF692" i="10"/>
  <c r="AE692" i="10"/>
  <c r="AF691" i="10"/>
  <c r="AE691" i="10"/>
  <c r="AF690" i="10"/>
  <c r="AE690" i="10"/>
  <c r="AF689" i="10"/>
  <c r="AE689" i="10"/>
  <c r="AF688" i="10"/>
  <c r="AE688" i="10"/>
  <c r="AF687" i="10"/>
  <c r="AE687" i="10"/>
  <c r="AF686" i="10"/>
  <c r="AE686" i="10"/>
  <c r="AF685" i="10"/>
  <c r="AE685" i="10"/>
  <c r="AF684" i="10"/>
  <c r="AE684" i="10"/>
  <c r="AF683" i="10"/>
  <c r="AE683" i="10"/>
  <c r="AF682" i="10"/>
  <c r="AE682" i="10"/>
  <c r="AF681" i="10"/>
  <c r="AE681" i="10"/>
  <c r="AF680" i="10"/>
  <c r="AE680" i="10"/>
  <c r="AF679" i="10"/>
  <c r="AE679" i="10"/>
  <c r="AF678" i="10"/>
  <c r="AE678" i="10"/>
  <c r="AF677" i="10"/>
  <c r="AE677" i="10"/>
  <c r="AF676" i="10"/>
  <c r="AE676" i="10"/>
  <c r="AF675" i="10"/>
  <c r="AE675" i="10"/>
  <c r="AF674" i="10"/>
  <c r="AE674" i="10"/>
  <c r="AF673" i="10"/>
  <c r="AE673" i="10"/>
  <c r="AF672" i="10"/>
  <c r="AE672" i="10"/>
  <c r="AF671" i="10"/>
  <c r="AE671" i="10"/>
  <c r="AF670" i="10"/>
  <c r="AE670" i="10"/>
  <c r="AF669" i="10"/>
  <c r="AE669" i="10"/>
  <c r="AF668" i="10"/>
  <c r="AE668" i="10"/>
  <c r="AF667" i="10"/>
  <c r="AE667" i="10"/>
  <c r="AF666" i="10"/>
  <c r="AE666" i="10"/>
  <c r="AF665" i="10"/>
  <c r="AE665" i="10"/>
  <c r="AF664" i="10"/>
  <c r="AE664" i="10"/>
  <c r="AF663" i="10"/>
  <c r="AE663" i="10"/>
  <c r="AF662" i="10"/>
  <c r="AE662" i="10"/>
  <c r="AF661" i="10"/>
  <c r="AE661" i="10"/>
  <c r="AF660" i="10"/>
  <c r="AE660" i="10"/>
  <c r="AF659" i="10"/>
  <c r="AE659" i="10"/>
  <c r="AF658" i="10"/>
  <c r="AE658" i="10"/>
  <c r="AF657" i="10"/>
  <c r="AE657" i="10"/>
  <c r="AF656" i="10"/>
  <c r="AE656" i="10"/>
  <c r="AF655" i="10"/>
  <c r="AE655" i="10"/>
  <c r="AF654" i="10"/>
  <c r="AE654" i="10"/>
  <c r="AF652" i="10"/>
  <c r="AE652" i="10"/>
  <c r="AF648" i="10"/>
  <c r="AE648" i="10"/>
  <c r="AD643" i="10"/>
  <c r="H17" i="12"/>
  <c r="E20" i="11"/>
  <c r="G20" i="11"/>
  <c r="L95" i="4"/>
  <c r="AF643" i="10" l="1"/>
  <c r="AE643" i="10"/>
  <c r="AG658" i="10" l="1"/>
  <c r="AH658" i="10" s="1"/>
  <c r="AG657" i="10"/>
  <c r="AH657" i="10" s="1"/>
  <c r="AG646" i="10"/>
  <c r="AH646" i="10" s="1"/>
  <c r="AG650" i="10"/>
  <c r="AH650" i="10" s="1"/>
  <c r="AG647" i="10"/>
  <c r="AH647" i="10" s="1"/>
  <c r="AG656" i="10"/>
  <c r="AH656" i="10" s="1"/>
  <c r="AG654" i="10"/>
  <c r="AH654" i="10" s="1"/>
  <c r="AG652" i="10"/>
  <c r="AH652" i="10" s="1"/>
  <c r="AG651" i="10"/>
  <c r="AH651" i="10" s="1"/>
  <c r="AG713" i="10"/>
  <c r="AH713" i="10" s="1"/>
  <c r="AG712" i="10"/>
  <c r="AH712" i="10" s="1"/>
  <c r="AG711" i="10"/>
  <c r="AH711" i="10" s="1"/>
  <c r="AG710" i="10"/>
  <c r="AH710" i="10" s="1"/>
  <c r="AG709" i="10"/>
  <c r="AH709" i="10" s="1"/>
  <c r="AG708" i="10"/>
  <c r="AH708" i="10" s="1"/>
  <c r="AG707" i="10"/>
  <c r="AH707" i="10" s="1"/>
  <c r="AG706" i="10"/>
  <c r="AH706" i="10" s="1"/>
  <c r="AG705" i="10"/>
  <c r="AH705" i="10" s="1"/>
  <c r="AG704" i="10"/>
  <c r="AH704" i="10" s="1"/>
  <c r="AG703" i="10"/>
  <c r="AH703" i="10" s="1"/>
  <c r="AG702" i="10"/>
  <c r="AH702" i="10" s="1"/>
  <c r="AG701" i="10"/>
  <c r="AH701" i="10" s="1"/>
  <c r="AG700" i="10"/>
  <c r="AH700" i="10" s="1"/>
  <c r="AG699" i="10"/>
  <c r="AH699" i="10" s="1"/>
  <c r="AG698" i="10"/>
  <c r="AH698" i="10" s="1"/>
  <c r="AG697" i="10"/>
  <c r="AH697" i="10" s="1"/>
  <c r="AG696" i="10"/>
  <c r="AH696" i="10" s="1"/>
  <c r="AG695" i="10"/>
  <c r="AH695" i="10" s="1"/>
  <c r="AG694" i="10"/>
  <c r="AH694" i="10" s="1"/>
  <c r="AG693" i="10"/>
  <c r="AH693" i="10" s="1"/>
  <c r="AG692" i="10"/>
  <c r="AH692" i="10" s="1"/>
  <c r="AG691" i="10"/>
  <c r="AH691" i="10" s="1"/>
  <c r="AG690" i="10"/>
  <c r="AH690" i="10" s="1"/>
  <c r="AG689" i="10"/>
  <c r="AH689" i="10" s="1"/>
  <c r="AG688" i="10"/>
  <c r="AH688" i="10" s="1"/>
  <c r="AG687" i="10"/>
  <c r="AH687" i="10" s="1"/>
  <c r="AG686" i="10"/>
  <c r="AH686" i="10" s="1"/>
  <c r="AG685" i="10"/>
  <c r="AH685" i="10" s="1"/>
  <c r="AG684" i="10"/>
  <c r="AH684" i="10" s="1"/>
  <c r="AG683" i="10"/>
  <c r="AH683" i="10" s="1"/>
  <c r="AG682" i="10"/>
  <c r="AH682" i="10" s="1"/>
  <c r="AG681" i="10"/>
  <c r="AH681" i="10" s="1"/>
  <c r="AG680" i="10"/>
  <c r="AH680" i="10" s="1"/>
  <c r="AG679" i="10"/>
  <c r="AH679" i="10" s="1"/>
  <c r="AG678" i="10"/>
  <c r="AH678" i="10" s="1"/>
  <c r="AG677" i="10"/>
  <c r="AH677" i="10" s="1"/>
  <c r="AG676" i="10"/>
  <c r="AH676" i="10" s="1"/>
  <c r="AG675" i="10"/>
  <c r="AH675" i="10" s="1"/>
  <c r="AG674" i="10"/>
  <c r="AH674" i="10" s="1"/>
  <c r="AG673" i="10"/>
  <c r="AH673" i="10" s="1"/>
  <c r="AG672" i="10"/>
  <c r="AH672" i="10" s="1"/>
  <c r="AG671" i="10"/>
  <c r="AH671" i="10" s="1"/>
  <c r="AG670" i="10"/>
  <c r="AH670" i="10" s="1"/>
  <c r="AG669" i="10"/>
  <c r="AH669" i="10" s="1"/>
  <c r="AG668" i="10"/>
  <c r="AH668" i="10" s="1"/>
  <c r="AG667" i="10"/>
  <c r="AH667" i="10" s="1"/>
  <c r="AG666" i="10"/>
  <c r="AH666" i="10" s="1"/>
  <c r="AG665" i="10"/>
  <c r="AH665" i="10" s="1"/>
  <c r="AG664" i="10"/>
  <c r="AH664" i="10" s="1"/>
  <c r="AG663" i="10"/>
  <c r="AH663" i="10" s="1"/>
  <c r="AG662" i="10"/>
  <c r="AH662" i="10" s="1"/>
  <c r="AG661" i="10"/>
  <c r="AH661" i="10" s="1"/>
  <c r="AG660" i="10"/>
  <c r="AH660" i="10" s="1"/>
  <c r="AG643" i="10"/>
  <c r="AG659" i="10"/>
  <c r="AH659" i="10" s="1"/>
  <c r="AG655" i="10"/>
  <c r="AH655" i="10" s="1"/>
  <c r="AG653" i="10"/>
  <c r="AH653" i="10" s="1"/>
  <c r="AG648" i="10"/>
  <c r="AH648" i="10" s="1"/>
  <c r="AG644" i="10"/>
  <c r="AH644" i="10" s="1"/>
  <c r="AG649" i="10"/>
  <c r="AH649" i="10" s="1"/>
  <c r="AG645" i="10"/>
  <c r="AH645" i="10" s="1"/>
  <c r="AH643" i="10"/>
  <c r="M27" i="4" l="1"/>
  <c r="AB729" i="10"/>
  <c r="AD729" i="10" s="1"/>
  <c r="AK658" i="10"/>
  <c r="AJ658" i="10"/>
  <c r="AI658" i="10"/>
  <c r="M26" i="4"/>
  <c r="AB728" i="10"/>
  <c r="AD728" i="10" s="1"/>
  <c r="AK657" i="10"/>
  <c r="AJ657" i="10"/>
  <c r="AI657" i="10"/>
  <c r="M13" i="4"/>
  <c r="AB717" i="10"/>
  <c r="AD717" i="10" s="1"/>
  <c r="AK646" i="10"/>
  <c r="AJ646" i="10"/>
  <c r="AI646" i="10"/>
  <c r="M17" i="4"/>
  <c r="AF721" i="10"/>
  <c r="AB721" i="10"/>
  <c r="AD721" i="10" s="1"/>
  <c r="AE721" i="10" s="1"/>
  <c r="AK650" i="10"/>
  <c r="AJ650" i="10"/>
  <c r="AI650" i="10"/>
  <c r="M14" i="4"/>
  <c r="AB718" i="10"/>
  <c r="AD718" i="10" s="1"/>
  <c r="AK647" i="10"/>
  <c r="AJ647" i="10"/>
  <c r="AI647" i="10"/>
  <c r="M25" i="4"/>
  <c r="AB727" i="10"/>
  <c r="AD727" i="10" s="1"/>
  <c r="AK656" i="10"/>
  <c r="AJ656" i="10"/>
  <c r="AI656" i="10"/>
  <c r="M22" i="4"/>
  <c r="AB725" i="10"/>
  <c r="AD725" i="10" s="1"/>
  <c r="AK654" i="10"/>
  <c r="AJ654" i="10"/>
  <c r="AI654" i="10"/>
  <c r="M19" i="4"/>
  <c r="AB723" i="10"/>
  <c r="AD723" i="10" s="1"/>
  <c r="AK652" i="10"/>
  <c r="AJ652" i="10"/>
  <c r="AI652" i="10"/>
  <c r="M18" i="4"/>
  <c r="AB722" i="10"/>
  <c r="AD722" i="10" s="1"/>
  <c r="AK651" i="10"/>
  <c r="AJ651" i="10"/>
  <c r="AI651" i="10"/>
  <c r="M93" i="4"/>
  <c r="AB784" i="10"/>
  <c r="AD784" i="10" s="1"/>
  <c r="AK713" i="10"/>
  <c r="AJ713" i="10"/>
  <c r="AI713" i="10"/>
  <c r="M92" i="4"/>
  <c r="AB783" i="10"/>
  <c r="AD783" i="10" s="1"/>
  <c r="AK712" i="10"/>
  <c r="AJ712" i="10"/>
  <c r="AI712" i="10"/>
  <c r="M91" i="4"/>
  <c r="AB782" i="10"/>
  <c r="AD782" i="10" s="1"/>
  <c r="AK711" i="10"/>
  <c r="AJ711" i="10"/>
  <c r="AI711" i="10"/>
  <c r="M90" i="4"/>
  <c r="AB781" i="10"/>
  <c r="AD781" i="10" s="1"/>
  <c r="AK710" i="10"/>
  <c r="AJ710" i="10"/>
  <c r="AI710" i="10"/>
  <c r="M88" i="4"/>
  <c r="AB780" i="10"/>
  <c r="AD780" i="10" s="1"/>
  <c r="AK709" i="10"/>
  <c r="AJ709" i="10"/>
  <c r="AI709" i="10"/>
  <c r="M87" i="4"/>
  <c r="AB779" i="10"/>
  <c r="AD779" i="10" s="1"/>
  <c r="AK708" i="10"/>
  <c r="AJ708" i="10"/>
  <c r="AI708" i="10"/>
  <c r="M86" i="4"/>
  <c r="AB778" i="10"/>
  <c r="AD778" i="10" s="1"/>
  <c r="AK707" i="10"/>
  <c r="AJ707" i="10"/>
  <c r="AI707" i="10"/>
  <c r="M85" i="4"/>
  <c r="AB777" i="10"/>
  <c r="AD777" i="10" s="1"/>
  <c r="AK706" i="10"/>
  <c r="AJ706" i="10"/>
  <c r="AI706" i="10"/>
  <c r="M84" i="4"/>
  <c r="AB776" i="10"/>
  <c r="AD776" i="10" s="1"/>
  <c r="AK705" i="10"/>
  <c r="AJ705" i="10"/>
  <c r="AI705" i="10"/>
  <c r="M83" i="4"/>
  <c r="AB775" i="10"/>
  <c r="AD775" i="10" s="1"/>
  <c r="AK704" i="10"/>
  <c r="AJ704" i="10"/>
  <c r="AI704" i="10"/>
  <c r="M82" i="4"/>
  <c r="AB774" i="10"/>
  <c r="AD774" i="10" s="1"/>
  <c r="AK703" i="10"/>
  <c r="AJ703" i="10"/>
  <c r="AI703" i="10"/>
  <c r="M81" i="4"/>
  <c r="AB773" i="10"/>
  <c r="AD773" i="10" s="1"/>
  <c r="AK702" i="10"/>
  <c r="AJ702" i="10"/>
  <c r="AI702" i="10"/>
  <c r="M79" i="4"/>
  <c r="AB772" i="10"/>
  <c r="AD772" i="10" s="1"/>
  <c r="AK701" i="10"/>
  <c r="AJ701" i="10"/>
  <c r="AI701" i="10"/>
  <c r="M78" i="4"/>
  <c r="AB771" i="10"/>
  <c r="AD771" i="10" s="1"/>
  <c r="AK700" i="10"/>
  <c r="AJ700" i="10"/>
  <c r="AI700" i="10"/>
  <c r="M77" i="4"/>
  <c r="AB770" i="10"/>
  <c r="AD770" i="10" s="1"/>
  <c r="AK699" i="10"/>
  <c r="AJ699" i="10"/>
  <c r="AI699" i="10"/>
  <c r="M76" i="4"/>
  <c r="AB769" i="10"/>
  <c r="AD769" i="10" s="1"/>
  <c r="AK698" i="10"/>
  <c r="AJ698" i="10"/>
  <c r="AI698" i="10"/>
  <c r="M75" i="4"/>
  <c r="AB768" i="10"/>
  <c r="AD768" i="10" s="1"/>
  <c r="AK697" i="10"/>
  <c r="AJ697" i="10"/>
  <c r="AI697" i="10"/>
  <c r="M74" i="4"/>
  <c r="AB767" i="10"/>
  <c r="AD767" i="10" s="1"/>
  <c r="AK696" i="10"/>
  <c r="AJ696" i="10"/>
  <c r="AI696" i="10"/>
  <c r="M72" i="4"/>
  <c r="AB766" i="10"/>
  <c r="AD766" i="10" s="1"/>
  <c r="AK695" i="10"/>
  <c r="AJ695" i="10"/>
  <c r="AI695" i="10"/>
  <c r="M71" i="4"/>
  <c r="AB765" i="10"/>
  <c r="AD765" i="10" s="1"/>
  <c r="AK694" i="10"/>
  <c r="AJ694" i="10"/>
  <c r="AI694" i="10"/>
  <c r="M69" i="4"/>
  <c r="AB764" i="10"/>
  <c r="AD764" i="10" s="1"/>
  <c r="AK693" i="10"/>
  <c r="AJ693" i="10"/>
  <c r="AI693" i="10"/>
  <c r="M68" i="4"/>
  <c r="AB763" i="10"/>
  <c r="AD763" i="10" s="1"/>
  <c r="AK692" i="10"/>
  <c r="AJ692" i="10"/>
  <c r="AI692" i="10"/>
  <c r="M67" i="4"/>
  <c r="AB762" i="10"/>
  <c r="AD762" i="10" s="1"/>
  <c r="AK691" i="10"/>
  <c r="AJ691" i="10"/>
  <c r="AI691" i="10"/>
  <c r="M66" i="4"/>
  <c r="AB761" i="10"/>
  <c r="AD761" i="10" s="1"/>
  <c r="AK690" i="10"/>
  <c r="AJ690" i="10"/>
  <c r="AI690" i="10"/>
  <c r="M65" i="4"/>
  <c r="AB760" i="10"/>
  <c r="AD760" i="10" s="1"/>
  <c r="AK689" i="10"/>
  <c r="AJ689" i="10"/>
  <c r="AI689" i="10"/>
  <c r="M63" i="4"/>
  <c r="AB759" i="10"/>
  <c r="AD759" i="10" s="1"/>
  <c r="AK688" i="10"/>
  <c r="AJ688" i="10"/>
  <c r="AI688" i="10"/>
  <c r="M62" i="4"/>
  <c r="AB758" i="10"/>
  <c r="AD758" i="10" s="1"/>
  <c r="AK687" i="10"/>
  <c r="AJ687" i="10"/>
  <c r="AI687" i="10"/>
  <c r="M61" i="4"/>
  <c r="AB757" i="10"/>
  <c r="AD757" i="10" s="1"/>
  <c r="AK686" i="10"/>
  <c r="AJ686" i="10"/>
  <c r="AI686" i="10"/>
  <c r="M60" i="4"/>
  <c r="AB756" i="10"/>
  <c r="AD756" i="10" s="1"/>
  <c r="AK685" i="10"/>
  <c r="AJ685" i="10"/>
  <c r="AI685" i="10"/>
  <c r="M58" i="4"/>
  <c r="AB755" i="10"/>
  <c r="AD755" i="10" s="1"/>
  <c r="AK684" i="10"/>
  <c r="AJ684" i="10"/>
  <c r="AI684" i="10"/>
  <c r="M57" i="4"/>
  <c r="AB754" i="10"/>
  <c r="AD754" i="10" s="1"/>
  <c r="AK683" i="10"/>
  <c r="AJ683" i="10"/>
  <c r="AI683" i="10"/>
  <c r="M56" i="4"/>
  <c r="AB753" i="10"/>
  <c r="AD753" i="10" s="1"/>
  <c r="AK682" i="10"/>
  <c r="AJ682" i="10"/>
  <c r="AI682" i="10"/>
  <c r="M55" i="4"/>
  <c r="AB752" i="10"/>
  <c r="AD752" i="10" s="1"/>
  <c r="AK681" i="10"/>
  <c r="AJ681" i="10"/>
  <c r="AI681" i="10"/>
  <c r="M54" i="4"/>
  <c r="AB751" i="10"/>
  <c r="AD751" i="10" s="1"/>
  <c r="AK680" i="10"/>
  <c r="AJ680" i="10"/>
  <c r="AI680" i="10"/>
  <c r="M53" i="4"/>
  <c r="AB750" i="10"/>
  <c r="AD750" i="10" s="1"/>
  <c r="AK679" i="10"/>
  <c r="AJ679" i="10"/>
  <c r="AI679" i="10"/>
  <c r="M52" i="4"/>
  <c r="AB749" i="10"/>
  <c r="AD749" i="10" s="1"/>
  <c r="AK678" i="10"/>
  <c r="AJ678" i="10"/>
  <c r="AI678" i="10"/>
  <c r="M51" i="4"/>
  <c r="AB748" i="10"/>
  <c r="AD748" i="10" s="1"/>
  <c r="AK677" i="10"/>
  <c r="AJ677" i="10"/>
  <c r="AI677" i="10"/>
  <c r="M49" i="4"/>
  <c r="AB747" i="10"/>
  <c r="AD747" i="10" s="1"/>
  <c r="AK676" i="10"/>
  <c r="AJ676" i="10"/>
  <c r="AI676" i="10"/>
  <c r="M48" i="4"/>
  <c r="AB746" i="10"/>
  <c r="AD746" i="10" s="1"/>
  <c r="AK675" i="10"/>
  <c r="AJ675" i="10"/>
  <c r="AI675" i="10"/>
  <c r="M47" i="4"/>
  <c r="AB745" i="10"/>
  <c r="AD745" i="10" s="1"/>
  <c r="AK674" i="10"/>
  <c r="AJ674" i="10"/>
  <c r="AI674" i="10"/>
  <c r="M45" i="4"/>
  <c r="AB744" i="10"/>
  <c r="AD744" i="10" s="1"/>
  <c r="AK673" i="10"/>
  <c r="AJ673" i="10"/>
  <c r="AI673" i="10"/>
  <c r="M44" i="4"/>
  <c r="AB743" i="10"/>
  <c r="AD743" i="10" s="1"/>
  <c r="AK672" i="10"/>
  <c r="AJ672" i="10"/>
  <c r="AI672" i="10"/>
  <c r="M43" i="4"/>
  <c r="AB742" i="10"/>
  <c r="AD742" i="10" s="1"/>
  <c r="AK671" i="10"/>
  <c r="AJ671" i="10"/>
  <c r="AI671" i="10"/>
  <c r="M41" i="4"/>
  <c r="AB741" i="10"/>
  <c r="AD741" i="10" s="1"/>
  <c r="AK670" i="10"/>
  <c r="AJ670" i="10"/>
  <c r="AI670" i="10"/>
  <c r="M40" i="4"/>
  <c r="AB740" i="10"/>
  <c r="AD740" i="10" s="1"/>
  <c r="AK669" i="10"/>
  <c r="AJ669" i="10"/>
  <c r="AI669" i="10"/>
  <c r="M39" i="4"/>
  <c r="AB739" i="10"/>
  <c r="AD739" i="10" s="1"/>
  <c r="AK668" i="10"/>
  <c r="AJ668" i="10"/>
  <c r="AI668" i="10"/>
  <c r="M38" i="4"/>
  <c r="AB738" i="10"/>
  <c r="AD738" i="10" s="1"/>
  <c r="AK667" i="10"/>
  <c r="AJ667" i="10"/>
  <c r="AI667" i="10"/>
  <c r="M36" i="4"/>
  <c r="AB737" i="10"/>
  <c r="AD737" i="10" s="1"/>
  <c r="AK666" i="10"/>
  <c r="AJ666" i="10"/>
  <c r="AI666" i="10"/>
  <c r="M35" i="4"/>
  <c r="AB736" i="10"/>
  <c r="AD736" i="10" s="1"/>
  <c r="AK665" i="10"/>
  <c r="AJ665" i="10"/>
  <c r="AI665" i="10"/>
  <c r="M34" i="4"/>
  <c r="AB735" i="10"/>
  <c r="AD735" i="10" s="1"/>
  <c r="AK664" i="10"/>
  <c r="AJ664" i="10"/>
  <c r="AI664" i="10"/>
  <c r="M33" i="4"/>
  <c r="AB734" i="10"/>
  <c r="AD734" i="10" s="1"/>
  <c r="AK663" i="10"/>
  <c r="AJ663" i="10"/>
  <c r="AI663" i="10"/>
  <c r="M31" i="4"/>
  <c r="AB733" i="10"/>
  <c r="AD733" i="10" s="1"/>
  <c r="AK662" i="10"/>
  <c r="AJ662" i="10"/>
  <c r="AI662" i="10"/>
  <c r="M30" i="4"/>
  <c r="AB732" i="10"/>
  <c r="AD732" i="10" s="1"/>
  <c r="AK661" i="10"/>
  <c r="AJ661" i="10"/>
  <c r="AI661" i="10"/>
  <c r="M29" i="4"/>
  <c r="AB731" i="10"/>
  <c r="AD731" i="10" s="1"/>
  <c r="AK660" i="10"/>
  <c r="AJ660" i="10"/>
  <c r="AI660" i="10"/>
  <c r="M28" i="4"/>
  <c r="AB730" i="10"/>
  <c r="AD730" i="10" s="1"/>
  <c r="AK659" i="10"/>
  <c r="AJ659" i="10"/>
  <c r="AI659" i="10"/>
  <c r="M23" i="4"/>
  <c r="AB726" i="10"/>
  <c r="AD726" i="10" s="1"/>
  <c r="AK655" i="10"/>
  <c r="AJ655" i="10"/>
  <c r="AI655" i="10"/>
  <c r="M21" i="4"/>
  <c r="AB724" i="10"/>
  <c r="AD724" i="10" s="1"/>
  <c r="AK653" i="10"/>
  <c r="AJ653" i="10"/>
  <c r="AI653" i="10"/>
  <c r="M15" i="4"/>
  <c r="AB719" i="10"/>
  <c r="AD719" i="10" s="1"/>
  <c r="AK648" i="10"/>
  <c r="AJ648" i="10"/>
  <c r="AI648" i="10"/>
  <c r="M11" i="4"/>
  <c r="AB715" i="10"/>
  <c r="AD715" i="10" s="1"/>
  <c r="AK644" i="10"/>
  <c r="AJ644" i="10"/>
  <c r="AI644" i="10"/>
  <c r="M16" i="4"/>
  <c r="AB720" i="10"/>
  <c r="AD720" i="10" s="1"/>
  <c r="AK649" i="10"/>
  <c r="AJ649" i="10"/>
  <c r="AI649" i="10"/>
  <c r="M12" i="4"/>
  <c r="AB716" i="10"/>
  <c r="AD716" i="10" s="1"/>
  <c r="AK645" i="10"/>
  <c r="AJ645" i="10"/>
  <c r="AI645" i="10"/>
  <c r="AI643" i="10"/>
  <c r="F17" i="12" s="1"/>
  <c r="AJ643" i="10"/>
  <c r="I17" i="12" s="1"/>
  <c r="AK643" i="10"/>
  <c r="AB714" i="10"/>
  <c r="D21" i="11"/>
  <c r="E17" i="12"/>
  <c r="M10" i="4"/>
  <c r="AD714" i="10" l="1"/>
  <c r="H18" i="12"/>
  <c r="E21" i="11"/>
  <c r="G21" i="11"/>
  <c r="M95" i="4"/>
  <c r="AE729" i="10"/>
  <c r="AF729" i="10"/>
  <c r="AE728" i="10"/>
  <c r="AF728" i="10"/>
  <c r="AE717" i="10"/>
  <c r="AF717" i="10"/>
  <c r="AE718" i="10"/>
  <c r="AF718" i="10"/>
  <c r="AE727" i="10"/>
  <c r="AF727" i="10"/>
  <c r="AE725" i="10"/>
  <c r="AF725" i="10"/>
  <c r="AE723" i="10"/>
  <c r="AF723" i="10"/>
  <c r="AE722" i="10"/>
  <c r="AF722" i="10"/>
  <c r="AE784" i="10"/>
  <c r="AF784" i="10"/>
  <c r="AE783" i="10"/>
  <c r="AF783" i="10"/>
  <c r="AE782" i="10"/>
  <c r="AF782" i="10"/>
  <c r="AE781" i="10"/>
  <c r="AF781" i="10"/>
  <c r="AE780" i="10"/>
  <c r="AF780" i="10"/>
  <c r="AE779" i="10"/>
  <c r="AF779" i="10"/>
  <c r="AE778" i="10"/>
  <c r="AF778" i="10"/>
  <c r="AE777" i="10"/>
  <c r="AF777" i="10"/>
  <c r="AE776" i="10"/>
  <c r="AF776" i="10"/>
  <c r="AE775" i="10"/>
  <c r="AF775" i="10"/>
  <c r="AE774" i="10"/>
  <c r="AF774" i="10"/>
  <c r="AE773" i="10"/>
  <c r="AF773" i="10"/>
  <c r="AE772" i="10"/>
  <c r="AF772" i="10"/>
  <c r="AE771" i="10"/>
  <c r="AF771" i="10"/>
  <c r="AE770" i="10"/>
  <c r="AF770" i="10"/>
  <c r="AE769" i="10"/>
  <c r="AF769" i="10"/>
  <c r="AE768" i="10"/>
  <c r="AF768" i="10"/>
  <c r="AE767" i="10"/>
  <c r="AF767" i="10"/>
  <c r="AE766" i="10"/>
  <c r="AF766" i="10"/>
  <c r="AE765" i="10"/>
  <c r="AF765" i="10"/>
  <c r="AE764" i="10"/>
  <c r="AF764" i="10"/>
  <c r="AE763" i="10"/>
  <c r="AF763" i="10"/>
  <c r="AE762" i="10"/>
  <c r="AF762" i="10"/>
  <c r="AE761" i="10"/>
  <c r="AF761" i="10"/>
  <c r="AE760" i="10"/>
  <c r="AF760" i="10"/>
  <c r="AE759" i="10"/>
  <c r="AF759" i="10"/>
  <c r="AE758" i="10"/>
  <c r="AF758" i="10"/>
  <c r="AE757" i="10"/>
  <c r="AF757" i="10"/>
  <c r="AE756" i="10"/>
  <c r="AF756" i="10"/>
  <c r="AE755" i="10"/>
  <c r="AF755" i="10"/>
  <c r="AE754" i="10"/>
  <c r="AF754" i="10"/>
  <c r="AE753" i="10"/>
  <c r="AF753" i="10"/>
  <c r="AE752" i="10"/>
  <c r="AF752" i="10"/>
  <c r="AE751" i="10"/>
  <c r="AF751" i="10"/>
  <c r="AE750" i="10"/>
  <c r="AF750" i="10"/>
  <c r="AE749" i="10"/>
  <c r="AF749" i="10"/>
  <c r="AE748" i="10"/>
  <c r="AF748" i="10"/>
  <c r="AE747" i="10"/>
  <c r="AF747" i="10"/>
  <c r="AE746" i="10"/>
  <c r="AF746" i="10"/>
  <c r="AE745" i="10"/>
  <c r="AF745" i="10"/>
  <c r="AE744" i="10"/>
  <c r="AF744" i="10"/>
  <c r="AE743" i="10"/>
  <c r="AF743" i="10"/>
  <c r="AE742" i="10"/>
  <c r="AF742" i="10"/>
  <c r="AE741" i="10"/>
  <c r="AF741" i="10"/>
  <c r="AE740" i="10"/>
  <c r="AF740" i="10"/>
  <c r="AE739" i="10"/>
  <c r="AF739" i="10"/>
  <c r="AE738" i="10"/>
  <c r="AF738" i="10"/>
  <c r="AE737" i="10"/>
  <c r="AF737" i="10"/>
  <c r="AE736" i="10"/>
  <c r="AF736" i="10"/>
  <c r="AE735" i="10"/>
  <c r="AF735" i="10"/>
  <c r="AE734" i="10"/>
  <c r="AF734" i="10"/>
  <c r="AE733" i="10"/>
  <c r="AF733" i="10"/>
  <c r="AE732" i="10"/>
  <c r="AF732" i="10"/>
  <c r="AE731" i="10"/>
  <c r="AF731" i="10"/>
  <c r="AE730" i="10"/>
  <c r="AF730" i="10"/>
  <c r="AE726" i="10"/>
  <c r="AF726" i="10"/>
  <c r="AE724" i="10"/>
  <c r="AF724" i="10"/>
  <c r="AE719" i="10"/>
  <c r="AF719" i="10"/>
  <c r="AE715" i="10"/>
  <c r="AF715" i="10"/>
  <c r="AE720" i="10"/>
  <c r="AF720" i="10"/>
  <c r="AE716" i="10"/>
  <c r="AF716" i="10"/>
  <c r="AF714" i="10" l="1"/>
  <c r="AE714" i="10"/>
  <c r="AG714" i="10" l="1"/>
  <c r="AH714" i="10" s="1"/>
  <c r="AG715" i="10"/>
  <c r="AH715" i="10" s="1"/>
  <c r="AG716" i="10"/>
  <c r="AH716" i="10" s="1"/>
  <c r="AG717" i="10"/>
  <c r="AH717" i="10" s="1"/>
  <c r="AG718" i="10"/>
  <c r="AH718" i="10" s="1"/>
  <c r="AG719" i="10"/>
  <c r="AH719" i="10" s="1"/>
  <c r="AG720" i="10"/>
  <c r="AH720" i="10" s="1"/>
  <c r="AG721" i="10"/>
  <c r="AH721" i="10" s="1"/>
  <c r="AG722" i="10"/>
  <c r="AH722" i="10" s="1"/>
  <c r="AG723" i="10"/>
  <c r="AH723" i="10" s="1"/>
  <c r="AG724" i="10"/>
  <c r="AH724" i="10" s="1"/>
  <c r="AG725" i="10"/>
  <c r="AH725" i="10" s="1"/>
  <c r="AG726" i="10"/>
  <c r="AH726" i="10" s="1"/>
  <c r="AG727" i="10"/>
  <c r="AH727" i="10" s="1"/>
  <c r="AG728" i="10"/>
  <c r="AH728" i="10" s="1"/>
  <c r="AG729" i="10"/>
  <c r="AH729" i="10" s="1"/>
  <c r="AG730" i="10"/>
  <c r="AH730" i="10" s="1"/>
  <c r="AG744" i="10"/>
  <c r="AH744" i="10" s="1"/>
  <c r="AG745" i="10"/>
  <c r="AH745" i="10" s="1"/>
  <c r="AG746" i="10"/>
  <c r="AH746" i="10" s="1"/>
  <c r="AG747" i="10"/>
  <c r="AH747" i="10" s="1"/>
  <c r="AG749" i="10"/>
  <c r="AH749" i="10" s="1"/>
  <c r="AG755" i="10"/>
  <c r="AH755" i="10" s="1"/>
  <c r="AG756" i="10"/>
  <c r="AH756" i="10" s="1"/>
  <c r="AG757" i="10"/>
  <c r="AH757" i="10" s="1"/>
  <c r="AG763" i="10"/>
  <c r="AH763" i="10" s="1"/>
  <c r="AG765" i="10"/>
  <c r="AH765" i="10" s="1"/>
  <c r="AG767" i="10"/>
  <c r="AH767" i="10" s="1"/>
  <c r="AG768" i="10"/>
  <c r="AH768" i="10" s="1"/>
  <c r="AG771" i="10"/>
  <c r="AH771" i="10" s="1"/>
  <c r="AG772" i="10"/>
  <c r="AH772" i="10" s="1"/>
  <c r="AG773" i="10"/>
  <c r="AH773" i="10" s="1"/>
  <c r="AG774" i="10"/>
  <c r="AH774" i="10" s="1"/>
  <c r="AG775" i="10"/>
  <c r="AH775" i="10" s="1"/>
  <c r="AG776" i="10"/>
  <c r="AH776" i="10" s="1"/>
  <c r="AG778" i="10"/>
  <c r="AH778" i="10" s="1"/>
  <c r="AG779" i="10"/>
  <c r="AH779" i="10" s="1"/>
  <c r="AG780" i="10"/>
  <c r="AH780" i="10" s="1"/>
  <c r="AG781" i="10"/>
  <c r="AH781" i="10" s="1"/>
  <c r="AG731" i="10"/>
  <c r="AH731" i="10" s="1"/>
  <c r="AG732" i="10"/>
  <c r="AH732" i="10" s="1"/>
  <c r="AG733" i="10"/>
  <c r="AH733" i="10" s="1"/>
  <c r="AG734" i="10"/>
  <c r="AH734" i="10" s="1"/>
  <c r="AG735" i="10"/>
  <c r="AH735" i="10" s="1"/>
  <c r="AG736" i="10"/>
  <c r="AH736" i="10" s="1"/>
  <c r="AG737" i="10"/>
  <c r="AH737" i="10" s="1"/>
  <c r="AG738" i="10"/>
  <c r="AH738" i="10" s="1"/>
  <c r="AG739" i="10"/>
  <c r="AH739" i="10" s="1"/>
  <c r="AG740" i="10"/>
  <c r="AH740" i="10" s="1"/>
  <c r="AG741" i="10"/>
  <c r="AH741" i="10" s="1"/>
  <c r="AG742" i="10"/>
  <c r="AH742" i="10" s="1"/>
  <c r="AG743" i="10"/>
  <c r="AH743" i="10" s="1"/>
  <c r="AG748" i="10"/>
  <c r="AH748" i="10" s="1"/>
  <c r="AG750" i="10"/>
  <c r="AH750" i="10" s="1"/>
  <c r="AG751" i="10"/>
  <c r="AH751" i="10" s="1"/>
  <c r="AG752" i="10"/>
  <c r="AH752" i="10" s="1"/>
  <c r="AG753" i="10"/>
  <c r="AH753" i="10" s="1"/>
  <c r="AG758" i="10"/>
  <c r="AH758" i="10" s="1"/>
  <c r="AG759" i="10"/>
  <c r="AH759" i="10" s="1"/>
  <c r="AG760" i="10"/>
  <c r="AH760" i="10" s="1"/>
  <c r="AG761" i="10"/>
  <c r="AH761" i="10" s="1"/>
  <c r="AG762" i="10"/>
  <c r="AH762" i="10" s="1"/>
  <c r="AG766" i="10"/>
  <c r="AH766" i="10" s="1"/>
  <c r="AG769" i="10"/>
  <c r="AH769" i="10" s="1"/>
  <c r="AG770" i="10"/>
  <c r="AH770" i="10" s="1"/>
  <c r="AG782" i="10"/>
  <c r="AH782" i="10" s="1"/>
  <c r="AG783" i="10"/>
  <c r="AH783" i="10" s="1"/>
  <c r="AG784" i="10"/>
  <c r="AH784" i="10" s="1"/>
  <c r="AG754" i="10"/>
  <c r="AH754" i="10" s="1"/>
  <c r="AG764" i="10"/>
  <c r="AH764" i="10" s="1"/>
  <c r="AG777" i="10"/>
  <c r="AH777" i="10" s="1"/>
  <c r="AI714" i="10" l="1"/>
  <c r="F18" i="12" s="1"/>
  <c r="AJ714" i="10"/>
  <c r="I18" i="12" s="1"/>
  <c r="AK714" i="10"/>
  <c r="AB785" i="10"/>
  <c r="E18" i="12"/>
  <c r="D22" i="11"/>
  <c r="N10" i="4"/>
  <c r="AI715" i="10"/>
  <c r="AJ715" i="10"/>
  <c r="AK715" i="10"/>
  <c r="AB786" i="10"/>
  <c r="AD786" i="10" s="1"/>
  <c r="AE786" i="10" s="1"/>
  <c r="AF786" i="10"/>
  <c r="N11" i="4"/>
  <c r="AI716" i="10"/>
  <c r="AJ716" i="10"/>
  <c r="AK716" i="10"/>
  <c r="AB787" i="10"/>
  <c r="AD787" i="10" s="1"/>
  <c r="AE787" i="10" s="1"/>
  <c r="AF787" i="10"/>
  <c r="N12" i="4"/>
  <c r="AI717" i="10"/>
  <c r="AJ717" i="10"/>
  <c r="AK717" i="10"/>
  <c r="AB788" i="10"/>
  <c r="AD788" i="10" s="1"/>
  <c r="N13" i="4"/>
  <c r="AI718" i="10"/>
  <c r="AJ718" i="10"/>
  <c r="AK718" i="10"/>
  <c r="AB789" i="10"/>
  <c r="AD789" i="10" s="1"/>
  <c r="AE789" i="10" s="1"/>
  <c r="AF789" i="10"/>
  <c r="N14" i="4"/>
  <c r="AI719" i="10"/>
  <c r="AJ719" i="10"/>
  <c r="AK719" i="10"/>
  <c r="AB790" i="10"/>
  <c r="AD790" i="10" s="1"/>
  <c r="AE790" i="10" s="1"/>
  <c r="AF790" i="10"/>
  <c r="N15" i="4"/>
  <c r="AI720" i="10"/>
  <c r="AJ720" i="10"/>
  <c r="AK720" i="10"/>
  <c r="AB791" i="10"/>
  <c r="AD791" i="10" s="1"/>
  <c r="AE791" i="10" s="1"/>
  <c r="AF791" i="10"/>
  <c r="N16" i="4"/>
  <c r="N17" i="4"/>
  <c r="AB792" i="10"/>
  <c r="AD792" i="10" s="1"/>
  <c r="AK721" i="10"/>
  <c r="AJ721" i="10"/>
  <c r="AI721" i="10"/>
  <c r="AI722" i="10"/>
  <c r="AJ722" i="10"/>
  <c r="AK722" i="10"/>
  <c r="AB793" i="10"/>
  <c r="AD793" i="10" s="1"/>
  <c r="AE793" i="10" s="1"/>
  <c r="AF793" i="10"/>
  <c r="N18" i="4"/>
  <c r="AI723" i="10"/>
  <c r="AJ723" i="10"/>
  <c r="AK723" i="10"/>
  <c r="AB794" i="10"/>
  <c r="AD794" i="10" s="1"/>
  <c r="AE794" i="10" s="1"/>
  <c r="AF794" i="10"/>
  <c r="N19" i="4"/>
  <c r="AI724" i="10"/>
  <c r="AJ724" i="10"/>
  <c r="AK724" i="10"/>
  <c r="AB795" i="10"/>
  <c r="AD795" i="10" s="1"/>
  <c r="N21" i="4"/>
  <c r="AI725" i="10"/>
  <c r="AJ725" i="10"/>
  <c r="AK725" i="10"/>
  <c r="AB796" i="10"/>
  <c r="AD796" i="10" s="1"/>
  <c r="AE796" i="10" s="1"/>
  <c r="AF796" i="10"/>
  <c r="N22" i="4"/>
  <c r="AI726" i="10"/>
  <c r="AJ726" i="10"/>
  <c r="AK726" i="10"/>
  <c r="AB797" i="10"/>
  <c r="AD797" i="10" s="1"/>
  <c r="AE797" i="10" s="1"/>
  <c r="AF797" i="10"/>
  <c r="N23" i="4"/>
  <c r="AI727" i="10"/>
  <c r="AJ727" i="10"/>
  <c r="AK727" i="10"/>
  <c r="AB798" i="10"/>
  <c r="AD798" i="10" s="1"/>
  <c r="AE798" i="10" s="1"/>
  <c r="AF798" i="10"/>
  <c r="N25" i="4"/>
  <c r="AI728" i="10"/>
  <c r="AJ728" i="10"/>
  <c r="AK728" i="10"/>
  <c r="N26" i="4"/>
  <c r="AB799" i="10"/>
  <c r="AD799" i="10" s="1"/>
  <c r="AE799" i="10" s="1"/>
  <c r="AF799" i="10"/>
  <c r="AI729" i="10"/>
  <c r="AJ729" i="10"/>
  <c r="AK729" i="10"/>
  <c r="AB800" i="10"/>
  <c r="AD800" i="10" s="1"/>
  <c r="AE800" i="10" s="1"/>
  <c r="AF800" i="10"/>
  <c r="N27" i="4"/>
  <c r="AI730" i="10"/>
  <c r="AJ730" i="10"/>
  <c r="AK730" i="10"/>
  <c r="AB801" i="10"/>
  <c r="AD801" i="10" s="1"/>
  <c r="AE801" i="10" s="1"/>
  <c r="AF801" i="10"/>
  <c r="N28" i="4"/>
  <c r="AI744" i="10"/>
  <c r="AJ744" i="10"/>
  <c r="AK744" i="10"/>
  <c r="AB815" i="10"/>
  <c r="AD815" i="10" s="1"/>
  <c r="AE815" i="10" s="1"/>
  <c r="AF815" i="10"/>
  <c r="N45" i="4"/>
  <c r="AI745" i="10"/>
  <c r="AJ745" i="10"/>
  <c r="AK745" i="10"/>
  <c r="AB816" i="10"/>
  <c r="AD816" i="10" s="1"/>
  <c r="AE816" i="10" s="1"/>
  <c r="AF816" i="10"/>
  <c r="N47" i="4"/>
  <c r="AI746" i="10"/>
  <c r="AJ746" i="10"/>
  <c r="AK746" i="10"/>
  <c r="AB817" i="10"/>
  <c r="AD817" i="10" s="1"/>
  <c r="AE817" i="10" s="1"/>
  <c r="AF817" i="10"/>
  <c r="N48" i="4"/>
  <c r="AI747" i="10"/>
  <c r="AJ747" i="10"/>
  <c r="AK747" i="10"/>
  <c r="AB818" i="10"/>
  <c r="AD818" i="10" s="1"/>
  <c r="AE818" i="10" s="1"/>
  <c r="AF818" i="10"/>
  <c r="N49" i="4"/>
  <c r="AI749" i="10"/>
  <c r="AJ749" i="10"/>
  <c r="AK749" i="10"/>
  <c r="AB820" i="10"/>
  <c r="AD820" i="10" s="1"/>
  <c r="AE820" i="10" s="1"/>
  <c r="AF820" i="10"/>
  <c r="N52" i="4"/>
  <c r="AI755" i="10"/>
  <c r="AJ755" i="10"/>
  <c r="AK755" i="10"/>
  <c r="AB826" i="10"/>
  <c r="AD826" i="10" s="1"/>
  <c r="AE826" i="10" s="1"/>
  <c r="AF826" i="10"/>
  <c r="N58" i="4"/>
  <c r="AI756" i="10"/>
  <c r="AJ756" i="10"/>
  <c r="AK756" i="10"/>
  <c r="AB827" i="10"/>
  <c r="AD827" i="10" s="1"/>
  <c r="AE827" i="10" s="1"/>
  <c r="AF827" i="10"/>
  <c r="N60" i="4"/>
  <c r="AI757" i="10"/>
  <c r="AJ757" i="10"/>
  <c r="AK757" i="10"/>
  <c r="AB828" i="10"/>
  <c r="AD828" i="10" s="1"/>
  <c r="AE828" i="10" s="1"/>
  <c r="AF828" i="10"/>
  <c r="N61" i="4"/>
  <c r="AI763" i="10"/>
  <c r="AJ763" i="10"/>
  <c r="AK763" i="10"/>
  <c r="AB834" i="10"/>
  <c r="AD834" i="10" s="1"/>
  <c r="AE834" i="10" s="1"/>
  <c r="AF834" i="10"/>
  <c r="N68" i="4"/>
  <c r="AI765" i="10"/>
  <c r="AJ765" i="10"/>
  <c r="AK765" i="10"/>
  <c r="AB836" i="10"/>
  <c r="AD836" i="10" s="1"/>
  <c r="AE836" i="10" s="1"/>
  <c r="AF836" i="10"/>
  <c r="N71" i="4"/>
  <c r="AI767" i="10"/>
  <c r="AJ767" i="10"/>
  <c r="AK767" i="10"/>
  <c r="AB838" i="10"/>
  <c r="AD838" i="10" s="1"/>
  <c r="AE838" i="10" s="1"/>
  <c r="AF838" i="10"/>
  <c r="N74" i="4"/>
  <c r="AI768" i="10"/>
  <c r="AJ768" i="10"/>
  <c r="AK768" i="10"/>
  <c r="AB839" i="10"/>
  <c r="AD839" i="10" s="1"/>
  <c r="AE839" i="10" s="1"/>
  <c r="AF839" i="10"/>
  <c r="N75" i="4"/>
  <c r="AI771" i="10"/>
  <c r="AJ771" i="10"/>
  <c r="AK771" i="10"/>
  <c r="AB842" i="10"/>
  <c r="AD842" i="10" s="1"/>
  <c r="AE842" i="10" s="1"/>
  <c r="AF842" i="10"/>
  <c r="N78" i="4"/>
  <c r="AI772" i="10"/>
  <c r="AJ772" i="10"/>
  <c r="AK772" i="10"/>
  <c r="AB843" i="10"/>
  <c r="AD843" i="10" s="1"/>
  <c r="AE843" i="10" s="1"/>
  <c r="AF843" i="10"/>
  <c r="N79" i="4"/>
  <c r="AI773" i="10"/>
  <c r="AJ773" i="10"/>
  <c r="AK773" i="10"/>
  <c r="AB844" i="10"/>
  <c r="AD844" i="10" s="1"/>
  <c r="AE844" i="10" s="1"/>
  <c r="AF844" i="10"/>
  <c r="N81" i="4"/>
  <c r="AI774" i="10"/>
  <c r="AJ774" i="10"/>
  <c r="AK774" i="10"/>
  <c r="AB845" i="10"/>
  <c r="AD845" i="10" s="1"/>
  <c r="AE845" i="10" s="1"/>
  <c r="AF845" i="10"/>
  <c r="N82" i="4"/>
  <c r="AI775" i="10"/>
  <c r="AJ775" i="10"/>
  <c r="AK775" i="10"/>
  <c r="AB846" i="10"/>
  <c r="AD846" i="10" s="1"/>
  <c r="AE846" i="10" s="1"/>
  <c r="AF846" i="10"/>
  <c r="N83" i="4"/>
  <c r="AI776" i="10"/>
  <c r="AJ776" i="10"/>
  <c r="AK776" i="10"/>
  <c r="AB847" i="10"/>
  <c r="AD847" i="10" s="1"/>
  <c r="AE847" i="10" s="1"/>
  <c r="AF847" i="10"/>
  <c r="N84" i="4"/>
  <c r="AI778" i="10"/>
  <c r="AJ778" i="10"/>
  <c r="AK778" i="10"/>
  <c r="AB849" i="10"/>
  <c r="AD849" i="10" s="1"/>
  <c r="AE849" i="10" s="1"/>
  <c r="AF849" i="10"/>
  <c r="N86" i="4"/>
  <c r="AI779" i="10"/>
  <c r="AJ779" i="10"/>
  <c r="AK779" i="10"/>
  <c r="AB850" i="10"/>
  <c r="AD850" i="10" s="1"/>
  <c r="AE850" i="10" s="1"/>
  <c r="AF850" i="10"/>
  <c r="N87" i="4"/>
  <c r="AI780" i="10"/>
  <c r="AJ780" i="10"/>
  <c r="AK780" i="10"/>
  <c r="AB851" i="10"/>
  <c r="AD851" i="10" s="1"/>
  <c r="AE851" i="10" s="1"/>
  <c r="AF851" i="10"/>
  <c r="N88" i="4"/>
  <c r="AI781" i="10"/>
  <c r="AJ781" i="10"/>
  <c r="AK781" i="10"/>
  <c r="AB852" i="10"/>
  <c r="AD852" i="10" s="1"/>
  <c r="N90" i="4"/>
  <c r="AI731" i="10"/>
  <c r="AJ731" i="10"/>
  <c r="AK731" i="10"/>
  <c r="AB802" i="10"/>
  <c r="AD802" i="10" s="1"/>
  <c r="AE802" i="10" s="1"/>
  <c r="AF802" i="10"/>
  <c r="N29" i="4"/>
  <c r="AI732" i="10"/>
  <c r="AJ732" i="10"/>
  <c r="AK732" i="10"/>
  <c r="AB803" i="10"/>
  <c r="AD803" i="10" s="1"/>
  <c r="AE803" i="10" s="1"/>
  <c r="AF803" i="10"/>
  <c r="N30" i="4"/>
  <c r="AI733" i="10"/>
  <c r="AJ733" i="10"/>
  <c r="AK733" i="10"/>
  <c r="AB804" i="10"/>
  <c r="AD804" i="10" s="1"/>
  <c r="AE804" i="10" s="1"/>
  <c r="AF804" i="10"/>
  <c r="N31" i="4"/>
  <c r="AI734" i="10"/>
  <c r="AJ734" i="10"/>
  <c r="AK734" i="10"/>
  <c r="AB805" i="10"/>
  <c r="AD805" i="10" s="1"/>
  <c r="N33" i="4"/>
  <c r="AI735" i="10"/>
  <c r="AJ735" i="10"/>
  <c r="AK735" i="10"/>
  <c r="AB806" i="10"/>
  <c r="AD806" i="10" s="1"/>
  <c r="AE806" i="10" s="1"/>
  <c r="AF806" i="10"/>
  <c r="N34" i="4"/>
  <c r="AI736" i="10"/>
  <c r="AJ736" i="10"/>
  <c r="AK736" i="10"/>
  <c r="AB807" i="10"/>
  <c r="AD807" i="10" s="1"/>
  <c r="AE807" i="10" s="1"/>
  <c r="AF807" i="10"/>
  <c r="N35" i="4"/>
  <c r="AI737" i="10"/>
  <c r="AJ737" i="10"/>
  <c r="AK737" i="10"/>
  <c r="AB808" i="10"/>
  <c r="AD808" i="10" s="1"/>
  <c r="AE808" i="10" s="1"/>
  <c r="AF808" i="10"/>
  <c r="N36" i="4"/>
  <c r="AI738" i="10"/>
  <c r="AJ738" i="10"/>
  <c r="AK738" i="10"/>
  <c r="AB809" i="10"/>
  <c r="AD809" i="10" s="1"/>
  <c r="AE809" i="10" s="1"/>
  <c r="AF809" i="10"/>
  <c r="N38" i="4"/>
  <c r="AI739" i="10"/>
  <c r="AJ739" i="10"/>
  <c r="AK739" i="10"/>
  <c r="AB810" i="10"/>
  <c r="AD810" i="10" s="1"/>
  <c r="AE810" i="10" s="1"/>
  <c r="AF810" i="10"/>
  <c r="N39" i="4"/>
  <c r="AI740" i="10"/>
  <c r="AJ740" i="10"/>
  <c r="AK740" i="10"/>
  <c r="AB811" i="10"/>
  <c r="AD811" i="10" s="1"/>
  <c r="AE811" i="10" s="1"/>
  <c r="AF811" i="10"/>
  <c r="N40" i="4"/>
  <c r="AI741" i="10"/>
  <c r="AJ741" i="10"/>
  <c r="AK741" i="10"/>
  <c r="AB812" i="10"/>
  <c r="AD812" i="10" s="1"/>
  <c r="AE812" i="10" s="1"/>
  <c r="AF812" i="10"/>
  <c r="N41" i="4"/>
  <c r="AI742" i="10"/>
  <c r="AJ742" i="10"/>
  <c r="AK742" i="10"/>
  <c r="AB813" i="10"/>
  <c r="AD813" i="10" s="1"/>
  <c r="AE813" i="10" s="1"/>
  <c r="AF813" i="10"/>
  <c r="N43" i="4"/>
  <c r="AI743" i="10"/>
  <c r="AJ743" i="10"/>
  <c r="AK743" i="10"/>
  <c r="AB814" i="10"/>
  <c r="AD814" i="10" s="1"/>
  <c r="AE814" i="10" s="1"/>
  <c r="AF814" i="10"/>
  <c r="N44" i="4"/>
  <c r="AI748" i="10"/>
  <c r="AJ748" i="10"/>
  <c r="AK748" i="10"/>
  <c r="AB819" i="10"/>
  <c r="AD819" i="10" s="1"/>
  <c r="AE819" i="10" s="1"/>
  <c r="AF819" i="10"/>
  <c r="N51" i="4"/>
  <c r="AI750" i="10"/>
  <c r="AJ750" i="10"/>
  <c r="AK750" i="10"/>
  <c r="AB821" i="10"/>
  <c r="AD821" i="10" s="1"/>
  <c r="AE821" i="10" s="1"/>
  <c r="AF821" i="10"/>
  <c r="N53" i="4"/>
  <c r="AI751" i="10"/>
  <c r="AJ751" i="10"/>
  <c r="AK751" i="10"/>
  <c r="AB822" i="10"/>
  <c r="AD822" i="10" s="1"/>
  <c r="AE822" i="10" s="1"/>
  <c r="AF822" i="10"/>
  <c r="N54" i="4"/>
  <c r="AI752" i="10"/>
  <c r="AJ752" i="10"/>
  <c r="AK752" i="10"/>
  <c r="AB823" i="10"/>
  <c r="AD823" i="10" s="1"/>
  <c r="AE823" i="10" s="1"/>
  <c r="AF823" i="10"/>
  <c r="N55" i="4"/>
  <c r="AI753" i="10"/>
  <c r="AJ753" i="10"/>
  <c r="AK753" i="10"/>
  <c r="AB824" i="10"/>
  <c r="AD824" i="10" s="1"/>
  <c r="AE824" i="10" s="1"/>
  <c r="AF824" i="10"/>
  <c r="N56" i="4"/>
  <c r="AI758" i="10"/>
  <c r="AJ758" i="10"/>
  <c r="AK758" i="10"/>
  <c r="AB829" i="10"/>
  <c r="AD829" i="10" s="1"/>
  <c r="AE829" i="10" s="1"/>
  <c r="AF829" i="10"/>
  <c r="N62" i="4"/>
  <c r="AI759" i="10"/>
  <c r="AJ759" i="10"/>
  <c r="AK759" i="10"/>
  <c r="AB830" i="10"/>
  <c r="AD830" i="10" s="1"/>
  <c r="AE830" i="10" s="1"/>
  <c r="AF830" i="10"/>
  <c r="N63" i="4"/>
  <c r="AI760" i="10"/>
  <c r="AJ760" i="10"/>
  <c r="AK760" i="10"/>
  <c r="AB831" i="10"/>
  <c r="AD831" i="10" s="1"/>
  <c r="N65" i="4"/>
  <c r="AI761" i="10"/>
  <c r="AJ761" i="10"/>
  <c r="AK761" i="10"/>
  <c r="AB832" i="10"/>
  <c r="AD832" i="10" s="1"/>
  <c r="AE832" i="10" s="1"/>
  <c r="AF832" i="10"/>
  <c r="N66" i="4"/>
  <c r="AI762" i="10"/>
  <c r="AJ762" i="10"/>
  <c r="AK762" i="10"/>
  <c r="AB833" i="10"/>
  <c r="AD833" i="10" s="1"/>
  <c r="AE833" i="10" s="1"/>
  <c r="AF833" i="10"/>
  <c r="N67" i="4"/>
  <c r="AI766" i="10"/>
  <c r="AJ766" i="10"/>
  <c r="AK766" i="10"/>
  <c r="AB837" i="10"/>
  <c r="AD837" i="10" s="1"/>
  <c r="AE837" i="10" s="1"/>
  <c r="AF837" i="10"/>
  <c r="N72" i="4"/>
  <c r="AI769" i="10"/>
  <c r="AJ769" i="10"/>
  <c r="AK769" i="10"/>
  <c r="AB840" i="10"/>
  <c r="AD840" i="10" s="1"/>
  <c r="AE840" i="10" s="1"/>
  <c r="AF840" i="10"/>
  <c r="N76" i="4"/>
  <c r="AI770" i="10"/>
  <c r="AJ770" i="10"/>
  <c r="AK770" i="10"/>
  <c r="AB841" i="10"/>
  <c r="AD841" i="10" s="1"/>
  <c r="AE841" i="10" s="1"/>
  <c r="AF841" i="10"/>
  <c r="N77" i="4"/>
  <c r="AI782" i="10"/>
  <c r="AJ782" i="10"/>
  <c r="AK782" i="10"/>
  <c r="AB853" i="10"/>
  <c r="AD853" i="10" s="1"/>
  <c r="N91" i="4"/>
  <c r="AI783" i="10"/>
  <c r="AJ783" i="10"/>
  <c r="AK783" i="10"/>
  <c r="AB854" i="10"/>
  <c r="AD854" i="10" s="1"/>
  <c r="AE854" i="10" s="1"/>
  <c r="AF854" i="10"/>
  <c r="N92" i="4"/>
  <c r="AI784" i="10"/>
  <c r="AJ784" i="10"/>
  <c r="AK784" i="10"/>
  <c r="AB855" i="10"/>
  <c r="AD855" i="10" s="1"/>
  <c r="N93" i="4"/>
  <c r="AI754" i="10"/>
  <c r="AJ754" i="10"/>
  <c r="AK754" i="10"/>
  <c r="AB825" i="10"/>
  <c r="AD825" i="10" s="1"/>
  <c r="AE825" i="10" s="1"/>
  <c r="AF825" i="10"/>
  <c r="N57" i="4"/>
  <c r="AI764" i="10"/>
  <c r="AJ764" i="10"/>
  <c r="AK764" i="10"/>
  <c r="AB835" i="10"/>
  <c r="AD835" i="10" s="1"/>
  <c r="N69" i="4"/>
  <c r="AI777" i="10"/>
  <c r="AJ777" i="10"/>
  <c r="AK777" i="10"/>
  <c r="AB848" i="10"/>
  <c r="AD848" i="10" s="1"/>
  <c r="AE848" i="10" s="1"/>
  <c r="AF848" i="10"/>
  <c r="N85" i="4"/>
  <c r="B13" i="13" l="1"/>
  <c r="E13" i="13" s="1"/>
  <c r="B14" i="13"/>
  <c r="E14" i="13" s="1"/>
  <c r="AD785" i="10"/>
  <c r="H19" i="12"/>
  <c r="E22" i="11"/>
  <c r="G22" i="11"/>
  <c r="N95" i="4"/>
  <c r="AE788" i="10"/>
  <c r="AF788" i="10"/>
  <c r="AE792" i="10"/>
  <c r="AF792" i="10"/>
  <c r="AE795" i="10"/>
  <c r="AF795" i="10"/>
  <c r="AE852" i="10"/>
  <c r="AF852" i="10"/>
  <c r="AE805" i="10"/>
  <c r="AF805" i="10"/>
  <c r="AE831" i="10"/>
  <c r="AF831" i="10"/>
  <c r="AE853" i="10"/>
  <c r="AF853" i="10"/>
  <c r="AE855" i="10"/>
  <c r="AF855" i="10"/>
  <c r="AE835" i="10"/>
  <c r="AF835" i="10"/>
  <c r="AF785" i="10" l="1"/>
  <c r="AE785" i="10"/>
  <c r="AG785" i="10" l="1"/>
  <c r="AH785" i="10" s="1"/>
  <c r="AG786" i="10"/>
  <c r="AH786" i="10" s="1"/>
  <c r="AG787" i="10"/>
  <c r="AH787" i="10" s="1"/>
  <c r="AG788" i="10"/>
  <c r="AH788" i="10" s="1"/>
  <c r="AG789" i="10"/>
  <c r="AH789" i="10" s="1"/>
  <c r="AG790" i="10"/>
  <c r="AH790" i="10" s="1"/>
  <c r="AG791" i="10"/>
  <c r="AH791" i="10" s="1"/>
  <c r="AG792" i="10"/>
  <c r="AH792" i="10" s="1"/>
  <c r="AG793" i="10"/>
  <c r="AH793" i="10" s="1"/>
  <c r="AG794" i="10"/>
  <c r="AH794" i="10" s="1"/>
  <c r="AG795" i="10"/>
  <c r="AH795" i="10" s="1"/>
  <c r="AG796" i="10"/>
  <c r="AH796" i="10" s="1"/>
  <c r="AG797" i="10"/>
  <c r="AH797" i="10" s="1"/>
  <c r="AG798" i="10"/>
  <c r="AH798" i="10" s="1"/>
  <c r="AG799" i="10"/>
  <c r="AH799" i="10" s="1"/>
  <c r="AG800" i="10"/>
  <c r="AH800" i="10" s="1"/>
  <c r="AG801" i="10"/>
  <c r="AH801" i="10" s="1"/>
  <c r="AG802" i="10"/>
  <c r="AH802" i="10" s="1"/>
  <c r="AG803" i="10"/>
  <c r="AH803" i="10" s="1"/>
  <c r="AG804" i="10"/>
  <c r="AH804" i="10" s="1"/>
  <c r="AG805" i="10"/>
  <c r="AH805" i="10" s="1"/>
  <c r="AG806" i="10"/>
  <c r="AH806" i="10" s="1"/>
  <c r="AG807" i="10"/>
  <c r="AH807" i="10" s="1"/>
  <c r="AG808" i="10"/>
  <c r="AH808" i="10" s="1"/>
  <c r="AG809" i="10"/>
  <c r="AH809" i="10" s="1"/>
  <c r="AG810" i="10"/>
  <c r="AH810" i="10" s="1"/>
  <c r="AG811" i="10"/>
  <c r="AH811" i="10" s="1"/>
  <c r="AG812" i="10"/>
  <c r="AH812" i="10" s="1"/>
  <c r="AG813" i="10"/>
  <c r="AH813" i="10" s="1"/>
  <c r="AG814" i="10"/>
  <c r="AH814" i="10" s="1"/>
  <c r="AG815" i="10"/>
  <c r="AH815" i="10" s="1"/>
  <c r="AG816" i="10"/>
  <c r="AH816" i="10" s="1"/>
  <c r="AG817" i="10"/>
  <c r="AH817" i="10" s="1"/>
  <c r="AG818" i="10"/>
  <c r="AH818" i="10" s="1"/>
  <c r="AG819" i="10"/>
  <c r="AH819" i="10" s="1"/>
  <c r="AG820" i="10"/>
  <c r="AH820" i="10" s="1"/>
  <c r="AG821" i="10"/>
  <c r="AH821" i="10" s="1"/>
  <c r="AG822" i="10"/>
  <c r="AH822" i="10" s="1"/>
  <c r="AG823" i="10"/>
  <c r="AH823" i="10" s="1"/>
  <c r="AG824" i="10"/>
  <c r="AH824" i="10" s="1"/>
  <c r="AG825" i="10"/>
  <c r="AH825" i="10" s="1"/>
  <c r="AG826" i="10"/>
  <c r="AH826" i="10" s="1"/>
  <c r="AG827" i="10"/>
  <c r="AH827" i="10" s="1"/>
  <c r="AG828" i="10"/>
  <c r="AH828" i="10" s="1"/>
  <c r="AG829" i="10"/>
  <c r="AH829" i="10" s="1"/>
  <c r="AG830" i="10"/>
  <c r="AH830" i="10" s="1"/>
  <c r="AG831" i="10"/>
  <c r="AH831" i="10" s="1"/>
  <c r="AG832" i="10"/>
  <c r="AH832" i="10" s="1"/>
  <c r="AG833" i="10"/>
  <c r="AH833" i="10" s="1"/>
  <c r="AG834" i="10"/>
  <c r="AH834" i="10" s="1"/>
  <c r="AG835" i="10"/>
  <c r="AH835" i="10" s="1"/>
  <c r="AG836" i="10"/>
  <c r="AH836" i="10" s="1"/>
  <c r="AG837" i="10"/>
  <c r="AH837" i="10" s="1"/>
  <c r="AG838" i="10"/>
  <c r="AH838" i="10" s="1"/>
  <c r="AG839" i="10"/>
  <c r="AH839" i="10" s="1"/>
  <c r="AG840" i="10"/>
  <c r="AH840" i="10" s="1"/>
  <c r="AG841" i="10"/>
  <c r="AH841" i="10" s="1"/>
  <c r="AG842" i="10"/>
  <c r="AH842" i="10" s="1"/>
  <c r="AG843" i="10"/>
  <c r="AH843" i="10" s="1"/>
  <c r="AG844" i="10"/>
  <c r="AH844" i="10" s="1"/>
  <c r="AG845" i="10"/>
  <c r="AH845" i="10" s="1"/>
  <c r="AG847" i="10"/>
  <c r="AH847" i="10" s="1"/>
  <c r="AG851" i="10"/>
  <c r="AH851" i="10" s="1"/>
  <c r="AG853" i="10"/>
  <c r="AH853" i="10" s="1"/>
  <c r="AG846" i="10"/>
  <c r="AH846" i="10" s="1"/>
  <c r="AG849" i="10"/>
  <c r="AH849" i="10" s="1"/>
  <c r="AG854" i="10"/>
  <c r="AH854" i="10" s="1"/>
  <c r="AG848" i="10"/>
  <c r="AH848" i="10" s="1"/>
  <c r="AG850" i="10"/>
  <c r="AH850" i="10" s="1"/>
  <c r="AG852" i="10"/>
  <c r="AH852" i="10" s="1"/>
  <c r="AG855" i="10"/>
  <c r="AH855" i="10" s="1"/>
  <c r="AI785" i="10" l="1"/>
  <c r="F19" i="12" s="1"/>
  <c r="AJ785" i="10"/>
  <c r="I19" i="12" s="1"/>
  <c r="AK785" i="10"/>
  <c r="D23" i="11"/>
  <c r="AB856" i="10"/>
  <c r="E19" i="12"/>
  <c r="O10" i="4"/>
  <c r="O11" i="4"/>
  <c r="AB857" i="10"/>
  <c r="AD857" i="10" s="1"/>
  <c r="AK786" i="10"/>
  <c r="AJ786" i="10"/>
  <c r="AI786" i="10"/>
  <c r="O12" i="4"/>
  <c r="AB858" i="10"/>
  <c r="AD858" i="10" s="1"/>
  <c r="AK787" i="10"/>
  <c r="AJ787" i="10"/>
  <c r="AI787" i="10"/>
  <c r="AI788" i="10"/>
  <c r="AJ788" i="10"/>
  <c r="AK788" i="10"/>
  <c r="AB859" i="10"/>
  <c r="AD859" i="10" s="1"/>
  <c r="O13" i="4"/>
  <c r="O14" i="4"/>
  <c r="AB860" i="10"/>
  <c r="AD860" i="10" s="1"/>
  <c r="AK789" i="10"/>
  <c r="AJ789" i="10"/>
  <c r="AI789" i="10"/>
  <c r="O15" i="4"/>
  <c r="AB861" i="10"/>
  <c r="AD861" i="10" s="1"/>
  <c r="AK790" i="10"/>
  <c r="AJ790" i="10"/>
  <c r="AI790" i="10"/>
  <c r="O16" i="4"/>
  <c r="AB862" i="10"/>
  <c r="AD862" i="10" s="1"/>
  <c r="AK791" i="10"/>
  <c r="AJ791" i="10"/>
  <c r="AI791" i="10"/>
  <c r="AI792" i="10"/>
  <c r="AJ792" i="10"/>
  <c r="AK792" i="10"/>
  <c r="AB863" i="10"/>
  <c r="AD863" i="10" s="1"/>
  <c r="O17" i="4"/>
  <c r="AB864" i="10"/>
  <c r="AD864" i="10" s="1"/>
  <c r="O18" i="4"/>
  <c r="AK793" i="10"/>
  <c r="AJ793" i="10"/>
  <c r="AI793" i="10"/>
  <c r="O19" i="4"/>
  <c r="AB865" i="10"/>
  <c r="AD865" i="10" s="1"/>
  <c r="AK794" i="10"/>
  <c r="AJ794" i="10"/>
  <c r="AI794" i="10"/>
  <c r="AI795" i="10"/>
  <c r="AJ795" i="10"/>
  <c r="AK795" i="10"/>
  <c r="O21" i="4"/>
  <c r="AB866" i="10"/>
  <c r="AD866" i="10" s="1"/>
  <c r="O22" i="4"/>
  <c r="AB867" i="10"/>
  <c r="AD867" i="10" s="1"/>
  <c r="AK796" i="10"/>
  <c r="AJ796" i="10"/>
  <c r="AI796" i="10"/>
  <c r="AB868" i="10"/>
  <c r="AD868" i="10" s="1"/>
  <c r="O23" i="4"/>
  <c r="AK797" i="10"/>
  <c r="AJ797" i="10"/>
  <c r="AI797" i="10"/>
  <c r="O25" i="4"/>
  <c r="AB869" i="10"/>
  <c r="AD869" i="10" s="1"/>
  <c r="AK798" i="10"/>
  <c r="AJ798" i="10"/>
  <c r="AI798" i="10"/>
  <c r="O26" i="4"/>
  <c r="AB870" i="10"/>
  <c r="AD870" i="10" s="1"/>
  <c r="AK799" i="10"/>
  <c r="AJ799" i="10"/>
  <c r="AI799" i="10"/>
  <c r="O27" i="4"/>
  <c r="AB871" i="10"/>
  <c r="AD871" i="10" s="1"/>
  <c r="AK800" i="10"/>
  <c r="AJ800" i="10"/>
  <c r="AI800" i="10"/>
  <c r="AB872" i="10"/>
  <c r="AD872" i="10" s="1"/>
  <c r="O28" i="4"/>
  <c r="AK801" i="10"/>
  <c r="AJ801" i="10"/>
  <c r="AI801" i="10"/>
  <c r="AB873" i="10"/>
  <c r="AD873" i="10" s="1"/>
  <c r="O29" i="4"/>
  <c r="AK802" i="10"/>
  <c r="AJ802" i="10"/>
  <c r="AI802" i="10"/>
  <c r="O30" i="4"/>
  <c r="AB874" i="10"/>
  <c r="AD874" i="10" s="1"/>
  <c r="AK803" i="10"/>
  <c r="AJ803" i="10"/>
  <c r="AI803" i="10"/>
  <c r="AB875" i="10"/>
  <c r="AD875" i="10" s="1"/>
  <c r="O31" i="4"/>
  <c r="AK804" i="10"/>
  <c r="AJ804" i="10"/>
  <c r="AI804" i="10"/>
  <c r="AI805" i="10"/>
  <c r="AJ805" i="10"/>
  <c r="AK805" i="10"/>
  <c r="AB876" i="10"/>
  <c r="AD876" i="10" s="1"/>
  <c r="O33" i="4"/>
  <c r="AB877" i="10"/>
  <c r="AD877" i="10" s="1"/>
  <c r="O34" i="4"/>
  <c r="AK806" i="10"/>
  <c r="AJ806" i="10"/>
  <c r="AI806" i="10"/>
  <c r="O35" i="4"/>
  <c r="AB878" i="10"/>
  <c r="AD878" i="10" s="1"/>
  <c r="AK807" i="10"/>
  <c r="AJ807" i="10"/>
  <c r="AI807" i="10"/>
  <c r="O36" i="4"/>
  <c r="AB879" i="10"/>
  <c r="AD879" i="10" s="1"/>
  <c r="AK808" i="10"/>
  <c r="AJ808" i="10"/>
  <c r="AI808" i="10"/>
  <c r="O38" i="4"/>
  <c r="AB880" i="10"/>
  <c r="AD880" i="10" s="1"/>
  <c r="AK809" i="10"/>
  <c r="AJ809" i="10"/>
  <c r="AI809" i="10"/>
  <c r="AB881" i="10"/>
  <c r="AD881" i="10" s="1"/>
  <c r="O39" i="4"/>
  <c r="AK810" i="10"/>
  <c r="AJ810" i="10"/>
  <c r="AI810" i="10"/>
  <c r="AB882" i="10"/>
  <c r="AD882" i="10" s="1"/>
  <c r="O40" i="4"/>
  <c r="AK811" i="10"/>
  <c r="AJ811" i="10"/>
  <c r="AI811" i="10"/>
  <c r="AB883" i="10"/>
  <c r="AD883" i="10" s="1"/>
  <c r="O41" i="4"/>
  <c r="AK812" i="10"/>
  <c r="AJ812" i="10"/>
  <c r="AI812" i="10"/>
  <c r="O43" i="4"/>
  <c r="AB884" i="10"/>
  <c r="AD884" i="10" s="1"/>
  <c r="AK813" i="10"/>
  <c r="AJ813" i="10"/>
  <c r="AI813" i="10"/>
  <c r="O44" i="4"/>
  <c r="AB885" i="10"/>
  <c r="AD885" i="10" s="1"/>
  <c r="AK814" i="10"/>
  <c r="AJ814" i="10"/>
  <c r="AI814" i="10"/>
  <c r="AB886" i="10"/>
  <c r="AD886" i="10" s="1"/>
  <c r="O45" i="4"/>
  <c r="AK815" i="10"/>
  <c r="AJ815" i="10"/>
  <c r="AI815" i="10"/>
  <c r="O47" i="4"/>
  <c r="AB887" i="10"/>
  <c r="AD887" i="10" s="1"/>
  <c r="AK816" i="10"/>
  <c r="AJ816" i="10"/>
  <c r="AI816" i="10"/>
  <c r="O48" i="4"/>
  <c r="AB888" i="10"/>
  <c r="AD888" i="10" s="1"/>
  <c r="AK817" i="10"/>
  <c r="AJ817" i="10"/>
  <c r="AI817" i="10"/>
  <c r="AB889" i="10"/>
  <c r="AD889" i="10" s="1"/>
  <c r="O49" i="4"/>
  <c r="AK818" i="10"/>
  <c r="AJ818" i="10"/>
  <c r="AI818" i="10"/>
  <c r="AB890" i="10"/>
  <c r="AD890" i="10" s="1"/>
  <c r="O51" i="4"/>
  <c r="AK819" i="10"/>
  <c r="AJ819" i="10"/>
  <c r="AI819" i="10"/>
  <c r="O52" i="4"/>
  <c r="AB891" i="10"/>
  <c r="AD891" i="10" s="1"/>
  <c r="AK820" i="10"/>
  <c r="AJ820" i="10"/>
  <c r="AI820" i="10"/>
  <c r="O53" i="4"/>
  <c r="AB892" i="10"/>
  <c r="AD892" i="10" s="1"/>
  <c r="AK821" i="10"/>
  <c r="AJ821" i="10"/>
  <c r="AI821" i="10"/>
  <c r="O54" i="4"/>
  <c r="AB893" i="10"/>
  <c r="AD893" i="10" s="1"/>
  <c r="AK822" i="10"/>
  <c r="AJ822" i="10"/>
  <c r="AI822" i="10"/>
  <c r="O55" i="4"/>
  <c r="AB894" i="10"/>
  <c r="AD894" i="10" s="1"/>
  <c r="AK823" i="10"/>
  <c r="AJ823" i="10"/>
  <c r="AI823" i="10"/>
  <c r="O56" i="4"/>
  <c r="AB895" i="10"/>
  <c r="AD895" i="10" s="1"/>
  <c r="AK824" i="10"/>
  <c r="AJ824" i="10"/>
  <c r="AI824" i="10"/>
  <c r="O57" i="4"/>
  <c r="AB896" i="10"/>
  <c r="AD896" i="10" s="1"/>
  <c r="AK825" i="10"/>
  <c r="AJ825" i="10"/>
  <c r="AI825" i="10"/>
  <c r="O58" i="4"/>
  <c r="AB897" i="10"/>
  <c r="AD897" i="10" s="1"/>
  <c r="AK826" i="10"/>
  <c r="AJ826" i="10"/>
  <c r="AI826" i="10"/>
  <c r="AB898" i="10"/>
  <c r="AD898" i="10" s="1"/>
  <c r="O60" i="4"/>
  <c r="AK827" i="10"/>
  <c r="AJ827" i="10"/>
  <c r="AI827" i="10"/>
  <c r="AB899" i="10"/>
  <c r="AD899" i="10" s="1"/>
  <c r="O61" i="4"/>
  <c r="AK828" i="10"/>
  <c r="AJ828" i="10"/>
  <c r="AI828" i="10"/>
  <c r="O62" i="4"/>
  <c r="AB900" i="10"/>
  <c r="AD900" i="10" s="1"/>
  <c r="AK829" i="10"/>
  <c r="AJ829" i="10"/>
  <c r="AI829" i="10"/>
  <c r="O63" i="4"/>
  <c r="AB901" i="10"/>
  <c r="AD901" i="10" s="1"/>
  <c r="AK830" i="10"/>
  <c r="AJ830" i="10"/>
  <c r="AI830" i="10"/>
  <c r="AI831" i="10"/>
  <c r="AJ831" i="10"/>
  <c r="AK831" i="10"/>
  <c r="AB902" i="10"/>
  <c r="AD902" i="10" s="1"/>
  <c r="O65" i="4"/>
  <c r="AB903" i="10"/>
  <c r="AD903" i="10" s="1"/>
  <c r="O66" i="4"/>
  <c r="AK832" i="10"/>
  <c r="AJ832" i="10"/>
  <c r="AI832" i="10"/>
  <c r="AB904" i="10"/>
  <c r="AD904" i="10" s="1"/>
  <c r="O67" i="4"/>
  <c r="AK833" i="10"/>
  <c r="AJ833" i="10"/>
  <c r="AI833" i="10"/>
  <c r="O68" i="4"/>
  <c r="AB905" i="10"/>
  <c r="AD905" i="10" s="1"/>
  <c r="AK834" i="10"/>
  <c r="AJ834" i="10"/>
  <c r="AI834" i="10"/>
  <c r="AI835" i="10"/>
  <c r="AJ835" i="10"/>
  <c r="AK835" i="10"/>
  <c r="AB906" i="10"/>
  <c r="AD906" i="10" s="1"/>
  <c r="O69" i="4"/>
  <c r="O71" i="4"/>
  <c r="AB907" i="10"/>
  <c r="AD907" i="10" s="1"/>
  <c r="AK836" i="10"/>
  <c r="AJ836" i="10"/>
  <c r="AI836" i="10"/>
  <c r="AB908" i="10"/>
  <c r="AD908" i="10" s="1"/>
  <c r="O72" i="4"/>
  <c r="AK837" i="10"/>
  <c r="AJ837" i="10"/>
  <c r="AI837" i="10"/>
  <c r="O74" i="4"/>
  <c r="AB909" i="10"/>
  <c r="AD909" i="10" s="1"/>
  <c r="AK838" i="10"/>
  <c r="AJ838" i="10"/>
  <c r="AI838" i="10"/>
  <c r="O75" i="4"/>
  <c r="AB910" i="10"/>
  <c r="AD910" i="10" s="1"/>
  <c r="AK839" i="10"/>
  <c r="AJ839" i="10"/>
  <c r="AI839" i="10"/>
  <c r="O76" i="4"/>
  <c r="AB911" i="10"/>
  <c r="AD911" i="10" s="1"/>
  <c r="AK840" i="10"/>
  <c r="AJ840" i="10"/>
  <c r="AI840" i="10"/>
  <c r="AB912" i="10"/>
  <c r="AD912" i="10" s="1"/>
  <c r="O77" i="4"/>
  <c r="AK841" i="10"/>
  <c r="AJ841" i="10"/>
  <c r="AI841" i="10"/>
  <c r="O78" i="4"/>
  <c r="AB913" i="10"/>
  <c r="AD913" i="10" s="1"/>
  <c r="AK842" i="10"/>
  <c r="AJ842" i="10"/>
  <c r="AI842" i="10"/>
  <c r="O79" i="4"/>
  <c r="AB914" i="10"/>
  <c r="AD914" i="10" s="1"/>
  <c r="AK843" i="10"/>
  <c r="AJ843" i="10"/>
  <c r="AI843" i="10"/>
  <c r="O81" i="4"/>
  <c r="AB915" i="10"/>
  <c r="AD915" i="10" s="1"/>
  <c r="AK844" i="10"/>
  <c r="AJ844" i="10"/>
  <c r="AI844" i="10"/>
  <c r="AB916" i="10"/>
  <c r="AD916" i="10" s="1"/>
  <c r="AI845" i="10"/>
  <c r="O82" i="4"/>
  <c r="AK845" i="10"/>
  <c r="AJ845" i="10"/>
  <c r="AB918" i="10"/>
  <c r="AD918" i="10" s="1"/>
  <c r="O84" i="4"/>
  <c r="AK847" i="10"/>
  <c r="AJ847" i="10"/>
  <c r="AI847" i="10"/>
  <c r="O88" i="4"/>
  <c r="AB922" i="10"/>
  <c r="AD922" i="10" s="1"/>
  <c r="AJ851" i="10"/>
  <c r="AI851" i="10"/>
  <c r="AK851" i="10"/>
  <c r="AJ853" i="10"/>
  <c r="AI853" i="10"/>
  <c r="AK853" i="10"/>
  <c r="AB924" i="10"/>
  <c r="AD924" i="10" s="1"/>
  <c r="O91" i="4"/>
  <c r="O83" i="4"/>
  <c r="AB917" i="10"/>
  <c r="AD917" i="10" s="1"/>
  <c r="AK846" i="10"/>
  <c r="AJ846" i="10"/>
  <c r="AI846" i="10"/>
  <c r="O86" i="4"/>
  <c r="AB920" i="10"/>
  <c r="AD920" i="10" s="1"/>
  <c r="AK849" i="10"/>
  <c r="AJ849" i="10"/>
  <c r="AI849" i="10"/>
  <c r="AB925" i="10"/>
  <c r="AD925" i="10" s="1"/>
  <c r="AI854" i="10"/>
  <c r="O92" i="4"/>
  <c r="AK854" i="10"/>
  <c r="AJ854" i="10"/>
  <c r="O85" i="4"/>
  <c r="AK848" i="10"/>
  <c r="AJ848" i="10"/>
  <c r="AI848" i="10"/>
  <c r="AB919" i="10"/>
  <c r="AD919" i="10" s="1"/>
  <c r="AK850" i="10"/>
  <c r="O87" i="4"/>
  <c r="AB921" i="10"/>
  <c r="AD921" i="10" s="1"/>
  <c r="AJ850" i="10"/>
  <c r="AI850" i="10"/>
  <c r="AJ852" i="10"/>
  <c r="AK852" i="10"/>
  <c r="O90" i="4"/>
  <c r="AI852" i="10"/>
  <c r="AB923" i="10"/>
  <c r="AD923" i="10" s="1"/>
  <c r="AJ855" i="10"/>
  <c r="AK855" i="10"/>
  <c r="AB926" i="10"/>
  <c r="AD926" i="10" s="1"/>
  <c r="O93" i="4"/>
  <c r="AI855" i="10"/>
  <c r="B15" i="13" l="1"/>
  <c r="E15" i="13" s="1"/>
  <c r="B16" i="13"/>
  <c r="E16" i="13" s="1"/>
  <c r="E23" i="11"/>
  <c r="G23" i="11"/>
  <c r="AD856" i="10"/>
  <c r="H20" i="12"/>
  <c r="O95" i="4"/>
  <c r="AF857" i="10"/>
  <c r="AH857" i="10" s="1"/>
  <c r="AE857" i="10"/>
  <c r="AE858" i="10"/>
  <c r="AF858" i="10"/>
  <c r="AH858" i="10" s="1"/>
  <c r="AF859" i="10"/>
  <c r="AH859" i="10" s="1"/>
  <c r="AE859" i="10"/>
  <c r="AF860" i="10"/>
  <c r="AH860" i="10" s="1"/>
  <c r="AE860" i="10"/>
  <c r="AF861" i="10"/>
  <c r="AH861" i="10" s="1"/>
  <c r="AE861" i="10"/>
  <c r="AE862" i="10"/>
  <c r="AF862" i="10"/>
  <c r="AH862" i="10" s="1"/>
  <c r="AF863" i="10"/>
  <c r="AH863" i="10" s="1"/>
  <c r="AE863" i="10"/>
  <c r="AE864" i="10"/>
  <c r="AF864" i="10"/>
  <c r="AH864" i="10" s="1"/>
  <c r="AE865" i="10"/>
  <c r="AF865" i="10"/>
  <c r="AH865" i="10" s="1"/>
  <c r="AE866" i="10"/>
  <c r="AF866" i="10"/>
  <c r="AH866" i="10" s="1"/>
  <c r="AF867" i="10"/>
  <c r="AH867" i="10" s="1"/>
  <c r="AE867" i="10"/>
  <c r="AE868" i="10"/>
  <c r="AF868" i="10"/>
  <c r="AH868" i="10" s="1"/>
  <c r="AE869" i="10"/>
  <c r="AF869" i="10"/>
  <c r="AH869" i="10" s="1"/>
  <c r="AF870" i="10"/>
  <c r="AH870" i="10" s="1"/>
  <c r="AE870" i="10"/>
  <c r="AE871" i="10"/>
  <c r="AF871" i="10"/>
  <c r="AH871" i="10" s="1"/>
  <c r="AF872" i="10"/>
  <c r="AH872" i="10" s="1"/>
  <c r="AE872" i="10"/>
  <c r="AF873" i="10"/>
  <c r="AH873" i="10" s="1"/>
  <c r="AE873" i="10"/>
  <c r="AF874" i="10"/>
  <c r="AH874" i="10" s="1"/>
  <c r="AE874" i="10"/>
  <c r="AE875" i="10"/>
  <c r="AF875" i="10"/>
  <c r="AH875" i="10" s="1"/>
  <c r="AE876" i="10"/>
  <c r="AF876" i="10"/>
  <c r="AH876" i="10" s="1"/>
  <c r="AE877" i="10"/>
  <c r="AF877" i="10"/>
  <c r="AH877" i="10" s="1"/>
  <c r="AF878" i="10"/>
  <c r="AH878" i="10" s="1"/>
  <c r="AE878" i="10"/>
  <c r="AF879" i="10"/>
  <c r="AH879" i="10" s="1"/>
  <c r="AE879" i="10"/>
  <c r="AE880" i="10"/>
  <c r="AF880" i="10"/>
  <c r="AH880" i="10" s="1"/>
  <c r="AF881" i="10"/>
  <c r="AH881" i="10" s="1"/>
  <c r="AE881" i="10"/>
  <c r="AE882" i="10"/>
  <c r="AF882" i="10"/>
  <c r="AH882" i="10" s="1"/>
  <c r="AF883" i="10"/>
  <c r="AH883" i="10" s="1"/>
  <c r="AE883" i="10"/>
  <c r="AE884" i="10"/>
  <c r="AF884" i="10"/>
  <c r="AH884" i="10" s="1"/>
  <c r="AF885" i="10"/>
  <c r="AH885" i="10" s="1"/>
  <c r="AE885" i="10"/>
  <c r="AE886" i="10"/>
  <c r="AF886" i="10"/>
  <c r="AH886" i="10" s="1"/>
  <c r="AF887" i="10"/>
  <c r="AH887" i="10" s="1"/>
  <c r="AE887" i="10"/>
  <c r="AE888" i="10"/>
  <c r="AF888" i="10"/>
  <c r="AH888" i="10" s="1"/>
  <c r="AE889" i="10"/>
  <c r="AF889" i="10"/>
  <c r="AH889" i="10" s="1"/>
  <c r="AF890" i="10"/>
  <c r="AH890" i="10" s="1"/>
  <c r="AE890" i="10"/>
  <c r="AF891" i="10"/>
  <c r="AH891" i="10" s="1"/>
  <c r="AE891" i="10"/>
  <c r="AF892" i="10"/>
  <c r="AH892" i="10" s="1"/>
  <c r="AE892" i="10"/>
  <c r="AE893" i="10"/>
  <c r="AF893" i="10"/>
  <c r="AH893" i="10" s="1"/>
  <c r="AF894" i="10"/>
  <c r="AH894" i="10" s="1"/>
  <c r="AE894" i="10"/>
  <c r="AE895" i="10"/>
  <c r="AF895" i="10"/>
  <c r="AH895" i="10" s="1"/>
  <c r="AE896" i="10"/>
  <c r="AF896" i="10"/>
  <c r="AH896" i="10" s="1"/>
  <c r="AF897" i="10"/>
  <c r="AH897" i="10" s="1"/>
  <c r="AE897" i="10"/>
  <c r="AF898" i="10"/>
  <c r="AH898" i="10" s="1"/>
  <c r="AE898" i="10"/>
  <c r="AE899" i="10"/>
  <c r="AF899" i="10"/>
  <c r="AH899" i="10" s="1"/>
  <c r="AF900" i="10"/>
  <c r="AH900" i="10" s="1"/>
  <c r="AE900" i="10"/>
  <c r="AF901" i="10"/>
  <c r="AH901" i="10" s="1"/>
  <c r="AE901" i="10"/>
  <c r="AE902" i="10"/>
  <c r="AF902" i="10"/>
  <c r="AH902" i="10" s="1"/>
  <c r="AE903" i="10"/>
  <c r="AF903" i="10"/>
  <c r="AH903" i="10" s="1"/>
  <c r="AF904" i="10"/>
  <c r="AH904" i="10" s="1"/>
  <c r="AE904" i="10"/>
  <c r="AF905" i="10"/>
  <c r="AH905" i="10" s="1"/>
  <c r="AE905" i="10"/>
  <c r="AE906" i="10"/>
  <c r="AF906" i="10"/>
  <c r="AH906" i="10" s="1"/>
  <c r="AE907" i="10"/>
  <c r="AF907" i="10"/>
  <c r="AH907" i="10" s="1"/>
  <c r="AF908" i="10"/>
  <c r="AH908" i="10" s="1"/>
  <c r="AE908" i="10"/>
  <c r="AF909" i="10"/>
  <c r="AH909" i="10" s="1"/>
  <c r="AE909" i="10"/>
  <c r="AE910" i="10"/>
  <c r="AF910" i="10"/>
  <c r="AH910" i="10" s="1"/>
  <c r="AE911" i="10"/>
  <c r="AF911" i="10"/>
  <c r="AH911" i="10" s="1"/>
  <c r="AF912" i="10"/>
  <c r="AH912" i="10" s="1"/>
  <c r="AE912" i="10"/>
  <c r="AF913" i="10"/>
  <c r="AH913" i="10" s="1"/>
  <c r="AE913" i="10"/>
  <c r="AF914" i="10"/>
  <c r="AH914" i="10" s="1"/>
  <c r="AE914" i="10"/>
  <c r="AE915" i="10"/>
  <c r="AF915" i="10"/>
  <c r="AH915" i="10" s="1"/>
  <c r="AE916" i="10"/>
  <c r="AF916" i="10"/>
  <c r="AH916" i="10" s="1"/>
  <c r="AE918" i="10"/>
  <c r="AF918" i="10"/>
  <c r="AH918" i="10" s="1"/>
  <c r="AE922" i="10"/>
  <c r="AF922" i="10"/>
  <c r="AH922" i="10" s="1"/>
  <c r="AE924" i="10"/>
  <c r="AF924" i="10"/>
  <c r="AH924" i="10" s="1"/>
  <c r="AF917" i="10"/>
  <c r="AH917" i="10" s="1"/>
  <c r="AE917" i="10"/>
  <c r="AE920" i="10"/>
  <c r="AF920" i="10"/>
  <c r="AH920" i="10" s="1"/>
  <c r="AE925" i="10"/>
  <c r="AF925" i="10"/>
  <c r="AH925" i="10" s="1"/>
  <c r="AF919" i="10"/>
  <c r="AH919" i="10" s="1"/>
  <c r="AE919" i="10"/>
  <c r="AE921" i="10"/>
  <c r="AF921" i="10"/>
  <c r="AH921" i="10" s="1"/>
  <c r="AF923" i="10"/>
  <c r="AH923" i="10" s="1"/>
  <c r="AE923" i="10"/>
  <c r="AE926" i="10"/>
  <c r="AF926" i="10"/>
  <c r="AH926" i="10" s="1"/>
  <c r="AF856" i="10" l="1"/>
  <c r="AH856" i="10" s="1"/>
  <c r="AE856" i="10"/>
  <c r="AJ857" i="10"/>
  <c r="AK857" i="10"/>
  <c r="AI857" i="10"/>
  <c r="AB928" i="10"/>
  <c r="AD928" i="10" s="1"/>
  <c r="P11" i="4"/>
  <c r="AB929" i="10"/>
  <c r="AD929" i="10" s="1"/>
  <c r="P12" i="4"/>
  <c r="AI858" i="10"/>
  <c r="AJ858" i="10"/>
  <c r="AK858" i="10"/>
  <c r="AI859" i="10"/>
  <c r="AJ859" i="10"/>
  <c r="AK859" i="10"/>
  <c r="AB930" i="10"/>
  <c r="AD930" i="10" s="1"/>
  <c r="P13" i="4"/>
  <c r="AJ860" i="10"/>
  <c r="AK860" i="10"/>
  <c r="P14" i="4"/>
  <c r="AI860" i="10"/>
  <c r="AB931" i="10"/>
  <c r="AD931" i="10" s="1"/>
  <c r="AI861" i="10"/>
  <c r="AJ861" i="10"/>
  <c r="P15" i="4"/>
  <c r="AB932" i="10"/>
  <c r="AD932" i="10" s="1"/>
  <c r="AK861" i="10"/>
  <c r="AI862" i="10"/>
  <c r="AJ862" i="10"/>
  <c r="AK862" i="10"/>
  <c r="AB933" i="10"/>
  <c r="AD933" i="10" s="1"/>
  <c r="P16" i="4"/>
  <c r="AK863" i="10"/>
  <c r="AJ863" i="10"/>
  <c r="AI863" i="10"/>
  <c r="AB934" i="10"/>
  <c r="AD934" i="10" s="1"/>
  <c r="P17" i="4"/>
  <c r="AJ864" i="10"/>
  <c r="AI864" i="10"/>
  <c r="AB935" i="10"/>
  <c r="AD935" i="10" s="1"/>
  <c r="AK864" i="10"/>
  <c r="P18" i="4"/>
  <c r="AI865" i="10"/>
  <c r="AJ865" i="10"/>
  <c r="AK865" i="10"/>
  <c r="P19" i="4"/>
  <c r="AB936" i="10"/>
  <c r="AD936" i="10" s="1"/>
  <c r="AJ866" i="10"/>
  <c r="AB937" i="10"/>
  <c r="AD937" i="10" s="1"/>
  <c r="AI866" i="10"/>
  <c r="P21" i="4"/>
  <c r="AK866" i="10"/>
  <c r="AK867" i="10"/>
  <c r="AB938" i="10"/>
  <c r="AD938" i="10" s="1"/>
  <c r="AI867" i="10"/>
  <c r="AJ867" i="10"/>
  <c r="P22" i="4"/>
  <c r="AJ868" i="10"/>
  <c r="AK868" i="10"/>
  <c r="AB939" i="10"/>
  <c r="AD939" i="10" s="1"/>
  <c r="P23" i="4"/>
  <c r="AI868" i="10"/>
  <c r="AJ869" i="10"/>
  <c r="AB940" i="10"/>
  <c r="AD940" i="10" s="1"/>
  <c r="P25" i="4"/>
  <c r="AI869" i="10"/>
  <c r="AK869" i="10"/>
  <c r="AK870" i="10"/>
  <c r="AI870" i="10"/>
  <c r="AB941" i="10"/>
  <c r="AD941" i="10" s="1"/>
  <c r="AJ870" i="10"/>
  <c r="P26" i="4"/>
  <c r="AB942" i="10"/>
  <c r="AD942" i="10" s="1"/>
  <c r="P27" i="4"/>
  <c r="AJ871" i="10"/>
  <c r="AI871" i="10"/>
  <c r="AK871" i="10"/>
  <c r="AI872" i="10"/>
  <c r="AJ872" i="10"/>
  <c r="P28" i="4"/>
  <c r="AK872" i="10"/>
  <c r="AB943" i="10"/>
  <c r="AD943" i="10" s="1"/>
  <c r="AJ873" i="10"/>
  <c r="AK873" i="10"/>
  <c r="P29" i="4"/>
  <c r="AI873" i="10"/>
  <c r="AB944" i="10"/>
  <c r="AD944" i="10" s="1"/>
  <c r="AJ874" i="10"/>
  <c r="AK874" i="10"/>
  <c r="AB945" i="10"/>
  <c r="AD945" i="10" s="1"/>
  <c r="P30" i="4"/>
  <c r="AI874" i="10"/>
  <c r="AI875" i="10"/>
  <c r="AJ875" i="10"/>
  <c r="AK875" i="10"/>
  <c r="AB946" i="10"/>
  <c r="AD946" i="10" s="1"/>
  <c r="P31" i="4"/>
  <c r="AK876" i="10"/>
  <c r="AI876" i="10"/>
  <c r="AJ876" i="10"/>
  <c r="AB947" i="10"/>
  <c r="AD947" i="10" s="1"/>
  <c r="P33" i="4"/>
  <c r="AK877" i="10"/>
  <c r="AI877" i="10"/>
  <c r="AJ877" i="10"/>
  <c r="P34" i="4"/>
  <c r="AB948" i="10"/>
  <c r="AD948" i="10" s="1"/>
  <c r="AI878" i="10"/>
  <c r="AJ878" i="10"/>
  <c r="AK878" i="10"/>
  <c r="P35" i="4"/>
  <c r="AB949" i="10"/>
  <c r="AD949" i="10" s="1"/>
  <c r="AI879" i="10"/>
  <c r="AK879" i="10"/>
  <c r="AB950" i="10"/>
  <c r="AD950" i="10" s="1"/>
  <c r="P36" i="4"/>
  <c r="AJ879" i="10"/>
  <c r="P38" i="4"/>
  <c r="AI880" i="10"/>
  <c r="AJ880" i="10"/>
  <c r="AK880" i="10"/>
  <c r="AB951" i="10"/>
  <c r="AD951" i="10" s="1"/>
  <c r="AJ881" i="10"/>
  <c r="AB952" i="10"/>
  <c r="AD952" i="10" s="1"/>
  <c r="AI881" i="10"/>
  <c r="AK881" i="10"/>
  <c r="P39" i="4"/>
  <c r="AJ882" i="10"/>
  <c r="P40" i="4"/>
  <c r="AB953" i="10"/>
  <c r="AD953" i="10" s="1"/>
  <c r="AI882" i="10"/>
  <c r="AK882" i="10"/>
  <c r="AI883" i="10"/>
  <c r="AJ883" i="10"/>
  <c r="AK883" i="10"/>
  <c r="AB954" i="10"/>
  <c r="AD954" i="10" s="1"/>
  <c r="P41" i="4"/>
  <c r="AJ884" i="10"/>
  <c r="AK884" i="10"/>
  <c r="P43" i="4"/>
  <c r="AB955" i="10"/>
  <c r="AD955" i="10" s="1"/>
  <c r="AI884" i="10"/>
  <c r="AJ885" i="10"/>
  <c r="AK885" i="10"/>
  <c r="AB956" i="10"/>
  <c r="AD956" i="10" s="1"/>
  <c r="AI885" i="10"/>
  <c r="P44" i="4"/>
  <c r="AJ886" i="10"/>
  <c r="P45" i="4"/>
  <c r="AB957" i="10"/>
  <c r="AD957" i="10" s="1"/>
  <c r="AI886" i="10"/>
  <c r="AK886" i="10"/>
  <c r="AI887" i="10"/>
  <c r="AK887" i="10"/>
  <c r="P47" i="4"/>
  <c r="AB958" i="10"/>
  <c r="AD958" i="10" s="1"/>
  <c r="AJ887" i="10"/>
  <c r="AJ888" i="10"/>
  <c r="AB959" i="10"/>
  <c r="AD959" i="10" s="1"/>
  <c r="AI888" i="10"/>
  <c r="AK888" i="10"/>
  <c r="P48" i="4"/>
  <c r="AK889" i="10"/>
  <c r="AI889" i="10"/>
  <c r="AJ889" i="10"/>
  <c r="AB960" i="10"/>
  <c r="AD960" i="10" s="1"/>
  <c r="P49" i="4"/>
  <c r="AJ890" i="10"/>
  <c r="AB961" i="10"/>
  <c r="AD961" i="10" s="1"/>
  <c r="AI890" i="10"/>
  <c r="AK890" i="10"/>
  <c r="P51" i="4"/>
  <c r="AK891" i="10"/>
  <c r="AI891" i="10"/>
  <c r="AJ891" i="10"/>
  <c r="AB962" i="10"/>
  <c r="AD962" i="10" s="1"/>
  <c r="P52" i="4"/>
  <c r="AJ892" i="10"/>
  <c r="P53" i="4"/>
  <c r="AI892" i="10"/>
  <c r="AK892" i="10"/>
  <c r="AB963" i="10"/>
  <c r="AD963" i="10" s="1"/>
  <c r="AK893" i="10"/>
  <c r="AB964" i="10"/>
  <c r="AD964" i="10" s="1"/>
  <c r="AI893" i="10"/>
  <c r="AJ893" i="10"/>
  <c r="P54" i="4"/>
  <c r="AJ894" i="10"/>
  <c r="AK894" i="10"/>
  <c r="P55" i="4"/>
  <c r="AB965" i="10"/>
  <c r="AD965" i="10" s="1"/>
  <c r="AI894" i="10"/>
  <c r="AJ895" i="10"/>
  <c r="AI895" i="10"/>
  <c r="AK895" i="10"/>
  <c r="AB966" i="10"/>
  <c r="AD966" i="10" s="1"/>
  <c r="P56" i="4"/>
  <c r="P57" i="4"/>
  <c r="AI896" i="10"/>
  <c r="AJ896" i="10"/>
  <c r="AK896" i="10"/>
  <c r="AB967" i="10"/>
  <c r="AD967" i="10" s="1"/>
  <c r="AK897" i="10"/>
  <c r="AI897" i="10"/>
  <c r="AJ897" i="10"/>
  <c r="AB968" i="10"/>
  <c r="AD968" i="10" s="1"/>
  <c r="P58" i="4"/>
  <c r="AI898" i="10"/>
  <c r="AK898" i="10"/>
  <c r="P60" i="4"/>
  <c r="AJ898" i="10"/>
  <c r="AB969" i="10"/>
  <c r="AD969" i="10" s="1"/>
  <c r="AJ899" i="10"/>
  <c r="AK899" i="10"/>
  <c r="AB970" i="10"/>
  <c r="AD970" i="10" s="1"/>
  <c r="P61" i="4"/>
  <c r="AI899" i="10"/>
  <c r="AI900" i="10"/>
  <c r="AJ900" i="10"/>
  <c r="P62" i="4"/>
  <c r="AK900" i="10"/>
  <c r="AB971" i="10"/>
  <c r="AD971" i="10" s="1"/>
  <c r="AJ901" i="10"/>
  <c r="P63" i="4"/>
  <c r="AI901" i="10"/>
  <c r="AK901" i="10"/>
  <c r="AB972" i="10"/>
  <c r="AD972" i="10" s="1"/>
  <c r="AI902" i="10"/>
  <c r="AJ902" i="10"/>
  <c r="AK902" i="10"/>
  <c r="P65" i="4"/>
  <c r="AB973" i="10"/>
  <c r="AD973" i="10" s="1"/>
  <c r="AJ903" i="10"/>
  <c r="AK903" i="10"/>
  <c r="AB974" i="10"/>
  <c r="AD974" i="10" s="1"/>
  <c r="P66" i="4"/>
  <c r="AI903" i="10"/>
  <c r="AJ904" i="10"/>
  <c r="AK904" i="10"/>
  <c r="P67" i="4"/>
  <c r="AI904" i="10"/>
  <c r="AB975" i="10"/>
  <c r="AD975" i="10" s="1"/>
  <c r="AI905" i="10"/>
  <c r="AK905" i="10"/>
  <c r="P68" i="4"/>
  <c r="AB976" i="10"/>
  <c r="AD976" i="10" s="1"/>
  <c r="AJ905" i="10"/>
  <c r="AJ906" i="10"/>
  <c r="AK906" i="10"/>
  <c r="AB977" i="10"/>
  <c r="AD977" i="10" s="1"/>
  <c r="P69" i="4"/>
  <c r="AI906" i="10"/>
  <c r="AJ907" i="10"/>
  <c r="AK907" i="10"/>
  <c r="P71" i="4"/>
  <c r="AI907" i="10"/>
  <c r="AB978" i="10"/>
  <c r="AD978" i="10" s="1"/>
  <c r="AK908" i="10"/>
  <c r="AI908" i="10"/>
  <c r="AB979" i="10"/>
  <c r="AD979" i="10" s="1"/>
  <c r="AJ908" i="10"/>
  <c r="P72" i="4"/>
  <c r="AB980" i="10"/>
  <c r="AD980" i="10" s="1"/>
  <c r="AK909" i="10"/>
  <c r="AI909" i="10"/>
  <c r="AJ909" i="10"/>
  <c r="P74" i="4"/>
  <c r="P75" i="4"/>
  <c r="AB981" i="10"/>
  <c r="AD981" i="10" s="1"/>
  <c r="AI910" i="10"/>
  <c r="AJ910" i="10"/>
  <c r="AK910" i="10"/>
  <c r="AJ911" i="10"/>
  <c r="AB982" i="10"/>
  <c r="AD982" i="10" s="1"/>
  <c r="AI911" i="10"/>
  <c r="AK911" i="10"/>
  <c r="P76" i="4"/>
  <c r="AJ912" i="10"/>
  <c r="AK912" i="10"/>
  <c r="AI912" i="10"/>
  <c r="AB983" i="10"/>
  <c r="AD983" i="10" s="1"/>
  <c r="P77" i="4"/>
  <c r="AJ913" i="10"/>
  <c r="P78" i="4"/>
  <c r="AK913" i="10"/>
  <c r="AI913" i="10"/>
  <c r="AB984" i="10"/>
  <c r="AD984" i="10" s="1"/>
  <c r="AJ914" i="10"/>
  <c r="AK914" i="10"/>
  <c r="P79" i="4"/>
  <c r="AI914" i="10"/>
  <c r="AB985" i="10"/>
  <c r="AD985" i="10" s="1"/>
  <c r="AK915" i="10"/>
  <c r="AB986" i="10"/>
  <c r="AD986" i="10" s="1"/>
  <c r="AI915" i="10"/>
  <c r="AJ915" i="10"/>
  <c r="P81" i="4"/>
  <c r="AJ916" i="10"/>
  <c r="AB987" i="10"/>
  <c r="AD987" i="10" s="1"/>
  <c r="P82" i="4"/>
  <c r="AI916" i="10"/>
  <c r="AK916" i="10"/>
  <c r="AK918" i="10"/>
  <c r="AI918" i="10"/>
  <c r="AJ918" i="10"/>
  <c r="AB989" i="10"/>
  <c r="AD989" i="10" s="1"/>
  <c r="P84" i="4"/>
  <c r="AI922" i="10"/>
  <c r="AJ922" i="10"/>
  <c r="AK922" i="10"/>
  <c r="AB993" i="10"/>
  <c r="AD993" i="10" s="1"/>
  <c r="P88" i="4"/>
  <c r="AJ924" i="10"/>
  <c r="AK924" i="10"/>
  <c r="P91" i="4"/>
  <c r="AI924" i="10"/>
  <c r="AB995" i="10"/>
  <c r="AD995" i="10" s="1"/>
  <c r="AJ917" i="10"/>
  <c r="AI917" i="10"/>
  <c r="AK917" i="10"/>
  <c r="AB988" i="10"/>
  <c r="AD988" i="10" s="1"/>
  <c r="P83" i="4"/>
  <c r="AJ920" i="10"/>
  <c r="AK920" i="10"/>
  <c r="P86" i="4"/>
  <c r="AI920" i="10"/>
  <c r="AB991" i="10"/>
  <c r="AD991" i="10" s="1"/>
  <c r="AJ925" i="10"/>
  <c r="AK925" i="10"/>
  <c r="P92" i="4"/>
  <c r="AB996" i="10"/>
  <c r="AD996" i="10" s="1"/>
  <c r="AI925" i="10"/>
  <c r="AK919" i="10"/>
  <c r="AI919" i="10"/>
  <c r="AJ919" i="10"/>
  <c r="AB990" i="10"/>
  <c r="AD990" i="10" s="1"/>
  <c r="P85" i="4"/>
  <c r="AJ921" i="10"/>
  <c r="AB992" i="10"/>
  <c r="AD992" i="10" s="1"/>
  <c r="P87" i="4"/>
  <c r="AI921" i="10"/>
  <c r="AK921" i="10"/>
  <c r="AI923" i="10"/>
  <c r="AJ923" i="10"/>
  <c r="AK923" i="10"/>
  <c r="P90" i="4"/>
  <c r="AB994" i="10"/>
  <c r="AD994" i="10" s="1"/>
  <c r="AJ926" i="10"/>
  <c r="AI926" i="10"/>
  <c r="AK926" i="10"/>
  <c r="AB997" i="10"/>
  <c r="AD997" i="10" s="1"/>
  <c r="P93" i="4"/>
  <c r="AJ856" i="10" l="1"/>
  <c r="I20" i="12" s="1"/>
  <c r="AK856" i="10"/>
  <c r="D24" i="11"/>
  <c r="E20" i="12"/>
  <c r="P10" i="4"/>
  <c r="AI856" i="10"/>
  <c r="F20" i="12" s="1"/>
  <c r="AB927" i="10"/>
  <c r="AE928" i="10"/>
  <c r="AF928" i="10"/>
  <c r="AH928" i="10" s="1"/>
  <c r="AE929" i="10"/>
  <c r="AF929" i="10"/>
  <c r="AH929" i="10" s="1"/>
  <c r="AF930" i="10"/>
  <c r="AH930" i="10" s="1"/>
  <c r="AE930" i="10"/>
  <c r="AE931" i="10"/>
  <c r="AF931" i="10"/>
  <c r="AH931" i="10" s="1"/>
  <c r="AF932" i="10"/>
  <c r="AH932" i="10" s="1"/>
  <c r="AE932" i="10"/>
  <c r="AE933" i="10"/>
  <c r="AF933" i="10"/>
  <c r="AH933" i="10" s="1"/>
  <c r="AE934" i="10"/>
  <c r="AF934" i="10"/>
  <c r="AH934" i="10" s="1"/>
  <c r="AF935" i="10"/>
  <c r="AH935" i="10" s="1"/>
  <c r="AE935" i="10"/>
  <c r="AE936" i="10"/>
  <c r="AF936" i="10"/>
  <c r="AH936" i="10" s="1"/>
  <c r="AE937" i="10"/>
  <c r="AF937" i="10"/>
  <c r="AH937" i="10" s="1"/>
  <c r="AF938" i="10"/>
  <c r="AH938" i="10" s="1"/>
  <c r="AE938" i="10"/>
  <c r="AE939" i="10"/>
  <c r="AF939" i="10"/>
  <c r="AH939" i="10" s="1"/>
  <c r="AE940" i="10"/>
  <c r="AF940" i="10"/>
  <c r="AH940" i="10" s="1"/>
  <c r="AE941" i="10"/>
  <c r="AF941" i="10"/>
  <c r="AH941" i="10" s="1"/>
  <c r="AE942" i="10"/>
  <c r="AF942" i="10"/>
  <c r="AH942" i="10" s="1"/>
  <c r="AF943" i="10"/>
  <c r="AH943" i="10" s="1"/>
  <c r="AE943" i="10"/>
  <c r="AE944" i="10"/>
  <c r="AF944" i="10"/>
  <c r="AH944" i="10" s="1"/>
  <c r="AE945" i="10"/>
  <c r="AF945" i="10"/>
  <c r="AH945" i="10" s="1"/>
  <c r="AE946" i="10"/>
  <c r="AF946" i="10"/>
  <c r="AH946" i="10" s="1"/>
  <c r="AF947" i="10"/>
  <c r="AH947" i="10" s="1"/>
  <c r="AE947" i="10"/>
  <c r="AF948" i="10"/>
  <c r="AH948" i="10" s="1"/>
  <c r="AE948" i="10"/>
  <c r="AF949" i="10"/>
  <c r="AH949" i="10" s="1"/>
  <c r="AE949" i="10"/>
  <c r="AF950" i="10"/>
  <c r="AH950" i="10" s="1"/>
  <c r="AE950" i="10"/>
  <c r="AF951" i="10"/>
  <c r="AH951" i="10" s="1"/>
  <c r="AE951" i="10"/>
  <c r="AF952" i="10"/>
  <c r="AH952" i="10" s="1"/>
  <c r="AE952" i="10"/>
  <c r="AF953" i="10"/>
  <c r="AH953" i="10" s="1"/>
  <c r="AE953" i="10"/>
  <c r="AF954" i="10"/>
  <c r="AH954" i="10" s="1"/>
  <c r="AE954" i="10"/>
  <c r="AF955" i="10"/>
  <c r="AH955" i="10" s="1"/>
  <c r="AE955" i="10"/>
  <c r="AF956" i="10"/>
  <c r="AH956" i="10" s="1"/>
  <c r="AE956" i="10"/>
  <c r="AF957" i="10"/>
  <c r="AH957" i="10" s="1"/>
  <c r="AE957" i="10"/>
  <c r="AF958" i="10"/>
  <c r="AH958" i="10" s="1"/>
  <c r="AE958" i="10"/>
  <c r="AF959" i="10"/>
  <c r="AH959" i="10" s="1"/>
  <c r="AE959" i="10"/>
  <c r="AE960" i="10"/>
  <c r="AF960" i="10"/>
  <c r="AH960" i="10" s="1"/>
  <c r="AF961" i="10"/>
  <c r="AH961" i="10" s="1"/>
  <c r="AE961" i="10"/>
  <c r="AE962" i="10"/>
  <c r="AF962" i="10"/>
  <c r="AH962" i="10" s="1"/>
  <c r="AF963" i="10"/>
  <c r="AH963" i="10" s="1"/>
  <c r="AE963" i="10"/>
  <c r="AF964" i="10"/>
  <c r="AH964" i="10" s="1"/>
  <c r="AE964" i="10"/>
  <c r="AE965" i="10"/>
  <c r="AF965" i="10"/>
  <c r="AH965" i="10" s="1"/>
  <c r="AF966" i="10"/>
  <c r="AH966" i="10" s="1"/>
  <c r="AE966" i="10"/>
  <c r="AF967" i="10"/>
  <c r="AH967" i="10" s="1"/>
  <c r="AE967" i="10"/>
  <c r="AE968" i="10"/>
  <c r="AF968" i="10"/>
  <c r="AH968" i="10" s="1"/>
  <c r="AE969" i="10"/>
  <c r="AF969" i="10"/>
  <c r="AH969" i="10" s="1"/>
  <c r="AF970" i="10"/>
  <c r="AH970" i="10" s="1"/>
  <c r="AE970" i="10"/>
  <c r="AF971" i="10"/>
  <c r="AH971" i="10" s="1"/>
  <c r="AE971" i="10"/>
  <c r="AF972" i="10"/>
  <c r="AH972" i="10" s="1"/>
  <c r="AE972" i="10"/>
  <c r="AE973" i="10"/>
  <c r="AF973" i="10"/>
  <c r="AH973" i="10" s="1"/>
  <c r="AF974" i="10"/>
  <c r="AH974" i="10" s="1"/>
  <c r="AE974" i="10"/>
  <c r="AF975" i="10"/>
  <c r="AH975" i="10" s="1"/>
  <c r="AE975" i="10"/>
  <c r="AF976" i="10"/>
  <c r="AH976" i="10" s="1"/>
  <c r="AE976" i="10"/>
  <c r="AF977" i="10"/>
  <c r="AH977" i="10" s="1"/>
  <c r="AE977" i="10"/>
  <c r="AF978" i="10"/>
  <c r="AH978" i="10" s="1"/>
  <c r="AE978" i="10"/>
  <c r="AF979" i="10"/>
  <c r="AH979" i="10" s="1"/>
  <c r="AE979" i="10"/>
  <c r="AE980" i="10"/>
  <c r="AF980" i="10"/>
  <c r="AH980" i="10" s="1"/>
  <c r="AF981" i="10"/>
  <c r="AH981" i="10" s="1"/>
  <c r="AE981" i="10"/>
  <c r="AF982" i="10"/>
  <c r="AH982" i="10" s="1"/>
  <c r="AE982" i="10"/>
  <c r="AE983" i="10"/>
  <c r="AF983" i="10"/>
  <c r="AH983" i="10" s="1"/>
  <c r="AF984" i="10"/>
  <c r="AH984" i="10" s="1"/>
  <c r="AE984" i="10"/>
  <c r="AF985" i="10"/>
  <c r="AH985" i="10" s="1"/>
  <c r="AE985" i="10"/>
  <c r="AF986" i="10"/>
  <c r="AH986" i="10" s="1"/>
  <c r="AE986" i="10"/>
  <c r="AE987" i="10"/>
  <c r="AF987" i="10"/>
  <c r="AH987" i="10" s="1"/>
  <c r="AF989" i="10"/>
  <c r="AH989" i="10" s="1"/>
  <c r="AE989" i="10"/>
  <c r="AE993" i="10"/>
  <c r="AF993" i="10"/>
  <c r="AH993" i="10" s="1"/>
  <c r="AE995" i="10"/>
  <c r="AF995" i="10"/>
  <c r="AH995" i="10" s="1"/>
  <c r="AF988" i="10"/>
  <c r="AH988" i="10" s="1"/>
  <c r="AE988" i="10"/>
  <c r="AE991" i="10"/>
  <c r="AF991" i="10"/>
  <c r="AH991" i="10" s="1"/>
  <c r="AF996" i="10"/>
  <c r="AH996" i="10" s="1"/>
  <c r="AE996" i="10"/>
  <c r="AF990" i="10"/>
  <c r="AH990" i="10" s="1"/>
  <c r="AE990" i="10"/>
  <c r="AF992" i="10"/>
  <c r="AH992" i="10" s="1"/>
  <c r="AE992" i="10"/>
  <c r="AF994" i="10"/>
  <c r="AH994" i="10" s="1"/>
  <c r="AE994" i="10"/>
  <c r="AE997" i="10"/>
  <c r="AF997" i="10"/>
  <c r="AH997" i="10" s="1"/>
  <c r="E24" i="11" l="1"/>
  <c r="G24" i="11"/>
  <c r="P95" i="4"/>
  <c r="AD927" i="10"/>
  <c r="H21" i="12"/>
  <c r="AJ928" i="10"/>
  <c r="AI928" i="10"/>
  <c r="AK928" i="10"/>
  <c r="Q11" i="4"/>
  <c r="AI929" i="10"/>
  <c r="AJ929" i="10"/>
  <c r="AK929" i="10"/>
  <c r="Q12" i="4"/>
  <c r="AJ930" i="10"/>
  <c r="AK930" i="10"/>
  <c r="Q13" i="4"/>
  <c r="AI930" i="10"/>
  <c r="AI931" i="10"/>
  <c r="AK931" i="10"/>
  <c r="AJ931" i="10"/>
  <c r="Q14" i="4"/>
  <c r="AJ932" i="10"/>
  <c r="AK932" i="10"/>
  <c r="Q15" i="4"/>
  <c r="AI932" i="10"/>
  <c r="AK933" i="10"/>
  <c r="Q16" i="4"/>
  <c r="AI933" i="10"/>
  <c r="AJ933" i="10"/>
  <c r="AJ934" i="10"/>
  <c r="AK934" i="10"/>
  <c r="Q17" i="4"/>
  <c r="AI934" i="10"/>
  <c r="AI935" i="10"/>
  <c r="AJ935" i="10"/>
  <c r="Q18" i="4"/>
  <c r="AK935" i="10"/>
  <c r="AJ936" i="10"/>
  <c r="AK936" i="10"/>
  <c r="Q19" i="4"/>
  <c r="AI936" i="10"/>
  <c r="AI937" i="10"/>
  <c r="AJ937" i="10"/>
  <c r="AK937" i="10"/>
  <c r="Q21" i="4"/>
  <c r="AJ938" i="10"/>
  <c r="AK938" i="10"/>
  <c r="Q22" i="4"/>
  <c r="AI938" i="10"/>
  <c r="AK939" i="10"/>
  <c r="Q23" i="4"/>
  <c r="AI939" i="10"/>
  <c r="AJ939" i="10"/>
  <c r="AJ940" i="10"/>
  <c r="Q25" i="4"/>
  <c r="AI940" i="10"/>
  <c r="AK940" i="10"/>
  <c r="AJ941" i="10"/>
  <c r="AK941" i="10"/>
  <c r="AI941" i="10"/>
  <c r="Q26" i="4"/>
  <c r="AJ942" i="10"/>
  <c r="Q27" i="4"/>
  <c r="AI942" i="10"/>
  <c r="AK942" i="10"/>
  <c r="AK943" i="10"/>
  <c r="AI943" i="10"/>
  <c r="AJ943" i="10"/>
  <c r="Q28" i="4"/>
  <c r="AJ944" i="10"/>
  <c r="AK944" i="10"/>
  <c r="Q29" i="4"/>
  <c r="AI944" i="10"/>
  <c r="AI945" i="10"/>
  <c r="AK945" i="10"/>
  <c r="Q30" i="4"/>
  <c r="AJ945" i="10"/>
  <c r="AJ946" i="10"/>
  <c r="AI946" i="10"/>
  <c r="AK946" i="10"/>
  <c r="Q31" i="4"/>
  <c r="AI947" i="10"/>
  <c r="AJ947" i="10"/>
  <c r="AK947" i="10"/>
  <c r="Q33" i="4"/>
  <c r="AI948" i="10"/>
  <c r="AJ948" i="10"/>
  <c r="AK948" i="10"/>
  <c r="Q34" i="4"/>
  <c r="AI949" i="10"/>
  <c r="AJ949" i="10"/>
  <c r="AK949" i="10"/>
  <c r="Q35" i="4"/>
  <c r="AI950" i="10"/>
  <c r="AJ950" i="10"/>
  <c r="AK950" i="10"/>
  <c r="Q36" i="4"/>
  <c r="AI951" i="10"/>
  <c r="AJ951" i="10"/>
  <c r="AK951" i="10"/>
  <c r="Q38" i="4"/>
  <c r="AI952" i="10"/>
  <c r="AJ952" i="10"/>
  <c r="AK952" i="10"/>
  <c r="Q39" i="4"/>
  <c r="AI953" i="10"/>
  <c r="AJ953" i="10"/>
  <c r="AK953" i="10"/>
  <c r="Q40" i="4"/>
  <c r="AI954" i="10"/>
  <c r="AJ954" i="10"/>
  <c r="AK954" i="10"/>
  <c r="Q41" i="4"/>
  <c r="AI955" i="10"/>
  <c r="AJ955" i="10"/>
  <c r="AK955" i="10"/>
  <c r="Q43" i="4"/>
  <c r="AI956" i="10"/>
  <c r="AJ956" i="10"/>
  <c r="AK956" i="10"/>
  <c r="Q44" i="4"/>
  <c r="AI957" i="10"/>
  <c r="AJ957" i="10"/>
  <c r="AK957" i="10"/>
  <c r="Q45" i="4"/>
  <c r="AI958" i="10"/>
  <c r="AJ958" i="10"/>
  <c r="AK958" i="10"/>
  <c r="Q47" i="4"/>
  <c r="AI959" i="10"/>
  <c r="AJ959" i="10"/>
  <c r="AK959" i="10"/>
  <c r="Q48" i="4"/>
  <c r="AJ960" i="10"/>
  <c r="AK960" i="10"/>
  <c r="Q49" i="4"/>
  <c r="AI960" i="10"/>
  <c r="AI961" i="10"/>
  <c r="AJ961" i="10"/>
  <c r="Q51" i="4"/>
  <c r="AK961" i="10"/>
  <c r="AI962" i="10"/>
  <c r="AJ962" i="10"/>
  <c r="AK962" i="10"/>
  <c r="Q52" i="4"/>
  <c r="AJ963" i="10"/>
  <c r="Q53" i="4"/>
  <c r="AK963" i="10"/>
  <c r="AI963" i="10"/>
  <c r="AJ964" i="10"/>
  <c r="AK964" i="10"/>
  <c r="AI964" i="10"/>
  <c r="Q54" i="4"/>
  <c r="AK965" i="10"/>
  <c r="AI965" i="10"/>
  <c r="AJ965" i="10"/>
  <c r="Q55" i="4"/>
  <c r="AJ966" i="10"/>
  <c r="Q56" i="4"/>
  <c r="AI966" i="10"/>
  <c r="AK966" i="10"/>
  <c r="AK967" i="10"/>
  <c r="AI967" i="10"/>
  <c r="AJ967" i="10"/>
  <c r="Q57" i="4"/>
  <c r="AI968" i="10"/>
  <c r="AJ968" i="10"/>
  <c r="AK968" i="10"/>
  <c r="Q58" i="4"/>
  <c r="AI969" i="10"/>
  <c r="AJ969" i="10"/>
  <c r="AK969" i="10"/>
  <c r="Q60" i="4"/>
  <c r="AJ970" i="10"/>
  <c r="AK970" i="10"/>
  <c r="Q61" i="4"/>
  <c r="AI970" i="10"/>
  <c r="AJ971" i="10"/>
  <c r="AI971" i="10"/>
  <c r="AK971" i="10"/>
  <c r="Q62" i="4"/>
  <c r="AJ972" i="10"/>
  <c r="AK972" i="10"/>
  <c r="Q63" i="4"/>
  <c r="AI972" i="10"/>
  <c r="AJ973" i="10"/>
  <c r="AK973" i="10"/>
  <c r="AI973" i="10"/>
  <c r="Q65" i="4"/>
  <c r="AJ974" i="10"/>
  <c r="AK974" i="10"/>
  <c r="Q66" i="4"/>
  <c r="AI974" i="10"/>
  <c r="AI975" i="10"/>
  <c r="AJ975" i="10"/>
  <c r="AK975" i="10"/>
  <c r="Q67" i="4"/>
  <c r="AJ976" i="10"/>
  <c r="Q68" i="4"/>
  <c r="AI976" i="10"/>
  <c r="AK976" i="10"/>
  <c r="AJ977" i="10"/>
  <c r="AK977" i="10"/>
  <c r="Q69" i="4"/>
  <c r="AI977" i="10"/>
  <c r="AJ978" i="10"/>
  <c r="Q71" i="4"/>
  <c r="AI978" i="10"/>
  <c r="AK978" i="10"/>
  <c r="AJ979" i="10"/>
  <c r="AK979" i="10"/>
  <c r="Q72" i="4"/>
  <c r="AI979" i="10"/>
  <c r="AK980" i="10"/>
  <c r="AI980" i="10"/>
  <c r="AJ980" i="10"/>
  <c r="Q74" i="4"/>
  <c r="AJ981" i="10"/>
  <c r="AK981" i="10"/>
  <c r="Q75" i="4"/>
  <c r="AI981" i="10"/>
  <c r="AK982" i="10"/>
  <c r="AI982" i="10"/>
  <c r="AJ982" i="10"/>
  <c r="Q76" i="4"/>
  <c r="AI983" i="10"/>
  <c r="AK983" i="10"/>
  <c r="Q77" i="4"/>
  <c r="AJ983" i="10"/>
  <c r="AI984" i="10"/>
  <c r="AJ984" i="10"/>
  <c r="AK984" i="10"/>
  <c r="Q78" i="4"/>
  <c r="AJ985" i="10"/>
  <c r="Q79" i="4"/>
  <c r="AI985" i="10"/>
  <c r="AK985" i="10"/>
  <c r="AJ986" i="10"/>
  <c r="Q81" i="4"/>
  <c r="AI986" i="10"/>
  <c r="AK986" i="10"/>
  <c r="AK987" i="10"/>
  <c r="AI987" i="10"/>
  <c r="AJ987" i="10"/>
  <c r="Q82" i="4"/>
  <c r="AJ989" i="10"/>
  <c r="AK989" i="10"/>
  <c r="Q84" i="4"/>
  <c r="AI989" i="10"/>
  <c r="AJ993" i="10"/>
  <c r="AK993" i="10"/>
  <c r="Q88" i="4"/>
  <c r="AI993" i="10"/>
  <c r="AI995" i="10"/>
  <c r="AJ995" i="10"/>
  <c r="Q91" i="4"/>
  <c r="AK995" i="10"/>
  <c r="AI988" i="10"/>
  <c r="AK988" i="10"/>
  <c r="Q83" i="4"/>
  <c r="AJ988" i="10"/>
  <c r="AI991" i="10"/>
  <c r="AJ991" i="10"/>
  <c r="Q86" i="4"/>
  <c r="AK991" i="10"/>
  <c r="AJ996" i="10"/>
  <c r="Q92" i="4"/>
  <c r="AI996" i="10"/>
  <c r="AK996" i="10"/>
  <c r="AJ990" i="10"/>
  <c r="AK990" i="10"/>
  <c r="Q85" i="4"/>
  <c r="AI990" i="10"/>
  <c r="AI992" i="10"/>
  <c r="AK992" i="10"/>
  <c r="Q87" i="4"/>
  <c r="AJ992" i="10"/>
  <c r="AI994" i="10"/>
  <c r="AK994" i="10"/>
  <c r="Q90" i="4"/>
  <c r="AJ994" i="10"/>
  <c r="AI997" i="10"/>
  <c r="AJ997" i="10"/>
  <c r="AK997" i="10"/>
  <c r="Q93" i="4"/>
  <c r="AE927" i="10" l="1"/>
  <c r="AF927" i="10"/>
  <c r="AH927" i="10" s="1"/>
  <c r="AB1058" i="10" l="1"/>
  <c r="AD1058" i="10" s="1"/>
  <c r="AB1043" i="10"/>
  <c r="AD1043" i="10" s="1"/>
  <c r="AB1030" i="10"/>
  <c r="AD1030" i="10" s="1"/>
  <c r="AB1019" i="10"/>
  <c r="AD1019" i="10" s="1"/>
  <c r="AB1003" i="10"/>
  <c r="AD1003" i="10" s="1"/>
  <c r="AB1002" i="10"/>
  <c r="AD1002" i="10" s="1"/>
  <c r="AB1042" i="10"/>
  <c r="AD1042" i="10" s="1"/>
  <c r="AB1041" i="10"/>
  <c r="AD1041" i="10" s="1"/>
  <c r="AB1029" i="10"/>
  <c r="AD1029" i="10" s="1"/>
  <c r="AB1009" i="10"/>
  <c r="AD1009" i="10" s="1"/>
  <c r="AB1008" i="10"/>
  <c r="AD1008" i="10" s="1"/>
  <c r="AB1006" i="10"/>
  <c r="AD1006" i="10" s="1"/>
  <c r="AB1001" i="10"/>
  <c r="AD1001" i="10" s="1"/>
  <c r="AB1060" i="10"/>
  <c r="AD1060" i="10" s="1"/>
  <c r="AB1045" i="10"/>
  <c r="AD1045" i="10" s="1"/>
  <c r="AB1032" i="10"/>
  <c r="AD1032" i="10" s="1"/>
  <c r="AB1031" i="10"/>
  <c r="AD1031" i="10" s="1"/>
  <c r="AB1021" i="10"/>
  <c r="AD1021" i="10" s="1"/>
  <c r="AB1020" i="10"/>
  <c r="AD1020" i="10" s="1"/>
  <c r="AB1012" i="10"/>
  <c r="AD1012" i="10" s="1"/>
  <c r="AB1011" i="10"/>
  <c r="AD1011" i="10" s="1"/>
  <c r="AB1004" i="10"/>
  <c r="AD1004" i="10" s="1"/>
  <c r="AB999" i="10"/>
  <c r="AD999" i="10" s="1"/>
  <c r="AB1068" i="10"/>
  <c r="AD1068" i="10" s="1"/>
  <c r="AB1014" i="10"/>
  <c r="AD1014" i="10" s="1"/>
  <c r="AB1013" i="10"/>
  <c r="AD1013" i="10" s="1"/>
  <c r="AB1005" i="10"/>
  <c r="AD1005" i="10" s="1"/>
  <c r="AB1000" i="10"/>
  <c r="AD1000" i="10" s="1"/>
  <c r="AB1061" i="10"/>
  <c r="AD1061" i="10" s="1"/>
  <c r="AB1067" i="10"/>
  <c r="AD1067" i="10" s="1"/>
  <c r="AB1062" i="10"/>
  <c r="AD1062" i="10" s="1"/>
  <c r="AB1059" i="10"/>
  <c r="AD1059" i="10" s="1"/>
  <c r="AB1066" i="10"/>
  <c r="AD1066" i="10" s="1"/>
  <c r="AB1064" i="10"/>
  <c r="AD1064" i="10" s="1"/>
  <c r="AB1065" i="10"/>
  <c r="AD1065" i="10" s="1"/>
  <c r="AB1063" i="10"/>
  <c r="AD1063" i="10" s="1"/>
  <c r="AB1055" i="10"/>
  <c r="AD1055" i="10" s="1"/>
  <c r="AB1054" i="10"/>
  <c r="AD1054" i="10" s="1"/>
  <c r="AB1053" i="10"/>
  <c r="AD1053" i="10" s="1"/>
  <c r="AB1052" i="10"/>
  <c r="AD1052" i="10" s="1"/>
  <c r="AB1051" i="10"/>
  <c r="AD1051" i="10" s="1"/>
  <c r="AB1048" i="10"/>
  <c r="AD1048" i="10" s="1"/>
  <c r="AB1047" i="10"/>
  <c r="AD1047" i="10" s="1"/>
  <c r="AB1038" i="10"/>
  <c r="AD1038" i="10" s="1"/>
  <c r="AB1037" i="10"/>
  <c r="AD1037" i="10" s="1"/>
  <c r="AB1036" i="10"/>
  <c r="AD1036" i="10" s="1"/>
  <c r="AB1035" i="10"/>
  <c r="AD1035" i="10" s="1"/>
  <c r="AB1034" i="10"/>
  <c r="AD1034" i="10" s="1"/>
  <c r="AB1033" i="10"/>
  <c r="AD1033" i="10" s="1"/>
  <c r="AB1057" i="10"/>
  <c r="AD1057" i="10" s="1"/>
  <c r="AB1056" i="10"/>
  <c r="AD1056" i="10" s="1"/>
  <c r="AB1050" i="10"/>
  <c r="AD1050" i="10" s="1"/>
  <c r="AB1049" i="10"/>
  <c r="AD1049" i="10" s="1"/>
  <c r="AB1028" i="10"/>
  <c r="AD1028" i="10" s="1"/>
  <c r="AB1027" i="10"/>
  <c r="AD1027" i="10" s="1"/>
  <c r="AB1026" i="10"/>
  <c r="AD1026" i="10" s="1"/>
  <c r="AB1025" i="10"/>
  <c r="AD1025" i="10" s="1"/>
  <c r="AB1024" i="10"/>
  <c r="AD1024" i="10" s="1"/>
  <c r="AB1046" i="10"/>
  <c r="AD1046" i="10" s="1"/>
  <c r="AB1018" i="10"/>
  <c r="AD1018" i="10" s="1"/>
  <c r="AB1017" i="10"/>
  <c r="AD1017" i="10" s="1"/>
  <c r="AB1016" i="10"/>
  <c r="AD1016" i="10" s="1"/>
  <c r="AB1015" i="10"/>
  <c r="AD1015" i="10" s="1"/>
  <c r="AB1044" i="10"/>
  <c r="AD1044" i="10" s="1"/>
  <c r="AB1010" i="10"/>
  <c r="AD1010" i="10" s="1"/>
  <c r="AB1007" i="10"/>
  <c r="AD1007" i="10" s="1"/>
  <c r="AB1040" i="10"/>
  <c r="AD1040" i="10" s="1"/>
  <c r="AB1039" i="10"/>
  <c r="AD1039" i="10" s="1"/>
  <c r="AB1023" i="10"/>
  <c r="AD1023" i="10" s="1"/>
  <c r="AB1022" i="10"/>
  <c r="AD1022" i="10" s="1"/>
  <c r="AJ927" i="10"/>
  <c r="I21" i="12" s="1"/>
  <c r="AK927" i="10"/>
  <c r="E21" i="12"/>
  <c r="AI927" i="10"/>
  <c r="F21" i="12" s="1"/>
  <c r="AB998" i="10"/>
  <c r="D25" i="11"/>
  <c r="Q10" i="4"/>
  <c r="AF1058" i="10" l="1"/>
  <c r="AH1058" i="10" s="1"/>
  <c r="AE1058" i="10"/>
  <c r="AF1043" i="10"/>
  <c r="AH1043" i="10" s="1"/>
  <c r="AE1043" i="10"/>
  <c r="AF1030" i="10"/>
  <c r="AH1030" i="10" s="1"/>
  <c r="AE1030" i="10"/>
  <c r="AF1019" i="10"/>
  <c r="AH1019" i="10" s="1"/>
  <c r="AE1019" i="10"/>
  <c r="AF1003" i="10"/>
  <c r="AH1003" i="10" s="1"/>
  <c r="AE1003" i="10"/>
  <c r="AF1002" i="10"/>
  <c r="AH1002" i="10" s="1"/>
  <c r="AE1002" i="10"/>
  <c r="AE1042" i="10"/>
  <c r="AF1042" i="10"/>
  <c r="AH1042" i="10" s="1"/>
  <c r="AE1041" i="10"/>
  <c r="AF1041" i="10"/>
  <c r="AH1041" i="10" s="1"/>
  <c r="AF1029" i="10"/>
  <c r="AH1029" i="10" s="1"/>
  <c r="AE1029" i="10"/>
  <c r="AE1009" i="10"/>
  <c r="AF1009" i="10"/>
  <c r="AH1009" i="10" s="1"/>
  <c r="AF1008" i="10"/>
  <c r="AH1008" i="10" s="1"/>
  <c r="AE1008" i="10"/>
  <c r="AE1006" i="10"/>
  <c r="AF1006" i="10"/>
  <c r="AH1006" i="10" s="1"/>
  <c r="AE1001" i="10"/>
  <c r="AF1001" i="10"/>
  <c r="AH1001" i="10" s="1"/>
  <c r="AE1060" i="10"/>
  <c r="AF1060" i="10"/>
  <c r="AH1060" i="10" s="1"/>
  <c r="AF1045" i="10"/>
  <c r="AH1045" i="10" s="1"/>
  <c r="AE1045" i="10"/>
  <c r="AE1032" i="10"/>
  <c r="AF1032" i="10"/>
  <c r="AH1032" i="10" s="1"/>
  <c r="AF1031" i="10"/>
  <c r="AH1031" i="10" s="1"/>
  <c r="AE1031" i="10"/>
  <c r="AE1021" i="10"/>
  <c r="AF1021" i="10"/>
  <c r="AH1021" i="10" s="1"/>
  <c r="AE1020" i="10"/>
  <c r="AF1020" i="10"/>
  <c r="AH1020" i="10" s="1"/>
  <c r="AE1012" i="10"/>
  <c r="AF1012" i="10"/>
  <c r="AH1012" i="10" s="1"/>
  <c r="AF1011" i="10"/>
  <c r="AH1011" i="10" s="1"/>
  <c r="AE1011" i="10"/>
  <c r="AE1004" i="10"/>
  <c r="AF1004" i="10"/>
  <c r="AH1004" i="10" s="1"/>
  <c r="AE999" i="10"/>
  <c r="AF999" i="10"/>
  <c r="AH999" i="10" s="1"/>
  <c r="AE1068" i="10"/>
  <c r="AF1068" i="10"/>
  <c r="AH1068" i="10" s="1"/>
  <c r="AF1014" i="10"/>
  <c r="AH1014" i="10" s="1"/>
  <c r="AE1014" i="10"/>
  <c r="AF1013" i="10"/>
  <c r="AH1013" i="10" s="1"/>
  <c r="AE1013" i="10"/>
  <c r="AE1005" i="10"/>
  <c r="AF1005" i="10"/>
  <c r="AH1005" i="10" s="1"/>
  <c r="AF1000" i="10"/>
  <c r="AH1000" i="10" s="1"/>
  <c r="AE1000" i="10"/>
  <c r="AE1061" i="10"/>
  <c r="AF1061" i="10"/>
  <c r="AH1061" i="10" s="1"/>
  <c r="AE1067" i="10"/>
  <c r="AF1067" i="10"/>
  <c r="AH1067" i="10" s="1"/>
  <c r="AE1062" i="10"/>
  <c r="AF1062" i="10"/>
  <c r="AH1062" i="10" s="1"/>
  <c r="AE1059" i="10"/>
  <c r="AF1059" i="10"/>
  <c r="AH1059" i="10" s="1"/>
  <c r="AE1066" i="10"/>
  <c r="AF1066" i="10"/>
  <c r="AH1066" i="10" s="1"/>
  <c r="AE1064" i="10"/>
  <c r="AF1064" i="10"/>
  <c r="AH1064" i="10" s="1"/>
  <c r="AE1065" i="10"/>
  <c r="AF1065" i="10"/>
  <c r="AH1065" i="10" s="1"/>
  <c r="AE1063" i="10"/>
  <c r="AF1063" i="10"/>
  <c r="AH1063" i="10" s="1"/>
  <c r="AE1055" i="10"/>
  <c r="AF1055" i="10"/>
  <c r="AH1055" i="10" s="1"/>
  <c r="AE1054" i="10"/>
  <c r="AF1054" i="10"/>
  <c r="AH1054" i="10" s="1"/>
  <c r="AE1053" i="10"/>
  <c r="AF1053" i="10"/>
  <c r="AH1053" i="10" s="1"/>
  <c r="AE1052" i="10"/>
  <c r="AF1052" i="10"/>
  <c r="AH1052" i="10" s="1"/>
  <c r="AF1051" i="10"/>
  <c r="AH1051" i="10" s="1"/>
  <c r="AE1051" i="10"/>
  <c r="AF1048" i="10"/>
  <c r="AH1048" i="10" s="1"/>
  <c r="AE1048" i="10"/>
  <c r="AF1047" i="10"/>
  <c r="AH1047" i="10" s="1"/>
  <c r="AE1047" i="10"/>
  <c r="AF1038" i="10"/>
  <c r="AH1038" i="10" s="1"/>
  <c r="AE1038" i="10"/>
  <c r="AF1037" i="10"/>
  <c r="AH1037" i="10" s="1"/>
  <c r="AE1037" i="10"/>
  <c r="AE1036" i="10"/>
  <c r="AF1036" i="10"/>
  <c r="AH1036" i="10" s="1"/>
  <c r="AE1035" i="10"/>
  <c r="AF1035" i="10"/>
  <c r="AH1035" i="10" s="1"/>
  <c r="AF1034" i="10"/>
  <c r="AH1034" i="10" s="1"/>
  <c r="AE1034" i="10"/>
  <c r="AE1033" i="10"/>
  <c r="AF1033" i="10"/>
  <c r="AH1033" i="10" s="1"/>
  <c r="AE1057" i="10"/>
  <c r="AF1057" i="10"/>
  <c r="AH1057" i="10" s="1"/>
  <c r="AE1056" i="10"/>
  <c r="AF1056" i="10"/>
  <c r="AH1056" i="10" s="1"/>
  <c r="AE1050" i="10"/>
  <c r="AF1050" i="10"/>
  <c r="AH1050" i="10" s="1"/>
  <c r="AF1049" i="10"/>
  <c r="AH1049" i="10" s="1"/>
  <c r="AE1049" i="10"/>
  <c r="AF1028" i="10"/>
  <c r="AH1028" i="10" s="1"/>
  <c r="AE1028" i="10"/>
  <c r="AF1027" i="10"/>
  <c r="AH1027" i="10" s="1"/>
  <c r="AE1027" i="10"/>
  <c r="AF1026" i="10"/>
  <c r="AH1026" i="10" s="1"/>
  <c r="AE1026" i="10"/>
  <c r="AE1025" i="10"/>
  <c r="AF1025" i="10"/>
  <c r="AH1025" i="10" s="1"/>
  <c r="AE1024" i="10"/>
  <c r="AF1024" i="10"/>
  <c r="AH1024" i="10" s="1"/>
  <c r="AE1046" i="10"/>
  <c r="AF1046" i="10"/>
  <c r="AH1046" i="10" s="1"/>
  <c r="AE1018" i="10"/>
  <c r="AF1018" i="10"/>
  <c r="AH1018" i="10" s="1"/>
  <c r="AE1017" i="10"/>
  <c r="AF1017" i="10"/>
  <c r="AH1017" i="10" s="1"/>
  <c r="AF1016" i="10"/>
  <c r="AH1016" i="10" s="1"/>
  <c r="AE1016" i="10"/>
  <c r="AE1015" i="10"/>
  <c r="AF1015" i="10"/>
  <c r="AH1015" i="10" s="1"/>
  <c r="AF1044" i="10"/>
  <c r="AH1044" i="10" s="1"/>
  <c r="AE1044" i="10"/>
  <c r="AF1010" i="10"/>
  <c r="AH1010" i="10" s="1"/>
  <c r="AE1010" i="10"/>
  <c r="AF1007" i="10"/>
  <c r="AH1007" i="10" s="1"/>
  <c r="AE1007" i="10"/>
  <c r="AE1040" i="10"/>
  <c r="AF1040" i="10"/>
  <c r="AH1040" i="10" s="1"/>
  <c r="AE1039" i="10"/>
  <c r="AF1039" i="10"/>
  <c r="AH1039" i="10" s="1"/>
  <c r="AE1023" i="10"/>
  <c r="AF1023" i="10"/>
  <c r="AH1023" i="10" s="1"/>
  <c r="AE1022" i="10"/>
  <c r="AF1022" i="10"/>
  <c r="AH1022" i="10" s="1"/>
  <c r="AD998" i="10"/>
  <c r="H22" i="12"/>
  <c r="E25" i="11"/>
  <c r="G25" i="11"/>
  <c r="Q95" i="4"/>
  <c r="AI1058" i="10" l="1"/>
  <c r="AJ1058" i="10"/>
  <c r="AK1058" i="10"/>
  <c r="R82" i="4"/>
  <c r="AI1043" i="10"/>
  <c r="AJ1043" i="10"/>
  <c r="R63" i="4"/>
  <c r="AK1043" i="10"/>
  <c r="AJ1030" i="10"/>
  <c r="R48" i="4"/>
  <c r="AI1030" i="10"/>
  <c r="AK1030" i="10"/>
  <c r="AJ1019" i="10"/>
  <c r="AK1019" i="10"/>
  <c r="R34" i="4"/>
  <c r="AI1019" i="10"/>
  <c r="AI1003" i="10"/>
  <c r="AJ1003" i="10"/>
  <c r="AK1003" i="10"/>
  <c r="R15" i="4"/>
  <c r="AJ1002" i="10"/>
  <c r="R14" i="4"/>
  <c r="AI1002" i="10"/>
  <c r="AK1002" i="10"/>
  <c r="AK1042" i="10"/>
  <c r="R62" i="4"/>
  <c r="AI1042" i="10"/>
  <c r="AJ1042" i="10"/>
  <c r="AI1041" i="10"/>
  <c r="AJ1041" i="10"/>
  <c r="AK1041" i="10"/>
  <c r="R61" i="4"/>
  <c r="AJ1029" i="10"/>
  <c r="AK1029" i="10"/>
  <c r="R47" i="4"/>
  <c r="AI1029" i="10"/>
  <c r="AI1009" i="10"/>
  <c r="AJ1009" i="10"/>
  <c r="AK1009" i="10"/>
  <c r="R22" i="4"/>
  <c r="AK1008" i="10"/>
  <c r="R21" i="4"/>
  <c r="AJ1008" i="10"/>
  <c r="AI1008" i="10"/>
  <c r="AI1006" i="10"/>
  <c r="AJ1006" i="10"/>
  <c r="AK1006" i="10"/>
  <c r="R18" i="4"/>
  <c r="AJ1001" i="10"/>
  <c r="AK1001" i="10"/>
  <c r="R13" i="4"/>
  <c r="AI1001" i="10"/>
  <c r="AI1060" i="10"/>
  <c r="AJ1060" i="10"/>
  <c r="AK1060" i="10"/>
  <c r="R84" i="4"/>
  <c r="AJ1045" i="10"/>
  <c r="AK1045" i="10"/>
  <c r="AI1045" i="10"/>
  <c r="R66" i="4"/>
  <c r="AI1032" i="10"/>
  <c r="AJ1032" i="10"/>
  <c r="AK1032" i="10"/>
  <c r="R51" i="4"/>
  <c r="AJ1031" i="10"/>
  <c r="R49" i="4"/>
  <c r="AK1031" i="10"/>
  <c r="AI1031" i="10"/>
  <c r="AJ1021" i="10"/>
  <c r="AK1021" i="10"/>
  <c r="R36" i="4"/>
  <c r="AI1021" i="10"/>
  <c r="AJ1020" i="10"/>
  <c r="R35" i="4"/>
  <c r="AK1020" i="10"/>
  <c r="AI1020" i="10"/>
  <c r="AK1012" i="10"/>
  <c r="AI1012" i="10"/>
  <c r="AJ1012" i="10"/>
  <c r="R26" i="4"/>
  <c r="AI1011" i="10"/>
  <c r="AJ1011" i="10"/>
  <c r="AK1011" i="10"/>
  <c r="R25" i="4"/>
  <c r="AJ1004" i="10"/>
  <c r="AI1004" i="10"/>
  <c r="AK1004" i="10"/>
  <c r="R16" i="4"/>
  <c r="AJ999" i="10"/>
  <c r="R11" i="4"/>
  <c r="AI999" i="10"/>
  <c r="AK999" i="10"/>
  <c r="AI1068" i="10"/>
  <c r="AJ1068" i="10"/>
  <c r="AK1068" i="10"/>
  <c r="R93" i="4"/>
  <c r="AI1014" i="10"/>
  <c r="AJ1014" i="10"/>
  <c r="AK1014" i="10"/>
  <c r="R28" i="4"/>
  <c r="AI1013" i="10"/>
  <c r="AJ1013" i="10"/>
  <c r="AK1013" i="10"/>
  <c r="R27" i="4"/>
  <c r="AJ1005" i="10"/>
  <c r="AK1005" i="10"/>
  <c r="AI1005" i="10"/>
  <c r="R17" i="4"/>
  <c r="AJ1000" i="10"/>
  <c r="AK1000" i="10"/>
  <c r="R12" i="4"/>
  <c r="AI1000" i="10"/>
  <c r="AI1061" i="10"/>
  <c r="AJ1061" i="10"/>
  <c r="AK1061" i="10"/>
  <c r="R85" i="4"/>
  <c r="AI1067" i="10"/>
  <c r="AJ1067" i="10"/>
  <c r="AK1067" i="10"/>
  <c r="R92" i="4"/>
  <c r="AI1062" i="10"/>
  <c r="AJ1062" i="10"/>
  <c r="AK1062" i="10"/>
  <c r="R86" i="4"/>
  <c r="AI1059" i="10"/>
  <c r="AJ1059" i="10"/>
  <c r="AK1059" i="10"/>
  <c r="R83" i="4"/>
  <c r="AI1066" i="10"/>
  <c r="AJ1066" i="10"/>
  <c r="AK1066" i="10"/>
  <c r="R91" i="4"/>
  <c r="AI1064" i="10"/>
  <c r="AJ1064" i="10"/>
  <c r="AK1064" i="10"/>
  <c r="R88" i="4"/>
  <c r="AI1065" i="10"/>
  <c r="AJ1065" i="10"/>
  <c r="AK1065" i="10"/>
  <c r="R90" i="4"/>
  <c r="AI1063" i="10"/>
  <c r="AJ1063" i="10"/>
  <c r="AK1063" i="10"/>
  <c r="R87" i="4"/>
  <c r="AJ1055" i="10"/>
  <c r="AK1055" i="10"/>
  <c r="R78" i="4"/>
  <c r="AI1055" i="10"/>
  <c r="AI1054" i="10"/>
  <c r="AJ1054" i="10"/>
  <c r="AK1054" i="10"/>
  <c r="R77" i="4"/>
  <c r="AI1053" i="10"/>
  <c r="AJ1053" i="10"/>
  <c r="AK1053" i="10"/>
  <c r="R76" i="4"/>
  <c r="AI1052" i="10"/>
  <c r="AJ1052" i="10"/>
  <c r="R75" i="4"/>
  <c r="AK1052" i="10"/>
  <c r="AK1051" i="10"/>
  <c r="R74" i="4"/>
  <c r="AI1051" i="10"/>
  <c r="AJ1051" i="10"/>
  <c r="AJ1048" i="10"/>
  <c r="AK1048" i="10"/>
  <c r="AI1048" i="10"/>
  <c r="R69" i="4"/>
  <c r="AI1047" i="10"/>
  <c r="AJ1047" i="10"/>
  <c r="AK1047" i="10"/>
  <c r="R68" i="4"/>
  <c r="AJ1038" i="10"/>
  <c r="R57" i="4"/>
  <c r="AI1038" i="10"/>
  <c r="AK1038" i="10"/>
  <c r="AJ1037" i="10"/>
  <c r="AK1037" i="10"/>
  <c r="AI1037" i="10"/>
  <c r="R56" i="4"/>
  <c r="AI1036" i="10"/>
  <c r="AJ1036" i="10"/>
  <c r="AK1036" i="10"/>
  <c r="R55" i="4"/>
  <c r="AJ1035" i="10"/>
  <c r="AI1035" i="10"/>
  <c r="AK1035" i="10"/>
  <c r="R54" i="4"/>
  <c r="AJ1034" i="10"/>
  <c r="AI1034" i="10"/>
  <c r="AK1034" i="10"/>
  <c r="R53" i="4"/>
  <c r="AK1033" i="10"/>
  <c r="AJ1033" i="10"/>
  <c r="R52" i="4"/>
  <c r="AI1033" i="10"/>
  <c r="AI1057" i="10"/>
  <c r="AJ1057" i="10"/>
  <c r="AK1057" i="10"/>
  <c r="R81" i="4"/>
  <c r="AI1056" i="10"/>
  <c r="AJ1056" i="10"/>
  <c r="AK1056" i="10"/>
  <c r="R79" i="4"/>
  <c r="AK1050" i="10"/>
  <c r="AI1050" i="10"/>
  <c r="AJ1050" i="10"/>
  <c r="R72" i="4"/>
  <c r="AI1049" i="10"/>
  <c r="AJ1049" i="10"/>
  <c r="R71" i="4"/>
  <c r="AK1049" i="10"/>
  <c r="AI1028" i="10"/>
  <c r="AJ1028" i="10"/>
  <c r="AK1028" i="10"/>
  <c r="R45" i="4"/>
  <c r="AJ1027" i="10"/>
  <c r="AK1027" i="10"/>
  <c r="R44" i="4"/>
  <c r="AI1027" i="10"/>
  <c r="AI1026" i="10"/>
  <c r="AJ1026" i="10"/>
  <c r="AK1026" i="10"/>
  <c r="R43" i="4"/>
  <c r="AJ1025" i="10"/>
  <c r="AI1025" i="10"/>
  <c r="AK1025" i="10"/>
  <c r="R41" i="4"/>
  <c r="AK1024" i="10"/>
  <c r="AI1024" i="10"/>
  <c r="AJ1024" i="10"/>
  <c r="R40" i="4"/>
  <c r="AK1046" i="10"/>
  <c r="AI1046" i="10"/>
  <c r="AJ1046" i="10"/>
  <c r="R67" i="4"/>
  <c r="AJ1018" i="10"/>
  <c r="AK1018" i="10"/>
  <c r="R33" i="4"/>
  <c r="AI1018" i="10"/>
  <c r="AI1017" i="10"/>
  <c r="AJ1017" i="10"/>
  <c r="AK1017" i="10"/>
  <c r="R31" i="4"/>
  <c r="AI1016" i="10"/>
  <c r="AJ1016" i="10"/>
  <c r="R30" i="4"/>
  <c r="AK1016" i="10"/>
  <c r="AJ1015" i="10"/>
  <c r="AK1015" i="10"/>
  <c r="AI1015" i="10"/>
  <c r="R29" i="4"/>
  <c r="AJ1044" i="10"/>
  <c r="R65" i="4"/>
  <c r="AI1044" i="10"/>
  <c r="AK1044" i="10"/>
  <c r="AI1010" i="10"/>
  <c r="AJ1010" i="10"/>
  <c r="AK1010" i="10"/>
  <c r="R23" i="4"/>
  <c r="AK1007" i="10"/>
  <c r="AI1007" i="10"/>
  <c r="AJ1007" i="10"/>
  <c r="R19" i="4"/>
  <c r="AK1040" i="10"/>
  <c r="AI1040" i="10"/>
  <c r="AJ1040" i="10"/>
  <c r="R60" i="4"/>
  <c r="AI1039" i="10"/>
  <c r="AJ1039" i="10"/>
  <c r="R58" i="4"/>
  <c r="AK1039" i="10"/>
  <c r="AI1023" i="10"/>
  <c r="AJ1023" i="10"/>
  <c r="AK1023" i="10"/>
  <c r="R39" i="4"/>
  <c r="AJ1022" i="10"/>
  <c r="AK1022" i="10"/>
  <c r="R38" i="4"/>
  <c r="AI1022" i="10"/>
  <c r="AF998" i="10"/>
  <c r="AH998" i="10" s="1"/>
  <c r="B10" i="13" s="1"/>
  <c r="E10" i="13" s="1"/>
  <c r="AE998" i="10"/>
  <c r="U82" i="4" l="1"/>
  <c r="S82" i="4"/>
  <c r="T82" i="4" s="1"/>
  <c r="U63" i="4"/>
  <c r="S63" i="4"/>
  <c r="T63" i="4" s="1"/>
  <c r="U48" i="4"/>
  <c r="S48" i="4"/>
  <c r="T48" i="4" s="1"/>
  <c r="U34" i="4"/>
  <c r="S34" i="4"/>
  <c r="T34" i="4" s="1"/>
  <c r="U15" i="4"/>
  <c r="S15" i="4"/>
  <c r="T15" i="4" s="1"/>
  <c r="U14" i="4"/>
  <c r="S14" i="4"/>
  <c r="T14" i="4" s="1"/>
  <c r="U62" i="4"/>
  <c r="S62" i="4"/>
  <c r="T62" i="4" s="1"/>
  <c r="U61" i="4"/>
  <c r="S61" i="4"/>
  <c r="T61" i="4" s="1"/>
  <c r="U47" i="4"/>
  <c r="S47" i="4"/>
  <c r="T47" i="4" s="1"/>
  <c r="U22" i="4"/>
  <c r="S22" i="4"/>
  <c r="T22" i="4" s="1"/>
  <c r="U21" i="4"/>
  <c r="S21" i="4"/>
  <c r="T21" i="4" s="1"/>
  <c r="U18" i="4"/>
  <c r="S18" i="4"/>
  <c r="T18" i="4" s="1"/>
  <c r="U13" i="4"/>
  <c r="S13" i="4"/>
  <c r="T13" i="4" s="1"/>
  <c r="U84" i="4"/>
  <c r="S84" i="4"/>
  <c r="T84" i="4" s="1"/>
  <c r="U66" i="4"/>
  <c r="S66" i="4"/>
  <c r="T66" i="4" s="1"/>
  <c r="U51" i="4"/>
  <c r="S51" i="4"/>
  <c r="T51" i="4" s="1"/>
  <c r="U49" i="4"/>
  <c r="S49" i="4"/>
  <c r="T49" i="4" s="1"/>
  <c r="U36" i="4"/>
  <c r="S36" i="4"/>
  <c r="T36" i="4" s="1"/>
  <c r="U35" i="4"/>
  <c r="S35" i="4"/>
  <c r="T35" i="4" s="1"/>
  <c r="U26" i="4"/>
  <c r="S26" i="4"/>
  <c r="T26" i="4" s="1"/>
  <c r="U25" i="4"/>
  <c r="S25" i="4"/>
  <c r="T25" i="4" s="1"/>
  <c r="U16" i="4"/>
  <c r="S16" i="4"/>
  <c r="T16" i="4" s="1"/>
  <c r="U11" i="4"/>
  <c r="S11" i="4"/>
  <c r="T11" i="4" s="1"/>
  <c r="U93" i="4"/>
  <c r="S93" i="4"/>
  <c r="T93" i="4" s="1"/>
  <c r="U28" i="4"/>
  <c r="S28" i="4"/>
  <c r="T28" i="4" s="1"/>
  <c r="U27" i="4"/>
  <c r="S27" i="4"/>
  <c r="T27" i="4" s="1"/>
  <c r="U17" i="4"/>
  <c r="S17" i="4"/>
  <c r="T17" i="4" s="1"/>
  <c r="U12" i="4"/>
  <c r="S12" i="4"/>
  <c r="T12" i="4" s="1"/>
  <c r="U85" i="4"/>
  <c r="S85" i="4"/>
  <c r="T85" i="4" s="1"/>
  <c r="U92" i="4"/>
  <c r="S92" i="4"/>
  <c r="T92" i="4" s="1"/>
  <c r="U86" i="4"/>
  <c r="S86" i="4"/>
  <c r="T86" i="4" s="1"/>
  <c r="U83" i="4"/>
  <c r="S83" i="4"/>
  <c r="T83" i="4" s="1"/>
  <c r="U91" i="4"/>
  <c r="S91" i="4"/>
  <c r="T91" i="4" s="1"/>
  <c r="U88" i="4"/>
  <c r="S88" i="4"/>
  <c r="T88" i="4" s="1"/>
  <c r="U90" i="4"/>
  <c r="S90" i="4"/>
  <c r="T90" i="4" s="1"/>
  <c r="U87" i="4"/>
  <c r="S87" i="4"/>
  <c r="T87" i="4" s="1"/>
  <c r="U78" i="4"/>
  <c r="S78" i="4"/>
  <c r="T78" i="4" s="1"/>
  <c r="U77" i="4"/>
  <c r="S77" i="4"/>
  <c r="T77" i="4" s="1"/>
  <c r="U76" i="4"/>
  <c r="S76" i="4"/>
  <c r="T76" i="4" s="1"/>
  <c r="U75" i="4"/>
  <c r="S75" i="4"/>
  <c r="T75" i="4" s="1"/>
  <c r="U74" i="4"/>
  <c r="S74" i="4"/>
  <c r="T74" i="4" s="1"/>
  <c r="U69" i="4"/>
  <c r="S69" i="4"/>
  <c r="T69" i="4" s="1"/>
  <c r="U68" i="4"/>
  <c r="S68" i="4"/>
  <c r="T68" i="4" s="1"/>
  <c r="U57" i="4"/>
  <c r="S57" i="4"/>
  <c r="T57" i="4" s="1"/>
  <c r="U56" i="4"/>
  <c r="S56" i="4"/>
  <c r="T56" i="4" s="1"/>
  <c r="U55" i="4"/>
  <c r="S55" i="4"/>
  <c r="T55" i="4" s="1"/>
  <c r="U54" i="4"/>
  <c r="S54" i="4"/>
  <c r="T54" i="4" s="1"/>
  <c r="U53" i="4"/>
  <c r="S53" i="4"/>
  <c r="T53" i="4" s="1"/>
  <c r="U52" i="4"/>
  <c r="S52" i="4"/>
  <c r="T52" i="4" s="1"/>
  <c r="U81" i="4"/>
  <c r="S81" i="4"/>
  <c r="T81" i="4" s="1"/>
  <c r="U79" i="4"/>
  <c r="S79" i="4"/>
  <c r="T79" i="4" s="1"/>
  <c r="U72" i="4"/>
  <c r="S72" i="4"/>
  <c r="T72" i="4" s="1"/>
  <c r="U71" i="4"/>
  <c r="S71" i="4"/>
  <c r="T71" i="4" s="1"/>
  <c r="U45" i="4"/>
  <c r="S45" i="4"/>
  <c r="T45" i="4" s="1"/>
  <c r="U44" i="4"/>
  <c r="S44" i="4"/>
  <c r="T44" i="4" s="1"/>
  <c r="U43" i="4"/>
  <c r="S43" i="4"/>
  <c r="T43" i="4" s="1"/>
  <c r="U41" i="4"/>
  <c r="S41" i="4"/>
  <c r="T41" i="4" s="1"/>
  <c r="U40" i="4"/>
  <c r="S40" i="4"/>
  <c r="T40" i="4" s="1"/>
  <c r="U67" i="4"/>
  <c r="S67" i="4"/>
  <c r="T67" i="4" s="1"/>
  <c r="U33" i="4"/>
  <c r="S33" i="4"/>
  <c r="T33" i="4" s="1"/>
  <c r="U31" i="4"/>
  <c r="S31" i="4"/>
  <c r="T31" i="4" s="1"/>
  <c r="U30" i="4"/>
  <c r="S30" i="4"/>
  <c r="T30" i="4" s="1"/>
  <c r="U29" i="4"/>
  <c r="S29" i="4"/>
  <c r="T29" i="4" s="1"/>
  <c r="U65" i="4"/>
  <c r="S65" i="4"/>
  <c r="T65" i="4" s="1"/>
  <c r="U23" i="4"/>
  <c r="S23" i="4"/>
  <c r="T23" i="4" s="1"/>
  <c r="U19" i="4"/>
  <c r="S19" i="4"/>
  <c r="T19" i="4" s="1"/>
  <c r="U60" i="4"/>
  <c r="S60" i="4"/>
  <c r="T60" i="4" s="1"/>
  <c r="U58" i="4"/>
  <c r="S58" i="4"/>
  <c r="T58" i="4" s="1"/>
  <c r="U39" i="4"/>
  <c r="S39" i="4"/>
  <c r="T39" i="4" s="1"/>
  <c r="U38" i="4"/>
  <c r="S38" i="4"/>
  <c r="T38" i="4" s="1"/>
  <c r="AI998" i="10"/>
  <c r="F22" i="12" s="1"/>
  <c r="AJ998" i="10"/>
  <c r="I22" i="12" s="1"/>
  <c r="AK998" i="10"/>
  <c r="E5" i="11"/>
  <c r="E22" i="12"/>
  <c r="C32" i="2"/>
  <c r="B32" i="2" s="1"/>
  <c r="G32" i="2"/>
  <c r="F32" i="2" s="1"/>
  <c r="C33" i="2"/>
  <c r="B33" i="2" s="1"/>
  <c r="G33" i="2"/>
  <c r="F33" i="2" s="1"/>
  <c r="C34" i="2"/>
  <c r="B34" i="2" s="1"/>
  <c r="G34" i="2"/>
  <c r="F34" i="2" s="1"/>
  <c r="C35" i="2"/>
  <c r="B35" i="2" s="1"/>
  <c r="G35" i="2"/>
  <c r="F35" i="2" s="1"/>
  <c r="C36" i="2"/>
  <c r="B36" i="2" s="1"/>
  <c r="G36" i="2"/>
  <c r="F36" i="2" s="1"/>
  <c r="C37" i="2"/>
  <c r="B37" i="2" s="1"/>
  <c r="G37" i="2"/>
  <c r="F37" i="2" s="1"/>
  <c r="C38" i="2"/>
  <c r="B38" i="2" s="1"/>
  <c r="G38" i="2"/>
  <c r="F38" i="2" s="1"/>
  <c r="C39" i="2"/>
  <c r="B39" i="2" s="1"/>
  <c r="G39" i="2"/>
  <c r="F39" i="2" s="1"/>
  <c r="C40" i="2"/>
  <c r="B40" i="2" s="1"/>
  <c r="G40" i="2"/>
  <c r="F40" i="2" s="1"/>
  <c r="C41" i="2"/>
  <c r="B41" i="2" s="1"/>
  <c r="G41" i="2"/>
  <c r="F41" i="2" s="1"/>
  <c r="R10" i="4"/>
  <c r="D26" i="11"/>
  <c r="B8" i="13"/>
  <c r="E8" i="13" s="1"/>
  <c r="E6" i="11" l="1"/>
  <c r="E8" i="11"/>
  <c r="U10" i="4"/>
  <c r="L4" i="4"/>
  <c r="J5" i="4" s="1"/>
  <c r="L5" i="4" s="1"/>
  <c r="R95" i="4"/>
  <c r="S10" i="4"/>
  <c r="T10" i="4" s="1"/>
  <c r="E26" i="11"/>
  <c r="G26" i="11"/>
  <c r="M6" i="2" s="1"/>
  <c r="U95" i="4" l="1"/>
  <c r="A6" i="2"/>
  <c r="S95" i="4"/>
  <c r="T95" i="4" s="1"/>
  <c r="E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16" authorId="0" shapeId="0" xr:uid="{00000000-0006-0000-0700-000001000000}">
      <text>
        <r>
          <rPr>
            <sz val="10"/>
            <rFont val="Arial"/>
            <family val="2"/>
          </rPr>
          <t>CROISSANCE ENVELOPPE — PRUDENT (recalibré le 12/09/2026)
Source : DPPD 2026-2028 (MSAS, Draft 0, 14/04/2025), Tableau 1 "Répartition des enveloppes triennales par année budgétaire", ligne TOTAL GENERAL (tous programmes, toutes natures économiques) :
2027 = 345 518 402 468 FCFA ; 2028 = 350 164 761 984 FCFA.
Calcul : croissance annuelle 2027→2028 = 350 164 761 984 / 345 518 402 468 − 1 = +1,34 % → retenu 1,3 %.
Justification : c'est l'année de croissance la plus faible de la trajectoire triennale la plus récente et méthodologiquement cohérente (mêmes programmes sur les 3 ans). Pour mémoire, le DPPD 2025-2027 (ancienne nomenclature de programmes) affichait -4,09 % en 2026 et +1,98 % en 2027, mais ces taux ne sont pas comparables à ceux du DPPD 2026-2028 en raison de la refonte des programmes budgétaires du MSAS entre les deux documents (voir Sources_criteres, lignes 38-41).
Remplace l'ancienne hypothèse non sourcée de 3,3 % (mention "Non officielles" dans SIM_Sources_Audit).</t>
        </r>
      </text>
    </comment>
    <comment ref="B17" authorId="0" shapeId="0" xr:uid="{00000000-0006-0000-0700-000002000000}">
      <text>
        <r>
          <rPr>
            <sz val="10"/>
            <rFont val="Arial"/>
            <family val="2"/>
          </rPr>
          <t>CROISSANCE ENVELOPPE — CENTRAL (recalibré le 12/09/2026)
Source : DPPD 2026-2028 (MSAS, Draft 0, 14/04/2025), Tableau 1, ligne TOTAL GENERAL :
2026 = 334 952 753 509 FCFA ; 2027 = 345 518 402 468 FCFA ; 2028 = 350 164 761 984 FCFA.
Calcul : taux de croissance annuel moyen (TCAM) 2026-2028 = (350 164 761 984 / 334 952 753 509)^(1/2) − 1 = +2,24 % → retenu 2,2 %.
Justification : c'est le TCAM du budget total du ministère sur la trajectoire triennale la plus récente et la plus complète (3 années, même nomenclature de programmes). Utilisé comme référentiel macro-budgétaire faute de ventilation du DPPD par district sanitaire.
Remplace l'ancienne hypothèse non sourcée de 4,7 % (mention "Non officielles" dans SIM_Sources_Audit).</t>
        </r>
      </text>
    </comment>
    <comment ref="B18" authorId="0" shapeId="0" xr:uid="{00000000-0006-0000-0700-000003000000}">
      <text>
        <r>
          <rPr>
            <sz val="10"/>
            <rFont val="Arial"/>
            <family val="2"/>
          </rPr>
          <t>CROISSANCE ENVELOPPE — TRANSFORMATION 2050 (recalibré le 12/09/2026)
Source : DPPD 2026-2028 (MSAS, Draft 0, 14/04/2025), Tableau 1, ligne TOTAL GENERAL :
2026 = 334 952 753 509 FCFA ; 2027 = 345 518 402 468 FCFA.
Calcul : croissance annuelle 2026→2027 = 345 518 402 468 / 334 952 753 509 − 1 = +3,15 % → retenu 3,2 %.
Justification : c'est l'année de croissance la plus forte de la trajectoire triennale DPPD 2026-2028.
Limite importante : le DPPD ne couvre que 3 ans ; cette borne haute ne représente donc plus une ambition de long terme alignée sur l'Agenda Sénégal 2050 (comme l'était l'ancienne valeur de 6,5 %, non sourcée), mais le haut de la fourchette réellement programmée à ce jour. Si un scénario de rupture à long terme est souhaité, une source distincte (ex. cadrage macro-budgétaire pluriannuel du PSE/Sénégal 2050) serait nécessaire.
Remplace l'ancienne hypothèse non sourcée de 6,5 % (mention "Non officielles" dans SIM_Sources_Audit).</t>
        </r>
      </text>
    </comment>
  </commentList>
</comments>
</file>

<file path=xl/sharedStrings.xml><?xml version="1.0" encoding="utf-8"?>
<sst xmlns="http://schemas.openxmlformats.org/spreadsheetml/2006/main" count="6640" uniqueCount="958">
  <si>
    <t>BUDGET ALLOCATION SIMULATOR</t>
  </si>
  <si>
    <t>Senegal health districts | Observed budgets 2016–2018 | Simulations 2019–2030</t>
  </si>
  <si>
    <t>DECISION-SUPPORT TOOL • DIRECT NAVIGATION • METHODOLOGICAL TRACEABILITY</t>
  </si>
  <si>
    <t>71
DISTRICTS
Full scope of the engine</t>
  </si>
  <si>
    <t>2016–2030
PERIOD
3 years observed • 12 projected</t>
  </si>
  <si>
    <t>Central
ACTIVE SCENARIO
Editable in the parameters</t>
  </si>
  <si>
    <t>COMPLIANT
CHECKS
Neutrality and guardrails verified</t>
  </si>
  <si>
    <t>①  SET PARAMETERS &amp; REFERENCE DATA</t>
  </si>
  <si>
    <t>②  ACTIVE SOURCE DATA</t>
  </si>
  <si>
    <t>③  SIMULATE &amp; CHECK</t>
  </si>
  <si>
    <t>④  RESULTS &amp; DOCUMENTATION</t>
  </si>
  <si>
    <t>1  PARAMETER GUIDE
Definitions, units and methods</t>
  </si>
  <si>
    <t>5  POPULATION RGPH-5 2023
Regional totals and rescaling</t>
  </si>
  <si>
    <t>9  SIMULATION ENGINE
Calculation and district-year allocations</t>
  </si>
  <si>
    <t>13  BUDGET SUMMARY
Districts and regions, 2016–2030</t>
  </si>
  <si>
    <t>2  MODEL PARAMETERS
Scenario, transition and guardrails</t>
  </si>
  <si>
    <t>6  POVERTY EHCVM II
Regional incidence 2021/2022</t>
  </si>
  <si>
    <t>10  PANEL CHECK
BOOST panel 2016–2018</t>
  </si>
  <si>
    <t>14  RESULTS BY DISTRICT
Detailed view and gains/losses</t>
  </si>
  <si>
    <t>3  DISTRICT REFERENCE DATA
Population, area and supply</t>
  </si>
  <si>
    <t>7  DHS 2023 INDICATORS
Maternal and child health</t>
  </si>
  <si>
    <t>11  CONSISTENCY CHECKS
Neutrality, counts and guardrails</t>
  </si>
  <si>
    <t>15  DICTIONARY
Variables, units and processing</t>
  </si>
  <si>
    <t>4  SOURCES OF CRITERIA
References and methodological choices</t>
  </si>
  <si>
    <t>8  ACTIVE HEALTH SUPPLY
Population per facility and limits</t>
  </si>
  <si>
    <t>12  DASHBOARD
National indicators and trends</t>
  </si>
  <si>
    <t>16  SOURCES AND AUDIT
Documented traceability and limitations</t>
  </si>
  <si>
    <t>17  MODELING FROM THE MANUSCRIPT
Models M1–M7 • forward-looking equations • guardrails • limitations</t>
  </si>
  <si>
    <t>18  EXECUTIVE SUMMARY
One-page summary • key indicators, charts and scenarios • ready to print or present</t>
  </si>
  <si>
    <t>RECOMMENDED PATH  →  1. Set the parameters  →  2. Check the data  →  3. Simulate and verify  →  4. Use the results</t>
  </si>
  <si>
    <t>NOTE TO THE USER
Budgets for 2016–2018 are observed. Amounts for 2019–2030 are scenario simulations and must be institutionally validated before any budgetary use. Editable assumption cells are identified in the Model Parameters sheet.</t>
  </si>
  <si>
    <t>Professional version • Senegal • Controlled interface • August 31, 2026</t>
  </si>
  <si>
    <t>⌂  BACK TO HOME</t>
  </si>
  <si>
    <t>Executive summary</t>
  </si>
  <si>
    <t>KEY BUDGET ALLOCATION INDICATORS</t>
  </si>
  <si>
    <t>TOTAL BUDGET 2030</t>
  </si>
  <si>
    <t>GROWTH 2018–2030</t>
  </si>
  <si>
    <t>POPULATION COVERED (2030)</t>
  </si>
  <si>
    <t>FCFA / CAPITA (2030)</t>
  </si>
  <si>
    <t>Simulated national allocation (71 districts + 14 RHDs)</t>
  </si>
  <si>
    <t>Change in total budget over the period</t>
  </si>
  <si>
    <t>Population of the 71 health districts</t>
  </si>
  <si>
    <t>Average simulated allocation per capita</t>
  </si>
  <si>
    <t>NATIONAL TRAJECTORY AND ALLOCATION BREAKDOWN</t>
  </si>
  <si>
    <t>DETAILED DISTRICT RANKING — SIMULATED 2030 ALLOCATION</t>
  </si>
  <si>
    <t>Top 10 — highest budgets</t>
  </si>
  <si>
    <t>Bottom 10 districts — lowest budgets</t>
  </si>
  <si>
    <t>Rank</t>
  </si>
  <si>
    <t>District</t>
  </si>
  <si>
    <t>Allocation</t>
  </si>
  <si>
    <t>ASSUMPTIONS FOR THE THREE SCENARIOS (see the Parameters and scenarios sheet)</t>
  </si>
  <si>
    <t>Scenario</t>
  </si>
  <si>
    <t>Envelope</t>
  </si>
  <si>
    <t>Population</t>
  </si>
  <si>
    <t>Poverty (pts/yr)</t>
  </si>
  <si>
    <t>Under-five mortality</t>
  </si>
  <si>
    <t>Stunting</t>
  </si>
  <si>
    <t>Deliveries (pts/yr)</t>
  </si>
  <si>
    <t>PHC supply</t>
  </si>
  <si>
    <t>Conservative</t>
  </si>
  <si>
    <t>Central</t>
  </si>
  <si>
    <t>2050 Transformation</t>
  </si>
  <si>
    <t>Sources: BOOST 2016–2018; RGPH-5 (2023); EHCVM II (2021/2022); DHS (2023); Senegal 2050 – National Transformation Agenda; SRMNIA-N Strategic Plan 2024–2028; UN Sustainable Development Goals; DPPD 2025-2027 and DPPD 2026-2028 (envelope growth). Methodological details: Sources_criteres and Guide_Parametres sheets.</t>
  </si>
  <si>
    <t>Reading guide — definition and estimation method for parameters</t>
  </si>
  <si>
    <t>This sheet explains, in plain language, every parameter used in the simulator. "Observed" means the value comes from the BOOST file or a documentary source. "Projected" means it is calculated from an editable assumption. Projections are not officially voted or executed appropriations.</t>
  </si>
  <si>
    <t>Active parameter</t>
  </si>
  <si>
    <t>Value</t>
  </si>
  <si>
    <t>Envelope growth</t>
  </si>
  <si>
    <t>Population growth</t>
  </si>
  <si>
    <t>Equal-share base θ</t>
  </si>
  <si>
    <t>Transition 2026</t>
  </si>
  <si>
    <t>Transition 2027</t>
  </si>
  <si>
    <t>Maximum decrease</t>
  </si>
  <si>
    <t>Maximum increase</t>
  </si>
  <si>
    <t>Exact label in SIM_Modele</t>
  </si>
  <si>
    <t>Symbol</t>
  </si>
  <si>
    <t>Simple definition</t>
  </si>
  <si>
    <t>Unit</t>
  </si>
  <si>
    <t>Period / status</t>
  </si>
  <si>
    <t>Calculation or estimation method</t>
  </si>
  <si>
    <t>Main source</t>
  </si>
  <si>
    <t>Role in the model</t>
  </si>
  <si>
    <t>Reading example</t>
  </si>
  <si>
    <t>Area</t>
  </si>
  <si>
    <t>Areaᵢ</t>
  </si>
  <si>
    <t>Territorial extent of the district.</t>
  </si>
  <si>
    <t>km²</t>
  </si>
  <si>
    <t>Fixed reference value</t>
  </si>
  <si>
    <t>Value taken from the geographic reference base; it does not change during the projection.</t>
  </si>
  <si>
    <t>Health map / SIM_Districts</t>
  </si>
  <si>
    <t>Feeds into the Geography score calculation.</t>
  </si>
  <si>
    <t>A large area can increase travel and supervision costs.</t>
  </si>
  <si>
    <t>Density</t>
  </si>
  <si>
    <t>Densityᵢₜ</t>
  </si>
  <si>
    <t>Number of inhabitants per square kilometer.</t>
  </si>
  <si>
    <t>Inhabitants/km²</t>
  </si>
  <si>
    <t>Calculated annually</t>
  </si>
  <si>
    <t>Density = Population / Area.</t>
  </si>
  <si>
    <t>SIM_Modele</t>
  </si>
  <si>
    <t>Its inverse feeds into the Geography score: low density signals a dispersed population.</t>
  </si>
  <si>
    <t>100 inhabitants/km² means 100 inhabitants on average per km².</t>
  </si>
  <si>
    <t>Inhabitants/facility</t>
  </si>
  <si>
    <t>InhabCentreᵢₜ</t>
  </si>
  <si>
    <t>Average number of inhabitants served by a health facility.</t>
  </si>
  <si>
    <t>Inhabitants per facility</t>
  </si>
  <si>
    <t>Reference then projection</t>
  </si>
  <si>
    <t>Reference value, then evolves according to population growth and supply growth.</t>
  </si>
  <si>
    <t>Health map; SIM_Parametres</t>
  </si>
  <si>
    <t>Base variable of the Supply score.</t>
  </si>
  <si>
    <t>A high value indicates greater pressure on available facilities.</t>
  </si>
  <si>
    <t>Observed budget</t>
  </si>
  <si>
    <t>Bᵢₜ observed</t>
  </si>
  <si>
    <t>Budget actually recorded in the BOOST file.</t>
  </si>
  <si>
    <t>FCFA</t>
  </si>
  <si>
    <t>Observed only in 2016–2018</t>
  </si>
  <si>
    <t>Value taken directly from BOOST, with no econometric estimation.</t>
  </si>
  <si>
    <t>BOOST</t>
  </si>
  <si>
    <t>Historical starting point of the model and comparison data.</t>
  </si>
  <si>
    <t>The 2018 budget shown is observed data, not a projection.</t>
  </si>
  <si>
    <t>λ</t>
  </si>
  <si>
    <t>λₜ</t>
  </si>
  <si>
    <t>Intensity of the transition to the needs-based allocation.</t>
  </si>
  <si>
    <t>Proportion</t>
  </si>
  <si>
    <t>0 through 2025; 50% in 2026; 75% in 2027</t>
  </si>
  <si>
    <t>Normative values set in SIM_Parametres.</t>
  </si>
  <si>
    <t>SIM_Parametres</t>
  </si>
  <si>
    <t>Determines the relative weight of history versus needs.</t>
  </si>
  <si>
    <t>λ = 50% means the transition applies the new formula for half its weight.</t>
  </si>
  <si>
    <t>θ</t>
  </si>
  <si>
    <t>Share of the needs component allocated equally among the 71 districts.</t>
  </si>
  <si>
    <t>20% by default</t>
  </si>
  <si>
    <t>Each district receives θ/N; the remaining 1−θ is distributed according to needs share q.</t>
  </si>
  <si>
    <t>Guarantees a common minimum floor.</t>
  </si>
  <si>
    <t>With θ = 20%, one-fifth of the needs component is allocated equally.</t>
  </si>
  <si>
    <t>Population share</t>
  </si>
  <si>
    <t>pᵢₜ</t>
  </si>
  <si>
    <t>District's share of the total modeled population.</t>
  </si>
  <si>
    <t>District population / total population of the 71 districts.</t>
  </si>
  <si>
    <t>Component of needs share q weighted at 60%.</t>
  </si>
  <si>
    <t>3% means the district accounts for 3% of the modeled population.</t>
  </si>
  <si>
    <t>Poverty score</t>
  </si>
  <si>
    <t>Dscoreᵢₜ</t>
  </si>
  <si>
    <t>District's relative poverty position between the observed minimum and maximum.</t>
  </si>
  <si>
    <t>Index 0–1</t>
  </si>
  <si>
    <t>Min–max normalization of the poverty rate.</t>
  </si>
  <si>
    <t>EHCVM; SIM_Modele</t>
  </si>
  <si>
    <t>Intermediate step before calculating the Poverty share.</t>
  </si>
  <si>
    <t>A score close to 1 corresponds to high relative poverty.</t>
  </si>
  <si>
    <t>Needs score</t>
  </si>
  <si>
    <t>Nscoreᵢₜ</t>
  </si>
  <si>
    <t>Composite health-needs index.</t>
  </si>
  <si>
    <t>Average of the normalized indices for under-five mortality and stunting.</t>
  </si>
  <si>
    <t>DHS; SIM_Modele</t>
  </si>
  <si>
    <t>Intermediate step before calculating the Needs share.</t>
  </si>
  <si>
    <t>A high score indicates significant relative health need.</t>
  </si>
  <si>
    <t>Geography score</t>
  </si>
  <si>
    <t>Gscoreᵢₜ</t>
  </si>
  <si>
    <t>Index combining large area and low density.</t>
  </si>
  <si>
    <t>Average of the normalized area and the inverse of normalized density.</t>
  </si>
  <si>
    <t>Health map; SIM_Modele</t>
  </si>
  <si>
    <t>Intermediate step before calculating the Geography share.</t>
  </si>
  <si>
    <t>A large, sparsely populated district receives a higher score.</t>
  </si>
  <si>
    <t>Supply score</t>
  </si>
  <si>
    <t>Sscoreᵢₜ</t>
  </si>
  <si>
    <t>Index of the relative primary care supply deficit.</t>
  </si>
  <si>
    <t>Min–max normalization of inhabitants per health facility.</t>
  </si>
  <si>
    <t>Intermediate step before calculating the Supply share.</t>
  </si>
  <si>
    <t>The more inhabitants per facility, the higher the score.</t>
  </si>
  <si>
    <t>Poverty share</t>
  </si>
  <si>
    <t>dᵢₜ</t>
  </si>
  <si>
    <t>National share attributable to the poverty criterion.</t>
  </si>
  <si>
    <t>District poverty score / sum of poverty scores. In case of a perfect tie, allocated uniformly.</t>
  </si>
  <si>
    <t>Feeds into needs share q with a 15% weight.</t>
  </si>
  <si>
    <t>The sum of Poverty shares across the 71 districts equals 100%.</t>
  </si>
  <si>
    <t>Needs share</t>
  </si>
  <si>
    <t>nᵢₜ</t>
  </si>
  <si>
    <t>National share attributable to health need.</t>
  </si>
  <si>
    <t>District needs score / sum of needs scores.</t>
  </si>
  <si>
    <t>A high Needs share increases the needs-based allocation.</t>
  </si>
  <si>
    <t>Geography share</t>
  </si>
  <si>
    <t>gᵢₜ</t>
  </si>
  <si>
    <t>National share attributable to the geographic constraint.</t>
  </si>
  <si>
    <t>District geography score / sum of geography scores.</t>
  </si>
  <si>
    <t>Feeds into needs share q with a 5% weight.</t>
  </si>
  <si>
    <t>The annual sum of Geography shares equals 100%.</t>
  </si>
  <si>
    <t>Supply share</t>
  </si>
  <si>
    <t>sᵢₜ</t>
  </si>
  <si>
    <t>National share attributable to the supply deficit.</t>
  </si>
  <si>
    <t>District supply score / sum of supply scores.</t>
  </si>
  <si>
    <t>A high Supply share reflects a larger relative supply deficit.</t>
  </si>
  <si>
    <t>needs share q</t>
  </si>
  <si>
    <t>qᵢₜ</t>
  </si>
  <si>
    <t>Composite district share calculated from five needs dimensions.</t>
  </si>
  <si>
    <t>q = 60% Population share + 15% Poverty share + 15% Needs share + 5% Geography share + 5% Supply share.</t>
  </si>
  <si>
    <t>Determines the relative allocation of the needs-based component.</t>
  </si>
  <si>
    <t>The sum of needs shares q across the 71 districts equals 100%.</t>
  </si>
  <si>
    <t>historical share h</t>
  </si>
  <si>
    <t>hᵢₜ</t>
  </si>
  <si>
    <t>District's share of the previous year's budget allocation.</t>
  </si>
  <si>
    <t>District's final allocation in t−1 / total final allocations in t−1.</t>
  </si>
  <si>
    <t>Maintains continuity with the previous allocation.</t>
  </si>
  <si>
    <t>h = 2% means the district held 2% of the previous envelope.</t>
  </si>
  <si>
    <t>Needs target</t>
  </si>
  <si>
    <t>Tᵢₜ</t>
  </si>
  <si>
    <t>Amount the district would receive if the component in question were allocated entirely according to the equal-share base and needs.</t>
  </si>
  <si>
    <t>Needs target = Eₜ × [θ/N + (1−θ) × needs share q].</t>
  </si>
  <si>
    <t>Shows the reference amount corresponding to the needs formula before combining with history.</t>
  </si>
  <si>
    <t>If the target exceeds the historical allocation, needs justify a relative increase.</t>
  </si>
  <si>
    <t>Gross allocation</t>
  </si>
  <si>
    <t>B*ᵢₜ</t>
  </si>
  <si>
    <t>Allocation calculated before applying the guardrails and the neutrality rescaling.</t>
  </si>
  <si>
    <t>Projected 2019–2030</t>
  </si>
  <si>
    <t>Gross allocation = Eₜ × [(1−λₜ) × historical share h + λₜ × {θ/N + (1−θ) × needs share q}].</t>
  </si>
  <si>
    <t>Combines the envelope, history, needs, transition and equal-share base.</t>
  </si>
  <si>
    <t>In 2026, λ = 50% blends historical share and the needs formula in equal parts.</t>
  </si>
  <si>
    <t>Change</t>
  </si>
  <si>
    <t>ΔBᵢₜ</t>
  </si>
  <si>
    <t>Change in the Gross allocation relative to the previous year's Final allocation.</t>
  </si>
  <si>
    <t>%</t>
  </si>
  <si>
    <t>Calculated from 2017 onward</t>
  </si>
  <si>
    <t>Change = Gross allocation / Final allocation t−1 − 1. For 2016, the value is set to zero.</t>
  </si>
  <si>
    <t>Measures the size of the annual change before the guardrails.</t>
  </si>
  <si>
    <t>10% means the Gross allocation is 10% higher than the previous year.</t>
  </si>
  <si>
    <t>Pre-cap allocation</t>
  </si>
  <si>
    <t>Cᵢₜ</t>
  </si>
  <si>
    <t>Allocation after applying the annual decrease and increase limits, but before neutrality.</t>
  </si>
  <si>
    <t>Guardrails active in 2026–2030</t>
  </si>
  <si>
    <t>Pre-cap allocation = minimum of the increase cap and maximum of the decrease floor applied to the Gross allocation. Outside the transition, Pre-cap allocation = Gross allocation.</t>
  </si>
  <si>
    <t>SIM_Modele; SIM_Parametres</t>
  </si>
  <si>
    <t>Protects districts against overly rapid changes.</t>
  </si>
  <si>
    <t>With −5%/+15%, a prior budget of 20 million is bounded between 19 and 23 million.</t>
  </si>
  <si>
    <t>Neutrality coefficient</t>
  </si>
  <si>
    <t>κₜ</t>
  </si>
  <si>
    <t>Signed coefficient indicating the share of available margin used to absorb the neutrality residual.</t>
  </si>
  <si>
    <t>Coefficient</t>
  </si>
  <si>
    <t>Residual Rₜ = Eₜ − Σ Pre-cap allocations; κₜ = Rₜ / total margin available upward or downward.</t>
  </si>
  <si>
    <t>Simultaneously guarantees national neutrality and compliance with individual floors/caps.</t>
  </si>
  <si>
    <t>|κ| ≤ 1 confirms the residual can be absorbed without exceeding the guardrails.</t>
  </si>
  <si>
    <t>Final allocation</t>
  </si>
  <si>
    <t>Bᶠᵢₜ</t>
  </si>
  <si>
    <t>Final simulated amount after guardrails and budget neutrality.</t>
  </si>
  <si>
    <t>Observed 2016–2018; projected 2019–2030</t>
  </si>
  <si>
    <t>2016–2018: Observed budget. Afterwards: Pre-cap allocation × Neutrality factor.</t>
  </si>
  <si>
    <t>Main result used in the summary tables and to calculate the following year.</t>
  </si>
  <si>
    <t>The sum of districts' Final allocations equals Eₜ.</t>
  </si>
  <si>
    <t>FCFA/capita</t>
  </si>
  <si>
    <t>Bᶠᵢₜ/Populationᵢₜ</t>
  </si>
  <si>
    <t>Final allocation relative to the district's population.</t>
  </si>
  <si>
    <t>FCFA per capita</t>
  </si>
  <si>
    <t>Pre-cap allocation adjusted within the available margin to exactly match Eₜ, then divided by population for the FCFA/capita indicator.</t>
  </si>
  <si>
    <t>Allows comparison of districts of different sizes.</t>
  </si>
  <si>
    <t>2,000 FCFA/capita means 2,000 FCFA simulated per person.</t>
  </si>
  <si>
    <t>Gain/loss</t>
  </si>
  <si>
    <t>Gᵢₜ</t>
  </si>
  <si>
    <t>Difference between the Final allocation and the amount corresponding to the historical share alone.</t>
  </si>
  <si>
    <t>Calculated for the projections</t>
  </si>
  <si>
    <t>Gain/loss = Final allocation − Eₜ × historical share h.</t>
  </si>
  <si>
    <t>Identifies the redistributive effect of the reform.</t>
  </si>
  <si>
    <t>A positive value = relative gain attributable to the new formula.</t>
  </si>
  <si>
    <t>Additional parameters needed to understand the model</t>
  </si>
  <si>
    <t>Envelope Eₜ</t>
  </si>
  <si>
    <t>Eₜ</t>
  </si>
  <si>
    <t>Annual amount available for the 71 districts, excluding RHDs.</t>
  </si>
  <si>
    <t>Observed 2016–2018; projected afterward</t>
  </si>
  <si>
    <t>2016–2018: sum of Observed budgets for the 71 districts. Afterward: Eₜ = Eₜ₋₁ × (1 + envelope growth).</t>
  </si>
  <si>
    <t>BOOST; SIM_Parametres</t>
  </si>
  <si>
    <t>Sets the total to be allocated.</t>
  </si>
  <si>
    <t>E2018 = 1,190,274,000 FCFA.</t>
  </si>
  <si>
    <t>gE</t>
  </si>
  <si>
    <t>Annual growth rate of Eₜ after 2018.</t>
  </si>
  <si>
    <t>% per year</t>
  </si>
  <si>
    <t>Assumption calibrated on DPPD 2025-2027 and 2026-2028</t>
  </si>
  <si>
    <t>Conservative 1.3%; Central 2.2%; 2050 Transformation 3.2% — CAGR and annual bounds of the total MSAS budget (DPPD 2026-2028, GRAND TOTAL 2026-2028; context DPPD 2025-2027).</t>
  </si>
  <si>
    <t>SIM_Parametres; DPPD 2025-2027 (MSAS, final version, 12/06/2024); DPPD 2026-2028 (MSAS, Draft 0, 04/14/2025)</t>
  </si>
  <si>
    <t>Determines the future volume to be allocated.</t>
  </si>
  <si>
    <t>With 2.2%, E2019 = E2018 × 1.022.</t>
  </si>
  <si>
    <t>Populationᵢₜ</t>
  </si>
  <si>
    <t>Number of inhabitants in the district. The 2023 district-level value is an estimate calibrated on the official regional total.</t>
  </si>
  <si>
    <t>Inhabitants</t>
  </si>
  <si>
    <t>RGPH-5 2023; projected around 2023</t>
  </si>
  <si>
    <t>District population 2023 = district's share in the 2018 reference base × RGPH-5 2023 regional population, with largest-remainder adjustment. For other years: Populationᵢₜ = Populationᵢ,2023 × (1 + population growth)^(t−2023).</t>
  </si>
  <si>
    <t>ANSD, RGPH-5 2023, Table I-21; Donnees_RGPH_2023</t>
  </si>
  <si>
    <t>Basis for the Population share, density and the FCFA/capita calculation. District-level values are not directly published by ANSD.</t>
  </si>
  <si>
    <t>The 14 regional values total 18,126,388 inhabitants; the published national total is 18,126,390, a source discrepancy of 2 inhabitants.</t>
  </si>
  <si>
    <t>Poverty</t>
  </si>
  <si>
    <t>Povertyᵣₜ</t>
  </si>
  <si>
    <t>Regional poverty incidence.</t>
  </si>
  <si>
    <t>EHCVM II 2021/22; projected around 2022</t>
  </si>
  <si>
    <t>Regional P0 rate for 2021/22, technically anchored to 2022, then annual variation in points according to the scenario.</t>
  </si>
  <si>
    <t>ANSD, EHCVM II Senegal 2021/2022, Table III-2</t>
  </si>
  <si>
    <t>Component of the Poverty score; the regional rate is repeated for the districts within the region.</t>
  </si>
  <si>
    <t>Dakar: 9.3%; Kédougou: 65.7%; Senegal: 37.5%.</t>
  </si>
  <si>
    <t>U5MRᵣₜ</t>
  </si>
  <si>
    <t>Deaths before age five per 1,000 live births.</t>
  </si>
  <si>
    <t>Per 1,000</t>
  </si>
  <si>
    <t>DHS 2023; projected around 2023</t>
  </si>
  <si>
    <t>2023 national value of 40‰ applied uniformly, then evolves according to the scenario from the 2023 anchor.</t>
  </si>
  <si>
    <t>Senegal DHS 2023, Table 8</t>
  </si>
  <si>
    <t>First component of the Needs score; uniform across regions due to a lack of published regional estimates.</t>
  </si>
  <si>
    <t>40‰ is the national probability of death before age five per 1,000 live births.</t>
  </si>
  <si>
    <t>Stuntingᵣₜ</t>
  </si>
  <si>
    <t>Proportion of children under five showing stunting.</t>
  </si>
  <si>
    <t>2023 regional value, then an annual decrease according to the scenario from the 2023 anchor.</t>
  </si>
  <si>
    <t>Senegal DHS 2023, Table 12</t>
  </si>
  <si>
    <t>Second component of the Needs score and the main current source of regional health differentiation.</t>
  </si>
  <si>
    <t>Kaffrine: 28.4%; Dakar: 10.4% in 2023.</t>
  </si>
  <si>
    <t>N</t>
  </si>
  <si>
    <t>Number of districts included in the forward-looking engine.</t>
  </si>
  <si>
    <t>Number</t>
  </si>
  <si>
    <t>71</t>
  </si>
  <si>
    <t>Count in SIM_Districts. The 14 RHDs are excluded.</t>
  </si>
  <si>
    <t>BOOST / SIM_Districts</t>
  </si>
  <si>
    <t>Used in the θ/N base.</t>
  </si>
  <si>
    <t>N = 71.</t>
  </si>
  <si>
    <t>RHD projection</t>
  </si>
  <si>
    <t>DRSₜ</t>
  </si>
  <si>
    <t>Indicative RHD budget after 2018, distinct from Eₜ.</t>
  </si>
  <si>
    <t>Trend-based 2019–2030</t>
  </si>
  <si>
    <t>RHD budget 2018 × (1 + gE)^(t−2018).</t>
  </si>
  <si>
    <t>BOOST; Summary</t>
  </si>
  <si>
    <t>Complements the main table without integrating RHDs into the district model.</t>
  </si>
  <si>
    <t>RHDs retain their 2018 reference share.</t>
  </si>
  <si>
    <t>Status</t>
  </si>
  <si>
    <t>Observed / projected</t>
  </si>
  <si>
    <t>Origin of the value shown.</t>
  </si>
  <si>
    <t>Text</t>
  </si>
  <si>
    <t>All years</t>
  </si>
  <si>
    <t>2016–2018 = BOOST observed; 2019–2030 = scenario projection.</t>
  </si>
  <si>
    <t>All results sheets</t>
  </si>
  <si>
    <t>Avoids confusing historical data with simulations.</t>
  </si>
  <si>
    <t>A 2030 value is not a voted appropriation.</t>
  </si>
  <si>
    <t>Facility births</t>
  </si>
  <si>
    <t>FacilityBirthᵣₜ</t>
  </si>
  <si>
    <t>Share of births that took place in a health facility.</t>
  </si>
  <si>
    <t>2023 regional value, then annual variation in points according to the scenario, bounded between 0–100%.</t>
  </si>
  <si>
    <t>Senegal DHS 2023, Table 9</t>
  </si>
  <si>
    <t>Documented demand and access indicator; kept for analysis even though it is not currently a direct input into needs share q.</t>
  </si>
  <si>
    <t>In 2023: 98.9% in Dakar and 81.6% in Sédhiou.</t>
  </si>
  <si>
    <t>Main cross-table — health district and RHD budgets, Senegal 2016–2030</t>
  </si>
  <si>
    <t>Reading: 2016–2018 = observed BOOST budgets; 2019–2030 = projections. Districts: needs-based forward-looking engine. RHDs: trend-based projection from the 2018 budget and the selected scenario's envelope growth.</t>
  </si>
  <si>
    <t>Active scenario</t>
  </si>
  <si>
    <t>Entities</t>
  </si>
  <si>
    <t>Districts</t>
  </si>
  <si>
    <t>RHD</t>
  </si>
  <si>
    <t>Total budget 2018</t>
  </si>
  <si>
    <t>Total budget 2030</t>
  </si>
  <si>
    <t>Observed data</t>
  </si>
  <si>
    <t>2016–2018</t>
  </si>
  <si>
    <t>Projections</t>
  </si>
  <si>
    <t>2019–2030</t>
  </si>
  <si>
    <t>District formula</t>
  </si>
  <si>
    <t>Needs + transition</t>
  </si>
  <si>
    <t>RHD formula</t>
  </si>
  <si>
    <t>2018 trend</t>
  </si>
  <si>
    <t>Gap 2018–2030</t>
  </si>
  <si>
    <t>Change 2018–2030</t>
  </si>
  <si>
    <t>Type</t>
  </si>
  <si>
    <t>Region</t>
  </si>
  <si>
    <t>District / RHD</t>
  </si>
  <si>
    <t>2016</t>
  </si>
  <si>
    <t>2017</t>
  </si>
  <si>
    <t>2018</t>
  </si>
  <si>
    <t>2019</t>
  </si>
  <si>
    <t>2020</t>
  </si>
  <si>
    <t>2021</t>
  </si>
  <si>
    <t>2022</t>
  </si>
  <si>
    <t>2023</t>
  </si>
  <si>
    <t>2024</t>
  </si>
  <si>
    <t>2025</t>
  </si>
  <si>
    <t>2026</t>
  </si>
  <si>
    <t>2027</t>
  </si>
  <si>
    <t>2028</t>
  </si>
  <si>
    <t>2029</t>
  </si>
  <si>
    <t>2030</t>
  </si>
  <si>
    <t>Total 2016–2030</t>
  </si>
  <si>
    <t>Source and status</t>
  </si>
  <si>
    <t>Dakar</t>
  </si>
  <si>
    <t>RHD Dakar</t>
  </si>
  <si>
    <t>BOOST observed (2016–2018); RHD trend-based projection (2019–2030)</t>
  </si>
  <si>
    <t>Centre</t>
  </si>
  <si>
    <t>BOOST observed (2016–2018); needs-based simulation (2019–2030)</t>
  </si>
  <si>
    <t>Dakar Sud</t>
  </si>
  <si>
    <t>Diamniadio</t>
  </si>
  <si>
    <t>Guédiawaye</t>
  </si>
  <si>
    <t>Keur Massar</t>
  </si>
  <si>
    <t>Mbao</t>
  </si>
  <si>
    <t>Nord</t>
  </si>
  <si>
    <t>Ouest</t>
  </si>
  <si>
    <t>Pikine</t>
  </si>
  <si>
    <t>Rufisque</t>
  </si>
  <si>
    <t>Diourbel</t>
  </si>
  <si>
    <t>RHD Diourbel</t>
  </si>
  <si>
    <t>Bambey</t>
  </si>
  <si>
    <t>Mbacké</t>
  </si>
  <si>
    <t>Fatick</t>
  </si>
  <si>
    <t>RHD Fatick</t>
  </si>
  <si>
    <t>Dioffior</t>
  </si>
  <si>
    <t>Foundiougne</t>
  </si>
  <si>
    <t>Gossas</t>
  </si>
  <si>
    <t>Niakhar</t>
  </si>
  <si>
    <t>Passy</t>
  </si>
  <si>
    <t>Sokone</t>
  </si>
  <si>
    <t>Kaffrine</t>
  </si>
  <si>
    <t>RHD Kaffrine</t>
  </si>
  <si>
    <t>Birkilane</t>
  </si>
  <si>
    <t>Koungheul</t>
  </si>
  <si>
    <t>Malem Hodar</t>
  </si>
  <si>
    <t>Kaolack</t>
  </si>
  <si>
    <t>RHD Kaolack</t>
  </si>
  <si>
    <t>Guinguinéo</t>
  </si>
  <si>
    <t>Kasnack</t>
  </si>
  <si>
    <t>Ndoffane</t>
  </si>
  <si>
    <t>Nioro</t>
  </si>
  <si>
    <t>Kédougou</t>
  </si>
  <si>
    <t>RHD Kédougou</t>
  </si>
  <si>
    <t>Salémata</t>
  </si>
  <si>
    <t>Saraya</t>
  </si>
  <si>
    <t>Kolda</t>
  </si>
  <si>
    <t>RHD Kolda</t>
  </si>
  <si>
    <t>Médina Yoro Foulah</t>
  </si>
  <si>
    <t>Vélingara</t>
  </si>
  <si>
    <t>Louga</t>
  </si>
  <si>
    <t>RHD Louga</t>
  </si>
  <si>
    <t>Coky</t>
  </si>
  <si>
    <t>Dahra</t>
  </si>
  <si>
    <t>Darou Mousty</t>
  </si>
  <si>
    <t>Kébémer</t>
  </si>
  <si>
    <t>Keur Momar Sarr</t>
  </si>
  <si>
    <t>Linguère</t>
  </si>
  <si>
    <t>Sakal</t>
  </si>
  <si>
    <t>Matam</t>
  </si>
  <si>
    <t>RHD Matam</t>
  </si>
  <si>
    <t>Kanel</t>
  </si>
  <si>
    <t>Ranérou</t>
  </si>
  <si>
    <t>Thilogne</t>
  </si>
  <si>
    <t>Saint-Louis</t>
  </si>
  <si>
    <t>RHD Saint-Louis</t>
  </si>
  <si>
    <t>Dagana</t>
  </si>
  <si>
    <t>Pété</t>
  </si>
  <si>
    <t>Podor</t>
  </si>
  <si>
    <t>Richard Toll</t>
  </si>
  <si>
    <t>Sédhiou</t>
  </si>
  <si>
    <t>RHD Sédhiou</t>
  </si>
  <si>
    <t>Bounkiling</t>
  </si>
  <si>
    <t>Tambacounda</t>
  </si>
  <si>
    <t>RHD Tambacounda</t>
  </si>
  <si>
    <t>Bakel</t>
  </si>
  <si>
    <t>Dienké Makhan</t>
  </si>
  <si>
    <t>Goudiry</t>
  </si>
  <si>
    <t>Kidira</t>
  </si>
  <si>
    <t>Maka Coulibantan</t>
  </si>
  <si>
    <t>Tamba</t>
  </si>
  <si>
    <t>Thiès</t>
  </si>
  <si>
    <t>RHD Thiès</t>
  </si>
  <si>
    <t>Joal</t>
  </si>
  <si>
    <t>Khombole</t>
  </si>
  <si>
    <t>Mbour</t>
  </si>
  <si>
    <t>Popenguine</t>
  </si>
  <si>
    <t>Pout</t>
  </si>
  <si>
    <t>Thiadiaye</t>
  </si>
  <si>
    <t>Tivaouane</t>
  </si>
  <si>
    <t>Ziguinchor</t>
  </si>
  <si>
    <t>RHD Ziguinchor</t>
  </si>
  <si>
    <t>Bignona</t>
  </si>
  <si>
    <t>Diouloulou</t>
  </si>
  <si>
    <t>Oussouye</t>
  </si>
  <si>
    <t>NATIONAL TOTAL — DISTRICTS AND RHDs</t>
  </si>
  <si>
    <t>Combined total of observed and projected budgets</t>
  </si>
  <si>
    <t>Check of the BOOST 2016-2018 panel enriched with available allocation criteria</t>
  </si>
  <si>
    <t>Year</t>
  </si>
  <si>
    <t>Observations</t>
  </si>
  <si>
    <t>District budget (FCFA)</t>
  </si>
  <si>
    <t>RHD budget (FCFA)</t>
  </si>
  <si>
    <t>Total (FCFA)</t>
  </si>
  <si>
    <t>Check</t>
  </si>
  <si>
    <t>Panel units</t>
  </si>
  <si>
    <t>Years</t>
  </si>
  <si>
    <t>External criteria retained</t>
  </si>
  <si>
    <t>2023 population rescaled on RGPH-5; reference area; density recalculated annually</t>
  </si>
  <si>
    <t>Active social and health references</t>
  </si>
  <si>
    <t>EHCVM II 2021/22 and DHS 2023</t>
  </si>
  <si>
    <t>Reading</t>
  </si>
  <si>
    <t>Budgets remain observed for 2016–2018; the updated criteria feed the forward-looking engine.</t>
  </si>
  <si>
    <t>SOURCES AND ALLOCATION CRITERIA</t>
  </si>
  <si>
    <t>This sheet presents, in plain language, the official data feeding the simulator and the national targets used to build the three scenarios (Conservative, Central, 2050 Transformation).</t>
  </si>
  <si>
    <t>Historical population 2018 (archive)</t>
  </si>
  <si>
    <t>Data item</t>
  </si>
  <si>
    <t>Population 2018 / area</t>
  </si>
  <si>
    <t>71 BOOST districts + 14 medical regions</t>
  </si>
  <si>
    <t>District population</t>
  </si>
  <si>
    <t>Public sources consulted</t>
  </si>
  <si>
    <t>General Population and Housing Census (RGPH-5)</t>
  </si>
  <si>
    <t>Number of health facilities</t>
  </si>
  <si>
    <t>Senegal Health Map (Ministry of Health)</t>
  </si>
  <si>
    <t>Health yearbooks</t>
  </si>
  <si>
    <t>Harmonized Survey on Household Living Conditions (EHCVM II)</t>
  </si>
  <si>
    <t>2021-2022</t>
  </si>
  <si>
    <t>Service utilization</t>
  </si>
  <si>
    <t>DHIS2/yearbooks</t>
  </si>
  <si>
    <t>Demographic and Health Survey (DHS)</t>
  </si>
  <si>
    <t>Health-needs index</t>
  </si>
  <si>
    <t>No direct source</t>
  </si>
  <si>
    <t>Under-five mortality 2017 (archive)</t>
  </si>
  <si>
    <t>ANSD, DHS-Continuous 2017 Atlas</t>
  </si>
  <si>
    <t>2018-2021</t>
  </si>
  <si>
    <t>Facility births 2017 (archive)</t>
  </si>
  <si>
    <t>Parameter</t>
  </si>
  <si>
    <t>MSAS, facility mapping 2021</t>
  </si>
  <si>
    <t>14 regions</t>
  </si>
  <si>
    <t>RETAINED</t>
  </si>
  <si>
    <t>Inhabitants per health facility</t>
  </si>
  <si>
    <t>MSAS, Health Map Volume 5, 2018 data</t>
  </si>
  <si>
    <t>Senegal 2050 – National Transformation Agenda</t>
  </si>
  <si>
    <t>Previously tested EPI/DHS sources</t>
  </si>
  <si>
    <t>-</t>
  </si>
  <si>
    <t>Poverty reduction</t>
  </si>
  <si>
    <t>0 / −0.4 / −0.83 point per year</t>
  </si>
  <si>
    <t>Poverty rate: 37.5% → 15% by 2050</t>
  </si>
  <si>
    <t>DHS 2017 URL — archive</t>
  </si>
  <si>
    <t>https://www.ansd.sn/sites/default/files/2022-11/Atlas%20Senegal%202017_1.pdf</t>
  </si>
  <si>
    <t>40 deaths per 1,000 births → 29.3 in 2028 (and 25 in 2030, global target)</t>
  </si>
  <si>
    <t>SRMNIA-N National Health Plan 2024–2028; UN Sustainable Development Goals</t>
  </si>
  <si>
    <t>EHCVM 2018/2019 URL — archive</t>
  </si>
  <si>
    <t>https://www.ansd.sn/sites/default/files/2022-11/Rapport-final-EHCVM-vf-Senegal.pdf</t>
  </si>
  <si>
    <t>17.5% of children affected → less than 10% by 2028</t>
  </si>
  <si>
    <t>SRMNIA-N National Health Plan 2024–2028</t>
  </si>
  <si>
    <t>Health supply URL 2021</t>
  </si>
  <si>
    <t>https://informationsanitaire.sec.gouv.sn/dataset/e8df985f-ed0b-4159-82ff-ba81ec6e0196/resource/be375bd9-460e-43b7-b3b9-060a5439914e/download/plan-mtn-2022-2025-final-apres-validation-politique.pdf</t>
  </si>
  <si>
    <t>74% of facility-based deliveries → 90% by 2028</t>
  </si>
  <si>
    <t>Health Map 2018 URL — structural reference</t>
  </si>
  <si>
    <t>https://informationsanitaire.sec.gouv.sn/fr/dataset/bdafd285-db1d-4aba-9dab-b07aacbc6e9e/resource/ceb7cbaa-4157-422d-90e1-222a2ccec906/download/tome-5-etat-des-lieux-et-besoins-previsionnels.pdf</t>
  </si>
  <si>
    <t>Working assumption: no equivalent quantified national target identified to date</t>
  </si>
  <si>
    <t>—</t>
  </si>
  <si>
    <t>DHS-Continuous Senegal 2019</t>
  </si>
  <si>
    <t>EHCVM II Senegal 2021/2022</t>
  </si>
  <si>
    <t>RGPH-5 Senegal</t>
  </si>
  <si>
    <t>Presidency of the Republic of Senegal</t>
  </si>
  <si>
    <t>SRMNIA-N Strategic Plan 2024–2028</t>
  </si>
  <si>
    <t>Ministry of Health and Social Action (MSAS)</t>
  </si>
  <si>
    <t>2024-2028</t>
  </si>
  <si>
    <t>Sustainable Development Goals (SDG 3)</t>
  </si>
  <si>
    <t>United Nations</t>
  </si>
  <si>
    <t>2030 horizon</t>
  </si>
  <si>
    <t>ANSD / ICF</t>
  </si>
  <si>
    <t>ANSD</t>
  </si>
  <si>
    <t>Senegal Health Map</t>
  </si>
  <si>
    <t>Envelope growth (Eₜ), recalibrated 2025+</t>
  </si>
  <si>
    <t>CAGR and annual bounds of the total MSAS budget (GRAND TOTAL, all programs)</t>
  </si>
  <si>
    <t>Conservative 1.3%; Central 2.2%; 2050 Transformation 3.2% (calculation detail: SIM_Parametres, comments on cells B16:B18)</t>
  </si>
  <si>
    <t>DPPD 2025-2027 (final version, 12/06/2024); DPPD 2026-2028 (Draft 0, 04/14/2025)</t>
  </si>
  <si>
    <t>DPPD 2025-2027</t>
  </si>
  <si>
    <t>Final version, 12/06/2024</t>
  </si>
  <si>
    <t>DPPD 2026-2028</t>
  </si>
  <si>
    <t>Draft 0, 04/14/2025 — provisional document, not finalized</t>
  </si>
  <si>
    <t>ACTIVE HEALTH SUPPLY DATA</t>
  </si>
  <si>
    <t>Reference year</t>
  </si>
  <si>
    <t>Source</t>
  </si>
  <si>
    <t>Methodological limitation</t>
  </si>
  <si>
    <t>2018/2021</t>
  </si>
  <si>
    <t>MSAS — Health map / public care supply (2021 reference)</t>
  </si>
  <si>
    <t>Structural ratio: 2018 reference population divided by 2021 health facilities; to be updated once a more recent national source is available.</t>
  </si>
  <si>
    <t>Parameters and scenarios</t>
  </si>
  <si>
    <t>Poverty, points/yr</t>
  </si>
  <si>
    <t>Under-five mortality, %/yr</t>
  </si>
  <si>
    <t>Stunting, %/yr</t>
  </si>
  <si>
    <t>Facility-based deliveries, points/yr</t>
  </si>
  <si>
    <t>PHC supply growth</t>
  </si>
  <si>
    <t>Poverty pts</t>
  </si>
  <si>
    <t>Deliveries pts</t>
  </si>
  <si>
    <t>Envelope growth recalibrated on 09/12/2026 based on the total MSAS budget (DPPD 2025-2027 and DPPD 2026-2028).</t>
  </si>
  <si>
    <t>Calculation detail: comments on cells B16:B18. Full sources: Sources_criteres sheet, rows 38-41.</t>
  </si>
  <si>
    <t>Max decrease</t>
  </si>
  <si>
    <t>Max increase</t>
  </si>
  <si>
    <t>Observed</t>
  </si>
  <si>
    <t>Projection</t>
  </si>
  <si>
    <t>District reference base and basic indicators</t>
  </si>
  <si>
    <t>Code</t>
  </si>
  <si>
    <t>Estimated 2023 population</t>
  </si>
  <si>
    <t>Area km²</t>
  </si>
  <si>
    <t>Poverty 2021/22 %</t>
  </si>
  <si>
    <t>Under-five mortality 2023 ‰</t>
  </si>
  <si>
    <t>Stunting 2023 %</t>
  </si>
  <si>
    <t>Facility births 2023 %</t>
  </si>
  <si>
    <t>Health level</t>
  </si>
  <si>
    <t>Number of districts in region</t>
  </si>
  <si>
    <t>Criteria source</t>
  </si>
  <si>
    <t>Note</t>
  </si>
  <si>
    <t>DS_DAKAR_CENTRE</t>
  </si>
  <si>
    <t>RGPH-5 2023; EHCVM II 2021/22; DHS 2023</t>
  </si>
  <si>
    <t>2023 population estimated by rescaling on the RGPH-5 total for Dakar; regional poverty EHCVM 2021/22; health indicators DHS 2023.</t>
  </si>
  <si>
    <t>DS_DAKAR_DAKAR_SUD</t>
  </si>
  <si>
    <t>DS_DAKAR_DIAMNIADIO</t>
  </si>
  <si>
    <t>DS_DAKAR_GUEDIAWAYE</t>
  </si>
  <si>
    <t>DS_DAKAR_KEUR_MASSAR</t>
  </si>
  <si>
    <t>DS_DAKAR_MBAO</t>
  </si>
  <si>
    <t>DS_DAKAR_NORD</t>
  </si>
  <si>
    <t>DS_DAKAR_OUEST</t>
  </si>
  <si>
    <t>DS_DAKAR_PIKINE</t>
  </si>
  <si>
    <t>DS_DAKAR_RUFISQUE</t>
  </si>
  <si>
    <t>DS_DIOURBEL_BAMBEY</t>
  </si>
  <si>
    <t>2023 population estimated by rescaling on the RGPH-5 total for Diourbel; regional poverty EHCVM 2021/22; health indicators DHS 2023.</t>
  </si>
  <si>
    <t>DS_DIOURBEL_DIOURBEL</t>
  </si>
  <si>
    <t>DS_DIOURBEL_MBACKE</t>
  </si>
  <si>
    <t>DS_FATICK_DIOFFIOR</t>
  </si>
  <si>
    <t>2023 population estimated by rescaling on the RGPH-5 total for Fatick; regional poverty EHCVM 2021/22; health indicators DHS 2023.</t>
  </si>
  <si>
    <t>DS_FATICK_FATICK</t>
  </si>
  <si>
    <t>DS_FATICK_FOUNDIOUGNE</t>
  </si>
  <si>
    <t>DS_FATICK_GOSSAS</t>
  </si>
  <si>
    <t>DS_FATICK_NIAKHAR</t>
  </si>
  <si>
    <t>DS_FATICK_PASSY</t>
  </si>
  <si>
    <t>DS_FATICK_SOKONE</t>
  </si>
  <si>
    <t>DS_KAFFRINE_BIRKILANE</t>
  </si>
  <si>
    <t>2023 population estimated by rescaling on the RGPH-5 total for Kaffrine; regional poverty EHCVM 2021/22; health indicators DHS 2023.</t>
  </si>
  <si>
    <t>DS_KAFFRINE_KAFFRINE</t>
  </si>
  <si>
    <t>DS_KAFFRINE_KOUNGHEUL</t>
  </si>
  <si>
    <t>DS_KAFFRINE_MALEM_HODAR</t>
  </si>
  <si>
    <t>DS_KAOLACK_GUINGUINEO</t>
  </si>
  <si>
    <t>2023 population estimated by rescaling on the RGPH-5 total for Kaolack; regional poverty EHCVM 2021/22; health indicators DHS 2023.</t>
  </si>
  <si>
    <t>DS_KAOLACK_KASNACK</t>
  </si>
  <si>
    <t>DS_KAOLACK_NDOFFANE</t>
  </si>
  <si>
    <t>DS_KAOLACK_NIORO</t>
  </si>
  <si>
    <t>DS_KEDOUGOU_KEDOUGOU</t>
  </si>
  <si>
    <t>2023 population estimated by rescaling on the RGPH-5 total for Kédougou; regional poverty EHCVM 2021/22; health indicators DHS 2023.</t>
  </si>
  <si>
    <t>DS_KEDOUGOU_SALEMATA</t>
  </si>
  <si>
    <t>DS_KEDOUGOU_SARAYA</t>
  </si>
  <si>
    <t>DS_KOLDA_KOLDA</t>
  </si>
  <si>
    <t>2023 population estimated by rescaling on the RGPH-5 total for Kolda; regional poverty EHCVM 2021/22; health indicators DHS 2023.</t>
  </si>
  <si>
    <t>DS_KOLDA_MEDINA_YORO_FOULAH</t>
  </si>
  <si>
    <t>DS_KOLDA_VELINGARA</t>
  </si>
  <si>
    <t>DS_LOUGA_COKY</t>
  </si>
  <si>
    <t>2023 population estimated by rescaling on the RGPH-5 total for Louga; regional poverty EHCVM 2021/22; health indicators DHS 2023.</t>
  </si>
  <si>
    <t>DS_LOUGA_DAHRA</t>
  </si>
  <si>
    <t>DS_LOUGA_DAROU_MOUSTY</t>
  </si>
  <si>
    <t>DS_LOUGA_KEBEMER</t>
  </si>
  <si>
    <t>DS_LOUGA_KEUR_MOMAR_SARR</t>
  </si>
  <si>
    <t>DS_LOUGA_LINGUERE</t>
  </si>
  <si>
    <t>DS_LOUGA_LOUGA</t>
  </si>
  <si>
    <t>DS_LOUGA_SAKAL</t>
  </si>
  <si>
    <t>DS_MATAM_KANEL</t>
  </si>
  <si>
    <t>2023 population estimated by rescaling on the RGPH-5 total for Matam; regional poverty EHCVM 2021/22; health indicators DHS 2023.</t>
  </si>
  <si>
    <t>DS_MATAM_MATAM</t>
  </si>
  <si>
    <t>DS_MATAM_RANEROU</t>
  </si>
  <si>
    <t>DS_MATAM_THILOGNE</t>
  </si>
  <si>
    <t>DS_SAINT_LOUIS_DAGANA</t>
  </si>
  <si>
    <t>2023 population estimated by rescaling on the RGPH-5 total for Saint-Louis; regional poverty EHCVM 2021/22; health indicators DHS 2023.</t>
  </si>
  <si>
    <t>DS_SAINT_LOUIS_PETE</t>
  </si>
  <si>
    <t>DS_SAINT_LOUIS_PODOR</t>
  </si>
  <si>
    <t>DS_SAINT_LOUIS_RICHARD_TOLL</t>
  </si>
  <si>
    <t>DS_SAINT_LOUIS_SAINT_LOUIS</t>
  </si>
  <si>
    <t>DS_SEDHIOU_BOUNKILING</t>
  </si>
  <si>
    <t>2023 population estimated by rescaling on the RGPH-5 total for Sédhiou; regional poverty EHCVM 2021/22; health indicators DHS 2023.</t>
  </si>
  <si>
    <t>DS_SEDHIOU_SEDHIOU</t>
  </si>
  <si>
    <t>DS_TAMBACOUNDA_BAKEL</t>
  </si>
  <si>
    <t>2023 population estimated by rescaling on the RGPH-5 total for Tambacounda; regional poverty EHCVM 2021/22; health indicators DHS 2023.</t>
  </si>
  <si>
    <t>DS_TAMBACOUNDA_DIENKE_MAKHAN</t>
  </si>
  <si>
    <t>DS_TAMBACOUNDA_GOUDIRY</t>
  </si>
  <si>
    <t>DS_TAMBACOUNDA_KIDIRA</t>
  </si>
  <si>
    <t>DS_TAMBACOUNDA_MAKA_COULIBANTAN</t>
  </si>
  <si>
    <t>DS_TAMBACOUNDA_TAMBA</t>
  </si>
  <si>
    <t>DS_THIES_JOAL</t>
  </si>
  <si>
    <t>2023 population estimated by rescaling on the RGPH-5 total for Thiès; regional poverty EHCVM 2021/22; health indicators DHS 2023.</t>
  </si>
  <si>
    <t>DS_THIES_KHOMBOLE</t>
  </si>
  <si>
    <t>DS_THIES_MBOUR</t>
  </si>
  <si>
    <t>DS_THIES_POPENGUINE</t>
  </si>
  <si>
    <t>DS_THIES_POUT</t>
  </si>
  <si>
    <t>DS_THIES_THIADIAYE</t>
  </si>
  <si>
    <t>DS_THIES_THIES</t>
  </si>
  <si>
    <t>DS_THIES_TIVAOUANE</t>
  </si>
  <si>
    <t>DS_ZIGUINCHOR_BIGNONA</t>
  </si>
  <si>
    <t>2023 population estimated by rescaling on the RGPH-5 total for Ziguinchor; regional poverty EHCVM 2021/22; health indicators DHS 2023.</t>
  </si>
  <si>
    <t>DS_ZIGUINCHOR_DIOULOULOU</t>
  </si>
  <si>
    <t>DS_ZIGUINCHOR_OUSSOUYE</t>
  </si>
  <si>
    <t>DS_ZIGUINCHOR_ZIGUINCHOR</t>
  </si>
  <si>
    <t>Simulation engine — district-year panel</t>
  </si>
  <si>
    <t>Final change</t>
  </si>
  <si>
    <t>BOOST observed</t>
  </si>
  <si>
    <t>Scenario projection</t>
  </si>
  <si>
    <t>National dashboard</t>
  </si>
  <si>
    <t>Selection</t>
  </si>
  <si>
    <t>Indicator</t>
  </si>
  <si>
    <t>Neutrality gap</t>
  </si>
  <si>
    <t>Gap</t>
  </si>
  <si>
    <t>Results by district</t>
  </si>
  <si>
    <t>Consistency checks</t>
  </si>
  <si>
    <t>Target</t>
  </si>
  <si>
    <t>Tolerance</t>
  </si>
  <si>
    <t>71 expected</t>
  </si>
  <si>
    <t>Model rows</t>
  </si>
  <si>
    <t>71 × 15</t>
  </si>
  <si>
    <t>Projected</t>
  </si>
  <si>
    <t>Neutrality 2030</t>
  </si>
  <si>
    <t>Sum = Eₜ</t>
  </si>
  <si>
    <t>Sum q 2030</t>
  </si>
  <si>
    <t>100%</t>
  </si>
  <si>
    <t>Negative budgets</t>
  </si>
  <si>
    <t>None</t>
  </si>
  <si>
    <t>2023 rescaled population</t>
  </si>
  <si>
    <t>Sum of districts = sum of the 14 regional values</t>
  </si>
  <si>
    <t>Gap vs published national total</t>
  </si>
  <si>
    <t>Documented source gap: -2 inhabitants</t>
  </si>
  <si>
    <t>Minimum change 2026</t>
  </si>
  <si>
    <t>Annual floor −5%</t>
  </si>
  <si>
    <t>Maximum change 2026</t>
  </si>
  <si>
    <t>Annual cap +15%</t>
  </si>
  <si>
    <t>Minimum change 2027</t>
  </si>
  <si>
    <t>Maximum change 2027</t>
  </si>
  <si>
    <t>Methodological dictionary</t>
  </si>
  <si>
    <t>Variable</t>
  </si>
  <si>
    <t>Definition</t>
  </si>
  <si>
    <t>Processing</t>
  </si>
  <si>
    <t>National envelope available for the 71 districts</t>
  </si>
  <si>
    <t>Observed in BOOST in 2016–2018, then scenario-based from 2019 to 2027.</t>
  </si>
  <si>
    <t>2023 population estimated by rescaling on RGPH-5 regional totals, then projected around 2023.</t>
  </si>
  <si>
    <t>Regional monetary poverty incidence</t>
  </si>
  <si>
    <t>EHCVM II 2021/2022, technical anchor 2022, then annual variation in points.</t>
  </si>
  <si>
    <t>DHS 2023: national value of 40‰ applied uniformly, then annual evolution according to the scenario.</t>
  </si>
  <si>
    <t>Proportion of children under five showing stunting</t>
  </si>
  <si>
    <t>Regional DHS 2023 values, then annual evolution according to the scenario.</t>
  </si>
  <si>
    <t>Share of births that took place in a health facility</t>
  </si>
  <si>
    <t>Regional DHS 2023 values, projected in points per year; supplementary indicator not directly included in needs share q.</t>
  </si>
  <si>
    <t>Territorial extent of the district</t>
  </si>
  <si>
    <t>Fixed structural value from the geographic reference base.</t>
  </si>
  <si>
    <t>Population relative to area</t>
  </si>
  <si>
    <t>Annual population / area; feeds into the Geography score.</t>
  </si>
  <si>
    <t>Average number of inhabitants served by a health facility</t>
  </si>
  <si>
    <t>Supply reference, then evolves according to population and PHC supply growth.</t>
  </si>
  <si>
    <t>Budget actually recorded</t>
  </si>
  <si>
    <t>BOOST value observed only in 2016–2018.</t>
  </si>
  <si>
    <t>Intensity of the transition toward the needs formula</t>
  </si>
  <si>
    <t>0 through 2025; 0.50 in 2026; 0.75 in 2027; 1.00 from 2028 onward.</t>
  </si>
  <si>
    <t>Equal-share base of the needs-based target</t>
  </si>
  <si>
    <t>20% by default; each district receives θ/N in the Needs target.</t>
  </si>
  <si>
    <t>District's share of the total population</t>
  </si>
  <si>
    <t>Relative poverty position</t>
  </si>
  <si>
    <t>Composite health-needs index</t>
  </si>
  <si>
    <t>Geographic constraint index</t>
  </si>
  <si>
    <t>Relative supply deficit index</t>
  </si>
  <si>
    <t>Min–max normalization of inhabitants per facility.</t>
  </si>
  <si>
    <t>National share of the poverty criterion</t>
  </si>
  <si>
    <t>Poverty score / annual sum of poverty scores.</t>
  </si>
  <si>
    <t>National share of health need</t>
  </si>
  <si>
    <t>Needs score / annual sum of needs scores.</t>
  </si>
  <si>
    <t>National share of the geographic constraint</t>
  </si>
  <si>
    <t>Geography score / annual sum of geography scores.</t>
  </si>
  <si>
    <t>National share of the supply deficit</t>
  </si>
  <si>
    <t>Supply score / annual sum of supply scores.</t>
  </si>
  <si>
    <t>Composite share based on five needs dimensions</t>
  </si>
  <si>
    <t>0.60 Population share + 0.15 Poverty share + 0.15 Needs share + 0.05 Geography share + 0.05 Supply share.</t>
  </si>
  <si>
    <t>District's share of the previous budget allocation</t>
  </si>
  <si>
    <t>Final allocation t−1 / total final allocations t−1.</t>
  </si>
  <si>
    <t>Amount corresponding to the equal-share base and needs share q</t>
  </si>
  <si>
    <t>Envelope × [θ/N + (1−θ) × needs share q].</t>
  </si>
  <si>
    <t>Allocation before guardrails and neutrality</t>
  </si>
  <si>
    <t>Envelope × [(1−λ) × historical share h + λ × {θ/N + (1−θ) × needs share q}].</t>
  </si>
  <si>
    <t>Change in the Gross allocation relative to the previous year</t>
  </si>
  <si>
    <t>Gross allocation / Final allocation t−1 − 1; zero in 2016.</t>
  </si>
  <si>
    <t>Allocation after the decrease and increase limits</t>
  </si>
  <si>
    <t>Gross allocation bounded by the guardrails in 2026–2030.</t>
  </si>
  <si>
    <t>Signed share of the available margin used for the rescaling</t>
  </si>
  <si>
    <t>Neutrality residual / total margin available, upward or downward.</t>
  </si>
  <si>
    <t>Simulated budget after guardrails and exact neutrality</t>
  </si>
  <si>
    <t>Budget observed in 2016–2018; Pre-cap allocation adjusted only within the remaining margin afterward.</t>
  </si>
  <si>
    <t>Final allocation per capita</t>
  </si>
  <si>
    <t>Final allocation / Population.</t>
  </si>
  <si>
    <t>Redistributive effect relative to history</t>
  </si>
  <si>
    <t>Final allocation − Envelope × historical share h.</t>
  </si>
  <si>
    <t>Origin of the value</t>
  </si>
  <si>
    <t>"BOOST observed" in 2016–2018 or "Projection" in 2019–2030.</t>
  </si>
  <si>
    <t>Sources, traceability and limitations</t>
  </si>
  <si>
    <t>Period</t>
  </si>
  <si>
    <t>Link / file</t>
  </si>
  <si>
    <t>Use</t>
  </si>
  <si>
    <t>Limitation</t>
  </si>
  <si>
    <t>Maternal and child health</t>
  </si>
  <si>
    <t>ANSD / DHS-Continuous</t>
  </si>
  <si>
    <t>DHS Continuous 2019.pdf</t>
  </si>
  <si>
    <t>National trends and broad regions</t>
  </si>
  <si>
    <t>Disaggregated into four broad regions, not artificially broken down further</t>
  </si>
  <si>
    <t>Maternal health, nutrition and under-five mortality</t>
  </si>
  <si>
    <t>ANSD / Senegal DHS 2023</t>
  </si>
  <si>
    <t>Final Senegal DHS - KIR 2023(1).pdf</t>
  </si>
  <si>
    <t>Active reference: regional stunting and facility deliveries; national mortality</t>
  </si>
  <si>
    <t>Regional under-five mortality not published in the report provided</t>
  </si>
  <si>
    <t>Monetary poverty</t>
  </si>
  <si>
    <t>2021/2022</t>
  </si>
  <si>
    <t>ANSD / EHCVM II</t>
  </si>
  <si>
    <t>Rapport_Final_EHCVM_2021-2022_VF.pdf</t>
  </si>
  <si>
    <t>Active reference: P0 rate for the 14 regions</t>
  </si>
  <si>
    <t>Regional value repeated for districts; technical anchor 2022</t>
  </si>
  <si>
    <t>Resident population</t>
  </si>
  <si>
    <t>ANSD / RGPH-5</t>
  </si>
  <si>
    <t>Rapport-def-RGPH-5.pdf</t>
  </si>
  <si>
    <t>Active reference: official population of the 14 regions</t>
  </si>
  <si>
    <t>Districts estimated by preserving 2018 reference intra-regional shares; regional sums exact</t>
  </si>
  <si>
    <t>Health map</t>
  </si>
  <si>
    <t>MSAS</t>
  </si>
  <si>
    <t>Population/geography</t>
  </si>
  <si>
    <t>To be updated</t>
  </si>
  <si>
    <t>Assumptions</t>
  </si>
  <si>
    <t>Simulator</t>
  </si>
  <si>
    <t>Envelope growth (gE) calibrated on DPPD 2025-2027/2026-2028 since 09/12/2026; other parameters (population, poverty, mortality, etc.) remain unofficial assumptions (Senegal 2050 / SRMNIA-N targets)</t>
  </si>
  <si>
    <t>National frameworks</t>
  </si>
  <si>
    <t>Multi-year</t>
  </si>
  <si>
    <t>Senegal 2050 Agenda, LPS, DPPD, DPBA</t>
  </si>
  <si>
    <t>DPPD 2025-2027 (MSAS, final version, 12/06/2024); DPPD 2026-2028 (MSAS, Draft 0, 04/14/2025)</t>
  </si>
  <si>
    <t>Annual calibration</t>
  </si>
  <si>
    <t>DPPD 2026-2028 is still at draft stage (Draft 0), not finalized; program nomenclature differs between the two DPPDs (see Sources_criteres, row 38) — the totals are therefore not directly comparable between the two documents.</t>
  </si>
  <si>
    <t>Usage rule</t>
  </si>
  <si>
    <t>Always</t>
  </si>
  <si>
    <t>Scientific audit</t>
  </si>
  <si>
    <t>Separate observation and projection</t>
  </si>
  <si>
    <t>Publication / decision</t>
  </si>
  <si>
    <t>Institutionally validate before budgetary use</t>
  </si>
  <si>
    <t>Formula check</t>
  </si>
  <si>
    <t>29/08/2026</t>
  </si>
  <si>
    <t>Simulator consistency audit</t>
  </si>
  <si>
    <t>SIM_Controles and calculation engine</t>
  </si>
  <si>
    <t>25,561 engine formulas verified; internal checks compliant</t>
  </si>
  <si>
    <t>No anomaly requiring a change to the calculations</t>
  </si>
  <si>
    <t>DPPD update</t>
  </si>
  <si>
    <t>12/09/2026</t>
  </si>
  <si>
    <t>Simulator (manual recalibration)</t>
  </si>
  <si>
    <t>SIM_Parametres!B16:B18 — envelope growth recalibrated: Conservative 3.3%→1.3%; Central 4.7%→2.2%; 2050 Transformation 6.5%→3.2%</t>
  </si>
  <si>
    <t>All derived sheets (Resume_Executif, Synthese_Budgets_2016_2027, SIM_Modele, etc. via SIM_Parametres!$B$5)</t>
  </si>
  <si>
    <t>Detailed calculation and exact sources in the cell comments of SIM_Parametres!B16:B18</t>
  </si>
  <si>
    <t>HEALTH INDICATORS — DHS 2023</t>
  </si>
  <si>
    <t>Under-five mortality 2023 (‰)</t>
  </si>
  <si>
    <t>Stunting 2023 (%)</t>
  </si>
  <si>
    <t>Facility-based deliveries 2023 (%)</t>
  </si>
  <si>
    <t>Geographic level</t>
  </si>
  <si>
    <t>Senegal DHS 2023: Table 8 (national mortality), Table 9 (maternal health), Table 12 (nutrition)</t>
  </si>
  <si>
    <t>40,0</t>
  </si>
  <si>
    <t>17,5</t>
  </si>
  <si>
    <t>94,2</t>
  </si>
  <si>
    <t>Column1</t>
  </si>
  <si>
    <t>Column2</t>
  </si>
  <si>
    <t>Column3</t>
  </si>
  <si>
    <t>Column4</t>
  </si>
  <si>
    <t>23,5</t>
  </si>
  <si>
    <t>85,6</t>
  </si>
  <si>
    <t>Monetary poverty update — EHCVM II Senegal 2021/2022</t>
  </si>
  <si>
    <t>Usage rule: the P0 monetary poverty rate published by region in EHCVM II 2021/2022 becomes the active reference. 2022 is used as the model's technical anchor year for this survey covering 2021–2022. Each district receives its region's rate; no sub-regional breakdown is invented.</t>
  </si>
  <si>
    <t>P0 poverty rate 2021/22 (%)</t>
  </si>
  <si>
    <t>Anchor year</t>
  </si>
  <si>
    <t>Application level</t>
  </si>
  <si>
    <t>Use in the model</t>
  </si>
  <si>
    <t>Precise source</t>
  </si>
  <si>
    <t>Region, repeated for each district</t>
  </si>
  <si>
    <t>Active reference for the Poverty score</t>
  </si>
  <si>
    <t>No representative rate at district level in the report</t>
  </si>
  <si>
    <t>Senegal overall</t>
  </si>
  <si>
    <t>National</t>
  </si>
  <si>
    <t>Consistency check</t>
  </si>
  <si>
    <t>ANSD, EHCVM II Senegal 2021/2022, Tables III-1 and III-2</t>
  </si>
  <si>
    <t>Not used to replace regional disparities</t>
  </si>
  <si>
    <t>Demographic update — RGPH-5 Senegal 2023</t>
  </si>
  <si>
    <t>Method: RGPH-5 provides official 2023 populations by region and department, but not a full correspondence with the 71 health districts. Each region's population is therefore allocated among its districts according to their relative shares in the simulator's 2018 reference base. A largest-remainder adjustment ensures the sum of districts exactly matches the RGPH-5 regional total. District-level results are calibrated estimates, not figures directly published by ANSD.</t>
  </si>
  <si>
    <t>RGPH-5 2023 population</t>
  </si>
  <si>
    <t>2018 reference population</t>
  </si>
  <si>
    <t>Rescaling factor</t>
  </si>
  <si>
    <t>Number of districts</t>
  </si>
  <si>
    <t>Sum of districts 2023</t>
  </si>
  <si>
    <t>Control gap</t>
  </si>
  <si>
    <t>ANSD, RGPH-5 2023, Table I-21</t>
  </si>
  <si>
    <t>Senegal - published national total</t>
  </si>
  <si>
    <t>ANSD, RGPH-5 2023, Table I-21; the 14 regional rows total 18,126,388, i.e. 2 inhabitants fewer than the published national total</t>
  </si>
  <si>
    <t>Intra-regional share</t>
  </si>
  <si>
    <t>Estimated 2023 density</t>
  </si>
  <si>
    <t>Method / source</t>
  </si>
  <si>
    <t>2018 district share × RGPH-5 2023 regional total; largest-remainder adjustment</t>
  </si>
  <si>
    <t>Modeling from the manuscript and translation into the simulator</t>
  </si>
  <si>
    <t>Purpose: document the logical chain between the econometric analysis of observed budgets (2016–2018) and the forward-looking allocation engine (2019–2030).</t>
  </si>
  <si>
    <t>1. Explanatory econometric model from the manuscript</t>
  </si>
  <si>
    <t>ln(Budgetᵢₜ) = α + β₁ ln(Populationᵢ) + β₂ Povertyᵣ + β₃ HealthNeedᵣ + β₄ ln(Areaᵢ) + β₅ InhabCentreᵢ + β₆ FacilityBirthᵣ + δ2017 + δ2018 + εᵢₜ</t>
  </si>
  <si>
    <t>Component</t>
  </si>
  <si>
    <t>Role in the manuscript</t>
  </si>
  <si>
    <t>Use in the simulator</t>
  </si>
  <si>
    <t>Budgets 2016–2018</t>
  </si>
  <si>
    <t>Observed dependent variable; diagnostic of the determinants and of inertia.</t>
  </si>
  <si>
    <t>Kept as BOOST observations and the historical starting point hᵢₜ.</t>
  </si>
  <si>
    <t>Population, poverty, health need, area, supply</t>
  </si>
  <si>
    <t>Explanatory variables used to assess how well historical allocations align with needs.</t>
  </si>
  <si>
    <t>Converted into transparent shares/indices for the forward-looking normative formula.</t>
  </si>
  <si>
    <t>2. M1–M7 specifications and analytical function</t>
  </si>
  <si>
    <t>Model</t>
  </si>
  <si>
    <t>Summary specification</t>
  </si>
  <si>
    <t>Purpose</t>
  </si>
  <si>
    <t>M1</t>
  </si>
  <si>
    <t>ln(Budget) on ln(Population)</t>
  </si>
  <si>
    <t>Test the role of population size.</t>
  </si>
  <si>
    <t>M2</t>
  </si>
  <si>
    <t>M1 + poverty</t>
  </si>
  <si>
    <t>Test socio-economic equity.</t>
  </si>
  <si>
    <t>M3</t>
  </si>
  <si>
    <t>M2 + health need</t>
  </si>
  <si>
    <t>Test alignment with health needs.</t>
  </si>
  <si>
    <t>M4</t>
  </si>
  <si>
    <t>M3 + area and inhabitants/facility</t>
  </si>
  <si>
    <t>Incorporate geographic constraints and the supply deficit.</t>
  </si>
  <si>
    <t>M5</t>
  </si>
  <si>
    <t>M4 + facility deliveries + year effects</t>
  </si>
  <si>
    <t>Full explanatory specification of the 2016–2018 panel.</t>
  </si>
  <si>
    <t>M6</t>
  </si>
  <si>
    <t>ln(Budget2018) on ln(Budget2016)</t>
  </si>
  <si>
    <t>Measure historical persistence/inertia.</t>
  </si>
  <si>
    <t>M7</t>
  </si>
  <si>
    <t>M6 + population, poverty, need, area</t>
  </si>
  <si>
    <t>Check whether needs explain 2018 beyond inertia.</t>
  </si>
  <si>
    <t>Important: the econometric coefficients are not used to directly predict the 2019–2030 budgets. They underpin the diagnosis and the choice of dimensions; the simulation uses an explicit, auditable normative rule.</t>
  </si>
  <si>
    <t>3. Forward-looking translation into the simulator</t>
  </si>
  <si>
    <t>Step</t>
  </si>
  <si>
    <t>Equation / rule</t>
  </si>
  <si>
    <t>Interpretation</t>
  </si>
  <si>
    <t>Needs share qᵢₜ</t>
  </si>
  <si>
    <t>qᵢₜ = 0.60 pᵢₜ + 0.15 dᵢₜ + 0.15 nᵢₜ + 0.05 gᵢₜ + 0.05 sᵢₜ</t>
  </si>
  <si>
    <t>Weighting of population, poverty, health, geography and supply; Σqᵢₜ = 1.</t>
  </si>
  <si>
    <t>Historical share hᵢₜ</t>
  </si>
  <si>
    <t>hᵢₜ = Final allocationᵢ,ₜ₋₁ / Σ Final allocationₜ₋₁</t>
  </si>
  <si>
    <t>Needs target Tᵢₜ</t>
  </si>
  <si>
    <t>Tᵢₜ = Eₜ × [θ/N + (1−θ)qᵢₜ]</t>
  </si>
  <si>
    <t>Combines an equal-share base θ with the composite needs share.</t>
  </si>
  <si>
    <t>Gross allocation B*ᵢₜ</t>
  </si>
  <si>
    <t>B*ᵢₜ = Eₜ × [(1−λₜ)hᵢₜ + λₜ{θ/N + (1−θ)qᵢₜ}]</t>
  </si>
  <si>
    <t>Gradual transition between history and needs.</t>
  </si>
  <si>
    <t>Transition λₜ</t>
  </si>
  <si>
    <t>0 through 2025; 0.50 in 2026; 0.75 in 2027</t>
  </si>
  <si>
    <t>Parameter editable in SIM_Parametres.</t>
  </si>
  <si>
    <t>Base θ</t>
  </si>
  <si>
    <t>One-fifth of the needs component is allocated equally among the 71 districts.</t>
  </si>
  <si>
    <t>Observed 2016–2018; Eₜ = Eₜ₋₁(1+gE) afterward</t>
  </si>
  <si>
    <t>Neutrality: the simulator allocates a given national envelope.</t>
  </si>
  <si>
    <t>4. Guardrails and exact budget neutrality</t>
  </si>
  <si>
    <t>Element</t>
  </si>
  <si>
    <t>Corrected and verified rule</t>
  </si>
  <si>
    <t>Effect</t>
  </si>
  <si>
    <t>Pre-cap allocation Cᵢₜ</t>
  </si>
  <si>
    <t>Cᵢₜ = min[max(B*ᵢₜ, Bᶠᵢ,ₜ₋₁(1−max decrease)), Bᶠᵢ,ₜ₋₁(1+max increase)]</t>
  </si>
  <si>
    <t>First bounds each district between −5% and +15% in 2026–2027.</t>
  </si>
  <si>
    <t>Residual Rₜ</t>
  </si>
  <si>
    <t>Rₜ = Eₜ − ΣCᵢₜ</t>
  </si>
  <si>
    <t>Amount remaining to be allocated (or removed) after capping.</t>
  </si>
  <si>
    <t>Coefficient κₜ</t>
  </si>
  <si>
    <t>κₜ = Rₜ / total margin still available in the direction of the residual</t>
  </si>
  <si>
    <t>Measures the fraction of margin required; |κₜ| ≤ 1 guarantees feasibility.</t>
  </si>
  <si>
    <t>Final allocation Bᶠᵢₜ</t>
  </si>
  <si>
    <t>Cᵢₜ + κₜ × district's available margin</t>
  </si>
  <si>
    <t>Simultaneous compliance with ΣBᶠᵢₜ = Eₜ and the individual limits.</t>
  </si>
  <si>
    <t>5. Sources, interpretation and limitations</t>
  </si>
  <si>
    <t>Section</t>
  </si>
  <si>
    <t>Content</t>
  </si>
  <si>
    <t>Historical data</t>
  </si>
  <si>
    <t>BOOST 2016–2018 for observed budgets.</t>
  </si>
  <si>
    <t>Forward-looking data</t>
  </si>
  <si>
    <t>RGPH-5 2023 (population), EHCVM II 2021/22 (poverty), DHS 2023 (health), geographic and supply reference data.</t>
  </si>
  <si>
    <t>Regional indicators are applied to the districts of the region when district-level estimates are not published.</t>
  </si>
  <si>
    <t>The 2019–2030 results are scenario simulations, not officially voted or executed appropriations.</t>
  </si>
  <si>
    <t>Main limitation</t>
  </si>
  <si>
    <t>The normative model reflects choices of weighting and transition; any budgetary use requires institutional validation and sensitivity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</si>
</sst>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quot; FCFA&quot;;\(#,##0&quot;) FCFA&quot;;\–"/>
    <numFmt numFmtId="165" formatCode="0.0%;\(0.0%\);\–"/>
    <numFmt numFmtId="166" formatCode="#,##0;\(#,##0\);\–"/>
    <numFmt numFmtId="167" formatCode="#,##0.0;\(#,##0.0\);\–"/>
    <numFmt numFmtId="168" formatCode="0.0000"/>
    <numFmt numFmtId="169" formatCode="0.0000%"/>
  </numFmts>
  <fonts count="47" x14ac:knownFonts="1">
    <font>
      <sz val="10"/>
      <name val="Arial"/>
      <charset val="1"/>
    </font>
    <font>
      <sz val="11"/>
      <name val="Calibri"/>
      <charset val="1"/>
    </font>
    <font>
      <b/>
      <sz val="24"/>
      <color rgb="FFFFFFFF"/>
      <name val="Arial"/>
      <charset val="1"/>
    </font>
    <font>
      <b/>
      <sz val="12"/>
      <color rgb="FF17365D"/>
      <name val="Arial"/>
      <charset val="1"/>
    </font>
    <font>
      <b/>
      <sz val="10"/>
      <color rgb="FFFFFFFF"/>
      <name val="Arial"/>
      <charset val="1"/>
    </font>
    <font>
      <sz val="11"/>
      <color rgb="FF0000FF"/>
      <name val="Cambria"/>
      <charset val="1"/>
    </font>
    <font>
      <sz val="11"/>
      <name val="Cambria"/>
      <charset val="1"/>
    </font>
    <font>
      <b/>
      <sz val="12"/>
      <color rgb="FF2F75B5"/>
      <name val="Arial"/>
      <charset val="1"/>
    </font>
    <font>
      <b/>
      <sz val="12"/>
      <color rgb="FF548235"/>
      <name val="Arial"/>
      <charset val="1"/>
    </font>
    <font>
      <b/>
      <sz val="12"/>
      <color rgb="FFBF9000"/>
      <name val="Arial"/>
      <charset val="1"/>
    </font>
    <font>
      <b/>
      <sz val="12"/>
      <color rgb="FF7030A0"/>
      <name val="Arial"/>
      <charset val="1"/>
    </font>
    <font>
      <sz val="10"/>
      <color rgb="FF000000"/>
      <name val="Arial"/>
      <charset val="1"/>
    </font>
    <font>
      <b/>
      <sz val="11"/>
      <color rgb="FFFFFFFF"/>
      <name val="Arial"/>
      <charset val="1"/>
    </font>
    <font>
      <b/>
      <sz val="11"/>
      <color rgb="FF0F6B78"/>
      <name val="Arial"/>
      <charset val="1"/>
    </font>
    <font>
      <b/>
      <sz val="12"/>
      <color rgb="FF0F6B78"/>
      <name val="Arial"/>
      <charset val="1"/>
    </font>
    <font>
      <b/>
      <sz val="11"/>
      <color rgb="FF17365D"/>
      <name val="Arial"/>
      <charset val="1"/>
    </font>
    <font>
      <b/>
      <sz val="9"/>
      <color rgb="FFFFFFFF"/>
      <name val="Arial"/>
      <charset val="1"/>
    </font>
    <font>
      <b/>
      <sz val="13"/>
      <color rgb="FFFFFFFF"/>
      <name val="Arial"/>
      <charset val="1"/>
    </font>
    <font>
      <b/>
      <i/>
      <sz val="10"/>
      <color rgb="FF17365D"/>
      <name val="Arial"/>
      <charset val="1"/>
    </font>
    <font>
      <b/>
      <sz val="18"/>
      <color rgb="FF2F75B5"/>
      <name val="Arial"/>
      <charset val="1"/>
    </font>
    <font>
      <b/>
      <sz val="18"/>
      <color rgb="FF548235"/>
      <name val="Arial"/>
      <charset val="1"/>
    </font>
    <font>
      <b/>
      <sz val="18"/>
      <color rgb="FFBF9000"/>
      <name val="Arial"/>
      <charset val="1"/>
    </font>
    <font>
      <b/>
      <sz val="18"/>
      <color rgb="FFC65911"/>
      <name val="Arial"/>
      <charset val="1"/>
    </font>
    <font>
      <b/>
      <sz val="9"/>
      <color rgb="FF203040"/>
      <name val="Arial"/>
      <charset val="1"/>
    </font>
    <font>
      <i/>
      <sz val="7"/>
      <color rgb="FF6B7280"/>
      <name val="Arial"/>
      <charset val="1"/>
    </font>
    <font>
      <b/>
      <sz val="9"/>
      <color rgb="FFBF9000"/>
      <name val="Arial"/>
      <charset val="1"/>
    </font>
    <font>
      <b/>
      <sz val="9"/>
      <color rgb="FFC00000"/>
      <name val="Arial"/>
      <charset val="1"/>
    </font>
    <font>
      <b/>
      <sz val="8"/>
      <color rgb="FFFFFFFF"/>
      <name val="Arial"/>
      <charset val="1"/>
    </font>
    <font>
      <b/>
      <sz val="8"/>
      <color rgb="FF203040"/>
      <name val="Arial"/>
      <charset val="1"/>
    </font>
    <font>
      <sz val="8"/>
      <color rgb="FF203040"/>
      <name val="Arial"/>
      <charset val="1"/>
    </font>
    <font>
      <b/>
      <sz val="14"/>
      <color rgb="FFFFFFFF"/>
      <name val="Arial"/>
      <charset val="1"/>
    </font>
    <font>
      <i/>
      <sz val="10"/>
      <color rgb="FF203040"/>
      <name val="Arial"/>
      <charset val="1"/>
    </font>
    <font>
      <sz val="10"/>
      <color rgb="FF203040"/>
      <name val="Aptos"/>
      <charset val="1"/>
    </font>
    <font>
      <sz val="10"/>
      <color rgb="FF203040"/>
      <name val="Arial"/>
      <charset val="1"/>
    </font>
    <font>
      <b/>
      <sz val="10"/>
      <color rgb="FF203040"/>
      <name val="Arial"/>
      <charset val="1"/>
    </font>
    <font>
      <b/>
      <sz val="10"/>
      <color rgb="FF1F6E43"/>
      <name val="Arial"/>
      <charset val="1"/>
    </font>
    <font>
      <b/>
      <sz val="10"/>
      <color rgb="FF0000FF"/>
      <name val="Arial"/>
      <charset val="1"/>
    </font>
    <font>
      <b/>
      <sz val="10"/>
      <color rgb="FF000000"/>
      <name val="Arial"/>
      <charset val="1"/>
    </font>
    <font>
      <b/>
      <sz val="10"/>
      <color rgb="FF17365D"/>
      <name val="Arial"/>
      <charset val="1"/>
    </font>
    <font>
      <sz val="10"/>
      <color rgb="FF0000FF"/>
      <name val="Arial"/>
      <charset val="1"/>
    </font>
    <font>
      <sz val="10"/>
      <color rgb="FF1F6E43"/>
      <name val="Arial"/>
      <charset val="1"/>
    </font>
    <font>
      <b/>
      <sz val="10"/>
      <color rgb="FF17365D"/>
      <name val="Aptos"/>
      <charset val="1"/>
    </font>
    <font>
      <i/>
      <sz val="10"/>
      <color rgb="FF203040"/>
      <name val="Cambria"/>
      <charset val="1"/>
    </font>
    <font>
      <b/>
      <sz val="10"/>
      <color rgb="FF7F6000"/>
      <name val="Arial"/>
      <charset val="1"/>
    </font>
    <font>
      <sz val="10"/>
      <name val="Arial"/>
      <family val="2"/>
    </font>
    <font>
      <sz val="10"/>
      <name val="Arial"/>
      <charset val="1"/>
    </font>
    <font>
      <i/>
      <sz val="10"/>
      <color theme="1"/>
      <name val="Arial"/>
      <family val="2"/>
    </font>
  </fonts>
  <fills count="24">
    <fill>
      <patternFill patternType="none"/>
    </fill>
    <fill>
      <patternFill patternType="gray125"/>
    </fill>
    <fill>
      <patternFill patternType="solid">
        <fgColor rgb="FF1F3864"/>
        <bgColor rgb="FF17365D"/>
      </patternFill>
    </fill>
    <fill>
      <patternFill patternType="solid">
        <fgColor rgb="FFD9EAF7"/>
        <bgColor rgb="FFD9E2F3"/>
      </patternFill>
    </fill>
    <fill>
      <patternFill patternType="solid">
        <fgColor rgb="FF2F75B5"/>
        <bgColor rgb="FF2E75B6"/>
      </patternFill>
    </fill>
    <fill>
      <patternFill patternType="solid">
        <fgColor rgb="FFFFFFFF"/>
        <bgColor rgb="FFF2F5F9"/>
      </patternFill>
    </fill>
    <fill>
      <patternFill patternType="solid">
        <fgColor rgb="FF548235"/>
        <bgColor rgb="FF6B7280"/>
      </patternFill>
    </fill>
    <fill>
      <patternFill patternType="solid">
        <fgColor rgb="FFBF9000"/>
        <bgColor rgb="FFBF8F00"/>
      </patternFill>
    </fill>
    <fill>
      <patternFill patternType="solid">
        <fgColor rgb="FFC65911"/>
        <bgColor rgb="FF993300"/>
      </patternFill>
    </fill>
    <fill>
      <patternFill patternType="solid">
        <fgColor rgb="FFEAF2F8"/>
        <bgColor rgb="FFE8EEF7"/>
      </patternFill>
    </fill>
    <fill>
      <patternFill patternType="solid">
        <fgColor rgb="FFEDF4E8"/>
        <bgColor rgb="FFF2F2F2"/>
      </patternFill>
    </fill>
    <fill>
      <patternFill patternType="solid">
        <fgColor rgb="FFFFF4D6"/>
        <bgColor rgb="FFFFF2CC"/>
      </patternFill>
    </fill>
    <fill>
      <patternFill patternType="solid">
        <fgColor rgb="FFFCECE3"/>
        <bgColor rgb="FFFFF4D6"/>
      </patternFill>
    </fill>
    <fill>
      <patternFill patternType="solid">
        <fgColor rgb="FFE8EEF7"/>
        <bgColor rgb="FFEAF2F8"/>
      </patternFill>
    </fill>
    <fill>
      <patternFill patternType="solid">
        <fgColor rgb="FFF2F4F7"/>
        <bgColor rgb="FFF2F5F9"/>
      </patternFill>
    </fill>
    <fill>
      <patternFill patternType="solid">
        <fgColor rgb="FF0F6B78"/>
        <bgColor rgb="FF1F6E43"/>
      </patternFill>
    </fill>
    <fill>
      <patternFill patternType="solid">
        <fgColor rgb="FFF2F5F9"/>
        <bgColor rgb="FFF2F4F7"/>
      </patternFill>
    </fill>
    <fill>
      <patternFill patternType="solid">
        <fgColor rgb="FFFFF2CC"/>
        <bgColor rgb="FFFFF4D6"/>
      </patternFill>
    </fill>
    <fill>
      <patternFill patternType="solid">
        <fgColor rgb="FFFFFF00"/>
        <bgColor rgb="FFE5B849"/>
      </patternFill>
    </fill>
    <fill>
      <patternFill patternType="solid">
        <fgColor rgb="FFF2F2F2"/>
        <bgColor rgb="FFF2F4F7"/>
      </patternFill>
    </fill>
    <fill>
      <patternFill patternType="solid">
        <fgColor rgb="FFD9E2F3"/>
        <bgColor rgb="FFD9EAF7"/>
      </patternFill>
    </fill>
    <fill>
      <patternFill patternType="solid">
        <fgColor rgb="FF1F4E78"/>
        <bgColor rgb="FF2F5597"/>
      </patternFill>
    </fill>
    <fill>
      <patternFill patternType="solid">
        <fgColor rgb="FFE2F0D9"/>
        <bgColor rgb="FFEDF4E8"/>
      </patternFill>
    </fill>
    <fill>
      <patternFill patternType="solid">
        <fgColor rgb="FFFFFF00"/>
        <bgColor rgb="FFFFF4D6"/>
      </patternFill>
    </fill>
  </fills>
  <borders count="32">
    <border>
      <left/>
      <right/>
      <top/>
      <bottom/>
      <diagonal/>
    </border>
    <border>
      <left style="medium">
        <color rgb="FF2F75B5"/>
      </left>
      <right style="medium">
        <color rgb="FF2F75B5"/>
      </right>
      <top style="medium">
        <color rgb="FF2F75B5"/>
      </top>
      <bottom style="medium">
        <color rgb="FF2F75B5"/>
      </bottom>
      <diagonal/>
    </border>
    <border>
      <left style="medium">
        <color rgb="FF548235"/>
      </left>
      <right style="medium">
        <color rgb="FF548235"/>
      </right>
      <top style="medium">
        <color rgb="FF548235"/>
      </top>
      <bottom style="medium">
        <color rgb="FF548235"/>
      </bottom>
      <diagonal/>
    </border>
    <border>
      <left style="medium">
        <color rgb="FFBF9000"/>
      </left>
      <right style="medium">
        <color rgb="FFBF9000"/>
      </right>
      <top style="medium">
        <color rgb="FFBF9000"/>
      </top>
      <bottom style="medium">
        <color rgb="FFBF9000"/>
      </bottom>
      <diagonal/>
    </border>
    <border>
      <left style="medium">
        <color rgb="FF7030A0"/>
      </left>
      <right style="medium">
        <color rgb="FF7030A0"/>
      </right>
      <top style="medium">
        <color rgb="FF7030A0"/>
      </top>
      <bottom style="medium">
        <color rgb="FF7030A0"/>
      </bottom>
      <diagonal/>
    </border>
    <border>
      <left style="medium">
        <color rgb="FFC65911"/>
      </left>
      <right style="medium">
        <color rgb="FFC65911"/>
      </right>
      <top style="medium">
        <color rgb="FFC65911"/>
      </top>
      <bottom style="medium">
        <color rgb="FFC65911"/>
      </bottom>
      <diagonal/>
    </border>
    <border>
      <left style="medium">
        <color rgb="FF17365D"/>
      </left>
      <right style="medium">
        <color rgb="FF17365D"/>
      </right>
      <top style="medium">
        <color rgb="FF17365D"/>
      </top>
      <bottom style="medium">
        <color rgb="FF17365D"/>
      </bottom>
      <diagonal/>
    </border>
    <border>
      <left style="thin">
        <color rgb="FFB4C7E7"/>
      </left>
      <right style="thin">
        <color rgb="FFB4C7E7"/>
      </right>
      <top style="thin">
        <color rgb="FFB4C7E7"/>
      </top>
      <bottom style="thin">
        <color rgb="FFB4C7E7"/>
      </bottom>
      <diagonal/>
    </border>
    <border>
      <left style="thin">
        <color rgb="FFE5B849"/>
      </left>
      <right style="thin">
        <color rgb="FFE5B849"/>
      </right>
      <top style="thin">
        <color rgb="FFE5B849"/>
      </top>
      <bottom style="thin">
        <color rgb="FFE5B849"/>
      </bottom>
      <diagonal/>
    </border>
    <border>
      <left/>
      <right/>
      <top style="medium">
        <color rgb="FF2F75B5"/>
      </top>
      <bottom/>
      <diagonal/>
    </border>
    <border>
      <left/>
      <right/>
      <top style="medium">
        <color rgb="FF548235"/>
      </top>
      <bottom/>
      <diagonal/>
    </border>
    <border>
      <left/>
      <right/>
      <top style="medium">
        <color rgb="FFBF9000"/>
      </top>
      <bottom/>
      <diagonal/>
    </border>
    <border>
      <left/>
      <right/>
      <top style="medium">
        <color rgb="FFC65911"/>
      </top>
      <bottom/>
      <diagonal/>
    </border>
    <border>
      <left style="thin">
        <color rgb="FFD9D9D9"/>
      </left>
      <right style="thin">
        <color rgb="FFD9D9D9"/>
      </right>
      <top style="thin">
        <color rgb="FFD9D9D9"/>
      </top>
      <bottom style="thin">
        <color rgb="FFD9D9D9"/>
      </bottom>
      <diagonal/>
    </border>
    <border>
      <left style="medium">
        <color rgb="FF00C2E8"/>
      </left>
      <right style="medium">
        <color rgb="FF00C2E8"/>
      </right>
      <top style="medium">
        <color rgb="FF00C2E8"/>
      </top>
      <bottom style="medium">
        <color rgb="FF00C2E8"/>
      </bottom>
      <diagonal/>
    </border>
    <border>
      <left style="thin">
        <color rgb="FF163A5F"/>
      </left>
      <right style="thin">
        <color rgb="FF163A5F"/>
      </right>
      <top style="thin">
        <color rgb="FF163A5F"/>
      </top>
      <bottom style="thin">
        <color rgb="FF163A5F"/>
      </bottom>
      <diagonal/>
    </border>
    <border>
      <left style="thin">
        <color auto="1"/>
      </left>
      <right style="thin">
        <color auto="1"/>
      </right>
      <top style="thin">
        <color auto="1"/>
      </top>
      <bottom style="thin">
        <color auto="1"/>
      </bottom>
      <diagonal/>
    </border>
    <border>
      <left/>
      <right/>
      <top/>
      <bottom style="medium">
        <color rgb="FF2F75B5"/>
      </bottom>
      <diagonal/>
    </border>
    <border>
      <left style="hair">
        <color rgb="FFD9D9D9"/>
      </left>
      <right style="hair">
        <color rgb="FFD9D9D9"/>
      </right>
      <top style="hair">
        <color rgb="FFD9D9D9"/>
      </top>
      <bottom style="hair">
        <color rgb="FFD9D9D9"/>
      </bottom>
      <diagonal/>
    </border>
    <border>
      <left/>
      <right/>
      <top style="thin">
        <color rgb="FFD9E2F3"/>
      </top>
      <bottom style="thin">
        <color rgb="FFD9E2F3"/>
      </bottom>
      <diagonal/>
    </border>
    <border>
      <left/>
      <right/>
      <top style="thin">
        <color rgb="FFD9E2F3"/>
      </top>
      <bottom style="thin">
        <color rgb="FFA6A6A6"/>
      </bottom>
      <diagonal/>
    </border>
    <border>
      <left style="thin">
        <color rgb="FFBFBFBF"/>
      </left>
      <right style="thin">
        <color rgb="FFBFBFBF"/>
      </right>
      <top style="thin">
        <color rgb="FFBFBFBF"/>
      </top>
      <bottom style="medium">
        <color rgb="FF1F3864"/>
      </bottom>
      <diagonal/>
    </border>
    <border>
      <left style="hair">
        <color rgb="FFD9D9D9"/>
      </left>
      <right/>
      <top style="hair">
        <color rgb="FFD9D9D9"/>
      </top>
      <bottom style="hair">
        <color rgb="FFD9D9D9"/>
      </bottom>
      <diagonal/>
    </border>
    <border>
      <left/>
      <right/>
      <top style="medium">
        <color rgb="FF00C2E8"/>
      </top>
      <bottom style="medium">
        <color rgb="FF00C2E8"/>
      </bottom>
      <diagonal/>
    </border>
    <border>
      <left/>
      <right style="medium">
        <color rgb="FF00C2E8"/>
      </right>
      <top style="medium">
        <color rgb="FF00C2E8"/>
      </top>
      <bottom style="medium">
        <color rgb="FF00C2E8"/>
      </bottom>
      <diagonal/>
    </border>
    <border>
      <left style="thin">
        <color rgb="FFD6B656"/>
      </left>
      <right style="thin">
        <color rgb="FFD6B656"/>
      </right>
      <top style="thin">
        <color rgb="FFD6B656"/>
      </top>
      <bottom/>
      <diagonal/>
    </border>
    <border>
      <left style="thin">
        <color rgb="FFD6B656"/>
      </left>
      <right style="thin">
        <color rgb="FFD6B656"/>
      </right>
      <top/>
      <bottom/>
      <diagonal/>
    </border>
    <border>
      <left style="thin">
        <color rgb="FFD6B656"/>
      </left>
      <right style="thin">
        <color rgb="FFD6B656"/>
      </right>
      <top/>
      <bottom style="thin">
        <color rgb="FFD6B656"/>
      </bottom>
      <diagonal/>
    </border>
    <border>
      <left/>
      <right style="thin">
        <color rgb="FFD9E2F3"/>
      </right>
      <top style="thin">
        <color rgb="FFD9E2F3"/>
      </top>
      <bottom style="medium">
        <color rgb="FF2F75B5"/>
      </bottom>
      <diagonal/>
    </border>
    <border>
      <left style="thin">
        <color rgb="FFD9E2F3"/>
      </left>
      <right style="thin">
        <color rgb="FFD9E2F3"/>
      </right>
      <top style="thin">
        <color rgb="FFD9E2F3"/>
      </top>
      <bottom style="medium">
        <color rgb="FF2F75B5"/>
      </bottom>
      <diagonal/>
    </border>
    <border>
      <left style="thin">
        <color rgb="FFD9E2F3"/>
      </left>
      <right/>
      <top style="thin">
        <color rgb="FFD9E2F3"/>
      </top>
      <bottom style="medium">
        <color rgb="FF2F75B5"/>
      </bottom>
      <diagonal/>
    </border>
    <border>
      <left/>
      <right/>
      <top style="thin">
        <color rgb="FFD9E2F3"/>
      </top>
      <bottom style="medium">
        <color rgb="FF2F75B5"/>
      </bottom>
      <diagonal/>
    </border>
  </borders>
  <cellStyleXfs count="5">
    <xf numFmtId="0" fontId="0" fillId="0" borderId="0"/>
    <xf numFmtId="0" fontId="45" fillId="0" borderId="0"/>
    <xf numFmtId="0" fontId="1" fillId="0" borderId="0"/>
    <xf numFmtId="0" fontId="45" fillId="0" borderId="0"/>
    <xf numFmtId="0" fontId="45" fillId="0" borderId="0"/>
  </cellStyleXfs>
  <cellXfs count="223">
    <xf numFmtId="0" fontId="0" fillId="0" borderId="0" xfId="0"/>
    <xf numFmtId="0" fontId="5" fillId="0" borderId="0" xfId="0" applyFont="1" applyAlignment="1">
      <alignment horizontal="center" vertical="center"/>
    </xf>
    <xf numFmtId="0" fontId="6" fillId="0" borderId="0" xfId="0" applyFont="1"/>
    <xf numFmtId="0" fontId="11" fillId="0" borderId="0" xfId="0" applyFont="1"/>
    <xf numFmtId="0" fontId="27" fillId="2" borderId="13" xfId="0" applyFont="1" applyFill="1" applyBorder="1" applyAlignment="1">
      <alignment horizontal="center" vertical="center"/>
    </xf>
    <xf numFmtId="0" fontId="28" fillId="0" borderId="13" xfId="0" applyFont="1" applyBorder="1" applyAlignment="1">
      <alignment horizontal="center" vertical="center"/>
    </xf>
    <xf numFmtId="0" fontId="29" fillId="0" borderId="13" xfId="0" applyFont="1" applyBorder="1" applyAlignment="1">
      <alignment horizontal="left" vertical="center"/>
    </xf>
    <xf numFmtId="164" fontId="29" fillId="0" borderId="13" xfId="0" applyNumberFormat="1" applyFont="1" applyBorder="1" applyAlignment="1">
      <alignment horizontal="center" vertical="center"/>
    </xf>
    <xf numFmtId="0" fontId="28" fillId="16" borderId="13" xfId="0" applyFont="1" applyFill="1" applyBorder="1" applyAlignment="1">
      <alignment horizontal="center" vertical="center"/>
    </xf>
    <xf numFmtId="0" fontId="29" fillId="16" borderId="13" xfId="0" applyFont="1" applyFill="1" applyBorder="1" applyAlignment="1">
      <alignment horizontal="left" vertical="center"/>
    </xf>
    <xf numFmtId="164" fontId="29" fillId="16" borderId="13" xfId="0" applyNumberFormat="1" applyFont="1" applyFill="1" applyBorder="1" applyAlignment="1">
      <alignment horizontal="center" vertical="center"/>
    </xf>
    <xf numFmtId="0" fontId="0" fillId="0" borderId="0" xfId="0" applyAlignment="1">
      <alignment horizontal="left"/>
    </xf>
    <xf numFmtId="0" fontId="0" fillId="0" borderId="0" xfId="0" applyAlignment="1">
      <alignment horizontal="center"/>
    </xf>
    <xf numFmtId="0" fontId="32" fillId="0" borderId="0" xfId="0" applyFont="1"/>
    <xf numFmtId="0" fontId="33" fillId="0" borderId="0" xfId="0" applyFont="1" applyAlignment="1">
      <alignment horizontal="left"/>
    </xf>
    <xf numFmtId="0" fontId="33" fillId="0" borderId="0" xfId="0" applyFont="1" applyAlignment="1">
      <alignment horizontal="center"/>
    </xf>
    <xf numFmtId="0" fontId="33" fillId="0" borderId="0" xfId="0" applyFont="1"/>
    <xf numFmtId="0" fontId="34" fillId="4" borderId="16" xfId="0" applyFont="1" applyFill="1" applyBorder="1" applyAlignment="1">
      <alignment horizontal="left" vertical="center" wrapText="1"/>
    </xf>
    <xf numFmtId="0" fontId="34" fillId="17" borderId="16" xfId="0" applyFont="1" applyFill="1" applyBorder="1" applyAlignment="1">
      <alignment horizontal="center" vertical="center" wrapText="1"/>
    </xf>
    <xf numFmtId="165" fontId="35" fillId="17" borderId="16" xfId="0" applyNumberFormat="1" applyFont="1" applyFill="1" applyBorder="1" applyAlignment="1">
      <alignment horizontal="center" vertical="center" wrapText="1"/>
    </xf>
    <xf numFmtId="165" fontId="34" fillId="4" borderId="16" xfId="0" applyNumberFormat="1" applyFont="1" applyFill="1" applyBorder="1" applyAlignment="1">
      <alignment horizontal="left" vertical="center" wrapText="1"/>
    </xf>
    <xf numFmtId="0" fontId="33" fillId="16" borderId="0" xfId="0" applyFont="1" applyFill="1" applyAlignment="1">
      <alignment horizontal="left"/>
    </xf>
    <xf numFmtId="0" fontId="33" fillId="16" borderId="0" xfId="0" applyFont="1" applyFill="1" applyAlignment="1">
      <alignment horizontal="center"/>
    </xf>
    <xf numFmtId="0" fontId="33" fillId="16" borderId="0" xfId="0" applyFont="1" applyFill="1"/>
    <xf numFmtId="0" fontId="34" fillId="18" borderId="0" xfId="0" applyFont="1" applyFill="1" applyAlignment="1">
      <alignment horizontal="left" vertical="center" wrapText="1"/>
    </xf>
    <xf numFmtId="0" fontId="34" fillId="18" borderId="0" xfId="0" applyFont="1" applyFill="1" applyAlignment="1">
      <alignment horizontal="center" vertical="center" wrapText="1"/>
    </xf>
    <xf numFmtId="0" fontId="0" fillId="5" borderId="0" xfId="0" applyFill="1"/>
    <xf numFmtId="0" fontId="34" fillId="0" borderId="0" xfId="0" applyFont="1" applyAlignment="1">
      <alignment horizontal="left" vertical="center" wrapText="1"/>
    </xf>
    <xf numFmtId="0" fontId="34"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32" fillId="0" borderId="0" xfId="0" applyFont="1" applyAlignment="1">
      <alignment vertical="center"/>
    </xf>
    <xf numFmtId="0" fontId="0" fillId="0" borderId="0" xfId="0" applyAlignment="1">
      <alignment vertical="center"/>
    </xf>
    <xf numFmtId="0" fontId="34" fillId="16" borderId="0" xfId="0" applyFont="1" applyFill="1" applyAlignment="1">
      <alignment horizontal="left" vertical="center" wrapText="1"/>
    </xf>
    <xf numFmtId="0" fontId="34" fillId="16" borderId="0" xfId="0" applyFont="1" applyFill="1" applyAlignment="1">
      <alignment horizontal="center" vertical="center" wrapText="1"/>
    </xf>
    <xf numFmtId="0" fontId="33" fillId="16" borderId="0" xfId="0" applyFont="1" applyFill="1" applyAlignment="1">
      <alignment horizontal="left" vertical="center" wrapText="1"/>
    </xf>
    <xf numFmtId="0" fontId="33" fillId="16" borderId="0" xfId="0" applyFont="1" applyFill="1" applyAlignment="1">
      <alignment horizontal="center" vertical="center" wrapText="1"/>
    </xf>
    <xf numFmtId="0" fontId="33" fillId="16" borderId="0" xfId="0" applyFont="1" applyFill="1" applyAlignment="1">
      <alignment horizontal="left" vertical="center"/>
    </xf>
    <xf numFmtId="0" fontId="33" fillId="16" borderId="0" xfId="0" applyFont="1" applyFill="1" applyAlignment="1">
      <alignment horizontal="center" vertical="center"/>
    </xf>
    <xf numFmtId="0" fontId="33" fillId="16" borderId="0" xfId="0" applyFont="1" applyFill="1" applyAlignment="1">
      <alignment vertical="center"/>
    </xf>
    <xf numFmtId="0" fontId="33" fillId="0" borderId="0" xfId="0" applyFont="1" applyAlignment="1">
      <alignment horizontal="left" vertical="center"/>
    </xf>
    <xf numFmtId="0" fontId="33" fillId="0" borderId="0" xfId="0" applyFont="1" applyAlignment="1">
      <alignment horizontal="center" vertical="center"/>
    </xf>
    <xf numFmtId="0" fontId="33" fillId="0" borderId="0" xfId="0" applyFont="1" applyAlignment="1">
      <alignment vertical="center"/>
    </xf>
    <xf numFmtId="0" fontId="30" fillId="2" borderId="0" xfId="0" applyFont="1" applyFill="1" applyAlignment="1">
      <alignment horizontal="left" vertical="center"/>
    </xf>
    <xf numFmtId="0" fontId="11" fillId="0" borderId="0" xfId="0" applyFont="1" applyAlignment="1">
      <alignment horizontal="right" vertical="center"/>
    </xf>
    <xf numFmtId="0" fontId="34" fillId="4" borderId="0" xfId="0" applyFont="1" applyFill="1" applyAlignment="1">
      <alignment horizontal="left" vertical="center" wrapText="1"/>
    </xf>
    <xf numFmtId="0" fontId="35" fillId="19" borderId="0" xfId="0" applyFont="1" applyFill="1" applyAlignment="1">
      <alignment horizontal="right" vertical="center" wrapText="1"/>
    </xf>
    <xf numFmtId="0" fontId="36" fillId="19" borderId="0" xfId="0" applyFont="1" applyFill="1" applyAlignment="1">
      <alignment horizontal="right" vertical="center" wrapText="1"/>
    </xf>
    <xf numFmtId="164" fontId="37" fillId="19" borderId="0" xfId="0" applyNumberFormat="1" applyFont="1" applyFill="1" applyAlignment="1">
      <alignment horizontal="right" vertical="center" wrapText="1"/>
    </xf>
    <xf numFmtId="0" fontId="34" fillId="19" borderId="0" xfId="0" applyFont="1" applyFill="1" applyAlignment="1">
      <alignment horizontal="left" vertical="center" wrapText="1"/>
    </xf>
    <xf numFmtId="165" fontId="37" fillId="19" borderId="0" xfId="0" applyNumberFormat="1" applyFont="1" applyFill="1" applyAlignment="1">
      <alignment horizontal="right" vertical="center" wrapText="1"/>
    </xf>
    <xf numFmtId="0" fontId="38" fillId="20" borderId="17" xfId="0" applyFont="1" applyFill="1" applyBorder="1" applyAlignment="1">
      <alignment horizontal="center" vertical="center" wrapText="1"/>
    </xf>
    <xf numFmtId="0" fontId="38" fillId="20" borderId="17" xfId="0" applyFont="1" applyFill="1" applyBorder="1" applyAlignment="1">
      <alignment horizontal="left" vertical="center" wrapText="1"/>
    </xf>
    <xf numFmtId="0" fontId="38" fillId="20" borderId="17" xfId="0" applyFont="1" applyFill="1" applyBorder="1" applyAlignment="1">
      <alignment vertical="center" wrapText="1"/>
    </xf>
    <xf numFmtId="0" fontId="37" fillId="20" borderId="17" xfId="0" applyFont="1" applyFill="1" applyBorder="1" applyAlignment="1">
      <alignment horizontal="right" vertical="center" wrapText="1"/>
    </xf>
    <xf numFmtId="0" fontId="33" fillId="16" borderId="18" xfId="0" applyFont="1" applyFill="1" applyBorder="1" applyAlignment="1">
      <alignment horizontal="left" vertical="center"/>
    </xf>
    <xf numFmtId="164" fontId="39" fillId="16" borderId="18" xfId="0" applyNumberFormat="1" applyFont="1" applyFill="1" applyBorder="1" applyAlignment="1">
      <alignment horizontal="right" vertical="center"/>
    </xf>
    <xf numFmtId="164" fontId="40" fillId="16" borderId="18" xfId="0" applyNumberFormat="1" applyFont="1" applyFill="1" applyBorder="1" applyAlignment="1">
      <alignment horizontal="right" vertical="center"/>
    </xf>
    <xf numFmtId="164" fontId="11" fillId="16" borderId="18" xfId="0" applyNumberFormat="1" applyFont="1" applyFill="1" applyBorder="1" applyAlignment="1">
      <alignment horizontal="right" vertical="center" wrapText="1"/>
    </xf>
    <xf numFmtId="165" fontId="11" fillId="16" borderId="18" xfId="0" applyNumberFormat="1" applyFont="1" applyFill="1" applyBorder="1" applyAlignment="1">
      <alignment horizontal="right" vertical="center"/>
    </xf>
    <xf numFmtId="164" fontId="11" fillId="16" borderId="18" xfId="0" applyNumberFormat="1" applyFont="1" applyFill="1" applyBorder="1" applyAlignment="1">
      <alignment horizontal="right" vertical="center"/>
    </xf>
    <xf numFmtId="166" fontId="11" fillId="0" borderId="18" xfId="0" applyNumberFormat="1" applyFont="1" applyBorder="1" applyAlignment="1">
      <alignment horizontal="right" vertical="center"/>
    </xf>
    <xf numFmtId="0" fontId="33" fillId="0" borderId="18" xfId="0" applyFont="1" applyBorder="1" applyAlignment="1">
      <alignment horizontal="left" vertical="center"/>
    </xf>
    <xf numFmtId="164" fontId="39" fillId="0" borderId="18" xfId="0" applyNumberFormat="1" applyFont="1" applyBorder="1" applyAlignment="1">
      <alignment horizontal="right" vertical="center"/>
    </xf>
    <xf numFmtId="164" fontId="40" fillId="0" borderId="18" xfId="0" applyNumberFormat="1" applyFont="1" applyBorder="1" applyAlignment="1">
      <alignment horizontal="right" vertical="center"/>
    </xf>
    <xf numFmtId="164" fontId="11" fillId="0" borderId="18" xfId="0" applyNumberFormat="1" applyFont="1" applyBorder="1" applyAlignment="1">
      <alignment horizontal="right" vertical="center" wrapText="1"/>
    </xf>
    <xf numFmtId="165" fontId="11" fillId="0" borderId="18" xfId="0" applyNumberFormat="1" applyFont="1" applyBorder="1" applyAlignment="1">
      <alignment horizontal="right" vertical="center"/>
    </xf>
    <xf numFmtId="164" fontId="11" fillId="0" borderId="18" xfId="0" applyNumberFormat="1" applyFont="1" applyBorder="1" applyAlignment="1">
      <alignment horizontal="right" vertical="center"/>
    </xf>
    <xf numFmtId="166" fontId="11" fillId="16" borderId="18" xfId="0" applyNumberFormat="1" applyFont="1" applyFill="1" applyBorder="1" applyAlignment="1">
      <alignment horizontal="right" vertical="center"/>
    </xf>
    <xf numFmtId="0" fontId="33" fillId="16" borderId="19" xfId="0" applyFont="1" applyFill="1" applyBorder="1"/>
    <xf numFmtId="164" fontId="33" fillId="16" borderId="19" xfId="0" applyNumberFormat="1" applyFont="1" applyFill="1" applyBorder="1"/>
    <xf numFmtId="165" fontId="33" fillId="16" borderId="0" xfId="0" applyNumberFormat="1" applyFont="1" applyFill="1"/>
    <xf numFmtId="164" fontId="33" fillId="16" borderId="0" xfId="0" applyNumberFormat="1" applyFont="1" applyFill="1"/>
    <xf numFmtId="164" fontId="4" fillId="15" borderId="20" xfId="0" applyNumberFormat="1" applyFont="1" applyFill="1" applyBorder="1" applyAlignment="1">
      <alignment horizontal="left" vertical="center"/>
    </xf>
    <xf numFmtId="0" fontId="33" fillId="0" borderId="0" xfId="0" applyFont="1" applyAlignment="1">
      <alignment wrapText="1"/>
    </xf>
    <xf numFmtId="0" fontId="16" fillId="2" borderId="21" xfId="0" applyFont="1" applyFill="1" applyBorder="1" applyAlignment="1">
      <alignment horizontal="center" vertical="center" wrapText="1"/>
    </xf>
    <xf numFmtId="0" fontId="41" fillId="0" borderId="0" xfId="0" applyFont="1" applyAlignment="1">
      <alignment vertical="center" wrapText="1"/>
    </xf>
    <xf numFmtId="0" fontId="39" fillId="0" borderId="18" xfId="0" applyFont="1" applyBorder="1" applyAlignment="1">
      <alignment horizontal="right" vertical="center" wrapText="1"/>
    </xf>
    <xf numFmtId="166" fontId="39" fillId="0" borderId="18" xfId="0" applyNumberFormat="1" applyFont="1" applyBorder="1" applyAlignment="1">
      <alignment horizontal="right" vertical="center" wrapText="1"/>
    </xf>
    <xf numFmtId="0" fontId="39" fillId="16" borderId="18" xfId="0" applyFont="1" applyFill="1" applyBorder="1" applyAlignment="1">
      <alignment horizontal="right" vertical="center" wrapText="1"/>
    </xf>
    <xf numFmtId="166" fontId="39" fillId="16" borderId="18" xfId="0" applyNumberFormat="1" applyFont="1" applyFill="1" applyBorder="1" applyAlignment="1">
      <alignment horizontal="right" vertical="center" wrapText="1"/>
    </xf>
    <xf numFmtId="0" fontId="33" fillId="16" borderId="0" xfId="0" applyFont="1" applyFill="1" applyAlignment="1">
      <alignment wrapText="1"/>
    </xf>
    <xf numFmtId="0" fontId="34" fillId="21" borderId="18" xfId="0" applyFont="1" applyFill="1" applyBorder="1" applyAlignment="1">
      <alignment horizontal="center" vertical="center" wrapText="1"/>
    </xf>
    <xf numFmtId="0" fontId="33" fillId="16" borderId="18" xfId="0" applyFont="1" applyFill="1" applyBorder="1" applyAlignment="1">
      <alignment horizontal="left" vertical="center" wrapText="1"/>
    </xf>
    <xf numFmtId="0" fontId="33" fillId="0" borderId="18" xfId="0" applyFont="1" applyBorder="1" applyAlignment="1">
      <alignment horizontal="left" vertical="center" wrapText="1"/>
    </xf>
    <xf numFmtId="0" fontId="34" fillId="3" borderId="18" xfId="0" applyFont="1" applyFill="1" applyBorder="1" applyAlignment="1">
      <alignment horizontal="left" vertical="center" wrapText="1"/>
    </xf>
    <xf numFmtId="0" fontId="33" fillId="3" borderId="18" xfId="0" applyFont="1" applyFill="1" applyBorder="1" applyAlignment="1">
      <alignment horizontal="left" vertical="center" wrapText="1"/>
    </xf>
    <xf numFmtId="0" fontId="6" fillId="0" borderId="21" xfId="0" applyFont="1" applyBorder="1"/>
    <xf numFmtId="0" fontId="6" fillId="0" borderId="18" xfId="0" applyFont="1" applyBorder="1"/>
    <xf numFmtId="0" fontId="16" fillId="2" borderId="18" xfId="0" applyFont="1" applyFill="1" applyBorder="1" applyAlignment="1">
      <alignment horizontal="center" vertical="top" wrapText="1"/>
    </xf>
    <xf numFmtId="0" fontId="33" fillId="0" borderId="18" xfId="0" applyFont="1" applyBorder="1" applyAlignment="1">
      <alignment vertical="top" wrapText="1"/>
    </xf>
    <xf numFmtId="0" fontId="33" fillId="0" borderId="0" xfId="0" applyFont="1" applyAlignment="1">
      <alignment vertical="top" wrapText="1"/>
    </xf>
    <xf numFmtId="0" fontId="33" fillId="0" borderId="14" xfId="0" applyFont="1" applyBorder="1" applyAlignment="1">
      <alignment vertical="top" wrapText="1"/>
    </xf>
    <xf numFmtId="0" fontId="33" fillId="0" borderId="23" xfId="0" applyFont="1" applyBorder="1" applyAlignment="1">
      <alignment vertical="top" wrapText="1"/>
    </xf>
    <xf numFmtId="0" fontId="6" fillId="0" borderId="24" xfId="0" applyFont="1" applyBorder="1"/>
    <xf numFmtId="0" fontId="0" fillId="0" borderId="0" xfId="0" applyAlignment="1">
      <alignment wrapText="1"/>
    </xf>
    <xf numFmtId="3" fontId="16" fillId="2" borderId="21" xfId="0" applyNumberFormat="1" applyFont="1" applyFill="1" applyBorder="1" applyAlignment="1">
      <alignment horizontal="center" vertical="center" wrapText="1"/>
    </xf>
    <xf numFmtId="0" fontId="33" fillId="5" borderId="18" xfId="0" applyFont="1" applyFill="1" applyBorder="1" applyAlignment="1">
      <alignment horizontal="left" vertical="center" wrapText="1"/>
    </xf>
    <xf numFmtId="166" fontId="39" fillId="5" borderId="18" xfId="0" applyNumberFormat="1" applyFont="1" applyFill="1" applyBorder="1" applyAlignment="1">
      <alignment horizontal="center" vertical="center" wrapText="1"/>
    </xf>
    <xf numFmtId="0" fontId="33" fillId="5" borderId="18" xfId="0" applyFont="1" applyFill="1" applyBorder="1" applyAlignment="1">
      <alignment horizontal="center" vertical="center" wrapText="1"/>
    </xf>
    <xf numFmtId="166" fontId="39" fillId="16" borderId="18" xfId="0" applyNumberFormat="1" applyFont="1" applyFill="1" applyBorder="1" applyAlignment="1">
      <alignment horizontal="center" vertical="center" wrapText="1"/>
    </xf>
    <xf numFmtId="0" fontId="33" fillId="16" borderId="18" xfId="0" applyFont="1" applyFill="1" applyBorder="1" applyAlignment="1">
      <alignment horizontal="center" vertical="center" wrapText="1"/>
    </xf>
    <xf numFmtId="166" fontId="39" fillId="0" borderId="18" xfId="0" applyNumberFormat="1" applyFont="1" applyBorder="1" applyAlignment="1">
      <alignment horizontal="center" vertical="center"/>
    </xf>
    <xf numFmtId="0" fontId="33" fillId="0" borderId="18" xfId="0" applyFont="1" applyBorder="1" applyAlignment="1">
      <alignment horizontal="center" vertical="center"/>
    </xf>
    <xf numFmtId="166" fontId="39" fillId="16" borderId="18" xfId="0" applyNumberFormat="1" applyFont="1" applyFill="1" applyBorder="1" applyAlignment="1">
      <alignment horizontal="center" vertical="center"/>
    </xf>
    <xf numFmtId="0" fontId="33" fillId="16" borderId="18" xfId="0" applyFont="1" applyFill="1" applyBorder="1" applyAlignment="1">
      <alignment horizontal="center" vertical="center"/>
    </xf>
    <xf numFmtId="0" fontId="34" fillId="5" borderId="0" xfId="0" applyFont="1" applyFill="1" applyAlignment="1">
      <alignment horizontal="center" vertical="center" wrapText="1"/>
    </xf>
    <xf numFmtId="0" fontId="33" fillId="5" borderId="0" xfId="0" applyFont="1" applyFill="1"/>
    <xf numFmtId="0" fontId="43" fillId="17" borderId="25" xfId="0" applyFont="1" applyFill="1" applyBorder="1" applyAlignment="1">
      <alignment horizontal="left" vertical="center" wrapText="1"/>
    </xf>
    <xf numFmtId="165" fontId="37" fillId="17" borderId="26" xfId="0" applyNumberFormat="1" applyFont="1" applyFill="1" applyBorder="1" applyAlignment="1">
      <alignment horizontal="right" vertical="center" wrapText="1"/>
    </xf>
    <xf numFmtId="0" fontId="37" fillId="17" borderId="26" xfId="0" applyFont="1" applyFill="1" applyBorder="1" applyAlignment="1">
      <alignment horizontal="right" vertical="center" wrapText="1"/>
    </xf>
    <xf numFmtId="165" fontId="36" fillId="17" borderId="27" xfId="0" applyNumberFormat="1" applyFont="1" applyFill="1" applyBorder="1" applyAlignment="1">
      <alignment horizontal="right" vertical="center" wrapText="1"/>
    </xf>
    <xf numFmtId="165" fontId="39" fillId="17" borderId="0" xfId="0" applyNumberFormat="1" applyFont="1" applyFill="1" applyAlignment="1">
      <alignment horizontal="right" vertical="center"/>
    </xf>
    <xf numFmtId="0" fontId="39" fillId="17" borderId="0" xfId="0" applyFont="1" applyFill="1" applyAlignment="1">
      <alignment horizontal="right" vertical="center"/>
    </xf>
    <xf numFmtId="0" fontId="39" fillId="0" borderId="0" xfId="0" applyFont="1" applyAlignment="1">
      <alignment horizontal="right" vertical="center"/>
    </xf>
    <xf numFmtId="164" fontId="39" fillId="0" borderId="0" xfId="0" applyNumberFormat="1" applyFont="1" applyAlignment="1">
      <alignment horizontal="right" vertical="center"/>
    </xf>
    <xf numFmtId="165" fontId="39" fillId="0" borderId="0" xfId="0" applyNumberFormat="1" applyFont="1" applyAlignment="1">
      <alignment horizontal="right" vertical="center"/>
    </xf>
    <xf numFmtId="164" fontId="11" fillId="0" borderId="0" xfId="0" applyNumberFormat="1" applyFont="1" applyAlignment="1">
      <alignment horizontal="right" vertical="center"/>
    </xf>
    <xf numFmtId="0" fontId="11" fillId="0" borderId="0" xfId="0" applyFont="1" applyAlignment="1">
      <alignment horizontal="left" vertical="center"/>
    </xf>
    <xf numFmtId="164" fontId="40" fillId="0" borderId="0" xfId="0" applyNumberFormat="1" applyFont="1" applyAlignment="1">
      <alignment horizontal="right" vertical="center"/>
    </xf>
    <xf numFmtId="166" fontId="39" fillId="0" borderId="18" xfId="0" applyNumberFormat="1" applyFont="1" applyBorder="1" applyAlignment="1">
      <alignment horizontal="right" vertical="center"/>
    </xf>
    <xf numFmtId="167" fontId="39" fillId="0" borderId="18" xfId="0" applyNumberFormat="1" applyFont="1" applyBorder="1" applyAlignment="1">
      <alignment horizontal="right" vertical="center"/>
    </xf>
    <xf numFmtId="166" fontId="39" fillId="16" borderId="18" xfId="0" applyNumberFormat="1" applyFont="1" applyFill="1" applyBorder="1" applyAlignment="1">
      <alignment horizontal="right" vertical="center"/>
    </xf>
    <xf numFmtId="167" fontId="39" fillId="16" borderId="18" xfId="0" applyNumberFormat="1" applyFont="1" applyFill="1" applyBorder="1" applyAlignment="1">
      <alignment horizontal="right" vertical="center"/>
    </xf>
    <xf numFmtId="0" fontId="39" fillId="0" borderId="18" xfId="0" applyFont="1" applyBorder="1" applyAlignment="1">
      <alignment horizontal="right" vertical="center"/>
    </xf>
    <xf numFmtId="166" fontId="40" fillId="0" borderId="18" xfId="0" applyNumberFormat="1" applyFont="1" applyBorder="1" applyAlignment="1">
      <alignment horizontal="right" vertical="center"/>
    </xf>
    <xf numFmtId="165" fontId="40" fillId="0" borderId="18" xfId="0" applyNumberFormat="1" applyFont="1" applyBorder="1" applyAlignment="1">
      <alignment horizontal="right" vertical="center"/>
    </xf>
    <xf numFmtId="165" fontId="39" fillId="0" borderId="18" xfId="0" applyNumberFormat="1" applyFont="1" applyBorder="1" applyAlignment="1">
      <alignment horizontal="right" vertical="center"/>
    </xf>
    <xf numFmtId="0" fontId="39" fillId="16" borderId="18" xfId="0" applyFont="1" applyFill="1" applyBorder="1" applyAlignment="1">
      <alignment horizontal="right" vertical="center"/>
    </xf>
    <xf numFmtId="166" fontId="40" fillId="16" borderId="18" xfId="0" applyNumberFormat="1" applyFont="1" applyFill="1" applyBorder="1" applyAlignment="1">
      <alignment horizontal="right" vertical="center"/>
    </xf>
    <xf numFmtId="165" fontId="40" fillId="16" borderId="18" xfId="0" applyNumberFormat="1" applyFont="1" applyFill="1" applyBorder="1" applyAlignment="1">
      <alignment horizontal="right" vertical="center"/>
    </xf>
    <xf numFmtId="165" fontId="33" fillId="0" borderId="0" xfId="0" applyNumberFormat="1" applyFont="1"/>
    <xf numFmtId="164" fontId="33" fillId="0" borderId="0" xfId="0" applyNumberFormat="1" applyFont="1"/>
    <xf numFmtId="0" fontId="11" fillId="0" borderId="18" xfId="0" applyFont="1" applyBorder="1" applyAlignment="1">
      <alignment horizontal="left" vertical="center"/>
    </xf>
    <xf numFmtId="0" fontId="11" fillId="16" borderId="18" xfId="0" applyFont="1" applyFill="1" applyBorder="1" applyAlignment="1">
      <alignment horizontal="left" vertical="center"/>
    </xf>
    <xf numFmtId="0" fontId="11" fillId="16" borderId="0" xfId="0" applyFont="1" applyFill="1"/>
    <xf numFmtId="0" fontId="4" fillId="15" borderId="0" xfId="0" applyFont="1" applyFill="1" applyAlignment="1">
      <alignment horizontal="center" vertical="center" wrapText="1"/>
    </xf>
    <xf numFmtId="0" fontId="38" fillId="20" borderId="17" xfId="0" applyFont="1" applyFill="1" applyBorder="1" applyAlignment="1">
      <alignment horizontal="right" vertical="center" wrapText="1"/>
    </xf>
    <xf numFmtId="164" fontId="35" fillId="20" borderId="17" xfId="0" applyNumberFormat="1" applyFont="1" applyFill="1" applyBorder="1" applyAlignment="1">
      <alignment horizontal="right" vertical="center" wrapText="1"/>
    </xf>
    <xf numFmtId="0" fontId="35" fillId="20" borderId="17" xfId="0" applyFont="1" applyFill="1" applyBorder="1" applyAlignment="1">
      <alignment horizontal="right" vertical="center" wrapText="1"/>
    </xf>
    <xf numFmtId="166" fontId="40" fillId="0" borderId="0" xfId="0" applyNumberFormat="1" applyFont="1" applyAlignment="1">
      <alignment horizontal="right" vertical="center"/>
    </xf>
    <xf numFmtId="0" fontId="33" fillId="0" borderId="18" xfId="0" applyFont="1" applyBorder="1" applyAlignment="1">
      <alignment horizontal="right" vertical="center"/>
    </xf>
    <xf numFmtId="0" fontId="11" fillId="0" borderId="18" xfId="0" applyFont="1" applyBorder="1" applyAlignment="1">
      <alignment horizontal="right" vertical="center"/>
    </xf>
    <xf numFmtId="0" fontId="34" fillId="17" borderId="0" xfId="0" applyFont="1" applyFill="1" applyAlignment="1">
      <alignment horizontal="left" vertical="center"/>
    </xf>
    <xf numFmtId="0" fontId="40" fillId="0" borderId="0" xfId="0" applyFont="1" applyAlignment="1">
      <alignment horizontal="right" vertical="center"/>
    </xf>
    <xf numFmtId="165" fontId="39" fillId="16" borderId="18" xfId="0" applyNumberFormat="1" applyFont="1" applyFill="1" applyBorder="1" applyAlignment="1">
      <alignment horizontal="right" vertical="center"/>
    </xf>
    <xf numFmtId="166" fontId="40" fillId="16" borderId="18" xfId="0" applyNumberFormat="1" applyFont="1" applyFill="1" applyBorder="1" applyAlignment="1">
      <alignment horizontal="right" vertical="center" wrapText="1"/>
    </xf>
    <xf numFmtId="166" fontId="11" fillId="16" borderId="18" xfId="0" applyNumberFormat="1" applyFont="1" applyFill="1" applyBorder="1" applyAlignment="1">
      <alignment horizontal="right" vertical="center" wrapText="1"/>
    </xf>
    <xf numFmtId="166" fontId="11" fillId="0" borderId="18" xfId="0" applyNumberFormat="1" applyFont="1" applyBorder="1" applyAlignment="1">
      <alignment horizontal="right" vertical="center" wrapText="1"/>
    </xf>
    <xf numFmtId="0" fontId="34" fillId="16" borderId="18" xfId="0" applyFont="1" applyFill="1" applyBorder="1" applyAlignment="1">
      <alignment horizontal="left" vertical="center"/>
    </xf>
    <xf numFmtId="166" fontId="37" fillId="22" borderId="18" xfId="0" applyNumberFormat="1" applyFont="1" applyFill="1" applyBorder="1" applyAlignment="1">
      <alignment horizontal="center" vertical="center"/>
    </xf>
    <xf numFmtId="0" fontId="34" fillId="0" borderId="18" xfId="0" applyFont="1" applyBorder="1" applyAlignment="1">
      <alignment horizontal="left" vertical="center"/>
    </xf>
    <xf numFmtId="0" fontId="34" fillId="0" borderId="18" xfId="0" applyFont="1" applyBorder="1" applyAlignment="1">
      <alignment horizontal="left" vertical="center" wrapText="1"/>
    </xf>
    <xf numFmtId="0" fontId="34" fillId="16" borderId="18" xfId="0" applyFont="1" applyFill="1" applyBorder="1" applyAlignment="1">
      <alignment horizontal="left" vertical="center" wrapText="1"/>
    </xf>
    <xf numFmtId="0" fontId="38" fillId="20" borderId="28" xfId="0" applyFont="1" applyFill="1" applyBorder="1" applyAlignment="1">
      <alignment horizontal="left" vertical="center" wrapText="1"/>
    </xf>
    <xf numFmtId="167" fontId="38" fillId="20" borderId="29" xfId="0" applyNumberFormat="1" applyFont="1" applyFill="1" applyBorder="1" applyAlignment="1">
      <alignment horizontal="center" vertical="center" wrapText="1"/>
    </xf>
    <xf numFmtId="0" fontId="38" fillId="20" borderId="29" xfId="0" applyFont="1" applyFill="1" applyBorder="1" applyAlignment="1">
      <alignment horizontal="left" vertical="center" wrapText="1"/>
    </xf>
    <xf numFmtId="0" fontId="38" fillId="20" borderId="30" xfId="0" applyFont="1" applyFill="1" applyBorder="1" applyAlignment="1">
      <alignment horizontal="left" vertical="center" wrapText="1"/>
    </xf>
    <xf numFmtId="0" fontId="38" fillId="20" borderId="31" xfId="0" applyFont="1" applyFill="1" applyBorder="1" applyAlignment="1">
      <alignment vertical="center" wrapText="1"/>
    </xf>
    <xf numFmtId="167" fontId="36" fillId="20" borderId="29" xfId="0" applyNumberFormat="1" applyFont="1" applyFill="1" applyBorder="1" applyAlignment="1">
      <alignment horizontal="center" vertical="center" wrapText="1"/>
    </xf>
    <xf numFmtId="0" fontId="38" fillId="20" borderId="31" xfId="0" applyFont="1" applyFill="1" applyBorder="1" applyAlignment="1">
      <alignment horizontal="left" vertical="center" wrapText="1"/>
    </xf>
    <xf numFmtId="167" fontId="39" fillId="0" borderId="18" xfId="0" applyNumberFormat="1" applyFont="1" applyBorder="1" applyAlignment="1">
      <alignment horizontal="right" vertical="center" wrapText="1"/>
    </xf>
    <xf numFmtId="167" fontId="39" fillId="16" borderId="18" xfId="0" applyNumberFormat="1" applyFont="1" applyFill="1" applyBorder="1" applyAlignment="1">
      <alignment horizontal="right" vertical="center" wrapText="1"/>
    </xf>
    <xf numFmtId="168" fontId="39" fillId="0" borderId="18" xfId="0" applyNumberFormat="1" applyFont="1" applyBorder="1" applyAlignment="1">
      <alignment horizontal="right" vertical="center" wrapText="1"/>
    </xf>
    <xf numFmtId="168" fontId="39" fillId="16" borderId="18" xfId="0" applyNumberFormat="1" applyFont="1" applyFill="1" applyBorder="1" applyAlignment="1">
      <alignment horizontal="right" vertical="center" wrapText="1"/>
    </xf>
    <xf numFmtId="168" fontId="33" fillId="0" borderId="0" xfId="0" applyNumberFormat="1" applyFont="1" applyAlignment="1">
      <alignment vertical="top" wrapText="1"/>
    </xf>
    <xf numFmtId="169" fontId="39" fillId="0" borderId="18" xfId="0" applyNumberFormat="1" applyFont="1" applyBorder="1" applyAlignment="1">
      <alignment horizontal="right" vertical="center" wrapText="1"/>
    </xf>
    <xf numFmtId="169" fontId="39" fillId="16" borderId="18" xfId="0" applyNumberFormat="1" applyFont="1" applyFill="1" applyBorder="1" applyAlignment="1">
      <alignment horizontal="right" vertical="center" wrapText="1"/>
    </xf>
    <xf numFmtId="0" fontId="34" fillId="20" borderId="18" xfId="0" applyFont="1" applyFill="1" applyBorder="1" applyAlignment="1">
      <alignment horizontal="left" vertical="center" wrapText="1"/>
    </xf>
    <xf numFmtId="0" fontId="24" fillId="0" borderId="0" xfId="0" applyFont="1" applyAlignment="1">
      <alignment horizontal="center" vertical="center" wrapText="1"/>
    </xf>
    <xf numFmtId="165" fontId="29" fillId="0" borderId="0" xfId="0" applyNumberFormat="1" applyFont="1" applyAlignment="1">
      <alignment horizontal="center" vertical="center"/>
    </xf>
    <xf numFmtId="0" fontId="29" fillId="0" borderId="0" xfId="0" applyFont="1" applyAlignment="1">
      <alignment horizontal="center" vertical="center"/>
    </xf>
    <xf numFmtId="0" fontId="28" fillId="16" borderId="0" xfId="0" applyFont="1" applyFill="1" applyAlignment="1">
      <alignment horizontal="center" vertical="center"/>
    </xf>
    <xf numFmtId="165" fontId="29" fillId="16" borderId="0" xfId="0" applyNumberFormat="1" applyFont="1" applyFill="1" applyAlignment="1">
      <alignment horizontal="center" vertical="center"/>
    </xf>
    <xf numFmtId="0" fontId="29" fillId="16" borderId="0" xfId="0" applyFont="1" applyFill="1" applyAlignment="1">
      <alignment horizontal="center" vertical="center"/>
    </xf>
    <xf numFmtId="0" fontId="28" fillId="0" borderId="0" xfId="0" applyFont="1" applyAlignment="1">
      <alignment horizontal="center" vertical="center"/>
    </xf>
    <xf numFmtId="0" fontId="27" fillId="2" borderId="0" xfId="0" applyFont="1" applyFill="1" applyAlignment="1">
      <alignment horizontal="center" vertical="center" wrapText="1"/>
    </xf>
    <xf numFmtId="0" fontId="4" fillId="4" borderId="0" xfId="0" applyFont="1" applyFill="1" applyAlignment="1">
      <alignment horizontal="center" vertical="center"/>
    </xf>
    <xf numFmtId="0" fontId="25" fillId="0" borderId="0" xfId="0" applyFont="1" applyAlignment="1">
      <alignment horizontal="center" vertical="center"/>
    </xf>
    <xf numFmtId="0" fontId="26" fillId="0" borderId="0" xfId="0" applyFont="1" applyAlignment="1">
      <alignment horizontal="center" vertical="center"/>
    </xf>
    <xf numFmtId="0" fontId="23" fillId="0" borderId="0" xfId="0" applyFont="1" applyAlignment="1">
      <alignment horizontal="center" vertical="center"/>
    </xf>
    <xf numFmtId="0" fontId="4" fillId="2" borderId="0" xfId="0" applyFont="1" applyFill="1" applyAlignment="1">
      <alignment horizontal="center" vertical="center"/>
    </xf>
    <xf numFmtId="0" fontId="17" fillId="2" borderId="0" xfId="0" applyFont="1" applyFill="1" applyAlignment="1">
      <alignment horizontal="left" vertical="center"/>
    </xf>
    <xf numFmtId="0" fontId="18" fillId="3" borderId="0" xfId="0" applyFont="1" applyFill="1" applyAlignment="1">
      <alignment horizontal="center" vertical="center"/>
    </xf>
    <xf numFmtId="164" fontId="19" fillId="0" borderId="9" xfId="0" applyNumberFormat="1" applyFont="1" applyBorder="1" applyAlignment="1">
      <alignment horizontal="center" vertical="center"/>
    </xf>
    <xf numFmtId="165" fontId="20" fillId="0" borderId="10" xfId="0" applyNumberFormat="1" applyFont="1" applyBorder="1" applyAlignment="1">
      <alignment horizontal="center" vertical="center"/>
    </xf>
    <xf numFmtId="166" fontId="21" fillId="0" borderId="11" xfId="0" applyNumberFormat="1" applyFont="1" applyBorder="1" applyAlignment="1">
      <alignment horizontal="center" vertical="center"/>
    </xf>
    <xf numFmtId="164" fontId="22" fillId="0" borderId="12" xfId="0" applyNumberFormat="1" applyFont="1" applyBorder="1" applyAlignment="1">
      <alignment horizontal="center" vertical="center"/>
    </xf>
    <xf numFmtId="0" fontId="14" fillId="13" borderId="6" xfId="0" applyFont="1" applyFill="1" applyBorder="1" applyAlignment="1">
      <alignment horizontal="center" vertical="center" wrapText="1"/>
    </xf>
    <xf numFmtId="0" fontId="15" fillId="14" borderId="7" xfId="0" applyFont="1" applyFill="1" applyBorder="1" applyAlignment="1">
      <alignment horizontal="center" vertical="center"/>
    </xf>
    <xf numFmtId="0" fontId="16" fillId="15" borderId="0" xfId="0" applyFont="1" applyFill="1" applyAlignment="1">
      <alignment horizontal="center" vertical="center"/>
    </xf>
    <xf numFmtId="0" fontId="13" fillId="9" borderId="1" xfId="0" applyFont="1" applyFill="1" applyBorder="1" applyAlignment="1">
      <alignment horizontal="center" vertical="center" wrapText="1"/>
    </xf>
    <xf numFmtId="0" fontId="13" fillId="10" borderId="2"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13" fillId="12" borderId="5" xfId="0" applyFont="1" applyFill="1" applyBorder="1" applyAlignment="1">
      <alignment horizontal="center" vertical="center" wrapText="1"/>
    </xf>
    <xf numFmtId="0" fontId="12" fillId="4" borderId="0" xfId="0" applyFont="1" applyFill="1" applyAlignment="1">
      <alignment horizontal="center" vertical="center"/>
    </xf>
    <xf numFmtId="0" fontId="12" fillId="6" borderId="0" xfId="0" applyFont="1" applyFill="1" applyAlignment="1">
      <alignment horizontal="center" vertical="center"/>
    </xf>
    <xf numFmtId="0" fontId="12" fillId="7" borderId="0" xfId="0" applyFont="1" applyFill="1" applyAlignment="1">
      <alignment horizontal="center" vertical="center"/>
    </xf>
    <xf numFmtId="0" fontId="12" fillId="8" borderId="0" xfId="0" applyFont="1" applyFill="1" applyAlignment="1">
      <alignment horizontal="center" vertical="center"/>
    </xf>
    <xf numFmtId="0" fontId="2" fillId="2" borderId="0" xfId="0" applyFont="1" applyFill="1" applyAlignment="1">
      <alignment horizontal="center" vertical="center"/>
    </xf>
    <xf numFmtId="0" fontId="3" fillId="3" borderId="0" xfId="0" applyFont="1" applyFill="1" applyAlignment="1">
      <alignment horizontal="center" vertical="center"/>
    </xf>
    <xf numFmtId="0" fontId="7"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30" fillId="2" borderId="15" xfId="0" applyFont="1" applyFill="1" applyBorder="1" applyAlignment="1">
      <alignment horizontal="left" vertical="center" wrapText="1"/>
    </xf>
    <xf numFmtId="0" fontId="31" fillId="3" borderId="0" xfId="0" applyFont="1" applyFill="1" applyAlignment="1">
      <alignment horizontal="left" vertical="center" wrapText="1"/>
    </xf>
    <xf numFmtId="0" fontId="34" fillId="4" borderId="0" xfId="0" applyFont="1" applyFill="1" applyAlignment="1">
      <alignment horizontal="left" vertical="center"/>
    </xf>
    <xf numFmtId="0" fontId="4" fillId="15" borderId="20" xfId="0" applyFont="1" applyFill="1" applyBorder="1" applyAlignment="1">
      <alignment horizontal="left" vertical="center"/>
    </xf>
    <xf numFmtId="0" fontId="42" fillId="22" borderId="22" xfId="0" applyFont="1" applyFill="1" applyBorder="1" applyAlignment="1">
      <alignment vertical="top" wrapText="1"/>
    </xf>
    <xf numFmtId="0" fontId="4" fillId="2" borderId="22" xfId="0" applyFont="1" applyFill="1" applyBorder="1" applyAlignment="1">
      <alignment vertical="center" wrapText="1"/>
    </xf>
    <xf numFmtId="0" fontId="42" fillId="0" borderId="0" xfId="0" applyFont="1" applyAlignment="1">
      <alignment vertical="top" wrapText="1"/>
    </xf>
    <xf numFmtId="0" fontId="33" fillId="0" borderId="18" xfId="0" applyFont="1" applyBorder="1" applyAlignment="1">
      <alignment horizontal="left" vertical="center" wrapText="1"/>
    </xf>
    <xf numFmtId="0" fontId="34" fillId="4" borderId="18" xfId="0" applyFont="1" applyFill="1" applyBorder="1" applyAlignment="1">
      <alignment horizontal="left" vertical="center" wrapText="1"/>
    </xf>
    <xf numFmtId="0" fontId="34" fillId="20" borderId="18" xfId="0" applyFont="1" applyFill="1" applyBorder="1" applyAlignment="1">
      <alignment horizontal="left" vertical="center" wrapText="1"/>
    </xf>
    <xf numFmtId="0" fontId="34" fillId="17" borderId="18" xfId="0" applyFont="1" applyFill="1" applyBorder="1" applyAlignment="1">
      <alignment horizontal="left" vertical="center" wrapText="1"/>
    </xf>
    <xf numFmtId="0" fontId="16" fillId="2" borderId="21" xfId="0" applyFont="1" applyFill="1" applyBorder="1" applyAlignment="1">
      <alignment horizontal="center" vertical="center" wrapText="1"/>
    </xf>
    <xf numFmtId="0" fontId="4" fillId="2" borderId="0" xfId="0" applyFont="1" applyFill="1" applyAlignment="1">
      <alignment horizontal="center" vertical="center" wrapText="1"/>
    </xf>
    <xf numFmtId="0" fontId="30" fillId="2" borderId="0" xfId="0" applyFont="1" applyFill="1" applyAlignment="1">
      <alignment horizontal="left" vertical="center" wrapText="1"/>
    </xf>
    <xf numFmtId="0" fontId="34" fillId="4" borderId="0" xfId="0" applyFont="1" applyFill="1" applyAlignment="1">
      <alignment horizontal="left" vertical="center" wrapText="1"/>
    </xf>
    <xf numFmtId="0" fontId="31" fillId="17" borderId="0" xfId="0" applyFont="1" applyFill="1" applyAlignment="1">
      <alignment horizontal="center" vertical="center" wrapText="1"/>
    </xf>
    <xf numFmtId="0" fontId="46" fillId="23" borderId="8" xfId="0" applyFont="1" applyFill="1" applyBorder="1" applyAlignment="1">
      <alignment horizontal="left" vertical="center" wrapText="1"/>
    </xf>
  </cellXfs>
  <cellStyles count="5">
    <cellStyle name="Normal" xfId="0" builtinId="0"/>
    <cellStyle name="Normal 1" xfId="1" xr:uid="{00000000-0005-0000-0000-000006000000}"/>
    <cellStyle name="Normal 2" xfId="2" xr:uid="{00000000-0005-0000-0000-000007000000}"/>
    <cellStyle name="Normal 3" xfId="3" xr:uid="{00000000-0005-0000-0000-000008000000}"/>
    <cellStyle name="Normal 4" xfId="4" xr:uid="{00000000-0005-0000-0000-000009000000}"/>
  </cellStyles>
  <dxfs count="0"/>
  <tableStyles count="0" defaultTableStyle="TableStyleMedium2" defaultPivotStyle="PivotStyleLight16"/>
  <colors>
    <indexedColors>
      <rgbColor rgb="FF000000"/>
      <rgbColor rgb="FFFFFFFF"/>
      <rgbColor rgb="FFC00000"/>
      <rgbColor rgb="FFF2F2F2"/>
      <rgbColor rgb="FF0000FF"/>
      <rgbColor rgb="FFFFFF00"/>
      <rgbColor rgb="FFFF00FF"/>
      <rgbColor rgb="FFF2F5F9"/>
      <rgbColor rgb="FF800000"/>
      <rgbColor rgb="FF2F5597"/>
      <rgbColor rgb="FF000080"/>
      <rgbColor rgb="FF7F6000"/>
      <rgbColor rgb="FF800080"/>
      <rgbColor rgb="FF0F6B78"/>
      <rgbColor rgb="FFBFBFBF"/>
      <rgbColor rgb="FF7F7F7F"/>
      <rgbColor rgb="FFE8EEF7"/>
      <rgbColor rgb="FF7030A0"/>
      <rgbColor rgb="FFFFF8E1"/>
      <rgbColor rgb="FFD9EAF7"/>
      <rgbColor rgb="FF660066"/>
      <rgbColor rgb="FFBF8F00"/>
      <rgbColor rgb="FF2F75B5"/>
      <rgbColor rgb="FFB4C7E7"/>
      <rgbColor rgb="FF000080"/>
      <rgbColor rgb="FFFF00FF"/>
      <rgbColor rgb="FFFFF4D6"/>
      <rgbColor rgb="FFF2F4F7"/>
      <rgbColor rgb="FF800080"/>
      <rgbColor rgb="FF800000"/>
      <rgbColor rgb="FF1F6E43"/>
      <rgbColor rgb="FF0000FF"/>
      <rgbColor rgb="FF00C2E8"/>
      <rgbColor rgb="FFEAF2F8"/>
      <rgbColor rgb="FFE2F0D9"/>
      <rgbColor rgb="FFFFF2CC"/>
      <rgbColor rgb="FFB3B3B3"/>
      <rgbColor rgb="FFFCECE3"/>
      <rgbColor rgb="FFD9E2F3"/>
      <rgbColor rgb="FFD9D9D9"/>
      <rgbColor rgb="FF2E75B6"/>
      <rgbColor rgb="FFEDF4E8"/>
      <rgbColor rgb="FFD6B656"/>
      <rgbColor rgb="FFE5B849"/>
      <rgbColor rgb="FFBF9000"/>
      <rgbColor rgb="FFC65911"/>
      <rgbColor rgb="FF6B7280"/>
      <rgbColor rgb="FFA6A6A6"/>
      <rgbColor rgb="FF17365D"/>
      <rgbColor rgb="FF548235"/>
      <rgbColor rgb="FF163A5F"/>
      <rgbColor rgb="FF1F4E78"/>
      <rgbColor rgb="FF993300"/>
      <rgbColor rgb="FF595959"/>
      <rgbColor rgb="FF1F3864"/>
      <rgbColor rgb="FF203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lang="fr-SN" sz="1800" b="1" strike="noStrike" spc="-1">
                <a:solidFill>
                  <a:srgbClr val="000000"/>
                </a:solidFill>
                <a:latin typeface="Calibri"/>
                <a:ea typeface="Calibri"/>
              </a:rPr>
              <a:t>Budget national total, 2016–2030 (districts + DRS)</a:t>
            </a:r>
          </a:p>
        </c:rich>
      </c:tx>
      <c:overlay val="0"/>
      <c:spPr>
        <a:noFill/>
        <a:ln w="0">
          <a:noFill/>
        </a:ln>
      </c:spPr>
    </c:title>
    <c:autoTitleDeleted val="0"/>
    <c:plotArea>
      <c:layout/>
      <c:lineChart>
        <c:grouping val="standard"/>
        <c:varyColors val="0"/>
        <c:ser>
          <c:idx val="0"/>
          <c:order val="0"/>
          <c:tx>
            <c:v>Budget total (districts + DRS)</c:v>
          </c:tx>
          <c:spPr>
            <a:ln w="25920">
              <a:solidFill>
                <a:srgbClr val="1F3864"/>
              </a:solidFill>
              <a:round/>
            </a:ln>
          </c:spPr>
          <c:marker>
            <c:symbol val="none"/>
          </c:marker>
          <c:dLbls>
            <c:spPr>
              <a:noFill/>
              <a:ln>
                <a:noFill/>
              </a:ln>
              <a:effectLst/>
            </c:spPr>
            <c:txPr>
              <a:bodyPr wrap="square"/>
              <a:lstStyle/>
              <a:p>
                <a:pPr>
                  <a:defRPr sz="1000" b="0" strike="noStrike" spc="-1">
                    <a:solidFill>
                      <a:srgbClr val="000000"/>
                    </a:solidFill>
                    <a:latin typeface="Arial"/>
                    <a:ea typeface="Arial"/>
                  </a:defRPr>
                </a:pPr>
                <a:endParaRPr lang="fr-F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strRef>
              <c:f>Synthese_Budgets_2016_2027!$D$8:$R$8</c:f>
              <c:strCache>
                <c:ptCount val="15"/>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strCache>
            </c:strRef>
          </c:cat>
          <c:val>
            <c:numRef>
              <c:f>Synthese_Budgets_2016_2027!$D$95:$R$95</c:f>
              <c:numCache>
                <c:formatCode>#\ ##0" FCFA";\(#\ ##0") FCFA";\–</c:formatCode>
                <c:ptCount val="15"/>
                <c:pt idx="0">
                  <c:v>1832784000</c:v>
                </c:pt>
                <c:pt idx="1">
                  <c:v>1776322000</c:v>
                </c:pt>
                <c:pt idx="2">
                  <c:v>1682833000</c:v>
                </c:pt>
                <c:pt idx="3">
                  <c:v>1736683656</c:v>
                </c:pt>
                <c:pt idx="4">
                  <c:v>1792257532.9920006</c:v>
                </c:pt>
                <c:pt idx="5">
                  <c:v>1849609774.0477445</c:v>
                </c:pt>
                <c:pt idx="6">
                  <c:v>1908797286.8172724</c:v>
                </c:pt>
                <c:pt idx="7">
                  <c:v>1969878799.9954243</c:v>
                </c:pt>
                <c:pt idx="8">
                  <c:v>2032914921.5952773</c:v>
                </c:pt>
                <c:pt idx="9">
                  <c:v>2097968199.0863273</c:v>
                </c:pt>
                <c:pt idx="10">
                  <c:v>2165103181.4570899</c:v>
                </c:pt>
                <c:pt idx="11">
                  <c:v>2234386483.2637181</c:v>
                </c:pt>
                <c:pt idx="12">
                  <c:v>2305886850.7281561</c:v>
                </c:pt>
                <c:pt idx="13">
                  <c:v>2379675229.9514561</c:v>
                </c:pt>
                <c:pt idx="14">
                  <c:v>2455824837.3099031</c:v>
                </c:pt>
              </c:numCache>
            </c:numRef>
          </c:val>
          <c:smooth val="0"/>
          <c:extLst>
            <c:ext xmlns:c16="http://schemas.microsoft.com/office/drawing/2014/chart" uri="{C3380CC4-5D6E-409C-BE32-E72D297353CC}">
              <c16:uniqueId val="{00000000-73A4-4D5F-A023-71CA3A76207E}"/>
            </c:ext>
          </c:extLst>
        </c:ser>
        <c:dLbls>
          <c:showLegendKey val="0"/>
          <c:showVal val="0"/>
          <c:showCatName val="0"/>
          <c:showSerName val="0"/>
          <c:showPercent val="0"/>
          <c:showBubbleSize val="0"/>
        </c:dLbls>
        <c:hiLowLines>
          <c:spPr>
            <a:ln w="0">
              <a:noFill/>
            </a:ln>
          </c:spPr>
        </c:hiLowLines>
        <c:smooth val="0"/>
        <c:axId val="17655279"/>
        <c:axId val="45637548"/>
      </c:lineChart>
      <c:catAx>
        <c:axId val="17655279"/>
        <c:scaling>
          <c:orientation val="minMax"/>
        </c:scaling>
        <c:delete val="0"/>
        <c:axPos val="b"/>
        <c:title>
          <c:tx>
            <c:rich>
              <a:bodyPr rot="0"/>
              <a:lstStyle/>
              <a:p>
                <a:pPr>
                  <a:defRPr sz="1000" b="1" strike="noStrike" spc="-1">
                    <a:solidFill>
                      <a:srgbClr val="000000"/>
                    </a:solidFill>
                    <a:latin typeface="Calibri"/>
                    <a:ea typeface="Calibri"/>
                  </a:defRPr>
                </a:pPr>
                <a:r>
                  <a:rPr lang="fr-SN" sz="1000" b="1" strike="noStrike" spc="-1">
                    <a:solidFill>
                      <a:srgbClr val="000000"/>
                    </a:solidFill>
                    <a:latin typeface="Calibri"/>
                    <a:ea typeface="Calibri"/>
                  </a:rPr>
                  <a:t>Année</a:t>
                </a:r>
              </a:p>
            </c:rich>
          </c:tx>
          <c:overlay val="0"/>
          <c:spPr>
            <a:noFill/>
            <a:ln w="0">
              <a:noFill/>
            </a:ln>
          </c:spPr>
        </c:title>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45637548"/>
        <c:crosses val="autoZero"/>
        <c:auto val="1"/>
        <c:lblAlgn val="ctr"/>
        <c:lblOffset val="100"/>
        <c:noMultiLvlLbl val="0"/>
      </c:catAx>
      <c:valAx>
        <c:axId val="45637548"/>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ea typeface="Calibri"/>
                  </a:defRPr>
                </a:pPr>
                <a:r>
                  <a:rPr lang="fr-SN" sz="1000" b="1" strike="noStrike" spc="-1">
                    <a:solidFill>
                      <a:srgbClr val="000000"/>
                    </a:solidFill>
                    <a:latin typeface="Calibri"/>
                    <a:ea typeface="Calibri"/>
                  </a:rPr>
                  <a:t>FCFA</a:t>
                </a:r>
              </a:p>
            </c:rich>
          </c:tx>
          <c:overlay val="0"/>
          <c:spPr>
            <a:noFill/>
            <a:ln w="0">
              <a:noFill/>
            </a:ln>
          </c:spPr>
        </c:title>
        <c:numFmt formatCode="#,##0&quot; FCFA&quot;;\(#,##0&quot;)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17655279"/>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lang="fr-SN" sz="1800" b="1" strike="noStrike" spc="-1">
                <a:solidFill>
                  <a:srgbClr val="000000"/>
                </a:solidFill>
                <a:latin typeface="Calibri"/>
                <a:ea typeface="Calibri"/>
              </a:rPr>
              <a:t>5 districts ayant les allocations simulées les plus élevées en 2030</a:t>
            </a:r>
          </a:p>
        </c:rich>
      </c:tx>
      <c:overlay val="0"/>
      <c:spPr>
        <a:noFill/>
        <a:ln w="0">
          <a:noFill/>
        </a:ln>
      </c:spPr>
    </c:title>
    <c:autoTitleDeleted val="0"/>
    <c:plotArea>
      <c:layout/>
      <c:barChart>
        <c:barDir val="bar"/>
        <c:grouping val="clustered"/>
        <c:varyColors val="0"/>
        <c:ser>
          <c:idx val="0"/>
          <c:order val="0"/>
          <c:tx>
            <c:strRef>
              <c:f>Resume_Executif!$C$31</c:f>
              <c:strCache>
                <c:ptCount val="1"/>
                <c:pt idx="0">
                  <c:v>Allocation</c:v>
                </c:pt>
              </c:strCache>
            </c:strRef>
          </c:tx>
          <c:spPr>
            <a:solidFill>
              <a:srgbClr val="BF9000"/>
            </a:solidFill>
            <a:ln w="0">
              <a:solidFill>
                <a:srgbClr val="000000"/>
              </a:solidFill>
            </a:ln>
          </c:spPr>
          <c:invertIfNegative val="0"/>
          <c:dLbls>
            <c:spPr>
              <a:noFill/>
              <a:ln>
                <a:noFill/>
              </a:ln>
              <a:effectLst/>
            </c:spPr>
            <c:txPr>
              <a:bodyPr wrap="square"/>
              <a:lstStyle/>
              <a:p>
                <a:pPr>
                  <a:defRPr sz="1000" b="0" strike="noStrike" spc="-1">
                    <a:solidFill>
                      <a:srgbClr val="000000"/>
                    </a:solidFill>
                    <a:latin typeface="Arial"/>
                    <a:ea typeface="Arial"/>
                  </a:defRPr>
                </a:pPr>
                <a:endParaRPr lang="fr-FR"/>
              </a:p>
            </c:txPr>
            <c:dLblPos val="outEnd"/>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strRef>
              <c:f>Resume_Executif!$B$32:$B$41</c:f>
              <c:strCache>
                <c:ptCount val="10"/>
                <c:pt idx="0">
                  <c:v>Bambey</c:v>
                </c:pt>
                <c:pt idx="1">
                  <c:v>Diourbel</c:v>
                </c:pt>
                <c:pt idx="2">
                  <c:v>Thiès</c:v>
                </c:pt>
                <c:pt idx="3">
                  <c:v>Mbour</c:v>
                </c:pt>
                <c:pt idx="4">
                  <c:v>Nioro</c:v>
                </c:pt>
                <c:pt idx="5">
                  <c:v>Nord</c:v>
                </c:pt>
                <c:pt idx="6">
                  <c:v>Kasnack</c:v>
                </c:pt>
                <c:pt idx="7">
                  <c:v>Tamba</c:v>
                </c:pt>
                <c:pt idx="8">
                  <c:v>Mbacké</c:v>
                </c:pt>
                <c:pt idx="9">
                  <c:v>Vélingara</c:v>
                </c:pt>
              </c:strCache>
            </c:strRef>
          </c:cat>
          <c:val>
            <c:numRef>
              <c:f>Resume_Executif!$C$32:$C$41</c:f>
              <c:numCache>
                <c:formatCode>#\ ##0" FCFA";\(#\ ##0") FCFA";\–</c:formatCode>
                <c:ptCount val="10"/>
                <c:pt idx="0">
                  <c:v>53682989.65228942</c:v>
                </c:pt>
                <c:pt idx="1">
                  <c:v>49513554.563256562</c:v>
                </c:pt>
                <c:pt idx="2">
                  <c:v>40458428.087060682</c:v>
                </c:pt>
                <c:pt idx="3">
                  <c:v>37298891.746254675</c:v>
                </c:pt>
                <c:pt idx="4">
                  <c:v>37175753.457585081</c:v>
                </c:pt>
                <c:pt idx="5">
                  <c:v>35527073.296822853</c:v>
                </c:pt>
                <c:pt idx="6">
                  <c:v>34248296.364948139</c:v>
                </c:pt>
                <c:pt idx="7">
                  <c:v>33908347.286862358</c:v>
                </c:pt>
                <c:pt idx="8">
                  <c:v>33791155.271377668</c:v>
                </c:pt>
                <c:pt idx="9">
                  <c:v>33115736.934784822</c:v>
                </c:pt>
              </c:numCache>
            </c:numRef>
          </c:val>
          <c:extLst>
            <c:ext xmlns:c16="http://schemas.microsoft.com/office/drawing/2014/chart" uri="{C3380CC4-5D6E-409C-BE32-E72D297353CC}">
              <c16:uniqueId val="{00000000-96CA-40EA-A71F-ADFA6FBDCF13}"/>
            </c:ext>
          </c:extLst>
        </c:ser>
        <c:dLbls>
          <c:showLegendKey val="0"/>
          <c:showVal val="0"/>
          <c:showCatName val="0"/>
          <c:showSerName val="0"/>
          <c:showPercent val="0"/>
          <c:showBubbleSize val="0"/>
        </c:dLbls>
        <c:gapWidth val="150"/>
        <c:axId val="89036183"/>
        <c:axId val="51705562"/>
      </c:barChart>
      <c:catAx>
        <c:axId val="89036183"/>
        <c:scaling>
          <c:orientation val="maxMin"/>
        </c:scaling>
        <c:delete val="0"/>
        <c:axPos val="l"/>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51705562"/>
        <c:crosses val="autoZero"/>
        <c:auto val="1"/>
        <c:lblAlgn val="ctr"/>
        <c:lblOffset val="100"/>
        <c:noMultiLvlLbl val="0"/>
      </c:catAx>
      <c:valAx>
        <c:axId val="51705562"/>
        <c:scaling>
          <c:orientation val="minMax"/>
        </c:scaling>
        <c:delete val="0"/>
        <c:axPos val="t"/>
        <c:numFmt formatCode="#,##0,,&quot; M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89036183"/>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lang="fr-SN" sz="1800" b="1" strike="noStrike" spc="-1">
                <a:solidFill>
                  <a:srgbClr val="000000"/>
                </a:solidFill>
                <a:latin typeface="Calibri"/>
                <a:ea typeface="Calibri"/>
              </a:rPr>
              <a:t>5 districts ayant les budgets simulés les plus faibles en 2030</a:t>
            </a:r>
          </a:p>
        </c:rich>
      </c:tx>
      <c:overlay val="0"/>
      <c:spPr>
        <a:noFill/>
        <a:ln w="0">
          <a:noFill/>
        </a:ln>
      </c:spPr>
    </c:title>
    <c:autoTitleDeleted val="0"/>
    <c:plotArea>
      <c:layout/>
      <c:barChart>
        <c:barDir val="bar"/>
        <c:grouping val="clustered"/>
        <c:varyColors val="0"/>
        <c:ser>
          <c:idx val="0"/>
          <c:order val="0"/>
          <c:tx>
            <c:strRef>
              <c:f>Resume_Executif!$G$31</c:f>
              <c:strCache>
                <c:ptCount val="1"/>
                <c:pt idx="0">
                  <c:v>Allocation</c:v>
                </c:pt>
              </c:strCache>
            </c:strRef>
          </c:tx>
          <c:spPr>
            <a:solidFill>
              <a:srgbClr val="C00000"/>
            </a:solidFill>
            <a:ln w="0">
              <a:solidFill>
                <a:srgbClr val="000000"/>
              </a:solidFill>
            </a:ln>
          </c:spPr>
          <c:invertIfNegative val="0"/>
          <c:dLbls>
            <c:spPr>
              <a:noFill/>
              <a:ln>
                <a:noFill/>
              </a:ln>
              <a:effectLst/>
            </c:spPr>
            <c:txPr>
              <a:bodyPr wrap="square"/>
              <a:lstStyle/>
              <a:p>
                <a:pPr>
                  <a:defRPr sz="1000" b="0" strike="noStrike" spc="-1">
                    <a:solidFill>
                      <a:srgbClr val="000000"/>
                    </a:solidFill>
                    <a:latin typeface="Arial"/>
                    <a:ea typeface="Arial"/>
                  </a:defRPr>
                </a:pPr>
                <a:endParaRPr lang="fr-FR"/>
              </a:p>
            </c:txPr>
            <c:dLblPos val="outEnd"/>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strRef>
              <c:f>Resume_Executif!$F$32:$F$41</c:f>
              <c:strCache>
                <c:ptCount val="10"/>
                <c:pt idx="0">
                  <c:v>Oussouye</c:v>
                </c:pt>
                <c:pt idx="1">
                  <c:v>Foundiougne</c:v>
                </c:pt>
                <c:pt idx="2">
                  <c:v>Salémata</c:v>
                </c:pt>
                <c:pt idx="3">
                  <c:v>Diouloulou</c:v>
                </c:pt>
                <c:pt idx="4">
                  <c:v>Diamniadio</c:v>
                </c:pt>
                <c:pt idx="5">
                  <c:v>Coky</c:v>
                </c:pt>
                <c:pt idx="6">
                  <c:v>Dioffior</c:v>
                </c:pt>
                <c:pt idx="7">
                  <c:v>Niakhar</c:v>
                </c:pt>
                <c:pt idx="8">
                  <c:v>Dagana</c:v>
                </c:pt>
                <c:pt idx="9">
                  <c:v>Sakal</c:v>
                </c:pt>
              </c:strCache>
            </c:strRef>
          </c:cat>
          <c:val>
            <c:numRef>
              <c:f>Resume_Executif!$G$32:$G$41</c:f>
              <c:numCache>
                <c:formatCode>#\ ##0" FCFA";\(#\ ##0") FCFA";\–</c:formatCode>
                <c:ptCount val="10"/>
                <c:pt idx="0">
                  <c:v>14209402.947342105</c:v>
                </c:pt>
                <c:pt idx="1">
                  <c:v>15393478.483651891</c:v>
                </c:pt>
                <c:pt idx="2">
                  <c:v>15831309.566229377</c:v>
                </c:pt>
                <c:pt idx="3">
                  <c:v>16056783.67092162</c:v>
                </c:pt>
                <c:pt idx="4">
                  <c:v>16422489.585606553</c:v>
                </c:pt>
                <c:pt idx="5">
                  <c:v>16522193.064335963</c:v>
                </c:pt>
                <c:pt idx="6">
                  <c:v>16880329.957354601</c:v>
                </c:pt>
                <c:pt idx="7">
                  <c:v>16951134.677491747</c:v>
                </c:pt>
                <c:pt idx="8">
                  <c:v>16952077.658867333</c:v>
                </c:pt>
                <c:pt idx="9">
                  <c:v>17034053.023851894</c:v>
                </c:pt>
              </c:numCache>
            </c:numRef>
          </c:val>
          <c:extLst>
            <c:ext xmlns:c16="http://schemas.microsoft.com/office/drawing/2014/chart" uri="{C3380CC4-5D6E-409C-BE32-E72D297353CC}">
              <c16:uniqueId val="{00000000-14C5-416C-830B-5D777BB48BFA}"/>
            </c:ext>
          </c:extLst>
        </c:ser>
        <c:dLbls>
          <c:showLegendKey val="0"/>
          <c:showVal val="0"/>
          <c:showCatName val="0"/>
          <c:showSerName val="0"/>
          <c:showPercent val="0"/>
          <c:showBubbleSize val="0"/>
        </c:dLbls>
        <c:gapWidth val="150"/>
        <c:axId val="77562734"/>
        <c:axId val="67281875"/>
      </c:barChart>
      <c:catAx>
        <c:axId val="77562734"/>
        <c:scaling>
          <c:orientation val="maxMin"/>
        </c:scaling>
        <c:delete val="0"/>
        <c:axPos val="l"/>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67281875"/>
        <c:crosses val="autoZero"/>
        <c:auto val="1"/>
        <c:lblAlgn val="ctr"/>
        <c:lblOffset val="100"/>
        <c:noMultiLvlLbl val="0"/>
      </c:catAx>
      <c:valAx>
        <c:axId val="67281875"/>
        <c:scaling>
          <c:orientation val="minMax"/>
        </c:scaling>
        <c:delete val="0"/>
        <c:axPos val="t"/>
        <c:numFmt formatCode="#,##0,,&quot; M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77562734"/>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sz="1800" b="1" strike="noStrike" spc="-1">
                <a:solidFill>
                  <a:srgbClr val="000000"/>
                </a:solidFill>
                <a:latin typeface="Calibri"/>
                <a:ea typeface="Calibri"/>
              </a:rPr>
              <a:t>National budget trajectory 2016-2030</a:t>
            </a:r>
          </a:p>
        </c:rich>
      </c:tx>
      <c:overlay val="0"/>
      <c:spPr>
        <a:noFill/>
        <a:ln w="0">
          <a:noFill/>
        </a:ln>
      </c:spPr>
    </c:title>
    <c:autoTitleDeleted val="0"/>
    <c:plotArea>
      <c:layout/>
      <c:lineChart>
        <c:grouping val="standard"/>
        <c:varyColors val="0"/>
        <c:ser>
          <c:idx val="0"/>
          <c:order val="0"/>
          <c:tx>
            <c:strRef>
              <c:f>SIM_Tableau_Bord!$C$11</c:f>
              <c:strCache>
                <c:ptCount val="1"/>
                <c:pt idx="0">
                  <c:v>Envelope</c:v>
                </c:pt>
              </c:strCache>
            </c:strRef>
          </c:tx>
          <c:spPr>
            <a:ln w="24840">
              <a:solidFill>
                <a:srgbClr val="1F3864"/>
              </a:solidFill>
              <a:round/>
            </a:ln>
          </c:spPr>
          <c:marker>
            <c:symbol val="none"/>
          </c:marker>
          <c:dLbls>
            <c:spPr>
              <a:noFill/>
              <a:ln>
                <a:noFill/>
              </a:ln>
              <a:effectLst/>
            </c:spPr>
            <c:txPr>
              <a:bodyPr wrap="square"/>
              <a:lstStyle/>
              <a:p>
                <a:pPr>
                  <a:defRPr sz="1000" b="0" strike="noStrike" spc="-1">
                    <a:solidFill>
                      <a:srgbClr val="000000"/>
                    </a:solidFill>
                    <a:latin typeface="Arial"/>
                    <a:ea typeface="Arial"/>
                  </a:defRPr>
                </a:pPr>
                <a:endParaRPr lang="fr-F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numRef>
              <c:f>SIM_Tableau_Bord!$A$12:$A$26</c:f>
              <c:numCache>
                <c:formatCode>General</c:formatCode>
                <c:ptCount val="15"/>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numCache>
            </c:numRef>
          </c:cat>
          <c:val>
            <c:numRef>
              <c:f>SIM_Tableau_Bord!$C$12:$C$26</c:f>
              <c:numCache>
                <c:formatCode>#\ ##0" FCFA";\(#\ ##0") FCFA";\–</c:formatCode>
                <c:ptCount val="15"/>
                <c:pt idx="0">
                  <c:v>1295854000</c:v>
                </c:pt>
                <c:pt idx="1">
                  <c:v>1269170000</c:v>
                </c:pt>
                <c:pt idx="2">
                  <c:v>1190274000</c:v>
                </c:pt>
                <c:pt idx="3">
                  <c:v>1228362768</c:v>
                </c:pt>
                <c:pt idx="4">
                  <c:v>1267670376.5759995</c:v>
                </c:pt>
                <c:pt idx="5">
                  <c:v>1308235828.6264331</c:v>
                </c:pt>
                <c:pt idx="6">
                  <c:v>1350099375.1424766</c:v>
                </c:pt>
                <c:pt idx="7">
                  <c:v>1393302555.1470349</c:v>
                </c:pt>
                <c:pt idx="8">
                  <c:v>1437888236.9117429</c:v>
                </c:pt>
                <c:pt idx="9">
                  <c:v>1483900660.4929194</c:v>
                </c:pt>
                <c:pt idx="10">
                  <c:v>1531385481.6286922</c:v>
                </c:pt>
                <c:pt idx="11">
                  <c:v>1580389817.0408068</c:v>
                </c:pt>
                <c:pt idx="12">
                  <c:v>1630962291.1861148</c:v>
                </c:pt>
                <c:pt idx="13">
                  <c:v>1683153084.5040729</c:v>
                </c:pt>
                <c:pt idx="14">
                  <c:v>1737013983.2082028</c:v>
                </c:pt>
              </c:numCache>
            </c:numRef>
          </c:val>
          <c:smooth val="0"/>
          <c:extLst>
            <c:ext xmlns:c16="http://schemas.microsoft.com/office/drawing/2014/chart" uri="{C3380CC4-5D6E-409C-BE32-E72D297353CC}">
              <c16:uniqueId val="{00000000-DB37-4046-810C-F1DF52D40E52}"/>
            </c:ext>
          </c:extLst>
        </c:ser>
        <c:ser>
          <c:idx val="1"/>
          <c:order val="1"/>
          <c:tx>
            <c:strRef>
              <c:f>SIM_Tableau_Bord!$D$11</c:f>
              <c:strCache>
                <c:ptCount val="1"/>
                <c:pt idx="0">
                  <c:v>Allocation</c:v>
                </c:pt>
              </c:strCache>
            </c:strRef>
          </c:tx>
          <c:spPr>
            <a:ln w="24840">
              <a:solidFill>
                <a:srgbClr val="BF8F00"/>
              </a:solidFill>
              <a:round/>
            </a:ln>
          </c:spPr>
          <c:marker>
            <c:symbol val="none"/>
          </c:marker>
          <c:dLbls>
            <c:spPr>
              <a:noFill/>
              <a:ln>
                <a:noFill/>
              </a:ln>
              <a:effectLst/>
            </c:spPr>
            <c:txPr>
              <a:bodyPr wrap="square"/>
              <a:lstStyle/>
              <a:p>
                <a:pPr>
                  <a:defRPr sz="1000" b="0" strike="noStrike" spc="-1">
                    <a:solidFill>
                      <a:srgbClr val="000000"/>
                    </a:solidFill>
                    <a:latin typeface="Arial"/>
                    <a:ea typeface="Arial"/>
                  </a:defRPr>
                </a:pPr>
                <a:endParaRPr lang="fr-F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numRef>
              <c:f>SIM_Tableau_Bord!$A$12:$A$26</c:f>
              <c:numCache>
                <c:formatCode>General</c:formatCode>
                <c:ptCount val="15"/>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numCache>
            </c:numRef>
          </c:cat>
          <c:val>
            <c:numRef>
              <c:f>SIM_Tableau_Bord!$D$12:$D$26</c:f>
              <c:numCache>
                <c:formatCode>#\ ##0" FCFA";\(#\ ##0") FCFA";\–</c:formatCode>
                <c:ptCount val="15"/>
                <c:pt idx="0">
                  <c:v>1295854000</c:v>
                </c:pt>
                <c:pt idx="1">
                  <c:v>1269170000</c:v>
                </c:pt>
                <c:pt idx="2">
                  <c:v>1190274000</c:v>
                </c:pt>
                <c:pt idx="3">
                  <c:v>1228362768</c:v>
                </c:pt>
                <c:pt idx="4">
                  <c:v>1267670376.5760007</c:v>
                </c:pt>
                <c:pt idx="5">
                  <c:v>1308235828.6264322</c:v>
                </c:pt>
                <c:pt idx="6">
                  <c:v>1350099375.142478</c:v>
                </c:pt>
                <c:pt idx="7">
                  <c:v>1393302555.1470366</c:v>
                </c:pt>
                <c:pt idx="8">
                  <c:v>1437888236.911742</c:v>
                </c:pt>
                <c:pt idx="9">
                  <c:v>1483900660.492918</c:v>
                </c:pt>
                <c:pt idx="10">
                  <c:v>1531385481.6286922</c:v>
                </c:pt>
                <c:pt idx="11">
                  <c:v>1580389817.0408099</c:v>
                </c:pt>
                <c:pt idx="12">
                  <c:v>1630962291.186116</c:v>
                </c:pt>
                <c:pt idx="13">
                  <c:v>1683153084.5040712</c:v>
                </c:pt>
                <c:pt idx="14">
                  <c:v>1737013983.2082019</c:v>
                </c:pt>
              </c:numCache>
            </c:numRef>
          </c:val>
          <c:smooth val="0"/>
          <c:extLst>
            <c:ext xmlns:c16="http://schemas.microsoft.com/office/drawing/2014/chart" uri="{C3380CC4-5D6E-409C-BE32-E72D297353CC}">
              <c16:uniqueId val="{00000001-DB37-4046-810C-F1DF52D40E52}"/>
            </c:ext>
          </c:extLst>
        </c:ser>
        <c:dLbls>
          <c:showLegendKey val="0"/>
          <c:showVal val="0"/>
          <c:showCatName val="0"/>
          <c:showSerName val="0"/>
          <c:showPercent val="0"/>
          <c:showBubbleSize val="0"/>
        </c:dLbls>
        <c:hiLowLines>
          <c:spPr>
            <a:ln w="0">
              <a:noFill/>
            </a:ln>
          </c:spPr>
        </c:hiLowLines>
        <c:smooth val="0"/>
        <c:axId val="95394444"/>
        <c:axId val="15171115"/>
      </c:lineChart>
      <c:catAx>
        <c:axId val="95394444"/>
        <c:scaling>
          <c:orientation val="minMax"/>
        </c:scaling>
        <c:delete val="0"/>
        <c:axPos val="b"/>
        <c:title>
          <c:tx>
            <c:rich>
              <a:bodyPr rot="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Année</a:t>
                </a:r>
              </a:p>
            </c:rich>
          </c:tx>
          <c:overlay val="0"/>
          <c:spPr>
            <a:noFill/>
            <a:ln w="0">
              <a:noFill/>
            </a:ln>
          </c:spPr>
        </c:title>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15171115"/>
        <c:crosses val="autoZero"/>
        <c:auto val="1"/>
        <c:lblAlgn val="ctr"/>
        <c:lblOffset val="100"/>
        <c:noMultiLvlLbl val="0"/>
      </c:catAx>
      <c:valAx>
        <c:axId val="15171115"/>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FCFA</a:t>
                </a:r>
              </a:p>
            </c:rich>
          </c:tx>
          <c:overlay val="0"/>
          <c:spPr>
            <a:noFill/>
            <a:ln w="0">
              <a:noFill/>
            </a:ln>
          </c:spPr>
        </c:title>
        <c:numFmt formatCode="#,##0&quot; FCFA&quot;;\(#,##0&quot;)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95394444"/>
        <c:crosses val="autoZero"/>
        <c:crossBetween val="between"/>
      </c:valAx>
      <c:spPr>
        <a:noFill/>
        <a:ln w="0">
          <a:noFill/>
        </a:ln>
      </c:spPr>
    </c:plotArea>
    <c:legend>
      <c:legendPos val="b"/>
      <c:overlay val="0"/>
      <c:spPr>
        <a:noFill/>
        <a:ln w="0">
          <a:noFill/>
        </a:ln>
      </c:spPr>
      <c:txPr>
        <a:bodyPr/>
        <a:lstStyle/>
        <a:p>
          <a:pPr>
            <a:defRPr sz="1000" b="0" strike="noStrike" spc="-1">
              <a:solidFill>
                <a:srgbClr val="000000"/>
              </a:solidFill>
              <a:latin typeface="Calibri"/>
              <a:ea typeface="Calibri"/>
            </a:defRPr>
          </a:pPr>
          <a:endParaRPr lang="fr-FR"/>
        </a:p>
      </c:txPr>
    </c:legend>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sz="1800" b="1" strike="noStrike" spc="-1">
                <a:solidFill>
                  <a:srgbClr val="000000"/>
                </a:solidFill>
                <a:latin typeface="Calibri"/>
                <a:ea typeface="Calibri"/>
              </a:rPr>
              <a:t>Average allocation per capita (FCFA/capita)</a:t>
            </a:r>
          </a:p>
        </c:rich>
      </c:tx>
      <c:overlay val="0"/>
      <c:spPr>
        <a:noFill/>
        <a:ln w="0">
          <a:noFill/>
        </a:ln>
      </c:spPr>
    </c:title>
    <c:autoTitleDeleted val="0"/>
    <c:plotArea>
      <c:layout/>
      <c:lineChart>
        <c:grouping val="standard"/>
        <c:varyColors val="0"/>
        <c:ser>
          <c:idx val="0"/>
          <c:order val="0"/>
          <c:tx>
            <c:strRef>
              <c:f>SIM_Tableau_Bord!$G$11</c:f>
              <c:strCache>
                <c:ptCount val="1"/>
                <c:pt idx="0">
                  <c:v>FCFA/capita</c:v>
                </c:pt>
              </c:strCache>
            </c:strRef>
          </c:tx>
          <c:spPr>
            <a:ln w="24840">
              <a:solidFill>
                <a:srgbClr val="2E75B6"/>
              </a:solidFill>
              <a:round/>
            </a:ln>
          </c:spPr>
          <c:marker>
            <c:symbol val="none"/>
          </c:marker>
          <c:dLbls>
            <c:spPr>
              <a:noFill/>
              <a:ln>
                <a:noFill/>
              </a:ln>
              <a:effectLst/>
            </c:spPr>
            <c:txPr>
              <a:bodyPr wrap="square"/>
              <a:lstStyle/>
              <a:p>
                <a:pPr>
                  <a:defRPr sz="1000" b="0" strike="noStrike" spc="-1">
                    <a:solidFill>
                      <a:srgbClr val="000000"/>
                    </a:solidFill>
                    <a:latin typeface="Arial"/>
                    <a:ea typeface="Arial"/>
                  </a:defRPr>
                </a:pPr>
                <a:endParaRPr lang="fr-F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numRef>
              <c:f>SIM_Tableau_Bord!$A$12:$A$26</c:f>
              <c:numCache>
                <c:formatCode>General</c:formatCode>
                <c:ptCount val="15"/>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numCache>
            </c:numRef>
          </c:cat>
          <c:val>
            <c:numRef>
              <c:f>SIM_Tableau_Bord!$G$12:$G$26</c:f>
              <c:numCache>
                <c:formatCode>#\ ##0" FCFA";\(#\ ##0") FCFA";\–</c:formatCode>
                <c:ptCount val="15"/>
                <c:pt idx="0">
                  <c:v>87.923582348909193</c:v>
                </c:pt>
                <c:pt idx="1">
                  <c:v>83.604927423252278</c:v>
                </c:pt>
                <c:pt idx="2">
                  <c:v>76.124034722933075</c:v>
                </c:pt>
                <c:pt idx="3">
                  <c:v>76.271848382589297</c:v>
                </c:pt>
                <c:pt idx="4">
                  <c:v>76.419949059060372</c:v>
                </c:pt>
                <c:pt idx="5">
                  <c:v>76.568337309660464</c:v>
                </c:pt>
                <c:pt idx="6">
                  <c:v>76.71701369278604</c:v>
                </c:pt>
                <c:pt idx="7">
                  <c:v>76.865978767917611</c:v>
                </c:pt>
                <c:pt idx="8">
                  <c:v>77.015233095622335</c:v>
                </c:pt>
                <c:pt idx="9">
                  <c:v>77.164777237555583</c:v>
                </c:pt>
                <c:pt idx="10">
                  <c:v>77.314611756463478</c:v>
                </c:pt>
                <c:pt idx="11">
                  <c:v>77.464737216184773</c:v>
                </c:pt>
                <c:pt idx="12">
                  <c:v>77.615154181653125</c:v>
                </c:pt>
                <c:pt idx="13">
                  <c:v>77.765863218898986</c:v>
                </c:pt>
                <c:pt idx="14">
                  <c:v>77.916864895052228</c:v>
                </c:pt>
              </c:numCache>
            </c:numRef>
          </c:val>
          <c:smooth val="1"/>
          <c:extLst>
            <c:ext xmlns:c16="http://schemas.microsoft.com/office/drawing/2014/chart" uri="{C3380CC4-5D6E-409C-BE32-E72D297353CC}">
              <c16:uniqueId val="{00000000-739F-4E0F-998D-16F64892F5C7}"/>
            </c:ext>
          </c:extLst>
        </c:ser>
        <c:dLbls>
          <c:showLegendKey val="0"/>
          <c:showVal val="0"/>
          <c:showCatName val="0"/>
          <c:showSerName val="0"/>
          <c:showPercent val="0"/>
          <c:showBubbleSize val="0"/>
        </c:dLbls>
        <c:hiLowLines>
          <c:spPr>
            <a:ln w="0">
              <a:noFill/>
            </a:ln>
          </c:spPr>
        </c:hiLowLines>
        <c:smooth val="0"/>
        <c:axId val="27976547"/>
        <c:axId val="45374167"/>
      </c:lineChart>
      <c:catAx>
        <c:axId val="27976547"/>
        <c:scaling>
          <c:orientation val="minMax"/>
        </c:scaling>
        <c:delete val="0"/>
        <c:axPos val="b"/>
        <c:title>
          <c:tx>
            <c:rich>
              <a:bodyPr rot="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Année</a:t>
                </a:r>
              </a:p>
            </c:rich>
          </c:tx>
          <c:overlay val="0"/>
          <c:spPr>
            <a:noFill/>
            <a:ln w="0">
              <a:noFill/>
            </a:ln>
          </c:spPr>
        </c:title>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45374167"/>
        <c:crosses val="autoZero"/>
        <c:auto val="1"/>
        <c:lblAlgn val="ctr"/>
        <c:lblOffset val="100"/>
        <c:noMultiLvlLbl val="0"/>
      </c:catAx>
      <c:valAx>
        <c:axId val="45374167"/>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FCFA / capita</a:t>
                </a:r>
              </a:p>
            </c:rich>
          </c:tx>
          <c:overlay val="0"/>
          <c:spPr>
            <a:noFill/>
            <a:ln w="0">
              <a:noFill/>
            </a:ln>
          </c:spPr>
        </c:title>
        <c:numFmt formatCode="#,##0&quot; FCFA&quot;;\(#,##0&quot;)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27976547"/>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sz="1800" b="1" strike="noStrike" spc="-1">
                <a:solidFill>
                  <a:srgbClr val="000000"/>
                </a:solidFill>
                <a:latin typeface="Calibri"/>
                <a:ea typeface="Calibri"/>
              </a:rPr>
              <a:t>Allocation of the selected district, 2016-2030</a:t>
            </a:r>
          </a:p>
        </c:rich>
      </c:tx>
      <c:overlay val="0"/>
      <c:spPr>
        <a:noFill/>
        <a:ln w="0">
          <a:noFill/>
        </a:ln>
      </c:spPr>
    </c:title>
    <c:autoTitleDeleted val="0"/>
    <c:plotArea>
      <c:layout/>
      <c:lineChart>
        <c:grouping val="standard"/>
        <c:varyColors val="0"/>
        <c:ser>
          <c:idx val="0"/>
          <c:order val="0"/>
          <c:tx>
            <c:strRef>
              <c:f>SIM_Resultats_DS!$E$7</c:f>
              <c:strCache>
                <c:ptCount val="1"/>
                <c:pt idx="0">
                  <c:v>Allocation</c:v>
                </c:pt>
              </c:strCache>
            </c:strRef>
          </c:tx>
          <c:spPr>
            <a:ln w="24840">
              <a:solidFill>
                <a:srgbClr val="1F3864"/>
              </a:solidFill>
              <a:round/>
            </a:ln>
          </c:spPr>
          <c:marker>
            <c:symbol val="none"/>
          </c:marker>
          <c:dLbls>
            <c:spPr>
              <a:noFill/>
              <a:ln>
                <a:noFill/>
              </a:ln>
              <a:effectLst/>
            </c:spPr>
            <c:txPr>
              <a:bodyPr wrap="square"/>
              <a:lstStyle/>
              <a:p>
                <a:pPr>
                  <a:defRPr sz="1000" b="0" strike="noStrike" spc="-1">
                    <a:solidFill>
                      <a:srgbClr val="000000"/>
                    </a:solidFill>
                    <a:latin typeface="Arial"/>
                    <a:ea typeface="Arial"/>
                  </a:defRPr>
                </a:pPr>
                <a:endParaRPr lang="fr-F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numRef>
              <c:f>SIM_Resultats_DS!$A$8:$A$22</c:f>
              <c:numCache>
                <c:formatCode>General</c:formatCode>
                <c:ptCount val="15"/>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numCache>
            </c:numRef>
          </c:cat>
          <c:val>
            <c:numRef>
              <c:f>SIM_Resultats_DS!$E$8:$E$22</c:f>
              <c:numCache>
                <c:formatCode>#\ ##0" FCFA";\(#\ ##0") FCFA";\–</c:formatCode>
                <c:ptCount val="15"/>
                <c:pt idx="0">
                  <c:v>20800000</c:v>
                </c:pt>
                <c:pt idx="1">
                  <c:v>19480000</c:v>
                </c:pt>
                <c:pt idx="2">
                  <c:v>18468000</c:v>
                </c:pt>
                <c:pt idx="3">
                  <c:v>19058976</c:v>
                </c:pt>
                <c:pt idx="4">
                  <c:v>19668863.232000008</c:v>
                </c:pt>
                <c:pt idx="5">
                  <c:v>20298266.855424002</c:v>
                </c:pt>
                <c:pt idx="6">
                  <c:v>20947811.39479756</c:v>
                </c:pt>
                <c:pt idx="7">
                  <c:v>21618141.359431088</c:v>
                </c:pt>
                <c:pt idx="8">
                  <c:v>22309921.882932883</c:v>
                </c:pt>
                <c:pt idx="9">
                  <c:v>23023839.383186743</c:v>
                </c:pt>
                <c:pt idx="10">
                  <c:v>24423390.401803035</c:v>
                </c:pt>
                <c:pt idx="11">
                  <c:v>25645545.78398129</c:v>
                </c:pt>
                <c:pt idx="12">
                  <c:v>26386996.463062238</c:v>
                </c:pt>
                <c:pt idx="13">
                  <c:v>27231380.349880226</c:v>
                </c:pt>
                <c:pt idx="14">
                  <c:v>28102784.5210764</c:v>
                </c:pt>
              </c:numCache>
            </c:numRef>
          </c:val>
          <c:smooth val="1"/>
          <c:extLst>
            <c:ext xmlns:c16="http://schemas.microsoft.com/office/drawing/2014/chart" uri="{C3380CC4-5D6E-409C-BE32-E72D297353CC}">
              <c16:uniqueId val="{00000000-A008-4862-8924-C27F8E61C802}"/>
            </c:ext>
          </c:extLst>
        </c:ser>
        <c:dLbls>
          <c:showLegendKey val="0"/>
          <c:showVal val="0"/>
          <c:showCatName val="0"/>
          <c:showSerName val="0"/>
          <c:showPercent val="0"/>
          <c:showBubbleSize val="0"/>
        </c:dLbls>
        <c:hiLowLines>
          <c:spPr>
            <a:ln w="0">
              <a:noFill/>
            </a:ln>
          </c:spPr>
        </c:hiLowLines>
        <c:smooth val="0"/>
        <c:axId val="54230523"/>
        <c:axId val="67537598"/>
      </c:lineChart>
      <c:catAx>
        <c:axId val="54230523"/>
        <c:scaling>
          <c:orientation val="minMax"/>
        </c:scaling>
        <c:delete val="0"/>
        <c:axPos val="b"/>
        <c:title>
          <c:tx>
            <c:rich>
              <a:bodyPr rot="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Année</a:t>
                </a:r>
              </a:p>
            </c:rich>
          </c:tx>
          <c:overlay val="0"/>
          <c:spPr>
            <a:noFill/>
            <a:ln w="0">
              <a:noFill/>
            </a:ln>
          </c:spPr>
        </c:title>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67537598"/>
        <c:crosses val="autoZero"/>
        <c:auto val="1"/>
        <c:lblAlgn val="ctr"/>
        <c:lblOffset val="100"/>
        <c:noMultiLvlLbl val="0"/>
      </c:catAx>
      <c:valAx>
        <c:axId val="67537598"/>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FCFA</a:t>
                </a:r>
              </a:p>
            </c:rich>
          </c:tx>
          <c:overlay val="0"/>
          <c:spPr>
            <a:noFill/>
            <a:ln w="0">
              <a:noFill/>
            </a:ln>
          </c:spPr>
        </c:title>
        <c:numFmt formatCode="#,##0&quot; FCFA&quot;;\(#,##0&quot;)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54230523"/>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c:style val="2"/>
  <c:chart>
    <c:title>
      <c:tx>
        <c:rich>
          <a:bodyPr rot="0"/>
          <a:lstStyle/>
          <a:p>
            <a:pPr>
              <a:defRPr sz="1800" b="1" strike="noStrike" spc="-1">
                <a:solidFill>
                  <a:srgbClr val="000000"/>
                </a:solidFill>
                <a:latin typeface="Calibri"/>
                <a:ea typeface="Calibri"/>
              </a:defRPr>
            </a:pPr>
            <a:r>
              <a:rPr sz="1800" b="1" strike="noStrike" spc="-1">
                <a:solidFill>
                  <a:srgbClr val="000000"/>
                </a:solidFill>
                <a:latin typeface="Calibri"/>
                <a:ea typeface="Calibri"/>
              </a:rPr>
              <a:t>FCFA per capita, selected district</a:t>
            </a:r>
          </a:p>
        </c:rich>
      </c:tx>
      <c:overlay val="0"/>
      <c:spPr>
        <a:noFill/>
        <a:ln w="0">
          <a:noFill/>
        </a:ln>
      </c:spPr>
    </c:title>
    <c:autoTitleDeleted val="0"/>
    <c:plotArea>
      <c:layout/>
      <c:barChart>
        <c:barDir val="col"/>
        <c:grouping val="clustered"/>
        <c:varyColors val="0"/>
        <c:ser>
          <c:idx val="0"/>
          <c:order val="0"/>
          <c:tx>
            <c:strRef>
              <c:f>SIM_Resultats_DS!$F$7</c:f>
              <c:strCache>
                <c:ptCount val="1"/>
                <c:pt idx="0">
                  <c:v>FCFA/capita</c:v>
                </c:pt>
              </c:strCache>
            </c:strRef>
          </c:tx>
          <c:spPr>
            <a:solidFill>
              <a:srgbClr val="2E75B6"/>
            </a:solidFill>
            <a:ln w="0">
              <a:solidFill>
                <a:srgbClr val="000000"/>
              </a:solidFill>
            </a:ln>
          </c:spPr>
          <c:invertIfNegative val="0"/>
          <c:dLbls>
            <c:spPr>
              <a:noFill/>
              <a:ln>
                <a:noFill/>
              </a:ln>
              <a:effectLst/>
            </c:spPr>
            <c:txPr>
              <a:bodyPr wrap="square"/>
              <a:lstStyle/>
              <a:p>
                <a:pPr>
                  <a:defRPr sz="1000" b="0" strike="noStrike" spc="-1">
                    <a:solidFill>
                      <a:srgbClr val="000000"/>
                    </a:solidFill>
                    <a:latin typeface="Arial"/>
                    <a:ea typeface="Arial"/>
                  </a:defRPr>
                </a:pPr>
                <a:endParaRPr lang="fr-FR"/>
              </a:p>
            </c:txPr>
            <c:dLblPos val="outEnd"/>
            <c:showLegendKey val="0"/>
            <c:showVal val="0"/>
            <c:showCatName val="0"/>
            <c:showSerName val="0"/>
            <c:showPercent val="0"/>
            <c:showBubbleSize val="1"/>
            <c:separator>; </c:separator>
            <c:showLeaderLines val="0"/>
            <c:extLst>
              <c:ext xmlns:c15="http://schemas.microsoft.com/office/drawing/2012/chart" uri="{CE6537A1-D6FC-4f65-9D91-7224C49458BB}">
                <c15:showLeaderLines val="0"/>
              </c:ext>
            </c:extLst>
          </c:dLbls>
          <c:cat>
            <c:numRef>
              <c:f>SIM_Resultats_DS!$A$8:$A$22</c:f>
              <c:numCache>
                <c:formatCode>General</c:formatCode>
                <c:ptCount val="15"/>
                <c:pt idx="0">
                  <c:v>2016</c:v>
                </c:pt>
                <c:pt idx="1">
                  <c:v>2017</c:v>
                </c:pt>
                <c:pt idx="2">
                  <c:v>2018</c:v>
                </c:pt>
                <c:pt idx="3">
                  <c:v>2019</c:v>
                </c:pt>
                <c:pt idx="4">
                  <c:v>2020</c:v>
                </c:pt>
                <c:pt idx="5">
                  <c:v>2021</c:v>
                </c:pt>
                <c:pt idx="6">
                  <c:v>2022</c:v>
                </c:pt>
                <c:pt idx="7">
                  <c:v>2023</c:v>
                </c:pt>
                <c:pt idx="8">
                  <c:v>2024</c:v>
                </c:pt>
                <c:pt idx="9">
                  <c:v>2025</c:v>
                </c:pt>
                <c:pt idx="10">
                  <c:v>2026</c:v>
                </c:pt>
                <c:pt idx="11">
                  <c:v>2027</c:v>
                </c:pt>
                <c:pt idx="12">
                  <c:v>2028</c:v>
                </c:pt>
                <c:pt idx="13">
                  <c:v>2029</c:v>
                </c:pt>
                <c:pt idx="14">
                  <c:v>2030</c:v>
                </c:pt>
              </c:numCache>
            </c:numRef>
          </c:cat>
          <c:val>
            <c:numRef>
              <c:f>SIM_Resultats_DS!$F$8:$F$22</c:f>
              <c:numCache>
                <c:formatCode>#\ ##0" FCFA";\(#\ ##0") FCFA";\–</c:formatCode>
                <c:ptCount val="15"/>
                <c:pt idx="0">
                  <c:v>56.351236556365372</c:v>
                </c:pt>
                <c:pt idx="1">
                  <c:v>51.237961543969263</c:v>
                </c:pt>
                <c:pt idx="2">
                  <c:v>47.161274386177723</c:v>
                </c:pt>
                <c:pt idx="3">
                  <c:v>47.252849676247969</c:v>
                </c:pt>
                <c:pt idx="4">
                  <c:v>47.344602782415464</c:v>
                </c:pt>
                <c:pt idx="5">
                  <c:v>47.436534049954119</c:v>
                </c:pt>
                <c:pt idx="6">
                  <c:v>47.528643824808377</c:v>
                </c:pt>
                <c:pt idx="7">
                  <c:v>47.620932453594428</c:v>
                </c:pt>
                <c:pt idx="8">
                  <c:v>47.713400283601409</c:v>
                </c:pt>
                <c:pt idx="9">
                  <c:v>47.806047662792885</c:v>
                </c:pt>
                <c:pt idx="10">
                  <c:v>49.234986153796811</c:v>
                </c:pt>
                <c:pt idx="11">
                  <c:v>50.192934811418951</c:v>
                </c:pt>
                <c:pt idx="12">
                  <c:v>50.139890128824057</c:v>
                </c:pt>
                <c:pt idx="13">
                  <c:v>50.237249138782929</c:v>
                </c:pt>
                <c:pt idx="14">
                  <c:v>50.334797195363095</c:v>
                </c:pt>
              </c:numCache>
            </c:numRef>
          </c:val>
          <c:extLst>
            <c:ext xmlns:c16="http://schemas.microsoft.com/office/drawing/2014/chart" uri="{C3380CC4-5D6E-409C-BE32-E72D297353CC}">
              <c16:uniqueId val="{00000000-A4EF-4FA3-86D2-1CDA6BB322E7}"/>
            </c:ext>
          </c:extLst>
        </c:ser>
        <c:dLbls>
          <c:showLegendKey val="0"/>
          <c:showVal val="0"/>
          <c:showCatName val="0"/>
          <c:showSerName val="0"/>
          <c:showPercent val="0"/>
          <c:showBubbleSize val="0"/>
        </c:dLbls>
        <c:gapWidth val="150"/>
        <c:axId val="83822886"/>
        <c:axId val="83557138"/>
      </c:barChart>
      <c:catAx>
        <c:axId val="83822886"/>
        <c:scaling>
          <c:orientation val="minMax"/>
        </c:scaling>
        <c:delete val="0"/>
        <c:axPos val="b"/>
        <c:title>
          <c:tx>
            <c:rich>
              <a:bodyPr rot="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Année</a:t>
                </a:r>
              </a:p>
            </c:rich>
          </c:tx>
          <c:overlay val="0"/>
          <c:spPr>
            <a:noFill/>
            <a:ln w="0">
              <a:noFill/>
            </a:ln>
          </c:spPr>
        </c:title>
        <c:numFmt formatCode="General"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83557138"/>
        <c:crosses val="autoZero"/>
        <c:auto val="1"/>
        <c:lblAlgn val="ctr"/>
        <c:lblOffset val="100"/>
        <c:noMultiLvlLbl val="0"/>
      </c:catAx>
      <c:valAx>
        <c:axId val="83557138"/>
        <c:scaling>
          <c:orientation val="minMax"/>
        </c:scaling>
        <c:delete val="0"/>
        <c:axPos val="l"/>
        <c:majorGridlines>
          <c:spPr>
            <a:ln w="0">
              <a:solidFill>
                <a:srgbClr val="B3B3B3"/>
              </a:solidFill>
            </a:ln>
          </c:spPr>
        </c:majorGridlines>
        <c:title>
          <c:tx>
            <c:rich>
              <a:bodyPr rot="-5400000"/>
              <a:lstStyle/>
              <a:p>
                <a:pPr>
                  <a:defRPr sz="1000" b="1" strike="noStrike" spc="-1">
                    <a:solidFill>
                      <a:srgbClr val="000000"/>
                    </a:solidFill>
                    <a:latin typeface="Calibri"/>
                    <a:ea typeface="Calibri"/>
                  </a:defRPr>
                </a:pPr>
                <a:r>
                  <a:rPr sz="1000" b="1" strike="noStrike" spc="-1">
                    <a:solidFill>
                      <a:srgbClr val="000000"/>
                    </a:solidFill>
                    <a:latin typeface="Calibri"/>
                    <a:ea typeface="Calibri"/>
                  </a:rPr>
                  <a:t>FCFA / capita</a:t>
                </a:r>
              </a:p>
            </c:rich>
          </c:tx>
          <c:overlay val="0"/>
          <c:spPr>
            <a:noFill/>
            <a:ln w="0">
              <a:noFill/>
            </a:ln>
          </c:spPr>
        </c:title>
        <c:numFmt formatCode="#,##0&quot; FCFA&quot;;\(#,##0&quot;) FCFA&quot;;\–" sourceLinked="0"/>
        <c:majorTickMark val="none"/>
        <c:minorTickMark val="none"/>
        <c:tickLblPos val="nextTo"/>
        <c:spPr>
          <a:ln w="0">
            <a:solidFill>
              <a:srgbClr val="B3B3B3"/>
            </a:solidFill>
          </a:ln>
        </c:spPr>
        <c:txPr>
          <a:bodyPr/>
          <a:lstStyle/>
          <a:p>
            <a:pPr>
              <a:defRPr sz="1000" b="0" strike="noStrike" spc="-1">
                <a:solidFill>
                  <a:srgbClr val="000000"/>
                </a:solidFill>
                <a:latin typeface="Calibri"/>
                <a:ea typeface="Calibri"/>
              </a:defRPr>
            </a:pPr>
            <a:endParaRPr lang="fr-FR"/>
          </a:p>
        </c:txPr>
        <c:crossAx val="83822886"/>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6</xdr:col>
      <xdr:colOff>900720</xdr:colOff>
      <xdr:row>25</xdr:row>
      <xdr:rowOff>147960</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0</xdr:colOff>
      <xdr:row>12</xdr:row>
      <xdr:rowOff>0</xdr:rowOff>
    </xdr:from>
    <xdr:to>
      <xdr:col>15</xdr:col>
      <xdr:colOff>689760</xdr:colOff>
      <xdr:row>25</xdr:row>
      <xdr:rowOff>148320</xdr:rowOff>
    </xdr:to>
    <xdr:graphicFrame macro="">
      <xdr:nvGraphicFramePr>
        <xdr:cNvPr id="3" name="Chart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8</xdr:col>
      <xdr:colOff>0</xdr:colOff>
      <xdr:row>29</xdr:row>
      <xdr:rowOff>0</xdr:rowOff>
    </xdr:from>
    <xdr:to>
      <xdr:col>15</xdr:col>
      <xdr:colOff>689760</xdr:colOff>
      <xdr:row>45</xdr:row>
      <xdr:rowOff>34200</xdr:rowOff>
    </xdr:to>
    <xdr:graphicFrame macro="">
      <xdr:nvGraphicFramePr>
        <xdr:cNvPr id="4" name="Chart 3">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10</xdr:row>
      <xdr:rowOff>0</xdr:rowOff>
    </xdr:from>
    <xdr:to>
      <xdr:col>17</xdr:col>
      <xdr:colOff>486360</xdr:colOff>
      <xdr:row>30</xdr:row>
      <xdr:rowOff>28440</xdr:rowOff>
    </xdr:to>
    <xdr:graphicFrame macro="">
      <xdr:nvGraphicFramePr>
        <xdr:cNvPr id="3" name="Chart 1">
          <a:extLst>
            <a:ext uri="{FF2B5EF4-FFF2-40B4-BE49-F238E27FC236}">
              <a16:creationId xmlns:a16="http://schemas.microsoft.com/office/drawing/2014/main" id="{00000000-0008-0000-0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0</xdr:colOff>
      <xdr:row>27</xdr:row>
      <xdr:rowOff>144360</xdr:rowOff>
    </xdr:from>
    <xdr:to>
      <xdr:col>17</xdr:col>
      <xdr:colOff>486360</xdr:colOff>
      <xdr:row>48</xdr:row>
      <xdr:rowOff>3600</xdr:rowOff>
    </xdr:to>
    <xdr:graphicFrame macro="">
      <xdr:nvGraphicFramePr>
        <xdr:cNvPr id="4" name="Chart 2">
          <a:extLst>
            <a:ext uri="{FF2B5EF4-FFF2-40B4-BE49-F238E27FC236}">
              <a16:creationId xmlns:a16="http://schemas.microsoft.com/office/drawing/2014/main" id="{00000000-0008-0000-0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6</xdr:row>
      <xdr:rowOff>0</xdr:rowOff>
    </xdr:from>
    <xdr:to>
      <xdr:col>16</xdr:col>
      <xdr:colOff>319680</xdr:colOff>
      <xdr:row>24</xdr:row>
      <xdr:rowOff>99720</xdr:rowOff>
    </xdr:to>
    <xdr:graphicFrame macro="">
      <xdr:nvGraphicFramePr>
        <xdr:cNvPr id="5" name="Chart 1">
          <a:extLst>
            <a:ext uri="{FF2B5EF4-FFF2-40B4-BE49-F238E27FC236}">
              <a16:creationId xmlns:a16="http://schemas.microsoft.com/office/drawing/2014/main" id="{00000000-0008-0000-0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0</xdr:colOff>
      <xdr:row>24</xdr:row>
      <xdr:rowOff>0</xdr:rowOff>
    </xdr:from>
    <xdr:to>
      <xdr:col>16</xdr:col>
      <xdr:colOff>319680</xdr:colOff>
      <xdr:row>45</xdr:row>
      <xdr:rowOff>33120</xdr:rowOff>
    </xdr:to>
    <xdr:graphicFrame macro="">
      <xdr:nvGraphicFramePr>
        <xdr:cNvPr id="6" name="Chart 2">
          <a:extLst>
            <a:ext uri="{FF2B5EF4-FFF2-40B4-BE49-F238E27FC236}">
              <a16:creationId xmlns:a16="http://schemas.microsoft.com/office/drawing/2014/main" id="{00000000-0008-0000-0B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ChatGPT">
  <a:themeElements>
    <a:clrScheme name="ChatGPT">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a:fillStyleLst>
        <a:solidFill>
          <a:schemeClr val="phClr"/>
        </a:solidFill>
        <a:gradFill>
          <a:gsLst>
            <a:gs pos="0">
              <a:schemeClr val="phClr">
                <a:tint val="67000"/>
                <a:lumMod val="110000"/>
              </a:schemeClr>
            </a:gs>
            <a:gs pos="50000">
              <a:schemeClr val="phClr">
                <a:tint val="73000"/>
                <a:lumMod val="105000"/>
              </a:schemeClr>
            </a:gs>
            <a:gs pos="100000">
              <a:schemeClr val="phClr">
                <a:tint val="81000"/>
                <a:lumMod val="105000"/>
              </a:schemeClr>
            </a:gs>
          </a:gsLst>
          <a:lin ang="5400000" scaled="0"/>
          <a:tileRect/>
        </a:gradFill>
        <a:gradFill>
          <a:gsLst>
            <a:gs pos="0">
              <a:schemeClr val="phClr">
                <a:tint val="94000"/>
                <a:lumMod val="102000"/>
              </a:schemeClr>
            </a:gs>
            <a:gs pos="50000">
              <a:schemeClr val="phClr">
                <a:shade val="100000"/>
                <a:lumMod val="100000"/>
              </a:schemeClr>
            </a:gs>
            <a:gs pos="100000">
              <a:schemeClr val="phClr">
                <a:shade val="78000"/>
                <a:lumMod val="99000"/>
              </a:schemeClr>
            </a:gs>
          </a:gsLst>
          <a:lin ang="5400000" scaled="0"/>
          <a:tileRect/>
        </a:gradFill>
      </a:fillStyleLst>
      <a:lnStyleLst>
        <a:ln w="12700">
          <a:prstDash val="solid"/>
        </a:ln>
        <a:ln w="19050">
          <a:prstDash val="solid"/>
        </a:ln>
        <a:ln w="25400">
          <a:prstDash val="solid"/>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3864"/>
  </sheetPr>
  <dimension ref="A1:P50"/>
  <sheetViews>
    <sheetView showGridLines="0" tabSelected="1" zoomScaleNormal="100" workbookViewId="0">
      <selection activeCell="A44" sqref="A44:P47"/>
    </sheetView>
  </sheetViews>
  <sheetFormatPr baseColWidth="10" defaultColWidth="8.6328125" defaultRowHeight="12.5" x14ac:dyDescent="0.25"/>
  <cols>
    <col min="1" max="16" width="11" customWidth="1"/>
  </cols>
  <sheetData>
    <row r="1" spans="1:16" ht="21.75" customHeight="1" x14ac:dyDescent="0.25">
      <c r="A1" s="199" t="s">
        <v>0</v>
      </c>
      <c r="B1" s="199"/>
      <c r="C1" s="199"/>
      <c r="D1" s="199"/>
      <c r="E1" s="199"/>
      <c r="F1" s="199"/>
      <c r="G1" s="199"/>
      <c r="H1" s="199"/>
      <c r="I1" s="199"/>
      <c r="J1" s="199"/>
      <c r="K1" s="199"/>
      <c r="L1" s="199"/>
      <c r="M1" s="199"/>
      <c r="N1" s="199"/>
      <c r="O1" s="199"/>
      <c r="P1" s="199"/>
    </row>
    <row r="2" spans="1:16" ht="21.75" customHeight="1" x14ac:dyDescent="0.25">
      <c r="A2" s="199"/>
      <c r="B2" s="199"/>
      <c r="C2" s="199"/>
      <c r="D2" s="199"/>
      <c r="E2" s="199"/>
      <c r="F2" s="199"/>
      <c r="G2" s="199"/>
      <c r="H2" s="199"/>
      <c r="I2" s="199"/>
      <c r="J2" s="199"/>
      <c r="K2" s="199"/>
      <c r="L2" s="199"/>
      <c r="M2" s="199"/>
      <c r="N2" s="199"/>
      <c r="O2" s="199"/>
      <c r="P2" s="199"/>
    </row>
    <row r="3" spans="1:16" ht="21.75" customHeight="1" x14ac:dyDescent="0.25">
      <c r="A3" s="199"/>
      <c r="B3" s="199"/>
      <c r="C3" s="199"/>
      <c r="D3" s="199"/>
      <c r="E3" s="199"/>
      <c r="F3" s="199"/>
      <c r="G3" s="199"/>
      <c r="H3" s="199"/>
      <c r="I3" s="199"/>
      <c r="J3" s="199"/>
      <c r="K3" s="199"/>
      <c r="L3" s="199"/>
      <c r="M3" s="199"/>
      <c r="N3" s="199"/>
      <c r="O3" s="199"/>
      <c r="P3" s="199"/>
    </row>
    <row r="4" spans="1:16" ht="18.75" customHeight="1" x14ac:dyDescent="0.25">
      <c r="A4" s="200" t="s">
        <v>1</v>
      </c>
      <c r="B4" s="200"/>
      <c r="C4" s="200"/>
      <c r="D4" s="200"/>
      <c r="E4" s="200"/>
      <c r="F4" s="200"/>
      <c r="G4" s="200"/>
      <c r="H4" s="200"/>
      <c r="I4" s="200"/>
      <c r="J4" s="200"/>
      <c r="K4" s="200"/>
      <c r="L4" s="200"/>
      <c r="M4" s="200"/>
      <c r="N4" s="200"/>
      <c r="O4" s="200"/>
      <c r="P4" s="200"/>
    </row>
    <row r="5" spans="1:16" ht="18.75" customHeight="1" x14ac:dyDescent="0.25">
      <c r="A5" s="177" t="s">
        <v>2</v>
      </c>
      <c r="B5" s="177"/>
      <c r="C5" s="177"/>
      <c r="D5" s="177"/>
      <c r="E5" s="177"/>
      <c r="F5" s="177"/>
      <c r="G5" s="177"/>
      <c r="H5" s="177"/>
      <c r="I5" s="177"/>
      <c r="J5" s="177"/>
      <c r="K5" s="177"/>
      <c r="L5" s="177"/>
      <c r="M5" s="177"/>
      <c r="N5" s="177"/>
      <c r="O5" s="177"/>
      <c r="P5" s="177"/>
    </row>
    <row r="6" spans="1:16" ht="18.75" customHeight="1" x14ac:dyDescent="0.3">
      <c r="A6" s="1"/>
      <c r="B6" s="2"/>
      <c r="C6" s="2"/>
      <c r="D6" s="2"/>
      <c r="E6" s="2"/>
      <c r="F6" s="2"/>
      <c r="G6" s="2"/>
      <c r="H6" s="2"/>
      <c r="I6" s="2"/>
      <c r="J6" s="2"/>
      <c r="K6" s="2"/>
      <c r="L6" s="2"/>
      <c r="M6" s="2"/>
      <c r="N6" s="2"/>
      <c r="O6" s="2"/>
      <c r="P6" s="2"/>
    </row>
    <row r="7" spans="1:16" ht="21.75" customHeight="1" x14ac:dyDescent="0.25">
      <c r="A7" s="201" t="s">
        <v>3</v>
      </c>
      <c r="B7" s="201"/>
      <c r="C7" s="201"/>
      <c r="D7" s="201"/>
      <c r="E7" s="202" t="s">
        <v>4</v>
      </c>
      <c r="F7" s="202"/>
      <c r="G7" s="202"/>
      <c r="H7" s="202"/>
      <c r="I7" s="203" t="s">
        <v>5</v>
      </c>
      <c r="J7" s="203"/>
      <c r="K7" s="203"/>
      <c r="L7" s="203"/>
      <c r="M7" s="204" t="s">
        <v>6</v>
      </c>
      <c r="N7" s="204"/>
      <c r="O7" s="204"/>
      <c r="P7" s="204"/>
    </row>
    <row r="8" spans="1:16" ht="21.75" customHeight="1" x14ac:dyDescent="0.25">
      <c r="A8" s="201"/>
      <c r="B8" s="201"/>
      <c r="C8" s="201"/>
      <c r="D8" s="201"/>
      <c r="E8" s="202"/>
      <c r="F8" s="202"/>
      <c r="G8" s="202"/>
      <c r="H8" s="202"/>
      <c r="I8" s="203"/>
      <c r="J8" s="203"/>
      <c r="K8" s="203"/>
      <c r="L8" s="203"/>
      <c r="M8" s="204"/>
      <c r="N8" s="204"/>
      <c r="O8" s="204"/>
      <c r="P8" s="204"/>
    </row>
    <row r="9" spans="1:16" ht="21.75" customHeight="1" x14ac:dyDescent="0.25">
      <c r="A9" s="201"/>
      <c r="B9" s="201"/>
      <c r="C9" s="201"/>
      <c r="D9" s="201"/>
      <c r="E9" s="202"/>
      <c r="F9" s="202"/>
      <c r="G9" s="202"/>
      <c r="H9" s="202"/>
      <c r="I9" s="203"/>
      <c r="J9" s="203"/>
      <c r="K9" s="203"/>
      <c r="L9" s="203"/>
      <c r="M9" s="204"/>
      <c r="N9" s="204"/>
      <c r="O9" s="204"/>
      <c r="P9" s="204"/>
    </row>
    <row r="10" spans="1:16" ht="18.75" customHeight="1" x14ac:dyDescent="0.25">
      <c r="A10" s="3"/>
      <c r="B10" s="3"/>
      <c r="C10" s="3"/>
      <c r="D10" s="3"/>
      <c r="E10" s="3"/>
      <c r="F10" s="3"/>
      <c r="G10" s="3"/>
      <c r="H10" s="3"/>
      <c r="I10" s="3"/>
      <c r="J10" s="3"/>
      <c r="K10" s="3"/>
      <c r="L10" s="3"/>
      <c r="M10" s="3"/>
      <c r="N10" s="3"/>
      <c r="O10" s="3"/>
      <c r="P10" s="3"/>
    </row>
    <row r="11" spans="1:16" ht="18.75" customHeight="1" x14ac:dyDescent="0.25">
      <c r="A11" s="195" t="s">
        <v>7</v>
      </c>
      <c r="B11" s="195"/>
      <c r="C11" s="195"/>
      <c r="D11" s="195"/>
      <c r="E11" s="196" t="s">
        <v>8</v>
      </c>
      <c r="F11" s="196"/>
      <c r="G11" s="196"/>
      <c r="H11" s="196"/>
      <c r="I11" s="197" t="s">
        <v>9</v>
      </c>
      <c r="J11" s="197"/>
      <c r="K11" s="197"/>
      <c r="L11" s="197"/>
      <c r="M11" s="198" t="s">
        <v>10</v>
      </c>
      <c r="N11" s="198"/>
      <c r="O11" s="198"/>
      <c r="P11" s="198"/>
    </row>
    <row r="12" spans="1:16" ht="18.75" customHeight="1" x14ac:dyDescent="0.25">
      <c r="A12" s="3"/>
      <c r="B12" s="3"/>
      <c r="C12" s="3"/>
      <c r="D12" s="3"/>
      <c r="E12" s="3"/>
      <c r="F12" s="3"/>
      <c r="G12" s="3"/>
      <c r="H12" s="3"/>
      <c r="I12" s="3"/>
      <c r="J12" s="3"/>
      <c r="K12" s="3"/>
      <c r="L12" s="3"/>
      <c r="M12" s="3"/>
      <c r="N12" s="3"/>
      <c r="O12" s="3"/>
      <c r="P12" s="3"/>
    </row>
    <row r="13" spans="1:16" ht="19.5" customHeight="1" x14ac:dyDescent="0.25">
      <c r="A13" s="191" t="s">
        <v>11</v>
      </c>
      <c r="B13" s="191"/>
      <c r="C13" s="191"/>
      <c r="D13" s="191"/>
      <c r="E13" s="192" t="s">
        <v>12</v>
      </c>
      <c r="F13" s="192"/>
      <c r="G13" s="192"/>
      <c r="H13" s="192"/>
      <c r="I13" s="193" t="s">
        <v>13</v>
      </c>
      <c r="J13" s="193"/>
      <c r="K13" s="193"/>
      <c r="L13" s="193"/>
      <c r="M13" s="194" t="s">
        <v>14</v>
      </c>
      <c r="N13" s="194"/>
      <c r="O13" s="194"/>
      <c r="P13" s="194"/>
    </row>
    <row r="14" spans="1:16" ht="19.5" customHeight="1" x14ac:dyDescent="0.25">
      <c r="A14" s="191"/>
      <c r="B14" s="191"/>
      <c r="C14" s="191"/>
      <c r="D14" s="191"/>
      <c r="E14" s="192"/>
      <c r="F14" s="192"/>
      <c r="G14" s="192"/>
      <c r="H14" s="192"/>
      <c r="I14" s="193"/>
      <c r="J14" s="193"/>
      <c r="K14" s="193"/>
      <c r="L14" s="193"/>
      <c r="M14" s="194"/>
      <c r="N14" s="194"/>
      <c r="O14" s="194"/>
      <c r="P14" s="194"/>
    </row>
    <row r="15" spans="1:16" ht="19.5" customHeight="1" x14ac:dyDescent="0.25">
      <c r="A15" s="191"/>
      <c r="B15" s="191"/>
      <c r="C15" s="191"/>
      <c r="D15" s="191"/>
      <c r="E15" s="192"/>
      <c r="F15" s="192"/>
      <c r="G15" s="192"/>
      <c r="H15" s="192"/>
      <c r="I15" s="193"/>
      <c r="J15" s="193"/>
      <c r="K15" s="193"/>
      <c r="L15" s="193"/>
      <c r="M15" s="194"/>
      <c r="N15" s="194"/>
      <c r="O15" s="194"/>
      <c r="P15" s="194"/>
    </row>
    <row r="16" spans="1:16" ht="19.5" customHeight="1" x14ac:dyDescent="0.25">
      <c r="A16" s="191"/>
      <c r="B16" s="191"/>
      <c r="C16" s="191"/>
      <c r="D16" s="191"/>
      <c r="E16" s="192"/>
      <c r="F16" s="192"/>
      <c r="G16" s="192"/>
      <c r="H16" s="192"/>
      <c r="I16" s="193"/>
      <c r="J16" s="193"/>
      <c r="K16" s="193"/>
      <c r="L16" s="193"/>
      <c r="M16" s="194"/>
      <c r="N16" s="194"/>
      <c r="O16" s="194"/>
      <c r="P16" s="194"/>
    </row>
    <row r="17" spans="1:16" ht="18.75" customHeight="1" x14ac:dyDescent="0.25">
      <c r="A17" s="3"/>
      <c r="B17" s="3"/>
      <c r="C17" s="3"/>
      <c r="D17" s="3"/>
      <c r="E17" s="3"/>
      <c r="F17" s="3"/>
      <c r="G17" s="3"/>
      <c r="H17" s="3"/>
      <c r="I17" s="3"/>
      <c r="J17" s="3"/>
      <c r="K17" s="3"/>
      <c r="L17" s="3"/>
      <c r="M17" s="3"/>
      <c r="N17" s="3"/>
      <c r="O17" s="3"/>
      <c r="P17" s="3"/>
    </row>
    <row r="18" spans="1:16" ht="19.5" customHeight="1" x14ac:dyDescent="0.25">
      <c r="A18" s="191" t="s">
        <v>15</v>
      </c>
      <c r="B18" s="191"/>
      <c r="C18" s="191"/>
      <c r="D18" s="191"/>
      <c r="E18" s="192" t="s">
        <v>16</v>
      </c>
      <c r="F18" s="192"/>
      <c r="G18" s="192"/>
      <c r="H18" s="192"/>
      <c r="I18" s="193" t="s">
        <v>17</v>
      </c>
      <c r="J18" s="193"/>
      <c r="K18" s="193"/>
      <c r="L18" s="193"/>
      <c r="M18" s="194" t="s">
        <v>18</v>
      </c>
      <c r="N18" s="194"/>
      <c r="O18" s="194"/>
      <c r="P18" s="194"/>
    </row>
    <row r="19" spans="1:16" ht="19.5" customHeight="1" x14ac:dyDescent="0.25">
      <c r="A19" s="191"/>
      <c r="B19" s="191"/>
      <c r="C19" s="191"/>
      <c r="D19" s="191"/>
      <c r="E19" s="192"/>
      <c r="F19" s="192"/>
      <c r="G19" s="192"/>
      <c r="H19" s="192"/>
      <c r="I19" s="193"/>
      <c r="J19" s="193"/>
      <c r="K19" s="193"/>
      <c r="L19" s="193"/>
      <c r="M19" s="194"/>
      <c r="N19" s="194"/>
      <c r="O19" s="194"/>
      <c r="P19" s="194"/>
    </row>
    <row r="20" spans="1:16" ht="19.5" customHeight="1" x14ac:dyDescent="0.25">
      <c r="A20" s="191"/>
      <c r="B20" s="191"/>
      <c r="C20" s="191"/>
      <c r="D20" s="191"/>
      <c r="E20" s="192"/>
      <c r="F20" s="192"/>
      <c r="G20" s="192"/>
      <c r="H20" s="192"/>
      <c r="I20" s="193"/>
      <c r="J20" s="193"/>
      <c r="K20" s="193"/>
      <c r="L20" s="193"/>
      <c r="M20" s="194"/>
      <c r="N20" s="194"/>
      <c r="O20" s="194"/>
      <c r="P20" s="194"/>
    </row>
    <row r="21" spans="1:16" ht="19.5" customHeight="1" x14ac:dyDescent="0.25">
      <c r="A21" s="191"/>
      <c r="B21" s="191"/>
      <c r="C21" s="191"/>
      <c r="D21" s="191"/>
      <c r="E21" s="192"/>
      <c r="F21" s="192"/>
      <c r="G21" s="192"/>
      <c r="H21" s="192"/>
      <c r="I21" s="193"/>
      <c r="J21" s="193"/>
      <c r="K21" s="193"/>
      <c r="L21" s="193"/>
      <c r="M21" s="194"/>
      <c r="N21" s="194"/>
      <c r="O21" s="194"/>
      <c r="P21" s="194"/>
    </row>
    <row r="22" spans="1:16" ht="18.75" customHeight="1" x14ac:dyDescent="0.25">
      <c r="A22" s="3"/>
      <c r="B22" s="3"/>
      <c r="C22" s="3"/>
      <c r="D22" s="3"/>
      <c r="E22" s="3"/>
      <c r="F22" s="3"/>
      <c r="G22" s="3"/>
      <c r="H22" s="3"/>
      <c r="I22" s="3"/>
      <c r="J22" s="3"/>
      <c r="K22" s="3"/>
      <c r="L22" s="3"/>
      <c r="M22" s="3"/>
      <c r="N22" s="3"/>
      <c r="O22" s="3"/>
      <c r="P22" s="3"/>
    </row>
    <row r="23" spans="1:16" ht="19.5" customHeight="1" x14ac:dyDescent="0.25">
      <c r="A23" s="191" t="s">
        <v>19</v>
      </c>
      <c r="B23" s="191"/>
      <c r="C23" s="191"/>
      <c r="D23" s="191"/>
      <c r="E23" s="192" t="s">
        <v>20</v>
      </c>
      <c r="F23" s="192"/>
      <c r="G23" s="192"/>
      <c r="H23" s="192"/>
      <c r="I23" s="193" t="s">
        <v>21</v>
      </c>
      <c r="J23" s="193"/>
      <c r="K23" s="193"/>
      <c r="L23" s="193"/>
      <c r="M23" s="194" t="s">
        <v>22</v>
      </c>
      <c r="N23" s="194"/>
      <c r="O23" s="194"/>
      <c r="P23" s="194"/>
    </row>
    <row r="24" spans="1:16" ht="19.5" customHeight="1" x14ac:dyDescent="0.25">
      <c r="A24" s="191"/>
      <c r="B24" s="191"/>
      <c r="C24" s="191"/>
      <c r="D24" s="191"/>
      <c r="E24" s="192"/>
      <c r="F24" s="192"/>
      <c r="G24" s="192"/>
      <c r="H24" s="192"/>
      <c r="I24" s="193"/>
      <c r="J24" s="193"/>
      <c r="K24" s="193"/>
      <c r="L24" s="193"/>
      <c r="M24" s="194"/>
      <c r="N24" s="194"/>
      <c r="O24" s="194"/>
      <c r="P24" s="194"/>
    </row>
    <row r="25" spans="1:16" ht="19.5" customHeight="1" x14ac:dyDescent="0.25">
      <c r="A25" s="191"/>
      <c r="B25" s="191"/>
      <c r="C25" s="191"/>
      <c r="D25" s="191"/>
      <c r="E25" s="192"/>
      <c r="F25" s="192"/>
      <c r="G25" s="192"/>
      <c r="H25" s="192"/>
      <c r="I25" s="193"/>
      <c r="J25" s="193"/>
      <c r="K25" s="193"/>
      <c r="L25" s="193"/>
      <c r="M25" s="194"/>
      <c r="N25" s="194"/>
      <c r="O25" s="194"/>
      <c r="P25" s="194"/>
    </row>
    <row r="26" spans="1:16" ht="19.5" customHeight="1" x14ac:dyDescent="0.25">
      <c r="A26" s="191"/>
      <c r="B26" s="191"/>
      <c r="C26" s="191"/>
      <c r="D26" s="191"/>
      <c r="E26" s="192"/>
      <c r="F26" s="192"/>
      <c r="G26" s="192"/>
      <c r="H26" s="192"/>
      <c r="I26" s="193"/>
      <c r="J26" s="193"/>
      <c r="K26" s="193"/>
      <c r="L26" s="193"/>
      <c r="M26" s="194"/>
      <c r="N26" s="194"/>
      <c r="O26" s="194"/>
      <c r="P26" s="194"/>
    </row>
    <row r="27" spans="1:16" ht="18.75" customHeight="1" x14ac:dyDescent="0.25">
      <c r="A27" s="3"/>
      <c r="B27" s="3"/>
      <c r="C27" s="3"/>
      <c r="D27" s="3"/>
      <c r="E27" s="3"/>
      <c r="F27" s="3"/>
      <c r="G27" s="3"/>
      <c r="H27" s="3"/>
      <c r="I27" s="3"/>
      <c r="J27" s="3"/>
      <c r="K27" s="3"/>
      <c r="L27" s="3"/>
      <c r="M27" s="3"/>
      <c r="N27" s="3"/>
      <c r="O27" s="3"/>
      <c r="P27" s="3"/>
    </row>
    <row r="28" spans="1:16" ht="19.5" customHeight="1" x14ac:dyDescent="0.25">
      <c r="A28" s="191" t="s">
        <v>23</v>
      </c>
      <c r="B28" s="191"/>
      <c r="C28" s="191"/>
      <c r="D28" s="191"/>
      <c r="E28" s="192" t="s">
        <v>24</v>
      </c>
      <c r="F28" s="192"/>
      <c r="G28" s="192"/>
      <c r="H28" s="192"/>
      <c r="I28" s="193" t="s">
        <v>25</v>
      </c>
      <c r="J28" s="193"/>
      <c r="K28" s="193"/>
      <c r="L28" s="193"/>
      <c r="M28" s="194" t="s">
        <v>26</v>
      </c>
      <c r="N28" s="194"/>
      <c r="O28" s="194"/>
      <c r="P28" s="194"/>
    </row>
    <row r="29" spans="1:16" ht="19.5" customHeight="1" x14ac:dyDescent="0.25">
      <c r="A29" s="191"/>
      <c r="B29" s="191"/>
      <c r="C29" s="191"/>
      <c r="D29" s="191"/>
      <c r="E29" s="192"/>
      <c r="F29" s="192"/>
      <c r="G29" s="192"/>
      <c r="H29" s="192"/>
      <c r="I29" s="193"/>
      <c r="J29" s="193"/>
      <c r="K29" s="193"/>
      <c r="L29" s="193"/>
      <c r="M29" s="194"/>
      <c r="N29" s="194"/>
      <c r="O29" s="194"/>
      <c r="P29" s="194"/>
    </row>
    <row r="30" spans="1:16" ht="19.5" customHeight="1" x14ac:dyDescent="0.25">
      <c r="A30" s="191"/>
      <c r="B30" s="191"/>
      <c r="C30" s="191"/>
      <c r="D30" s="191"/>
      <c r="E30" s="192"/>
      <c r="F30" s="192"/>
      <c r="G30" s="192"/>
      <c r="H30" s="192"/>
      <c r="I30" s="193"/>
      <c r="J30" s="193"/>
      <c r="K30" s="193"/>
      <c r="L30" s="193"/>
      <c r="M30" s="194"/>
      <c r="N30" s="194"/>
      <c r="O30" s="194"/>
      <c r="P30" s="194"/>
    </row>
    <row r="31" spans="1:16" ht="19.5" customHeight="1" x14ac:dyDescent="0.25">
      <c r="A31" s="191"/>
      <c r="B31" s="191"/>
      <c r="C31" s="191"/>
      <c r="D31" s="191"/>
      <c r="E31" s="192"/>
      <c r="F31" s="192"/>
      <c r="G31" s="192"/>
      <c r="H31" s="192"/>
      <c r="I31" s="193"/>
      <c r="J31" s="193"/>
      <c r="K31" s="193"/>
      <c r="L31" s="193"/>
      <c r="M31" s="194"/>
      <c r="N31" s="194"/>
      <c r="O31" s="194"/>
      <c r="P31" s="194"/>
    </row>
    <row r="32" spans="1:16" ht="18.75" customHeight="1" x14ac:dyDescent="0.25">
      <c r="A32" s="3"/>
      <c r="B32" s="3"/>
      <c r="C32" s="3"/>
      <c r="D32" s="3"/>
      <c r="E32" s="3"/>
      <c r="F32" s="3"/>
      <c r="G32" s="3"/>
      <c r="H32" s="3"/>
      <c r="I32" s="3"/>
      <c r="J32" s="3"/>
      <c r="K32" s="3"/>
      <c r="L32" s="3"/>
      <c r="M32" s="3"/>
      <c r="N32" s="3"/>
      <c r="O32" s="3"/>
      <c r="P32" s="3"/>
    </row>
    <row r="33" spans="1:16" ht="18.75" customHeight="1" x14ac:dyDescent="0.25">
      <c r="A33" s="188" t="s">
        <v>27</v>
      </c>
      <c r="B33" s="188"/>
      <c r="C33" s="188"/>
      <c r="D33" s="188"/>
      <c r="E33" s="188"/>
      <c r="F33" s="188"/>
      <c r="G33" s="188"/>
      <c r="H33" s="188"/>
      <c r="I33" s="188"/>
      <c r="J33" s="188"/>
      <c r="K33" s="188"/>
      <c r="L33" s="188"/>
      <c r="M33" s="188"/>
      <c r="N33" s="188"/>
      <c r="O33" s="188"/>
      <c r="P33" s="188"/>
    </row>
    <row r="34" spans="1:16" ht="18.75" customHeight="1" x14ac:dyDescent="0.25">
      <c r="A34" s="188"/>
      <c r="B34" s="188"/>
      <c r="C34" s="188"/>
      <c r="D34" s="188"/>
      <c r="E34" s="188"/>
      <c r="F34" s="188"/>
      <c r="G34" s="188"/>
      <c r="H34" s="188"/>
      <c r="I34" s="188"/>
      <c r="J34" s="188"/>
      <c r="K34" s="188"/>
      <c r="L34" s="188"/>
      <c r="M34" s="188"/>
      <c r="N34" s="188"/>
      <c r="O34" s="188"/>
      <c r="P34" s="188"/>
    </row>
    <row r="35" spans="1:16" ht="18.75" customHeight="1" x14ac:dyDescent="0.25">
      <c r="A35" s="188"/>
      <c r="B35" s="188"/>
      <c r="C35" s="188"/>
      <c r="D35" s="188"/>
      <c r="E35" s="188"/>
      <c r="F35" s="188"/>
      <c r="G35" s="188"/>
      <c r="H35" s="188"/>
      <c r="I35" s="188"/>
      <c r="J35" s="188"/>
      <c r="K35" s="188"/>
      <c r="L35" s="188"/>
      <c r="M35" s="188"/>
      <c r="N35" s="188"/>
      <c r="O35" s="188"/>
      <c r="P35" s="188"/>
    </row>
    <row r="36" spans="1:16" ht="18.75" customHeight="1" x14ac:dyDescent="0.25">
      <c r="A36" s="188" t="s">
        <v>28</v>
      </c>
      <c r="B36" s="188"/>
      <c r="C36" s="188"/>
      <c r="D36" s="188"/>
      <c r="E36" s="188"/>
      <c r="F36" s="188"/>
      <c r="G36" s="188"/>
      <c r="H36" s="188"/>
      <c r="I36" s="188"/>
      <c r="J36" s="188"/>
      <c r="K36" s="188"/>
      <c r="L36" s="188"/>
      <c r="M36" s="188"/>
      <c r="N36" s="188"/>
      <c r="O36" s="188"/>
      <c r="P36" s="188"/>
    </row>
    <row r="37" spans="1:16" ht="18.75" customHeight="1" x14ac:dyDescent="0.25">
      <c r="A37" s="188"/>
      <c r="B37" s="188"/>
      <c r="C37" s="188"/>
      <c r="D37" s="188"/>
      <c r="E37" s="188"/>
      <c r="F37" s="188"/>
      <c r="G37" s="188"/>
      <c r="H37" s="188"/>
      <c r="I37" s="188"/>
      <c r="J37" s="188"/>
      <c r="K37" s="188"/>
      <c r="L37" s="188"/>
      <c r="M37" s="188"/>
      <c r="N37" s="188"/>
      <c r="O37" s="188"/>
      <c r="P37" s="188"/>
    </row>
    <row r="38" spans="1:16" ht="18.75" customHeight="1" x14ac:dyDescent="0.25">
      <c r="A38" s="188"/>
      <c r="B38" s="188"/>
      <c r="C38" s="188"/>
      <c r="D38" s="188"/>
      <c r="E38" s="188"/>
      <c r="F38" s="188"/>
      <c r="G38" s="188"/>
      <c r="H38" s="188"/>
      <c r="I38" s="188"/>
      <c r="J38" s="188"/>
      <c r="K38" s="188"/>
      <c r="L38" s="188"/>
      <c r="M38" s="188"/>
      <c r="N38" s="188"/>
      <c r="O38" s="188"/>
      <c r="P38" s="188"/>
    </row>
    <row r="39" spans="1:16" ht="18.75" customHeight="1" x14ac:dyDescent="0.3">
      <c r="A39" s="2"/>
      <c r="B39" s="2"/>
      <c r="C39" s="2"/>
      <c r="D39" s="2"/>
      <c r="E39" s="2"/>
      <c r="F39" s="2"/>
      <c r="G39" s="2"/>
      <c r="H39" s="2"/>
      <c r="I39" s="2"/>
      <c r="J39" s="2"/>
      <c r="K39" s="2"/>
      <c r="L39" s="2"/>
      <c r="M39" s="2"/>
      <c r="N39" s="2"/>
      <c r="O39" s="2"/>
      <c r="P39" s="2"/>
    </row>
    <row r="40" spans="1:16" ht="18.75" customHeight="1" x14ac:dyDescent="0.3">
      <c r="A40" s="2"/>
      <c r="B40" s="2"/>
      <c r="C40" s="2"/>
      <c r="D40" s="2"/>
      <c r="E40" s="2"/>
      <c r="F40" s="2"/>
      <c r="G40" s="2"/>
      <c r="H40" s="2"/>
      <c r="I40" s="2"/>
      <c r="J40" s="2"/>
      <c r="K40" s="2"/>
      <c r="L40" s="2"/>
      <c r="M40" s="2"/>
      <c r="N40" s="2"/>
      <c r="O40" s="2"/>
      <c r="P40" s="2"/>
    </row>
    <row r="41" spans="1:16" ht="18.75" customHeight="1" x14ac:dyDescent="0.25">
      <c r="A41" s="189" t="s">
        <v>29</v>
      </c>
      <c r="B41" s="189"/>
      <c r="C41" s="189"/>
      <c r="D41" s="189"/>
      <c r="E41" s="189"/>
      <c r="F41" s="189"/>
      <c r="G41" s="189"/>
      <c r="H41" s="189"/>
      <c r="I41" s="189"/>
      <c r="J41" s="189"/>
      <c r="K41" s="189"/>
      <c r="L41" s="189"/>
      <c r="M41" s="189"/>
      <c r="N41" s="189"/>
      <c r="O41" s="189"/>
      <c r="P41" s="189"/>
    </row>
    <row r="42" spans="1:16" ht="18.75" customHeight="1" x14ac:dyDescent="0.25">
      <c r="A42" s="189"/>
      <c r="B42" s="189"/>
      <c r="C42" s="189"/>
      <c r="D42" s="189"/>
      <c r="E42" s="189"/>
      <c r="F42" s="189"/>
      <c r="G42" s="189"/>
      <c r="H42" s="189"/>
      <c r="I42" s="189"/>
      <c r="J42" s="189"/>
      <c r="K42" s="189"/>
      <c r="L42" s="189"/>
      <c r="M42" s="189"/>
      <c r="N42" s="189"/>
      <c r="O42" s="189"/>
      <c r="P42" s="189"/>
    </row>
    <row r="43" spans="1:16" ht="18.75" customHeight="1" x14ac:dyDescent="0.25">
      <c r="A43" s="3"/>
      <c r="B43" s="3"/>
      <c r="C43" s="3"/>
      <c r="D43" s="3"/>
      <c r="E43" s="3"/>
      <c r="F43" s="3"/>
      <c r="G43" s="3"/>
      <c r="H43" s="3"/>
      <c r="I43" s="3"/>
      <c r="J43" s="3"/>
      <c r="K43" s="3"/>
      <c r="L43" s="3"/>
      <c r="M43" s="3"/>
      <c r="N43" s="3"/>
      <c r="O43" s="3"/>
      <c r="P43" s="3"/>
    </row>
    <row r="44" spans="1:16" ht="18.75" customHeight="1" x14ac:dyDescent="0.25">
      <c r="A44" s="222" t="s">
        <v>30</v>
      </c>
      <c r="B44" s="222"/>
      <c r="C44" s="222"/>
      <c r="D44" s="222"/>
      <c r="E44" s="222"/>
      <c r="F44" s="222"/>
      <c r="G44" s="222"/>
      <c r="H44" s="222"/>
      <c r="I44" s="222"/>
      <c r="J44" s="222"/>
      <c r="K44" s="222"/>
      <c r="L44" s="222"/>
      <c r="M44" s="222"/>
      <c r="N44" s="222"/>
      <c r="O44" s="222"/>
      <c r="P44" s="222"/>
    </row>
    <row r="45" spans="1:16" ht="18.75" customHeight="1" x14ac:dyDescent="0.25">
      <c r="A45" s="222"/>
      <c r="B45" s="222"/>
      <c r="C45" s="222"/>
      <c r="D45" s="222"/>
      <c r="E45" s="222"/>
      <c r="F45" s="222"/>
      <c r="G45" s="222"/>
      <c r="H45" s="222"/>
      <c r="I45" s="222"/>
      <c r="J45" s="222"/>
      <c r="K45" s="222"/>
      <c r="L45" s="222"/>
      <c r="M45" s="222"/>
      <c r="N45" s="222"/>
      <c r="O45" s="222"/>
      <c r="P45" s="222"/>
    </row>
    <row r="46" spans="1:16" ht="18.75" customHeight="1" x14ac:dyDescent="0.25">
      <c r="A46" s="222"/>
      <c r="B46" s="222"/>
      <c r="C46" s="222"/>
      <c r="D46" s="222"/>
      <c r="E46" s="222"/>
      <c r="F46" s="222"/>
      <c r="G46" s="222"/>
      <c r="H46" s="222"/>
      <c r="I46" s="222"/>
      <c r="J46" s="222"/>
      <c r="K46" s="222"/>
      <c r="L46" s="222"/>
      <c r="M46" s="222"/>
      <c r="N46" s="222"/>
      <c r="O46" s="222"/>
      <c r="P46" s="222"/>
    </row>
    <row r="47" spans="1:16" ht="18.75" customHeight="1" x14ac:dyDescent="0.25">
      <c r="A47" s="222"/>
      <c r="B47" s="222"/>
      <c r="C47" s="222"/>
      <c r="D47" s="222"/>
      <c r="E47" s="222"/>
      <c r="F47" s="222"/>
      <c r="G47" s="222"/>
      <c r="H47" s="222"/>
      <c r="I47" s="222"/>
      <c r="J47" s="222"/>
      <c r="K47" s="222"/>
      <c r="L47" s="222"/>
      <c r="M47" s="222"/>
      <c r="N47" s="222"/>
      <c r="O47" s="222"/>
      <c r="P47" s="222"/>
    </row>
    <row r="48" spans="1:16" ht="18.75" customHeight="1" x14ac:dyDescent="0.25">
      <c r="A48" s="3"/>
      <c r="B48" s="3"/>
      <c r="C48" s="3"/>
      <c r="D48" s="3"/>
      <c r="E48" s="3"/>
      <c r="F48" s="3"/>
      <c r="G48" s="3"/>
      <c r="H48" s="3"/>
      <c r="I48" s="3"/>
      <c r="J48" s="3"/>
      <c r="K48" s="3"/>
      <c r="L48" s="3"/>
      <c r="M48" s="3"/>
      <c r="N48" s="3"/>
      <c r="O48" s="3"/>
      <c r="P48" s="3"/>
    </row>
    <row r="49" spans="1:16" ht="18.75" customHeight="1" x14ac:dyDescent="0.25">
      <c r="A49" s="190" t="s">
        <v>31</v>
      </c>
      <c r="B49" s="190"/>
      <c r="C49" s="190"/>
      <c r="D49" s="190"/>
      <c r="E49" s="190"/>
      <c r="F49" s="190"/>
      <c r="G49" s="190"/>
      <c r="H49" s="190"/>
      <c r="I49" s="190"/>
      <c r="J49" s="190"/>
      <c r="K49" s="190"/>
      <c r="L49" s="190"/>
      <c r="M49" s="190"/>
      <c r="N49" s="190"/>
      <c r="O49" s="190"/>
      <c r="P49" s="190"/>
    </row>
    <row r="50" spans="1:16" ht="18.75" customHeight="1" x14ac:dyDescent="0.25">
      <c r="A50" s="190"/>
      <c r="B50" s="190"/>
      <c r="C50" s="190"/>
      <c r="D50" s="190"/>
      <c r="E50" s="190"/>
      <c r="F50" s="190"/>
      <c r="G50" s="190"/>
      <c r="H50" s="190"/>
      <c r="I50" s="190"/>
      <c r="J50" s="190"/>
      <c r="K50" s="190"/>
      <c r="L50" s="190"/>
      <c r="M50" s="190"/>
      <c r="N50" s="190"/>
      <c r="O50" s="190"/>
      <c r="P50" s="190"/>
    </row>
  </sheetData>
  <mergeCells count="32">
    <mergeCell ref="A1:P3"/>
    <mergeCell ref="A4:P4"/>
    <mergeCell ref="A5:P5"/>
    <mergeCell ref="A7:D9"/>
    <mergeCell ref="E7:H9"/>
    <mergeCell ref="I7:L9"/>
    <mergeCell ref="M7:P9"/>
    <mergeCell ref="A11:D11"/>
    <mergeCell ref="E11:H11"/>
    <mergeCell ref="I11:L11"/>
    <mergeCell ref="M11:P11"/>
    <mergeCell ref="A13:D16"/>
    <mergeCell ref="E13:H16"/>
    <mergeCell ref="I13:L16"/>
    <mergeCell ref="M13:P16"/>
    <mergeCell ref="A18:D21"/>
    <mergeCell ref="E18:H21"/>
    <mergeCell ref="I18:L21"/>
    <mergeCell ref="M18:P21"/>
    <mergeCell ref="A23:D26"/>
    <mergeCell ref="E23:H26"/>
    <mergeCell ref="I23:L26"/>
    <mergeCell ref="M23:P26"/>
    <mergeCell ref="A36:P38"/>
    <mergeCell ref="A41:P42"/>
    <mergeCell ref="A44:P47"/>
    <mergeCell ref="A49:P50"/>
    <mergeCell ref="A28:D31"/>
    <mergeCell ref="E28:H31"/>
    <mergeCell ref="I28:L31"/>
    <mergeCell ref="M28:P31"/>
    <mergeCell ref="A33:P35"/>
  </mergeCells>
  <hyperlinks>
    <hyperlink ref="A13" location="'Guide_Parametres'!A1" display="1  PARAMETER GUIDE_x000a_Definitions, units and methods" xr:uid="{00000000-0004-0000-0000-000000000000}"/>
    <hyperlink ref="E13" location="'Donnees_RGPH_2023'!A1" display="5  POPULATION RGPH-5 2023_x000a_Regional totals and rescaling" xr:uid="{00000000-0004-0000-0000-000001000000}"/>
    <hyperlink ref="I13" location="'SIM_Modele'!A1" display="9  SIMULATION ENGINE_x000a_Calculation and district-year allocations" xr:uid="{00000000-0004-0000-0000-000002000000}"/>
    <hyperlink ref="M13" location="'Synthese_Budgets_2016_2027'!A1" display="13  BUDGET SUMMARY_x000a_Districts and regions, 2016–2030" xr:uid="{00000000-0004-0000-0000-000003000000}"/>
    <hyperlink ref="A18" location="'SIM_Parametres'!A1" display="2  MODEL PARAMETERS_x000a_Scenario, transition and guardrails" xr:uid="{00000000-0004-0000-0000-000004000000}"/>
    <hyperlink ref="E18" location="'Donnees_EHCVM_2021_2022'!A1" display="6  POVERTY EHCVM II_x000a_Regional incidence 2021/2022" xr:uid="{00000000-0004-0000-0000-000005000000}"/>
    <hyperlink ref="I18" location="'Controle_panel'!A1" display="10  PANEL CHECK_x000a_BOOST panel 2016–2018" xr:uid="{00000000-0004-0000-0000-000006000000}"/>
    <hyperlink ref="M18" location="'SIM_Resultats_DS'!A1" display="14  RESULTS BY DISTRICT_x000a_Detailed view and gains/losses" xr:uid="{00000000-0004-0000-0000-000007000000}"/>
    <hyperlink ref="A23" location="'SIM_Districts'!A1" display="3  DISTRICT REFERENCE DATA_x000a_Population, area and supply" xr:uid="{00000000-0004-0000-0000-000008000000}"/>
    <hyperlink ref="E23" location="'Donnees_EDS_2023'!A1" display="7  DHS 2023 INDICATORS_x000a_Maternal and child health" xr:uid="{00000000-0004-0000-0000-000009000000}"/>
    <hyperlink ref="I23" location="'SIM_Controles'!A1" display="11  CONSISTENCY CHECKS_x000a_Neutrality, counts and guardrails" xr:uid="{00000000-0004-0000-0000-00000A000000}"/>
    <hyperlink ref="M23" location="'SIM_Dictionnaire'!A1" display="15  DICTIONARY_x000a_Variables, units and processing" xr:uid="{00000000-0004-0000-0000-00000B000000}"/>
    <hyperlink ref="A28" location="'Sources_criteres'!A1" display="4  SOURCES OF CRITERIA_x000a_References and methodological choices" xr:uid="{00000000-0004-0000-0000-00000C000000}"/>
    <hyperlink ref="E28" location="'Donnees_offre_actives'!A1" display="8  ACTIVE HEALTH SUPPLY_x000a_Population per facility and limits" xr:uid="{00000000-0004-0000-0000-00000D000000}"/>
    <hyperlink ref="I28" location="'SIM_Tableau_Bord'!A1" display="12  DASHBOARD_x000a_National indicators and trends" xr:uid="{00000000-0004-0000-0000-00000E000000}"/>
    <hyperlink ref="M28" location="'SIM_Sources_Audit'!A1" display="16  SOURCES AND AUDIT_x000a_Documented traceability and limitations" xr:uid="{00000000-0004-0000-0000-00000F000000}"/>
    <hyperlink ref="A33" location="'Modelisation_Manuscrit'!A1" display="17  MODELING FROM THE MANUSCRIPT_x000a_Models M1–M7 • forward-looking equations • guardrails • limitations" xr:uid="{00000000-0004-0000-0000-000010000000}"/>
    <hyperlink ref="A36" location="'Resume_Executif'!A1" display="18  EXECUTIVE SUMMARY_x000a_One-page summary • key indicators, charts and scenarios • ready to print or present" xr:uid="{00000000-0004-0000-0000-000011000000}"/>
  </hyperlink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65911"/>
  </sheetPr>
  <dimension ref="A1:P53"/>
  <sheetViews>
    <sheetView showGridLines="0" zoomScale="80" zoomScaleNormal="80" workbookViewId="0">
      <selection sqref="A1:D1"/>
    </sheetView>
  </sheetViews>
  <sheetFormatPr baseColWidth="10" defaultColWidth="8.6328125" defaultRowHeight="12.5" x14ac:dyDescent="0.25"/>
  <cols>
    <col min="1" max="1" width="11" customWidth="1"/>
    <col min="2" max="2" width="13" customWidth="1"/>
    <col min="3" max="3" width="15" customWidth="1"/>
    <col min="4" max="5" width="11" customWidth="1"/>
    <col min="6" max="6" width="13" customWidth="1"/>
    <col min="7" max="7" width="15" customWidth="1"/>
    <col min="8" max="16" width="11" customWidth="1"/>
  </cols>
  <sheetData>
    <row r="1" spans="1:16" ht="21" customHeight="1" x14ac:dyDescent="0.25">
      <c r="A1" s="181" t="s">
        <v>32</v>
      </c>
      <c r="B1" s="181"/>
      <c r="C1" s="181"/>
      <c r="D1" s="181"/>
      <c r="E1" s="182" t="s">
        <v>33</v>
      </c>
      <c r="F1" s="182"/>
      <c r="G1" s="182"/>
      <c r="H1" s="182"/>
      <c r="I1" s="182"/>
      <c r="J1" s="182"/>
      <c r="K1" s="182"/>
      <c r="L1" s="182"/>
      <c r="M1" s="182"/>
      <c r="N1" s="182"/>
      <c r="O1" s="182"/>
      <c r="P1" s="182"/>
    </row>
    <row r="2" spans="1:16" ht="15.75" customHeight="1" x14ac:dyDescent="0.25">
      <c r="A2" s="183" t="e">
        <f ca="1">"Health districts of Senegal  •  Active scenario: "&amp;SIM_Parametres!$B$4&amp;"  •  Period 2016–2030  •  Edition "&amp;TEXT(TODAY(),"dd/mm/yyyy")</f>
        <v>#VALUE!</v>
      </c>
      <c r="B2" s="183"/>
      <c r="C2" s="183"/>
      <c r="D2" s="183"/>
      <c r="E2" s="183"/>
      <c r="F2" s="183"/>
      <c r="G2" s="183"/>
      <c r="H2" s="183"/>
      <c r="I2" s="183"/>
      <c r="J2" s="183"/>
      <c r="K2" s="183"/>
      <c r="L2" s="183"/>
      <c r="M2" s="183"/>
      <c r="N2" s="183"/>
      <c r="O2" s="183"/>
      <c r="P2" s="183"/>
    </row>
    <row r="3" spans="1:16" ht="4.5" customHeight="1" x14ac:dyDescent="0.25"/>
    <row r="4" spans="1:16" ht="15.75" customHeight="1" x14ac:dyDescent="0.25">
      <c r="A4" s="177" t="s">
        <v>34</v>
      </c>
      <c r="B4" s="177"/>
      <c r="C4" s="177"/>
      <c r="D4" s="177"/>
      <c r="E4" s="177"/>
      <c r="F4" s="177"/>
      <c r="G4" s="177"/>
      <c r="H4" s="177"/>
      <c r="I4" s="177"/>
      <c r="J4" s="177"/>
      <c r="K4" s="177"/>
      <c r="L4" s="177"/>
      <c r="M4" s="177"/>
      <c r="N4" s="177"/>
      <c r="O4" s="177"/>
      <c r="P4" s="177"/>
    </row>
    <row r="5" spans="1:16" ht="3.75" customHeight="1" x14ac:dyDescent="0.25"/>
    <row r="6" spans="1:16" ht="16.5" customHeight="1" x14ac:dyDescent="0.25">
      <c r="A6" s="184">
        <f>Synthese_Budgets_2016_2027!$R$95</f>
        <v>2455824837.3099031</v>
      </c>
      <c r="B6" s="184"/>
      <c r="C6" s="184"/>
      <c r="D6" s="184"/>
      <c r="E6" s="185">
        <f>Synthese_Budgets_2016_2027!$T$95</f>
        <v>0.45933960013257591</v>
      </c>
      <c r="F6" s="185"/>
      <c r="G6" s="185"/>
      <c r="H6" s="185"/>
      <c r="I6" s="186">
        <f>SIM_Tableau_Bord!$F$26</f>
        <v>22293170.875750974</v>
      </c>
      <c r="J6" s="186"/>
      <c r="K6" s="186"/>
      <c r="L6" s="186"/>
      <c r="M6" s="187">
        <f>SIM_Tableau_Bord!$G$26</f>
        <v>77.916864895052228</v>
      </c>
      <c r="N6" s="187"/>
      <c r="O6" s="187"/>
      <c r="P6" s="187"/>
    </row>
    <row r="7" spans="1:16" ht="16.5" customHeight="1" x14ac:dyDescent="0.25">
      <c r="A7" s="184"/>
      <c r="B7" s="184"/>
      <c r="C7" s="184"/>
      <c r="D7" s="184"/>
      <c r="E7" s="185"/>
      <c r="F7" s="185"/>
      <c r="G7" s="185"/>
      <c r="H7" s="185"/>
      <c r="I7" s="186"/>
      <c r="J7" s="186"/>
      <c r="K7" s="186"/>
      <c r="L7" s="186"/>
      <c r="M7" s="187"/>
      <c r="N7" s="187"/>
      <c r="O7" s="187"/>
      <c r="P7" s="187"/>
    </row>
    <row r="8" spans="1:16" ht="12.75" customHeight="1" x14ac:dyDescent="0.25">
      <c r="A8" s="180" t="s">
        <v>35</v>
      </c>
      <c r="B8" s="180"/>
      <c r="C8" s="180"/>
      <c r="D8" s="180"/>
      <c r="E8" s="180" t="s">
        <v>36</v>
      </c>
      <c r="F8" s="180"/>
      <c r="G8" s="180"/>
      <c r="H8" s="180"/>
      <c r="I8" s="180" t="s">
        <v>37</v>
      </c>
      <c r="J8" s="180"/>
      <c r="K8" s="180"/>
      <c r="L8" s="180"/>
      <c r="M8" s="180" t="s">
        <v>38</v>
      </c>
      <c r="N8" s="180"/>
      <c r="O8" s="180"/>
      <c r="P8" s="180"/>
    </row>
    <row r="9" spans="1:16" ht="15.75" customHeight="1" x14ac:dyDescent="0.25">
      <c r="A9" s="169" t="s">
        <v>39</v>
      </c>
      <c r="B9" s="169"/>
      <c r="C9" s="169"/>
      <c r="D9" s="169"/>
      <c r="E9" s="169" t="s">
        <v>40</v>
      </c>
      <c r="F9" s="169"/>
      <c r="G9" s="169"/>
      <c r="H9" s="169"/>
      <c r="I9" s="169" t="s">
        <v>41</v>
      </c>
      <c r="J9" s="169"/>
      <c r="K9" s="169"/>
      <c r="L9" s="169"/>
      <c r="M9" s="169" t="s">
        <v>42</v>
      </c>
      <c r="N9" s="169"/>
      <c r="O9" s="169"/>
      <c r="P9" s="169"/>
    </row>
    <row r="10" spans="1:16" ht="4.5" customHeight="1" x14ac:dyDescent="0.25"/>
    <row r="11" spans="1:16" ht="15.75" customHeight="1" x14ac:dyDescent="0.25">
      <c r="A11" s="177" t="s">
        <v>43</v>
      </c>
      <c r="B11" s="177"/>
      <c r="C11" s="177"/>
      <c r="D11" s="177"/>
      <c r="E11" s="177"/>
      <c r="F11" s="177"/>
      <c r="G11" s="177"/>
      <c r="H11" s="177"/>
      <c r="I11" s="177"/>
      <c r="J11" s="177"/>
      <c r="K11" s="177"/>
      <c r="L11" s="177"/>
      <c r="M11" s="177"/>
      <c r="N11" s="177"/>
      <c r="O11" s="177"/>
      <c r="P11" s="177"/>
    </row>
    <row r="12" spans="1:16" ht="3.75" customHeight="1" x14ac:dyDescent="0.25"/>
    <row r="27" spans="1:16" ht="4.5" customHeight="1" x14ac:dyDescent="0.25"/>
    <row r="28" spans="1:16" ht="15.75" customHeight="1" x14ac:dyDescent="0.25">
      <c r="A28" s="177" t="s">
        <v>44</v>
      </c>
      <c r="B28" s="177"/>
      <c r="C28" s="177"/>
      <c r="D28" s="177"/>
      <c r="E28" s="177"/>
      <c r="F28" s="177"/>
      <c r="G28" s="177"/>
      <c r="H28" s="177"/>
      <c r="I28" s="177"/>
      <c r="J28" s="177"/>
      <c r="K28" s="177"/>
      <c r="L28" s="177"/>
      <c r="M28" s="177"/>
      <c r="N28" s="177"/>
      <c r="O28" s="177"/>
      <c r="P28" s="177"/>
    </row>
    <row r="29" spans="1:16" ht="3.75" customHeight="1" x14ac:dyDescent="0.25"/>
    <row r="30" spans="1:16" ht="13.5" customHeight="1" x14ac:dyDescent="0.25">
      <c r="A30" s="178" t="s">
        <v>45</v>
      </c>
      <c r="B30" s="178"/>
      <c r="C30" s="178"/>
      <c r="E30" s="179" t="s">
        <v>46</v>
      </c>
      <c r="F30" s="179"/>
      <c r="G30" s="179"/>
    </row>
    <row r="31" spans="1:16" ht="13.5" customHeight="1" x14ac:dyDescent="0.25">
      <c r="A31" s="4" t="s">
        <v>47</v>
      </c>
      <c r="B31" s="4" t="s">
        <v>48</v>
      </c>
      <c r="C31" s="4" t="s">
        <v>49</v>
      </c>
      <c r="E31" s="4" t="s">
        <v>47</v>
      </c>
      <c r="F31" s="4" t="s">
        <v>48</v>
      </c>
      <c r="G31" s="4" t="s">
        <v>49</v>
      </c>
    </row>
    <row r="32" spans="1:16" ht="12.75" customHeight="1" x14ac:dyDescent="0.25">
      <c r="A32" s="5">
        <v>1</v>
      </c>
      <c r="B32" s="6" t="str">
        <f>INDEX(SIM_Modele!$C$998:$C$1068,MATCH(C32,SIM_Modele!$AH$998:$AH$1068,0))</f>
        <v>Bambey</v>
      </c>
      <c r="C32" s="7">
        <f>LARGE(SIM_Modele!$AH$998:$AH$1068,1)</f>
        <v>53682989.65228942</v>
      </c>
      <c r="E32" s="5">
        <v>1</v>
      </c>
      <c r="F32" s="6" t="str">
        <f>INDEX(SIM_Modele!$C$998:$C$1068,MATCH(G32,SIM_Modele!$AH$998:$AH$1068,0))</f>
        <v>Oussouye</v>
      </c>
      <c r="G32" s="7">
        <f>SMALL(SIM_Modele!$AH$998:$AH$1068,1)</f>
        <v>14209402.947342105</v>
      </c>
    </row>
    <row r="33" spans="1:16" ht="12.75" customHeight="1" x14ac:dyDescent="0.25">
      <c r="A33" s="8">
        <v>2</v>
      </c>
      <c r="B33" s="9" t="str">
        <f>INDEX(SIM_Modele!$C$998:$C$1068,MATCH(C33,SIM_Modele!$AH$998:$AH$1068,0))</f>
        <v>Diourbel</v>
      </c>
      <c r="C33" s="10">
        <f>LARGE(SIM_Modele!$AH$998:$AH$1068,2)</f>
        <v>49513554.563256562</v>
      </c>
      <c r="E33" s="8">
        <v>2</v>
      </c>
      <c r="F33" s="9" t="str">
        <f>INDEX(SIM_Modele!$C$998:$C$1068,MATCH(G33,SIM_Modele!$AH$998:$AH$1068,0))</f>
        <v>Foundiougne</v>
      </c>
      <c r="G33" s="10">
        <f>SMALL(SIM_Modele!$AH$998:$AH$1068,2)</f>
        <v>15393478.483651891</v>
      </c>
    </row>
    <row r="34" spans="1:16" ht="12.75" customHeight="1" x14ac:dyDescent="0.25">
      <c r="A34" s="5">
        <v>3</v>
      </c>
      <c r="B34" s="6" t="str">
        <f>INDEX(SIM_Modele!$C$998:$C$1068,MATCH(C34,SIM_Modele!$AH$998:$AH$1068,0))</f>
        <v>Thiès</v>
      </c>
      <c r="C34" s="7">
        <f>LARGE(SIM_Modele!$AH$998:$AH$1068,3)</f>
        <v>40458428.087060682</v>
      </c>
      <c r="E34" s="5">
        <v>3</v>
      </c>
      <c r="F34" s="6" t="str">
        <f>INDEX(SIM_Modele!$C$998:$C$1068,MATCH(G34,SIM_Modele!$AH$998:$AH$1068,0))</f>
        <v>Salémata</v>
      </c>
      <c r="G34" s="7">
        <f>SMALL(SIM_Modele!$AH$998:$AH$1068,3)</f>
        <v>15831309.566229377</v>
      </c>
    </row>
    <row r="35" spans="1:16" ht="12.75" customHeight="1" x14ac:dyDescent="0.25">
      <c r="A35" s="8">
        <v>4</v>
      </c>
      <c r="B35" s="9" t="str">
        <f>INDEX(SIM_Modele!$C$998:$C$1068,MATCH(C35,SIM_Modele!$AH$998:$AH$1068,0))</f>
        <v>Mbour</v>
      </c>
      <c r="C35" s="10">
        <f>LARGE(SIM_Modele!$AH$998:$AH$1068,4)</f>
        <v>37298891.746254675</v>
      </c>
      <c r="E35" s="8">
        <v>4</v>
      </c>
      <c r="F35" s="9" t="str">
        <f>INDEX(SIM_Modele!$C$998:$C$1068,MATCH(G35,SIM_Modele!$AH$998:$AH$1068,0))</f>
        <v>Diouloulou</v>
      </c>
      <c r="G35" s="10">
        <f>SMALL(SIM_Modele!$AH$998:$AH$1068,4)</f>
        <v>16056783.67092162</v>
      </c>
    </row>
    <row r="36" spans="1:16" ht="12.75" customHeight="1" x14ac:dyDescent="0.25">
      <c r="A36" s="5">
        <v>5</v>
      </c>
      <c r="B36" s="6" t="str">
        <f>INDEX(SIM_Modele!$C$998:$C$1068,MATCH(C36,SIM_Modele!$AH$998:$AH$1068,0))</f>
        <v>Nioro</v>
      </c>
      <c r="C36" s="7">
        <f>LARGE(SIM_Modele!$AH$998:$AH$1068,5)</f>
        <v>37175753.457585081</v>
      </c>
      <c r="E36" s="5">
        <v>5</v>
      </c>
      <c r="F36" s="6" t="str">
        <f>INDEX(SIM_Modele!$C$998:$C$1068,MATCH(G36,SIM_Modele!$AH$998:$AH$1068,0))</f>
        <v>Diamniadio</v>
      </c>
      <c r="G36" s="7">
        <f>SMALL(SIM_Modele!$AH$998:$AH$1068,5)</f>
        <v>16422489.585606553</v>
      </c>
    </row>
    <row r="37" spans="1:16" ht="12.75" customHeight="1" x14ac:dyDescent="0.25">
      <c r="A37" s="8">
        <v>6</v>
      </c>
      <c r="B37" s="9" t="str">
        <f>INDEX(SIM_Modele!$C$998:$C$1068,MATCH(C37,SIM_Modele!$AH$998:$AH$1068,0))</f>
        <v>Nord</v>
      </c>
      <c r="C37" s="10">
        <f>LARGE(SIM_Modele!$AH$998:$AH$1068,6)</f>
        <v>35527073.296822853</v>
      </c>
      <c r="E37" s="8">
        <v>6</v>
      </c>
      <c r="F37" s="9" t="str">
        <f>INDEX(SIM_Modele!$C$998:$C$1068,MATCH(G37,SIM_Modele!$AH$998:$AH$1068,0))</f>
        <v>Coky</v>
      </c>
      <c r="G37" s="10">
        <f>SMALL(SIM_Modele!$AH$998:$AH$1068,6)</f>
        <v>16522193.064335963</v>
      </c>
    </row>
    <row r="38" spans="1:16" ht="12.75" customHeight="1" x14ac:dyDescent="0.25">
      <c r="A38" s="5">
        <v>7</v>
      </c>
      <c r="B38" s="6" t="str">
        <f>INDEX(SIM_Modele!$C$998:$C$1068,MATCH(C38,SIM_Modele!$AH$998:$AH$1068,0))</f>
        <v>Kasnack</v>
      </c>
      <c r="C38" s="7">
        <f>LARGE(SIM_Modele!$AH$998:$AH$1068,7)</f>
        <v>34248296.364948139</v>
      </c>
      <c r="E38" s="5">
        <v>7</v>
      </c>
      <c r="F38" s="6" t="str">
        <f>INDEX(SIM_Modele!$C$998:$C$1068,MATCH(G38,SIM_Modele!$AH$998:$AH$1068,0))</f>
        <v>Dioffior</v>
      </c>
      <c r="G38" s="7">
        <f>SMALL(SIM_Modele!$AH$998:$AH$1068,7)</f>
        <v>16880329.957354601</v>
      </c>
    </row>
    <row r="39" spans="1:16" ht="12.75" customHeight="1" x14ac:dyDescent="0.25">
      <c r="A39" s="8">
        <v>8</v>
      </c>
      <c r="B39" s="9" t="str">
        <f>INDEX(SIM_Modele!$C$998:$C$1068,MATCH(C39,SIM_Modele!$AH$998:$AH$1068,0))</f>
        <v>Tamba</v>
      </c>
      <c r="C39" s="10">
        <f>LARGE(SIM_Modele!$AH$998:$AH$1068,8)</f>
        <v>33908347.286862358</v>
      </c>
      <c r="E39" s="8">
        <v>8</v>
      </c>
      <c r="F39" s="9" t="str">
        <f>INDEX(SIM_Modele!$C$998:$C$1068,MATCH(G39,SIM_Modele!$AH$998:$AH$1068,0))</f>
        <v>Niakhar</v>
      </c>
      <c r="G39" s="10">
        <f>SMALL(SIM_Modele!$AH$998:$AH$1068,8)</f>
        <v>16951134.677491747</v>
      </c>
    </row>
    <row r="40" spans="1:16" ht="12.75" customHeight="1" x14ac:dyDescent="0.25">
      <c r="A40" s="5">
        <v>9</v>
      </c>
      <c r="B40" s="6" t="str">
        <f>INDEX(SIM_Modele!$C$998:$C$1068,MATCH(C40,SIM_Modele!$AH$998:$AH$1068,0))</f>
        <v>Mbacké</v>
      </c>
      <c r="C40" s="7">
        <f>LARGE(SIM_Modele!$AH$998:$AH$1068,9)</f>
        <v>33791155.271377668</v>
      </c>
      <c r="E40" s="5">
        <v>9</v>
      </c>
      <c r="F40" s="6" t="str">
        <f>INDEX(SIM_Modele!$C$998:$C$1068,MATCH(G40,SIM_Modele!$AH$998:$AH$1068,0))</f>
        <v>Dagana</v>
      </c>
      <c r="G40" s="7">
        <f>SMALL(SIM_Modele!$AH$998:$AH$1068,9)</f>
        <v>16952077.658867333</v>
      </c>
    </row>
    <row r="41" spans="1:16" ht="12.75" customHeight="1" x14ac:dyDescent="0.25">
      <c r="A41" s="8">
        <v>10</v>
      </c>
      <c r="B41" s="9" t="str">
        <f>INDEX(SIM_Modele!$C$998:$C$1068,MATCH(C41,SIM_Modele!$AH$998:$AH$1068,0))</f>
        <v>Vélingara</v>
      </c>
      <c r="C41" s="10">
        <f>LARGE(SIM_Modele!$AH$998:$AH$1068,10)</f>
        <v>33115736.934784822</v>
      </c>
      <c r="E41" s="8">
        <v>10</v>
      </c>
      <c r="F41" s="9" t="str">
        <f>INDEX(SIM_Modele!$C$998:$C$1068,MATCH(G41,SIM_Modele!$AH$998:$AH$1068,0))</f>
        <v>Sakal</v>
      </c>
      <c r="G41" s="10">
        <f>SMALL(SIM_Modele!$AH$998:$AH$1068,10)</f>
        <v>17034053.023851894</v>
      </c>
    </row>
    <row r="45" spans="1:16" ht="4.5" customHeight="1" x14ac:dyDescent="0.25"/>
    <row r="46" spans="1:16" ht="15.75" customHeight="1" x14ac:dyDescent="0.25">
      <c r="A46" s="177" t="s">
        <v>50</v>
      </c>
      <c r="B46" s="177"/>
      <c r="C46" s="177"/>
      <c r="D46" s="177"/>
      <c r="E46" s="177"/>
      <c r="F46" s="177"/>
      <c r="G46" s="177"/>
      <c r="H46" s="177"/>
      <c r="I46" s="177"/>
      <c r="J46" s="177"/>
      <c r="K46" s="177"/>
      <c r="L46" s="177"/>
      <c r="M46" s="177"/>
      <c r="N46" s="177"/>
      <c r="O46" s="177"/>
      <c r="P46" s="177"/>
    </row>
    <row r="47" spans="1:16" ht="3.75" customHeight="1" x14ac:dyDescent="0.25"/>
    <row r="48" spans="1:16" ht="24" customHeight="1" x14ac:dyDescent="0.25">
      <c r="A48" s="176" t="s">
        <v>51</v>
      </c>
      <c r="B48" s="176"/>
      <c r="C48" s="176" t="s">
        <v>52</v>
      </c>
      <c r="D48" s="176"/>
      <c r="E48" s="176" t="s">
        <v>53</v>
      </c>
      <c r="F48" s="176"/>
      <c r="G48" s="176" t="s">
        <v>54</v>
      </c>
      <c r="H48" s="176"/>
      <c r="I48" s="176" t="s">
        <v>55</v>
      </c>
      <c r="J48" s="176"/>
      <c r="K48" s="176" t="s">
        <v>56</v>
      </c>
      <c r="L48" s="176"/>
      <c r="M48" s="176" t="s">
        <v>57</v>
      </c>
      <c r="N48" s="176"/>
      <c r="O48" s="176" t="s">
        <v>58</v>
      </c>
      <c r="P48" s="176"/>
    </row>
    <row r="49" spans="1:16" ht="15" customHeight="1" x14ac:dyDescent="0.25">
      <c r="A49" s="172" t="s">
        <v>59</v>
      </c>
      <c r="B49" s="172"/>
      <c r="C49" s="173">
        <f>SIM_Parametres!$B$16</f>
        <v>1.2999999999999999E-2</v>
      </c>
      <c r="D49" s="173"/>
      <c r="E49" s="173">
        <f>SIM_Parametres!$C$16</f>
        <v>2.7E-2</v>
      </c>
      <c r="F49" s="173"/>
      <c r="G49" s="174">
        <f>SIM_Parametres!$D$16</f>
        <v>0</v>
      </c>
      <c r="H49" s="174"/>
      <c r="I49" s="173">
        <f>SIM_Parametres!$E$16</f>
        <v>-1.4999999999999999E-2</v>
      </c>
      <c r="J49" s="173"/>
      <c r="K49" s="173">
        <f>SIM_Parametres!$F$16</f>
        <v>-0.02</v>
      </c>
      <c r="L49" s="173"/>
      <c r="M49" s="174">
        <f>SIM_Parametres!$G$16</f>
        <v>0.5</v>
      </c>
      <c r="N49" s="174"/>
      <c r="O49" s="173">
        <f>SIM_Parametres!$H$16</f>
        <v>5.0000000000000001E-3</v>
      </c>
      <c r="P49" s="173"/>
    </row>
    <row r="50" spans="1:16" ht="15" customHeight="1" x14ac:dyDescent="0.25">
      <c r="A50" s="175" t="s">
        <v>60</v>
      </c>
      <c r="B50" s="175"/>
      <c r="C50" s="170">
        <f>SIM_Parametres!$B$17</f>
        <v>2.1999999999999999E-2</v>
      </c>
      <c r="D50" s="170"/>
      <c r="E50" s="170">
        <f>SIM_Parametres!$C$17</f>
        <v>2.9000000000000001E-2</v>
      </c>
      <c r="F50" s="170"/>
      <c r="G50" s="171">
        <f>SIM_Parametres!$D$17</f>
        <v>-0.4</v>
      </c>
      <c r="H50" s="171"/>
      <c r="I50" s="170">
        <f>SIM_Parametres!$E$17</f>
        <v>-3.5000000000000003E-2</v>
      </c>
      <c r="J50" s="170"/>
      <c r="K50" s="170">
        <f>SIM_Parametres!$F$17</f>
        <v>-0.05</v>
      </c>
      <c r="L50" s="170"/>
      <c r="M50" s="171">
        <f>SIM_Parametres!$G$17</f>
        <v>1</v>
      </c>
      <c r="N50" s="171"/>
      <c r="O50" s="170">
        <f>SIM_Parametres!$H$17</f>
        <v>1.4999999999999999E-2</v>
      </c>
      <c r="P50" s="170"/>
    </row>
    <row r="51" spans="1:16" ht="15" customHeight="1" x14ac:dyDescent="0.25">
      <c r="A51" s="172" t="s">
        <v>61</v>
      </c>
      <c r="B51" s="172"/>
      <c r="C51" s="173">
        <f>SIM_Parametres!$B$18</f>
        <v>3.2000000000000001E-2</v>
      </c>
      <c r="D51" s="173"/>
      <c r="E51" s="173">
        <f>SIM_Parametres!$C$18</f>
        <v>0.03</v>
      </c>
      <c r="F51" s="173"/>
      <c r="G51" s="174">
        <f>SIM_Parametres!$D$18</f>
        <v>-0.83</v>
      </c>
      <c r="H51" s="174"/>
      <c r="I51" s="173">
        <f>SIM_Parametres!$E$18</f>
        <v>-0.06</v>
      </c>
      <c r="J51" s="173"/>
      <c r="K51" s="173">
        <f>SIM_Parametres!$F$18</f>
        <v>-0.1</v>
      </c>
      <c r="L51" s="173"/>
      <c r="M51" s="174">
        <f>SIM_Parametres!$G$18</f>
        <v>2</v>
      </c>
      <c r="N51" s="174"/>
      <c r="O51" s="173">
        <f>SIM_Parametres!$H$18</f>
        <v>0.03</v>
      </c>
      <c r="P51" s="173"/>
    </row>
    <row r="53" spans="1:16" ht="19.5" customHeight="1" x14ac:dyDescent="0.25">
      <c r="A53" s="169" t="s">
        <v>62</v>
      </c>
      <c r="B53" s="169"/>
      <c r="C53" s="169"/>
      <c r="D53" s="169"/>
      <c r="E53" s="169"/>
      <c r="F53" s="169"/>
      <c r="G53" s="169"/>
      <c r="H53" s="169"/>
      <c r="I53" s="169"/>
      <c r="J53" s="169"/>
      <c r="K53" s="169"/>
      <c r="L53" s="169"/>
      <c r="M53" s="169"/>
      <c r="N53" s="169"/>
      <c r="O53" s="169"/>
      <c r="P53" s="169"/>
    </row>
  </sheetData>
  <mergeCells count="54">
    <mergeCell ref="A1:D1"/>
    <mergeCell ref="E1:P1"/>
    <mergeCell ref="A2:P2"/>
    <mergeCell ref="A4:P4"/>
    <mergeCell ref="A6:D7"/>
    <mergeCell ref="E6:H7"/>
    <mergeCell ref="I6:L7"/>
    <mergeCell ref="M6:P7"/>
    <mergeCell ref="A8:D8"/>
    <mergeCell ref="E8:H8"/>
    <mergeCell ref="I8:L8"/>
    <mergeCell ref="M8:P8"/>
    <mergeCell ref="A9:D9"/>
    <mergeCell ref="E9:H9"/>
    <mergeCell ref="I9:L9"/>
    <mergeCell ref="M9:P9"/>
    <mergeCell ref="I48:J48"/>
    <mergeCell ref="A11:P11"/>
    <mergeCell ref="A28:P28"/>
    <mergeCell ref="A30:C30"/>
    <mergeCell ref="E30:G30"/>
    <mergeCell ref="A46:P46"/>
    <mergeCell ref="I50:J50"/>
    <mergeCell ref="K48:L48"/>
    <mergeCell ref="M48:N48"/>
    <mergeCell ref="O48:P48"/>
    <mergeCell ref="A49:B49"/>
    <mergeCell ref="C49:D49"/>
    <mergeCell ref="E49:F49"/>
    <mergeCell ref="G49:H49"/>
    <mergeCell ref="I49:J49"/>
    <mergeCell ref="K49:L49"/>
    <mergeCell ref="M49:N49"/>
    <mergeCell ref="O49:P49"/>
    <mergeCell ref="A48:B48"/>
    <mergeCell ref="C48:D48"/>
    <mergeCell ref="E48:F48"/>
    <mergeCell ref="G48:H48"/>
    <mergeCell ref="A53:P53"/>
    <mergeCell ref="K50:L50"/>
    <mergeCell ref="M50:N50"/>
    <mergeCell ref="O50:P50"/>
    <mergeCell ref="A51:B51"/>
    <mergeCell ref="C51:D51"/>
    <mergeCell ref="E51:F51"/>
    <mergeCell ref="G51:H51"/>
    <mergeCell ref="I51:J51"/>
    <mergeCell ref="K51:L51"/>
    <mergeCell ref="M51:N51"/>
    <mergeCell ref="O51:P51"/>
    <mergeCell ref="A50:B50"/>
    <mergeCell ref="C50:D50"/>
    <mergeCell ref="E50:F50"/>
    <mergeCell ref="G50:H50"/>
  </mergeCells>
  <hyperlinks>
    <hyperlink ref="A1" location="'SIM_Accueil'!A1" display="⌂  BACK TO HOME" xr:uid="{00000000-0004-0000-0100-000000000000}"/>
  </hyperlinks>
  <pageMargins left="0.7" right="0.7" top="0.75" bottom="0.75" header="0.511811023622047" footer="0.511811023622047"/>
  <pageSetup paperSize="9"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F5597"/>
  </sheetPr>
  <dimension ref="A1:L48"/>
  <sheetViews>
    <sheetView showGridLines="0" zoomScaleNormal="100" workbookViewId="0"/>
  </sheetViews>
  <sheetFormatPr baseColWidth="10" defaultColWidth="8.6328125" defaultRowHeight="12.5" x14ac:dyDescent="0.25"/>
  <cols>
    <col min="1" max="1" width="42" style="11" customWidth="1"/>
    <col min="2" max="2" width="19" style="12" customWidth="1"/>
    <col min="3" max="3" width="42" customWidth="1"/>
    <col min="4" max="4" width="22" style="12" customWidth="1"/>
    <col min="5" max="9" width="42" customWidth="1"/>
    <col min="10" max="12" width="13" customWidth="1"/>
  </cols>
  <sheetData>
    <row r="1" spans="1:12" ht="27.75" customHeight="1" x14ac:dyDescent="0.25">
      <c r="A1" s="205" t="s">
        <v>32</v>
      </c>
      <c r="B1" s="205"/>
      <c r="C1" s="205"/>
      <c r="D1" s="205"/>
      <c r="E1" s="206" t="s">
        <v>63</v>
      </c>
      <c r="F1" s="206"/>
      <c r="G1" s="206"/>
      <c r="H1" s="206"/>
      <c r="I1" s="206"/>
      <c r="J1" s="206"/>
      <c r="K1" s="206"/>
      <c r="L1" s="206"/>
    </row>
    <row r="2" spans="1:12" ht="13.5" customHeight="1" x14ac:dyDescent="0.3">
      <c r="A2" s="207" t="s">
        <v>64</v>
      </c>
      <c r="B2" s="207"/>
      <c r="C2" s="207"/>
      <c r="D2" s="207"/>
      <c r="E2" s="207"/>
      <c r="F2" s="207"/>
      <c r="G2" s="207"/>
      <c r="H2" s="207"/>
      <c r="I2" s="207"/>
      <c r="J2" s="13"/>
      <c r="K2" s="13"/>
      <c r="L2" s="13"/>
    </row>
    <row r="3" spans="1:12" ht="12.75" customHeight="1" x14ac:dyDescent="0.3">
      <c r="A3" s="207"/>
      <c r="B3" s="207"/>
      <c r="C3" s="207"/>
      <c r="D3" s="207"/>
      <c r="E3" s="207"/>
      <c r="F3" s="207"/>
      <c r="G3" s="207"/>
      <c r="H3" s="207"/>
      <c r="I3" s="207"/>
      <c r="J3" s="13"/>
      <c r="K3" s="13"/>
      <c r="L3" s="13"/>
    </row>
    <row r="4" spans="1:12" ht="12.75" customHeight="1" x14ac:dyDescent="0.3">
      <c r="A4" s="14"/>
      <c r="B4" s="15"/>
      <c r="C4" s="16"/>
      <c r="D4" s="15"/>
      <c r="E4" s="16"/>
      <c r="F4" s="16"/>
      <c r="G4" s="16"/>
      <c r="H4" s="16"/>
      <c r="I4" s="16"/>
      <c r="J4" s="13"/>
      <c r="K4" s="13"/>
      <c r="L4" s="13"/>
    </row>
    <row r="5" spans="1:12" ht="12.75" customHeight="1" x14ac:dyDescent="0.3">
      <c r="A5" s="17" t="s">
        <v>65</v>
      </c>
      <c r="B5" s="18" t="s">
        <v>66</v>
      </c>
      <c r="C5" s="17" t="s">
        <v>65</v>
      </c>
      <c r="D5" s="18" t="s">
        <v>66</v>
      </c>
      <c r="E5" s="17" t="s">
        <v>65</v>
      </c>
      <c r="F5" s="18" t="s">
        <v>66</v>
      </c>
      <c r="G5" s="17" t="s">
        <v>65</v>
      </c>
      <c r="H5" s="18" t="s">
        <v>66</v>
      </c>
      <c r="I5" s="16"/>
      <c r="J5" s="13"/>
      <c r="K5" s="13"/>
      <c r="L5" s="13"/>
    </row>
    <row r="6" spans="1:12" ht="12.75" customHeight="1" x14ac:dyDescent="0.3">
      <c r="A6" s="17" t="s">
        <v>51</v>
      </c>
      <c r="B6" s="19" t="str">
        <f>SIM_Parametres!B4</f>
        <v>2050 Transformation</v>
      </c>
      <c r="C6" s="20" t="s">
        <v>67</v>
      </c>
      <c r="D6" s="19">
        <f>SIM_Parametres!B5</f>
        <v>3.2000000000000001E-2</v>
      </c>
      <c r="E6" s="20" t="s">
        <v>68</v>
      </c>
      <c r="F6" s="19">
        <f>SIM_Parametres!B6</f>
        <v>0.03</v>
      </c>
      <c r="G6" s="20" t="s">
        <v>69</v>
      </c>
      <c r="H6" s="19">
        <f>SIM_Parametres!B12</f>
        <v>0.2</v>
      </c>
      <c r="I6" s="16"/>
      <c r="J6" s="13"/>
      <c r="K6" s="13"/>
      <c r="L6" s="13"/>
    </row>
    <row r="7" spans="1:12" ht="12.75" customHeight="1" x14ac:dyDescent="0.3">
      <c r="A7" s="17" t="s">
        <v>70</v>
      </c>
      <c r="B7" s="19">
        <f>SIM_Parametres!D32</f>
        <v>0.5</v>
      </c>
      <c r="C7" s="20" t="s">
        <v>71</v>
      </c>
      <c r="D7" s="19">
        <f>SIM_Parametres!D33</f>
        <v>0.75</v>
      </c>
      <c r="E7" s="20" t="s">
        <v>72</v>
      </c>
      <c r="F7" s="19">
        <f>SIM_Parametres!E32</f>
        <v>0.05</v>
      </c>
      <c r="G7" s="20" t="s">
        <v>73</v>
      </c>
      <c r="H7" s="19">
        <f>SIM_Parametres!F32</f>
        <v>0.15</v>
      </c>
      <c r="I7" s="16"/>
      <c r="J7" s="13"/>
      <c r="K7" s="13"/>
      <c r="L7" s="13"/>
    </row>
    <row r="8" spans="1:12" ht="12.75" customHeight="1" x14ac:dyDescent="0.3">
      <c r="A8" s="21"/>
      <c r="B8" s="22"/>
      <c r="C8" s="23"/>
      <c r="D8" s="22"/>
      <c r="E8" s="23"/>
      <c r="F8" s="23"/>
      <c r="G8" s="23"/>
      <c r="H8" s="23"/>
      <c r="I8" s="23"/>
      <c r="J8" s="13"/>
      <c r="K8" s="13"/>
      <c r="L8" s="13"/>
    </row>
    <row r="9" spans="1:12" ht="12.75" customHeight="1" x14ac:dyDescent="0.3">
      <c r="A9" s="14"/>
      <c r="B9" s="15"/>
      <c r="C9" s="16"/>
      <c r="D9" s="15"/>
      <c r="E9" s="16"/>
      <c r="F9" s="16"/>
      <c r="G9" s="16"/>
      <c r="H9" s="16"/>
      <c r="I9" s="16"/>
      <c r="J9" s="13"/>
      <c r="K9" s="13"/>
      <c r="L9" s="13"/>
    </row>
    <row r="10" spans="1:12" s="26" customFormat="1" ht="24" customHeight="1" x14ac:dyDescent="0.3">
      <c r="A10" s="24" t="s">
        <v>74</v>
      </c>
      <c r="B10" s="25" t="s">
        <v>75</v>
      </c>
      <c r="C10" s="25" t="s">
        <v>76</v>
      </c>
      <c r="D10" s="25" t="s">
        <v>77</v>
      </c>
      <c r="E10" s="25" t="s">
        <v>78</v>
      </c>
      <c r="F10" s="25" t="s">
        <v>79</v>
      </c>
      <c r="G10" s="25" t="s">
        <v>80</v>
      </c>
      <c r="H10" s="25" t="s">
        <v>81</v>
      </c>
      <c r="I10" s="25" t="s">
        <v>82</v>
      </c>
      <c r="J10" s="13"/>
      <c r="K10" s="13"/>
      <c r="L10" s="13"/>
    </row>
    <row r="11" spans="1:12" s="32" customFormat="1" ht="44.25" customHeight="1" x14ac:dyDescent="0.25">
      <c r="A11" s="27" t="s">
        <v>83</v>
      </c>
      <c r="B11" s="28" t="s">
        <v>84</v>
      </c>
      <c r="C11" s="29" t="s">
        <v>85</v>
      </c>
      <c r="D11" s="30" t="s">
        <v>86</v>
      </c>
      <c r="E11" s="29" t="s">
        <v>87</v>
      </c>
      <c r="F11" s="29" t="s">
        <v>88</v>
      </c>
      <c r="G11" s="29" t="s">
        <v>89</v>
      </c>
      <c r="H11" s="29" t="s">
        <v>90</v>
      </c>
      <c r="I11" s="29" t="s">
        <v>91</v>
      </c>
      <c r="J11" s="31"/>
      <c r="K11" s="31"/>
      <c r="L11" s="31"/>
    </row>
    <row r="12" spans="1:12" s="32" customFormat="1" ht="51.75" customHeight="1" x14ac:dyDescent="0.25">
      <c r="A12" s="33" t="s">
        <v>92</v>
      </c>
      <c r="B12" s="34" t="s">
        <v>93</v>
      </c>
      <c r="C12" s="35" t="s">
        <v>94</v>
      </c>
      <c r="D12" s="36" t="s">
        <v>95</v>
      </c>
      <c r="E12" s="35" t="s">
        <v>96</v>
      </c>
      <c r="F12" s="35" t="s">
        <v>97</v>
      </c>
      <c r="G12" s="35" t="s">
        <v>98</v>
      </c>
      <c r="H12" s="35" t="s">
        <v>99</v>
      </c>
      <c r="I12" s="35" t="s">
        <v>100</v>
      </c>
      <c r="J12" s="31"/>
      <c r="K12" s="31"/>
      <c r="L12" s="31"/>
    </row>
    <row r="13" spans="1:12" s="32" customFormat="1" ht="51.75" customHeight="1" x14ac:dyDescent="0.25">
      <c r="A13" s="27" t="s">
        <v>101</v>
      </c>
      <c r="B13" s="28" t="s">
        <v>102</v>
      </c>
      <c r="C13" s="29" t="s">
        <v>103</v>
      </c>
      <c r="D13" s="30" t="s">
        <v>104</v>
      </c>
      <c r="E13" s="29" t="s">
        <v>105</v>
      </c>
      <c r="F13" s="29" t="s">
        <v>106</v>
      </c>
      <c r="G13" s="29" t="s">
        <v>107</v>
      </c>
      <c r="H13" s="29" t="s">
        <v>108</v>
      </c>
      <c r="I13" s="29" t="s">
        <v>109</v>
      </c>
      <c r="J13" s="31"/>
      <c r="K13" s="31"/>
      <c r="L13" s="31"/>
    </row>
    <row r="14" spans="1:12" s="32" customFormat="1" ht="51.75" customHeight="1" x14ac:dyDescent="0.25">
      <c r="A14" s="33" t="s">
        <v>110</v>
      </c>
      <c r="B14" s="34" t="s">
        <v>111</v>
      </c>
      <c r="C14" s="35" t="s">
        <v>112</v>
      </c>
      <c r="D14" s="36" t="s">
        <v>113</v>
      </c>
      <c r="E14" s="35" t="s">
        <v>114</v>
      </c>
      <c r="F14" s="35" t="s">
        <v>115</v>
      </c>
      <c r="G14" s="35" t="s">
        <v>116</v>
      </c>
      <c r="H14" s="35" t="s">
        <v>117</v>
      </c>
      <c r="I14" s="35" t="s">
        <v>118</v>
      </c>
      <c r="J14" s="31"/>
      <c r="K14" s="31"/>
      <c r="L14" s="31"/>
    </row>
    <row r="15" spans="1:12" s="32" customFormat="1" ht="51.75" customHeight="1" x14ac:dyDescent="0.25">
      <c r="A15" s="27" t="s">
        <v>119</v>
      </c>
      <c r="B15" s="28" t="s">
        <v>120</v>
      </c>
      <c r="C15" s="29" t="s">
        <v>121</v>
      </c>
      <c r="D15" s="30" t="s">
        <v>122</v>
      </c>
      <c r="E15" s="29" t="s">
        <v>123</v>
      </c>
      <c r="F15" s="29" t="s">
        <v>124</v>
      </c>
      <c r="G15" s="29" t="s">
        <v>125</v>
      </c>
      <c r="H15" s="29" t="s">
        <v>126</v>
      </c>
      <c r="I15" s="29" t="s">
        <v>127</v>
      </c>
      <c r="J15" s="31"/>
      <c r="K15" s="31"/>
      <c r="L15" s="31"/>
    </row>
    <row r="16" spans="1:12" s="32" customFormat="1" ht="64.5" customHeight="1" x14ac:dyDescent="0.25">
      <c r="A16" s="33" t="s">
        <v>128</v>
      </c>
      <c r="B16" s="34" t="s">
        <v>128</v>
      </c>
      <c r="C16" s="35" t="s">
        <v>129</v>
      </c>
      <c r="D16" s="36" t="s">
        <v>122</v>
      </c>
      <c r="E16" s="35" t="s">
        <v>130</v>
      </c>
      <c r="F16" s="35" t="s">
        <v>131</v>
      </c>
      <c r="G16" s="35" t="s">
        <v>125</v>
      </c>
      <c r="H16" s="35" t="s">
        <v>132</v>
      </c>
      <c r="I16" s="35" t="s">
        <v>133</v>
      </c>
      <c r="J16" s="31"/>
      <c r="K16" s="31"/>
      <c r="L16" s="31"/>
    </row>
    <row r="17" spans="1:12" s="32" customFormat="1" ht="51.75" customHeight="1" x14ac:dyDescent="0.25">
      <c r="A17" s="27" t="s">
        <v>134</v>
      </c>
      <c r="B17" s="28" t="s">
        <v>135</v>
      </c>
      <c r="C17" s="29" t="s">
        <v>136</v>
      </c>
      <c r="D17" s="30" t="s">
        <v>122</v>
      </c>
      <c r="E17" s="29" t="s">
        <v>96</v>
      </c>
      <c r="F17" s="29" t="s">
        <v>137</v>
      </c>
      <c r="G17" s="29" t="s">
        <v>98</v>
      </c>
      <c r="H17" s="29" t="s">
        <v>138</v>
      </c>
      <c r="I17" s="29" t="s">
        <v>139</v>
      </c>
      <c r="J17" s="31"/>
      <c r="K17" s="31"/>
      <c r="L17" s="31"/>
    </row>
    <row r="18" spans="1:12" s="32" customFormat="1" ht="51.75" customHeight="1" x14ac:dyDescent="0.25">
      <c r="A18" s="33" t="s">
        <v>140</v>
      </c>
      <c r="B18" s="34" t="s">
        <v>141</v>
      </c>
      <c r="C18" s="35" t="s">
        <v>142</v>
      </c>
      <c r="D18" s="36" t="s">
        <v>143</v>
      </c>
      <c r="E18" s="35" t="s">
        <v>96</v>
      </c>
      <c r="F18" s="35" t="s">
        <v>144</v>
      </c>
      <c r="G18" s="35" t="s">
        <v>145</v>
      </c>
      <c r="H18" s="35" t="s">
        <v>146</v>
      </c>
      <c r="I18" s="35" t="s">
        <v>147</v>
      </c>
      <c r="J18" s="31"/>
      <c r="K18" s="31"/>
      <c r="L18" s="31"/>
    </row>
    <row r="19" spans="1:12" s="32" customFormat="1" ht="51.75" customHeight="1" x14ac:dyDescent="0.25">
      <c r="A19" s="27" t="s">
        <v>148</v>
      </c>
      <c r="B19" s="28" t="s">
        <v>149</v>
      </c>
      <c r="C19" s="29" t="s">
        <v>150</v>
      </c>
      <c r="D19" s="30" t="s">
        <v>143</v>
      </c>
      <c r="E19" s="29" t="s">
        <v>96</v>
      </c>
      <c r="F19" s="29" t="s">
        <v>151</v>
      </c>
      <c r="G19" s="29" t="s">
        <v>152</v>
      </c>
      <c r="H19" s="29" t="s">
        <v>153</v>
      </c>
      <c r="I19" s="29" t="s">
        <v>154</v>
      </c>
      <c r="J19" s="31"/>
      <c r="K19" s="31"/>
      <c r="L19" s="31"/>
    </row>
    <row r="20" spans="1:12" s="32" customFormat="1" ht="39" customHeight="1" x14ac:dyDescent="0.25">
      <c r="A20" s="33" t="s">
        <v>155</v>
      </c>
      <c r="B20" s="34" t="s">
        <v>156</v>
      </c>
      <c r="C20" s="35" t="s">
        <v>157</v>
      </c>
      <c r="D20" s="36" t="s">
        <v>143</v>
      </c>
      <c r="E20" s="35" t="s">
        <v>96</v>
      </c>
      <c r="F20" s="35" t="s">
        <v>158</v>
      </c>
      <c r="G20" s="35" t="s">
        <v>159</v>
      </c>
      <c r="H20" s="35" t="s">
        <v>160</v>
      </c>
      <c r="I20" s="35" t="s">
        <v>161</v>
      </c>
      <c r="J20" s="31"/>
      <c r="K20" s="31"/>
      <c r="L20" s="31"/>
    </row>
    <row r="21" spans="1:12" s="32" customFormat="1" ht="51.75" customHeight="1" x14ac:dyDescent="0.25">
      <c r="A21" s="27" t="s">
        <v>162</v>
      </c>
      <c r="B21" s="28" t="s">
        <v>163</v>
      </c>
      <c r="C21" s="29" t="s">
        <v>164</v>
      </c>
      <c r="D21" s="30" t="s">
        <v>143</v>
      </c>
      <c r="E21" s="29" t="s">
        <v>96</v>
      </c>
      <c r="F21" s="29" t="s">
        <v>165</v>
      </c>
      <c r="G21" s="29" t="s">
        <v>159</v>
      </c>
      <c r="H21" s="29" t="s">
        <v>166</v>
      </c>
      <c r="I21" s="29" t="s">
        <v>167</v>
      </c>
      <c r="J21" s="31"/>
      <c r="K21" s="31"/>
      <c r="L21" s="31"/>
    </row>
    <row r="22" spans="1:12" s="32" customFormat="1" ht="51.75" customHeight="1" x14ac:dyDescent="0.25">
      <c r="A22" s="33" t="s">
        <v>168</v>
      </c>
      <c r="B22" s="34" t="s">
        <v>169</v>
      </c>
      <c r="C22" s="35" t="s">
        <v>170</v>
      </c>
      <c r="D22" s="36" t="s">
        <v>122</v>
      </c>
      <c r="E22" s="35" t="s">
        <v>96</v>
      </c>
      <c r="F22" s="35" t="s">
        <v>171</v>
      </c>
      <c r="G22" s="35" t="s">
        <v>98</v>
      </c>
      <c r="H22" s="35" t="s">
        <v>172</v>
      </c>
      <c r="I22" s="35" t="s">
        <v>173</v>
      </c>
      <c r="J22" s="31"/>
      <c r="K22" s="31"/>
      <c r="L22" s="31"/>
    </row>
    <row r="23" spans="1:12" s="32" customFormat="1" ht="51.75" customHeight="1" x14ac:dyDescent="0.25">
      <c r="A23" s="27" t="s">
        <v>174</v>
      </c>
      <c r="B23" s="28" t="s">
        <v>175</v>
      </c>
      <c r="C23" s="29" t="s">
        <v>176</v>
      </c>
      <c r="D23" s="30" t="s">
        <v>122</v>
      </c>
      <c r="E23" s="29" t="s">
        <v>96</v>
      </c>
      <c r="F23" s="29" t="s">
        <v>177</v>
      </c>
      <c r="G23" s="29" t="s">
        <v>98</v>
      </c>
      <c r="H23" s="29" t="s">
        <v>172</v>
      </c>
      <c r="I23" s="29" t="s">
        <v>178</v>
      </c>
      <c r="J23" s="31"/>
      <c r="K23" s="31"/>
      <c r="L23" s="31"/>
    </row>
    <row r="24" spans="1:12" s="32" customFormat="1" ht="51.75" customHeight="1" x14ac:dyDescent="0.25">
      <c r="A24" s="33" t="s">
        <v>179</v>
      </c>
      <c r="B24" s="34" t="s">
        <v>180</v>
      </c>
      <c r="C24" s="35" t="s">
        <v>181</v>
      </c>
      <c r="D24" s="36" t="s">
        <v>122</v>
      </c>
      <c r="E24" s="35" t="s">
        <v>96</v>
      </c>
      <c r="F24" s="35" t="s">
        <v>182</v>
      </c>
      <c r="G24" s="35" t="s">
        <v>98</v>
      </c>
      <c r="H24" s="35" t="s">
        <v>183</v>
      </c>
      <c r="I24" s="35" t="s">
        <v>184</v>
      </c>
      <c r="J24" s="31"/>
      <c r="K24" s="31"/>
      <c r="L24" s="31"/>
    </row>
    <row r="25" spans="1:12" s="32" customFormat="1" ht="51.75" customHeight="1" x14ac:dyDescent="0.25">
      <c r="A25" s="27" t="s">
        <v>185</v>
      </c>
      <c r="B25" s="28" t="s">
        <v>186</v>
      </c>
      <c r="C25" s="29" t="s">
        <v>187</v>
      </c>
      <c r="D25" s="30" t="s">
        <v>122</v>
      </c>
      <c r="E25" s="29" t="s">
        <v>96</v>
      </c>
      <c r="F25" s="29" t="s">
        <v>188</v>
      </c>
      <c r="G25" s="29" t="s">
        <v>98</v>
      </c>
      <c r="H25" s="29" t="s">
        <v>183</v>
      </c>
      <c r="I25" s="29" t="s">
        <v>189</v>
      </c>
      <c r="J25" s="31"/>
      <c r="K25" s="31"/>
      <c r="L25" s="31"/>
    </row>
    <row r="26" spans="1:12" s="32" customFormat="1" ht="51.75" customHeight="1" x14ac:dyDescent="0.25">
      <c r="A26" s="33" t="s">
        <v>190</v>
      </c>
      <c r="B26" s="34" t="s">
        <v>191</v>
      </c>
      <c r="C26" s="35" t="s">
        <v>192</v>
      </c>
      <c r="D26" s="36" t="s">
        <v>122</v>
      </c>
      <c r="E26" s="35" t="s">
        <v>96</v>
      </c>
      <c r="F26" s="35" t="s">
        <v>193</v>
      </c>
      <c r="G26" s="35" t="s">
        <v>98</v>
      </c>
      <c r="H26" s="35" t="s">
        <v>194</v>
      </c>
      <c r="I26" s="35" t="s">
        <v>195</v>
      </c>
      <c r="J26" s="31"/>
      <c r="K26" s="31"/>
      <c r="L26" s="31"/>
    </row>
    <row r="27" spans="1:12" s="32" customFormat="1" ht="51.75" customHeight="1" x14ac:dyDescent="0.25">
      <c r="A27" s="27" t="s">
        <v>196</v>
      </c>
      <c r="B27" s="28" t="s">
        <v>197</v>
      </c>
      <c r="C27" s="29" t="s">
        <v>198</v>
      </c>
      <c r="D27" s="30" t="s">
        <v>122</v>
      </c>
      <c r="E27" s="29" t="s">
        <v>96</v>
      </c>
      <c r="F27" s="29" t="s">
        <v>199</v>
      </c>
      <c r="G27" s="29" t="s">
        <v>98</v>
      </c>
      <c r="H27" s="29" t="s">
        <v>200</v>
      </c>
      <c r="I27" s="29" t="s">
        <v>201</v>
      </c>
      <c r="J27" s="31"/>
      <c r="K27" s="31"/>
      <c r="L27" s="31"/>
    </row>
    <row r="28" spans="1:12" s="32" customFormat="1" ht="78" customHeight="1" x14ac:dyDescent="0.25">
      <c r="A28" s="33" t="s">
        <v>202</v>
      </c>
      <c r="B28" s="34" t="s">
        <v>203</v>
      </c>
      <c r="C28" s="35" t="s">
        <v>204</v>
      </c>
      <c r="D28" s="36" t="s">
        <v>113</v>
      </c>
      <c r="E28" s="35" t="s">
        <v>96</v>
      </c>
      <c r="F28" s="35" t="s">
        <v>205</v>
      </c>
      <c r="G28" s="35" t="s">
        <v>98</v>
      </c>
      <c r="H28" s="35" t="s">
        <v>206</v>
      </c>
      <c r="I28" s="35" t="s">
        <v>207</v>
      </c>
      <c r="J28" s="31"/>
      <c r="K28" s="31"/>
      <c r="L28" s="31"/>
    </row>
    <row r="29" spans="1:12" s="32" customFormat="1" ht="51.75" customHeight="1" x14ac:dyDescent="0.25">
      <c r="A29" s="27" t="s">
        <v>208</v>
      </c>
      <c r="B29" s="28" t="s">
        <v>209</v>
      </c>
      <c r="C29" s="29" t="s">
        <v>210</v>
      </c>
      <c r="D29" s="30" t="s">
        <v>113</v>
      </c>
      <c r="E29" s="29" t="s">
        <v>211</v>
      </c>
      <c r="F29" s="29" t="s">
        <v>212</v>
      </c>
      <c r="G29" s="29" t="s">
        <v>98</v>
      </c>
      <c r="H29" s="29" t="s">
        <v>213</v>
      </c>
      <c r="I29" s="29" t="s">
        <v>214</v>
      </c>
      <c r="J29" s="31"/>
      <c r="K29" s="31"/>
      <c r="L29" s="31"/>
    </row>
    <row r="30" spans="1:12" s="32" customFormat="1" ht="51.75" customHeight="1" x14ac:dyDescent="0.25">
      <c r="A30" s="33" t="s">
        <v>215</v>
      </c>
      <c r="B30" s="34" t="s">
        <v>216</v>
      </c>
      <c r="C30" s="35" t="s">
        <v>217</v>
      </c>
      <c r="D30" s="36" t="s">
        <v>218</v>
      </c>
      <c r="E30" s="35" t="s">
        <v>219</v>
      </c>
      <c r="F30" s="35" t="s">
        <v>220</v>
      </c>
      <c r="G30" s="35" t="s">
        <v>98</v>
      </c>
      <c r="H30" s="35" t="s">
        <v>221</v>
      </c>
      <c r="I30" s="35" t="s">
        <v>222</v>
      </c>
      <c r="J30" s="31"/>
      <c r="K30" s="31"/>
      <c r="L30" s="31"/>
    </row>
    <row r="31" spans="1:12" s="32" customFormat="1" ht="64.5" customHeight="1" x14ac:dyDescent="0.25">
      <c r="A31" s="27" t="s">
        <v>223</v>
      </c>
      <c r="B31" s="28" t="s">
        <v>224</v>
      </c>
      <c r="C31" s="29" t="s">
        <v>225</v>
      </c>
      <c r="D31" s="30" t="s">
        <v>113</v>
      </c>
      <c r="E31" s="29" t="s">
        <v>226</v>
      </c>
      <c r="F31" s="29" t="s">
        <v>227</v>
      </c>
      <c r="G31" s="29" t="s">
        <v>228</v>
      </c>
      <c r="H31" s="29" t="s">
        <v>229</v>
      </c>
      <c r="I31" s="29" t="s">
        <v>230</v>
      </c>
      <c r="J31" s="31"/>
      <c r="K31" s="31"/>
      <c r="L31" s="31"/>
    </row>
    <row r="32" spans="1:12" s="32" customFormat="1" ht="64.5" customHeight="1" x14ac:dyDescent="0.25">
      <c r="A32" s="33" t="s">
        <v>231</v>
      </c>
      <c r="B32" s="34" t="s">
        <v>232</v>
      </c>
      <c r="C32" s="35" t="s">
        <v>233</v>
      </c>
      <c r="D32" s="36" t="s">
        <v>234</v>
      </c>
      <c r="E32" s="35" t="s">
        <v>96</v>
      </c>
      <c r="F32" s="35" t="s">
        <v>235</v>
      </c>
      <c r="G32" s="35" t="s">
        <v>98</v>
      </c>
      <c r="H32" s="35" t="s">
        <v>236</v>
      </c>
      <c r="I32" s="35" t="s">
        <v>237</v>
      </c>
      <c r="J32" s="31"/>
      <c r="K32" s="31"/>
      <c r="L32" s="31"/>
    </row>
    <row r="33" spans="1:12" s="32" customFormat="1" ht="51.75" customHeight="1" x14ac:dyDescent="0.25">
      <c r="A33" s="27" t="s">
        <v>238</v>
      </c>
      <c r="B33" s="28" t="s">
        <v>239</v>
      </c>
      <c r="C33" s="29" t="s">
        <v>240</v>
      </c>
      <c r="D33" s="30" t="s">
        <v>113</v>
      </c>
      <c r="E33" s="29" t="s">
        <v>241</v>
      </c>
      <c r="F33" s="29" t="s">
        <v>242</v>
      </c>
      <c r="G33" s="29" t="s">
        <v>98</v>
      </c>
      <c r="H33" s="29" t="s">
        <v>243</v>
      </c>
      <c r="I33" s="29" t="s">
        <v>244</v>
      </c>
      <c r="J33" s="31"/>
      <c r="K33" s="31"/>
      <c r="L33" s="31"/>
    </row>
    <row r="34" spans="1:12" s="32" customFormat="1" ht="51.75" customHeight="1" x14ac:dyDescent="0.25">
      <c r="A34" s="33" t="s">
        <v>245</v>
      </c>
      <c r="B34" s="34" t="s">
        <v>246</v>
      </c>
      <c r="C34" s="35" t="s">
        <v>247</v>
      </c>
      <c r="D34" s="36" t="s">
        <v>248</v>
      </c>
      <c r="E34" s="35" t="s">
        <v>96</v>
      </c>
      <c r="F34" s="35" t="s">
        <v>249</v>
      </c>
      <c r="G34" s="35" t="s">
        <v>98</v>
      </c>
      <c r="H34" s="35" t="s">
        <v>250</v>
      </c>
      <c r="I34" s="35" t="s">
        <v>251</v>
      </c>
      <c r="J34" s="31"/>
      <c r="K34" s="31"/>
      <c r="L34" s="31"/>
    </row>
    <row r="35" spans="1:12" s="32" customFormat="1" ht="51.75" customHeight="1" x14ac:dyDescent="0.25">
      <c r="A35" s="27" t="s">
        <v>252</v>
      </c>
      <c r="B35" s="28" t="s">
        <v>253</v>
      </c>
      <c r="C35" s="29" t="s">
        <v>254</v>
      </c>
      <c r="D35" s="30" t="s">
        <v>113</v>
      </c>
      <c r="E35" s="29" t="s">
        <v>255</v>
      </c>
      <c r="F35" s="29" t="s">
        <v>256</v>
      </c>
      <c r="G35" s="29" t="s">
        <v>98</v>
      </c>
      <c r="H35" s="29" t="s">
        <v>257</v>
      </c>
      <c r="I35" s="29" t="s">
        <v>258</v>
      </c>
      <c r="J35" s="31"/>
      <c r="K35" s="31"/>
      <c r="L35" s="31"/>
    </row>
    <row r="36" spans="1:12" s="32" customFormat="1" ht="12.75" customHeight="1" x14ac:dyDescent="0.25">
      <c r="A36" s="37"/>
      <c r="B36" s="38"/>
      <c r="C36" s="39"/>
      <c r="D36" s="38"/>
      <c r="E36" s="39"/>
      <c r="F36" s="39"/>
      <c r="G36" s="39"/>
      <c r="H36" s="39"/>
      <c r="I36" s="39"/>
      <c r="J36" s="31"/>
      <c r="K36" s="31"/>
      <c r="L36" s="31"/>
    </row>
    <row r="37" spans="1:12" s="32" customFormat="1" ht="12.75" customHeight="1" x14ac:dyDescent="0.25">
      <c r="A37" s="40"/>
      <c r="B37" s="41"/>
      <c r="C37" s="42"/>
      <c r="D37" s="41"/>
      <c r="E37" s="42"/>
      <c r="F37" s="42"/>
      <c r="G37" s="42"/>
      <c r="H37" s="42"/>
      <c r="I37" s="42"/>
      <c r="J37" s="31"/>
      <c r="K37" s="31"/>
      <c r="L37" s="31"/>
    </row>
    <row r="38" spans="1:12" s="32" customFormat="1" ht="12.75" customHeight="1" x14ac:dyDescent="0.25">
      <c r="A38" s="208" t="s">
        <v>259</v>
      </c>
      <c r="B38" s="208"/>
      <c r="C38" s="208"/>
      <c r="D38" s="208"/>
      <c r="E38" s="208"/>
      <c r="F38" s="208"/>
      <c r="G38" s="208"/>
      <c r="H38" s="208"/>
      <c r="I38" s="208"/>
      <c r="J38" s="31"/>
      <c r="K38" s="31"/>
      <c r="L38" s="31"/>
    </row>
    <row r="39" spans="1:12" s="32" customFormat="1" ht="39" customHeight="1" x14ac:dyDescent="0.25">
      <c r="A39" s="27" t="s">
        <v>260</v>
      </c>
      <c r="B39" s="28" t="s">
        <v>261</v>
      </c>
      <c r="C39" s="29" t="s">
        <v>262</v>
      </c>
      <c r="D39" s="30" t="s">
        <v>113</v>
      </c>
      <c r="E39" s="29" t="s">
        <v>263</v>
      </c>
      <c r="F39" s="29" t="s">
        <v>264</v>
      </c>
      <c r="G39" s="29" t="s">
        <v>265</v>
      </c>
      <c r="H39" s="29" t="s">
        <v>266</v>
      </c>
      <c r="I39" s="29" t="s">
        <v>267</v>
      </c>
      <c r="J39" s="31"/>
      <c r="K39" s="31"/>
      <c r="L39" s="31"/>
    </row>
    <row r="40" spans="1:12" s="32" customFormat="1" ht="25.5" customHeight="1" x14ac:dyDescent="0.25">
      <c r="A40" s="33" t="s">
        <v>67</v>
      </c>
      <c r="B40" s="34" t="s">
        <v>268</v>
      </c>
      <c r="C40" s="35" t="s">
        <v>269</v>
      </c>
      <c r="D40" s="36" t="s">
        <v>270</v>
      </c>
      <c r="E40" s="35" t="s">
        <v>271</v>
      </c>
      <c r="F40" s="35" t="s">
        <v>272</v>
      </c>
      <c r="G40" s="35" t="s">
        <v>273</v>
      </c>
      <c r="H40" s="35" t="s">
        <v>274</v>
      </c>
      <c r="I40" s="35" t="s">
        <v>275</v>
      </c>
      <c r="J40" s="31"/>
      <c r="K40" s="31"/>
      <c r="L40" s="31"/>
    </row>
    <row r="41" spans="1:12" s="32" customFormat="1" ht="103.5" customHeight="1" x14ac:dyDescent="0.25">
      <c r="A41" s="27" t="s">
        <v>53</v>
      </c>
      <c r="B41" s="28" t="s">
        <v>276</v>
      </c>
      <c r="C41" s="29" t="s">
        <v>277</v>
      </c>
      <c r="D41" s="30" t="s">
        <v>278</v>
      </c>
      <c r="E41" s="29" t="s">
        <v>279</v>
      </c>
      <c r="F41" s="29" t="s">
        <v>280</v>
      </c>
      <c r="G41" s="29" t="s">
        <v>281</v>
      </c>
      <c r="H41" s="29" t="s">
        <v>282</v>
      </c>
      <c r="I41" s="29" t="s">
        <v>283</v>
      </c>
      <c r="J41" s="31"/>
      <c r="K41" s="31"/>
      <c r="L41" s="31"/>
    </row>
    <row r="42" spans="1:12" s="32" customFormat="1" ht="39" customHeight="1" x14ac:dyDescent="0.25">
      <c r="A42" s="33" t="s">
        <v>284</v>
      </c>
      <c r="B42" s="34" t="s">
        <v>285</v>
      </c>
      <c r="C42" s="35" t="s">
        <v>286</v>
      </c>
      <c r="D42" s="36" t="s">
        <v>218</v>
      </c>
      <c r="E42" s="35" t="s">
        <v>287</v>
      </c>
      <c r="F42" s="35" t="s">
        <v>288</v>
      </c>
      <c r="G42" s="35" t="s">
        <v>289</v>
      </c>
      <c r="H42" s="35" t="s">
        <v>290</v>
      </c>
      <c r="I42" s="35" t="s">
        <v>291</v>
      </c>
      <c r="J42" s="31"/>
      <c r="K42" s="31"/>
      <c r="L42" s="31"/>
    </row>
    <row r="43" spans="1:12" s="32" customFormat="1" ht="64.5" customHeight="1" x14ac:dyDescent="0.25">
      <c r="A43" s="27" t="s">
        <v>55</v>
      </c>
      <c r="B43" s="28" t="s">
        <v>292</v>
      </c>
      <c r="C43" s="29" t="s">
        <v>293</v>
      </c>
      <c r="D43" s="30" t="s">
        <v>294</v>
      </c>
      <c r="E43" s="29" t="s">
        <v>295</v>
      </c>
      <c r="F43" s="29" t="s">
        <v>296</v>
      </c>
      <c r="G43" s="29" t="s">
        <v>297</v>
      </c>
      <c r="H43" s="29" t="s">
        <v>298</v>
      </c>
      <c r="I43" s="29" t="s">
        <v>299</v>
      </c>
      <c r="J43" s="31"/>
      <c r="K43" s="31"/>
      <c r="L43" s="31"/>
    </row>
    <row r="44" spans="1:12" s="32" customFormat="1" ht="51.75" customHeight="1" x14ac:dyDescent="0.25">
      <c r="A44" s="33" t="s">
        <v>56</v>
      </c>
      <c r="B44" s="34" t="s">
        <v>300</v>
      </c>
      <c r="C44" s="35" t="s">
        <v>301</v>
      </c>
      <c r="D44" s="36" t="s">
        <v>218</v>
      </c>
      <c r="E44" s="35" t="s">
        <v>295</v>
      </c>
      <c r="F44" s="35" t="s">
        <v>302</v>
      </c>
      <c r="G44" s="35" t="s">
        <v>303</v>
      </c>
      <c r="H44" s="35" t="s">
        <v>304</v>
      </c>
      <c r="I44" s="35" t="s">
        <v>305</v>
      </c>
      <c r="J44" s="31"/>
      <c r="K44" s="31"/>
      <c r="L44" s="31"/>
    </row>
    <row r="45" spans="1:12" s="32" customFormat="1" ht="25.5" customHeight="1" x14ac:dyDescent="0.25">
      <c r="A45" s="27" t="s">
        <v>306</v>
      </c>
      <c r="B45" s="28" t="s">
        <v>306</v>
      </c>
      <c r="C45" s="29" t="s">
        <v>307</v>
      </c>
      <c r="D45" s="30" t="s">
        <v>308</v>
      </c>
      <c r="E45" s="29" t="s">
        <v>309</v>
      </c>
      <c r="F45" s="29" t="s">
        <v>310</v>
      </c>
      <c r="G45" s="29" t="s">
        <v>311</v>
      </c>
      <c r="H45" s="29" t="s">
        <v>312</v>
      </c>
      <c r="I45" s="29" t="s">
        <v>313</v>
      </c>
      <c r="J45" s="31"/>
      <c r="K45" s="31"/>
      <c r="L45" s="31"/>
    </row>
    <row r="46" spans="1:12" s="32" customFormat="1" ht="39" customHeight="1" x14ac:dyDescent="0.25">
      <c r="A46" s="33" t="s">
        <v>314</v>
      </c>
      <c r="B46" s="34" t="s">
        <v>315</v>
      </c>
      <c r="C46" s="35" t="s">
        <v>316</v>
      </c>
      <c r="D46" s="36" t="s">
        <v>113</v>
      </c>
      <c r="E46" s="35" t="s">
        <v>317</v>
      </c>
      <c r="F46" s="35" t="s">
        <v>318</v>
      </c>
      <c r="G46" s="35" t="s">
        <v>319</v>
      </c>
      <c r="H46" s="35" t="s">
        <v>320</v>
      </c>
      <c r="I46" s="35" t="s">
        <v>321</v>
      </c>
      <c r="J46" s="31"/>
      <c r="K46" s="31"/>
      <c r="L46" s="31"/>
    </row>
    <row r="47" spans="1:12" s="32" customFormat="1" ht="39" customHeight="1" x14ac:dyDescent="0.25">
      <c r="A47" s="27" t="s">
        <v>322</v>
      </c>
      <c r="B47" s="28" t="s">
        <v>323</v>
      </c>
      <c r="C47" s="29" t="s">
        <v>324</v>
      </c>
      <c r="D47" s="30" t="s">
        <v>325</v>
      </c>
      <c r="E47" s="29" t="s">
        <v>326</v>
      </c>
      <c r="F47" s="29" t="s">
        <v>327</v>
      </c>
      <c r="G47" s="29" t="s">
        <v>328</v>
      </c>
      <c r="H47" s="29" t="s">
        <v>329</v>
      </c>
      <c r="I47" s="29" t="s">
        <v>330</v>
      </c>
      <c r="J47" s="31"/>
      <c r="K47" s="31"/>
      <c r="L47" s="31"/>
    </row>
    <row r="48" spans="1:12" s="32" customFormat="1" ht="39" customHeight="1" x14ac:dyDescent="0.25">
      <c r="A48" s="33" t="s">
        <v>331</v>
      </c>
      <c r="B48" s="34" t="s">
        <v>332</v>
      </c>
      <c r="C48" s="35" t="s">
        <v>333</v>
      </c>
      <c r="D48" s="36" t="s">
        <v>218</v>
      </c>
      <c r="E48" s="35" t="s">
        <v>295</v>
      </c>
      <c r="F48" s="35" t="s">
        <v>334</v>
      </c>
      <c r="G48" s="35" t="s">
        <v>335</v>
      </c>
      <c r="H48" s="35" t="s">
        <v>336</v>
      </c>
      <c r="I48" s="35" t="s">
        <v>337</v>
      </c>
      <c r="J48" s="31"/>
      <c r="K48" s="31"/>
      <c r="L48" s="31"/>
    </row>
  </sheetData>
  <mergeCells count="4">
    <mergeCell ref="A1:D1"/>
    <mergeCell ref="E1:L1"/>
    <mergeCell ref="A2:I3"/>
    <mergeCell ref="A38:I38"/>
  </mergeCells>
  <hyperlinks>
    <hyperlink ref="A1" location="'SIM_Accueil'!A1" display="⌂  BACK TO HOME" xr:uid="{00000000-0004-0000-0200-000000000000}"/>
  </hyperlinks>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8F00"/>
  </sheetPr>
  <dimension ref="A1:AY253"/>
  <sheetViews>
    <sheetView showGridLines="0" zoomScaleNormal="100" workbookViewId="0">
      <selection sqref="A1:D1"/>
    </sheetView>
  </sheetViews>
  <sheetFormatPr baseColWidth="10" defaultColWidth="8.6328125" defaultRowHeight="12.5" x14ac:dyDescent="0.25"/>
  <cols>
    <col min="1" max="3" width="15.26953125" customWidth="1"/>
    <col min="4" max="4" width="20.7265625" customWidth="1"/>
    <col min="5" max="5" width="20.90625" customWidth="1"/>
    <col min="6" max="6" width="19.81640625" customWidth="1"/>
    <col min="7" max="7" width="20.08984375" customWidth="1"/>
    <col min="8" max="8" width="19.7265625" customWidth="1"/>
    <col min="9" max="10" width="19.81640625" customWidth="1"/>
    <col min="11" max="13" width="19.26953125" customWidth="1"/>
    <col min="14" max="14" width="20.453125" customWidth="1"/>
    <col min="15" max="15" width="19.7265625" customWidth="1"/>
    <col min="16" max="16" width="20.90625" customWidth="1"/>
    <col min="17" max="17" width="19.6328125" customWidth="1"/>
    <col min="18" max="18" width="20.08984375" customWidth="1"/>
    <col min="19" max="19" width="19.90625" customWidth="1"/>
    <col min="20" max="20" width="17.36328125" customWidth="1"/>
    <col min="21" max="21" width="18" customWidth="1"/>
    <col min="22" max="22" width="42" customWidth="1"/>
    <col min="23" max="49" width="9" customWidth="1"/>
    <col min="50" max="51" width="18" customWidth="1"/>
    <col min="52" max="52" width="16" customWidth="1"/>
    <col min="53" max="54" width="72" customWidth="1"/>
  </cols>
  <sheetData>
    <row r="1" spans="1:51" ht="27.75" customHeight="1" x14ac:dyDescent="0.25">
      <c r="A1" s="205" t="s">
        <v>32</v>
      </c>
      <c r="B1" s="205"/>
      <c r="C1" s="205"/>
      <c r="D1" s="205"/>
      <c r="E1" s="206" t="s">
        <v>338</v>
      </c>
      <c r="F1" s="206"/>
      <c r="G1" s="206"/>
      <c r="H1" s="206"/>
      <c r="I1" s="206"/>
      <c r="J1" s="206"/>
      <c r="K1" s="206"/>
      <c r="L1" s="206"/>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row>
    <row r="2" spans="1:51" ht="37.5" customHeight="1" x14ac:dyDescent="0.25">
      <c r="A2" s="207" t="s">
        <v>339</v>
      </c>
      <c r="B2" s="207"/>
      <c r="C2" s="207"/>
      <c r="D2" s="207"/>
      <c r="E2" s="207"/>
      <c r="F2" s="207"/>
      <c r="G2" s="207"/>
      <c r="H2" s="207"/>
      <c r="I2" s="207"/>
      <c r="J2" s="207"/>
      <c r="K2" s="207"/>
      <c r="L2" s="207"/>
      <c r="M2" s="207"/>
      <c r="N2" s="207"/>
      <c r="O2" s="207"/>
      <c r="P2" s="207"/>
      <c r="Q2" s="207"/>
      <c r="R2" s="207"/>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44" t="str">
        <f t="shared" ref="AX2:AX65" si="0">IFERROR(AV2/AD2*100000,"")</f>
        <v/>
      </c>
      <c r="AY2" s="44">
        <f t="shared" ref="AY2:AY65" si="1">IFERROR(100-AQ2,"")</f>
        <v>100</v>
      </c>
    </row>
    <row r="3" spans="1:51" ht="8.25" customHeight="1" x14ac:dyDescent="0.2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44" t="str">
        <f t="shared" si="0"/>
        <v/>
      </c>
      <c r="AY3" s="44">
        <f t="shared" si="1"/>
        <v>100</v>
      </c>
    </row>
    <row r="4" spans="1:51" ht="25.5" customHeight="1" x14ac:dyDescent="0.25">
      <c r="A4" s="45" t="s">
        <v>340</v>
      </c>
      <c r="B4" s="46" t="str">
        <f>SIM_Parametres!B4</f>
        <v>2050 Transformation</v>
      </c>
      <c r="C4" s="45" t="s">
        <v>341</v>
      </c>
      <c r="D4" s="47">
        <v>85</v>
      </c>
      <c r="E4" s="45" t="s">
        <v>342</v>
      </c>
      <c r="F4" s="47">
        <v>71</v>
      </c>
      <c r="G4" s="45" t="s">
        <v>343</v>
      </c>
      <c r="H4" s="47">
        <v>14</v>
      </c>
      <c r="I4" s="45" t="s">
        <v>344</v>
      </c>
      <c r="J4" s="48">
        <f>SUM(F9:F93)</f>
        <v>1682833000</v>
      </c>
      <c r="K4" s="45" t="s">
        <v>345</v>
      </c>
      <c r="L4" s="48">
        <f>SUM(R9:R93)</f>
        <v>2455824837.3099031</v>
      </c>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44" t="str">
        <f t="shared" si="0"/>
        <v/>
      </c>
      <c r="AY4" s="44">
        <f t="shared" si="1"/>
        <v>100</v>
      </c>
    </row>
    <row r="5" spans="1:51" ht="25.5" customHeight="1" x14ac:dyDescent="0.25">
      <c r="A5" s="45" t="s">
        <v>346</v>
      </c>
      <c r="B5" s="49" t="s">
        <v>347</v>
      </c>
      <c r="C5" s="45" t="s">
        <v>348</v>
      </c>
      <c r="D5" s="49" t="s">
        <v>349</v>
      </c>
      <c r="E5" s="45" t="s">
        <v>350</v>
      </c>
      <c r="F5" s="49" t="s">
        <v>351</v>
      </c>
      <c r="G5" s="45" t="s">
        <v>352</v>
      </c>
      <c r="H5" s="49" t="s">
        <v>353</v>
      </c>
      <c r="I5" s="45" t="s">
        <v>354</v>
      </c>
      <c r="J5" s="48">
        <f>L4-J4</f>
        <v>772991837.30990314</v>
      </c>
      <c r="K5" s="45" t="s">
        <v>355</v>
      </c>
      <c r="L5" s="50">
        <f>IFERROR(J5/J4,0)</f>
        <v>0.45933960013257591</v>
      </c>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44" t="str">
        <f t="shared" si="0"/>
        <v/>
      </c>
      <c r="AY5" s="44">
        <f t="shared" si="1"/>
        <v>100</v>
      </c>
    </row>
    <row r="6" spans="1:51" ht="6" customHeight="1" x14ac:dyDescent="0.2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44" t="str">
        <f t="shared" si="0"/>
        <v/>
      </c>
      <c r="AY6" s="44">
        <f t="shared" si="1"/>
        <v>100</v>
      </c>
    </row>
    <row r="7" spans="1:51" ht="6" customHeight="1" x14ac:dyDescent="0.25">
      <c r="A7" s="16"/>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44" t="str">
        <f t="shared" si="0"/>
        <v/>
      </c>
      <c r="AY7" s="44">
        <f t="shared" si="1"/>
        <v>100</v>
      </c>
    </row>
    <row r="8" spans="1:51" ht="33.75" customHeight="1" x14ac:dyDescent="0.25">
      <c r="A8" s="51" t="s">
        <v>356</v>
      </c>
      <c r="B8" s="51" t="s">
        <v>357</v>
      </c>
      <c r="C8" s="51" t="s">
        <v>358</v>
      </c>
      <c r="D8" s="51" t="s">
        <v>359</v>
      </c>
      <c r="E8" s="51" t="s">
        <v>360</v>
      </c>
      <c r="F8" s="51" t="s">
        <v>361</v>
      </c>
      <c r="G8" s="51" t="s">
        <v>362</v>
      </c>
      <c r="H8" s="51" t="s">
        <v>363</v>
      </c>
      <c r="I8" s="51" t="s">
        <v>364</v>
      </c>
      <c r="J8" s="51" t="s">
        <v>365</v>
      </c>
      <c r="K8" s="51" t="s">
        <v>366</v>
      </c>
      <c r="L8" s="51" t="s">
        <v>367</v>
      </c>
      <c r="M8" s="51" t="s">
        <v>368</v>
      </c>
      <c r="N8" s="51" t="s">
        <v>369</v>
      </c>
      <c r="O8" s="51" t="s">
        <v>370</v>
      </c>
      <c r="P8" s="51" t="s">
        <v>371</v>
      </c>
      <c r="Q8" s="51" t="s">
        <v>372</v>
      </c>
      <c r="R8" s="51" t="s">
        <v>373</v>
      </c>
      <c r="S8" s="51" t="s">
        <v>354</v>
      </c>
      <c r="T8" s="52" t="s">
        <v>355</v>
      </c>
      <c r="U8" s="52" t="s">
        <v>374</v>
      </c>
      <c r="V8" s="52" t="s">
        <v>375</v>
      </c>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4" t="str">
        <f t="shared" si="0"/>
        <v/>
      </c>
      <c r="AY8" s="54">
        <f t="shared" si="1"/>
        <v>100</v>
      </c>
    </row>
    <row r="9" spans="1:51" ht="25.5" customHeight="1" x14ac:dyDescent="0.25">
      <c r="A9" s="55" t="s">
        <v>343</v>
      </c>
      <c r="B9" s="55" t="s">
        <v>376</v>
      </c>
      <c r="C9" s="55" t="s">
        <v>377</v>
      </c>
      <c r="D9" s="56">
        <v>38800000</v>
      </c>
      <c r="E9" s="56">
        <v>35405000</v>
      </c>
      <c r="F9" s="56">
        <v>31397000</v>
      </c>
      <c r="G9" s="57">
        <f>$F9*(1+SIM_Parametres!$B$5)^(2019-2018)</f>
        <v>32401704</v>
      </c>
      <c r="H9" s="57">
        <f>$F9*(1+SIM_Parametres!$B$5)^(2020-2018)</f>
        <v>33438558.528000001</v>
      </c>
      <c r="I9" s="57">
        <f>$F9*(1+SIM_Parametres!$B$5)^(2021-2018)</f>
        <v>34508592.400895998</v>
      </c>
      <c r="J9" s="57">
        <f>$F9*(1+SIM_Parametres!$B$5)^(2022-2018)</f>
        <v>35612867.357724667</v>
      </c>
      <c r="K9" s="57">
        <f>$F9*(1+SIM_Parametres!$B$5)^(2023-2018)</f>
        <v>36752479.113171861</v>
      </c>
      <c r="L9" s="57">
        <f>$F9*(1+SIM_Parametres!$B$5)^(2024-2018)</f>
        <v>37928558.444793358</v>
      </c>
      <c r="M9" s="57">
        <f>$F9*(1+SIM_Parametres!$B$5)^(2025-2018)</f>
        <v>39142272.315026738</v>
      </c>
      <c r="N9" s="57">
        <f>$F9*(1+SIM_Parametres!$B$5)^(2026-2018)</f>
        <v>40394825.0291076</v>
      </c>
      <c r="O9" s="57">
        <f>$F9*(1+SIM_Parametres!$B$5)^(2027-2018)</f>
        <v>41687459.430039048</v>
      </c>
      <c r="P9" s="57">
        <f>$F9*(1+SIM_Parametres!$B$5)^(2028-2018)</f>
        <v>43021458.131800294</v>
      </c>
      <c r="Q9" s="57">
        <f>$F9*(1+SIM_Parametres!$B$5)^(2029-2018)</f>
        <v>44398144.792017899</v>
      </c>
      <c r="R9" s="57">
        <f>$F9*(1+SIM_Parametres!$B$5)^(2030-2018)</f>
        <v>45818885.425362475</v>
      </c>
      <c r="S9" s="58">
        <f t="shared" ref="S9:S40" si="2">R9-F9</f>
        <v>14421885.425362475</v>
      </c>
      <c r="T9" s="59">
        <f t="shared" ref="T9:T40" si="3">IFERROR(S9/F9,0)</f>
        <v>0.45933960013257558</v>
      </c>
      <c r="U9" s="60">
        <f t="shared" ref="U9:U40" si="4">SUM(D9:R9)</f>
        <v>570707804.96793997</v>
      </c>
      <c r="V9" s="55" t="s">
        <v>378</v>
      </c>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61" t="str">
        <f t="shared" si="0"/>
        <v/>
      </c>
      <c r="AY9" s="61">
        <f t="shared" si="1"/>
        <v>100</v>
      </c>
    </row>
    <row r="10" spans="1:51" ht="25.5" customHeight="1" x14ac:dyDescent="0.25">
      <c r="A10" s="62" t="s">
        <v>48</v>
      </c>
      <c r="B10" s="62" t="s">
        <v>376</v>
      </c>
      <c r="C10" s="62" t="s">
        <v>379</v>
      </c>
      <c r="D10" s="63">
        <v>20800000</v>
      </c>
      <c r="E10" s="63">
        <v>19480000</v>
      </c>
      <c r="F10" s="63">
        <v>18468000</v>
      </c>
      <c r="G10" s="64">
        <f>SUMIFS(SIM_Modele!$AH$4:$AH$855,SIM_Modele!$C$4:$C$855,$C10,SIM_Modele!$D$4:$D$855,2019)</f>
        <v>19058976</v>
      </c>
      <c r="H10" s="64">
        <f>SUMIFS(SIM_Modele!$AH$4:$AH$855,SIM_Modele!$C$4:$C$855,$C10,SIM_Modele!$D$4:$D$855,2020)</f>
        <v>19668863.232000008</v>
      </c>
      <c r="I10" s="64">
        <f>SUMIFS(SIM_Modele!$AH$4:$AH$855,SIM_Modele!$C$4:$C$855,$C10,SIM_Modele!$D$4:$D$855,2021)</f>
        <v>20298266.855424002</v>
      </c>
      <c r="J10" s="64">
        <f>SUMIFS(SIM_Modele!$AH$4:$AH$855,SIM_Modele!$C$4:$C$855,$C10,SIM_Modele!$D$4:$D$855,2022)</f>
        <v>20947811.39479756</v>
      </c>
      <c r="K10" s="64">
        <f>SUMIFS(SIM_Modele!$AH$4:$AH$855,SIM_Modele!$C$4:$C$855,$C10,SIM_Modele!$D$4:$D$855,2023)</f>
        <v>21618141.359431088</v>
      </c>
      <c r="L10" s="64">
        <f>SUMIFS(SIM_Modele!$AH$4:$AH$855,SIM_Modele!$C$4:$C$855,$C10,SIM_Modele!$D$4:$D$855,2024)</f>
        <v>22309921.882932883</v>
      </c>
      <c r="M10" s="64">
        <f>SUMIFS(SIM_Modele!$AH$4:$AH$855,SIM_Modele!$C$4:$C$855,$C10,SIM_Modele!$D$4:$D$855,2025)</f>
        <v>23023839.383186743</v>
      </c>
      <c r="N10" s="64">
        <f>SUMIFS(SIM_Modele!$AH$4:$AH$855,SIM_Modele!$C$4:$C$855,$C10,SIM_Modele!$D$4:$D$855,2026)</f>
        <v>24423390.401803035</v>
      </c>
      <c r="O10" s="64">
        <f>SUMIFS(SIM_Modele!$AH$4:$AH$855,SIM_Modele!$C$4:$C$855,$C10,SIM_Modele!$D$4:$D$855,2027)</f>
        <v>25645545.78398129</v>
      </c>
      <c r="P10" s="64">
        <f>SUMIFS(SIM_Modele!$AH$4:$AH$1068,SIM_Modele!$C$4:$C$1068,$C10,SIM_Modele!$D$4:$D$1068,2028)</f>
        <v>26386996.463062238</v>
      </c>
      <c r="Q10" s="64">
        <f>SUMIFS(SIM_Modele!$AH$4:$AH$1068,SIM_Modele!$C$4:$C$1068,$C10,SIM_Modele!$D$4:$D$1068,2029)</f>
        <v>27231380.349880226</v>
      </c>
      <c r="R10" s="64">
        <f>SUMIFS(SIM_Modele!$AH$4:$AH$1068,SIM_Modele!$C$4:$C$1068,$C10,SIM_Modele!$D$4:$D$1068,2030)</f>
        <v>28102784.5210764</v>
      </c>
      <c r="S10" s="65">
        <f t="shared" si="2"/>
        <v>9634784.5210763998</v>
      </c>
      <c r="T10" s="66">
        <f t="shared" si="3"/>
        <v>0.52170156601020146</v>
      </c>
      <c r="U10" s="67">
        <f t="shared" si="4"/>
        <v>337463917.62757546</v>
      </c>
      <c r="V10" s="62" t="s">
        <v>380</v>
      </c>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61" t="str">
        <f t="shared" si="0"/>
        <v/>
      </c>
      <c r="AY10" s="61">
        <f t="shared" si="1"/>
        <v>100</v>
      </c>
    </row>
    <row r="11" spans="1:51" ht="25.5" customHeight="1" x14ac:dyDescent="0.25">
      <c r="A11" s="62" t="s">
        <v>48</v>
      </c>
      <c r="B11" s="62" t="s">
        <v>376</v>
      </c>
      <c r="C11" s="62" t="s">
        <v>381</v>
      </c>
      <c r="D11" s="63">
        <v>22476000</v>
      </c>
      <c r="E11" s="63">
        <v>21009000</v>
      </c>
      <c r="F11" s="63">
        <v>16688000</v>
      </c>
      <c r="G11" s="64">
        <f>SUMIFS(SIM_Modele!$AH$4:$AH$855,SIM_Modele!$C$4:$C$855,$C11,SIM_Modele!$D$4:$D$855,2019)</f>
        <v>17222016</v>
      </c>
      <c r="H11" s="64">
        <f>SUMIFS(SIM_Modele!$AH$4:$AH$855,SIM_Modele!$C$4:$C$855,$C11,SIM_Modele!$D$4:$D$855,2020)</f>
        <v>17773120.512000006</v>
      </c>
      <c r="I11" s="64">
        <f>SUMIFS(SIM_Modele!$AH$4:$AH$855,SIM_Modele!$C$4:$C$855,$C11,SIM_Modele!$D$4:$D$855,2021)</f>
        <v>18341860.368384</v>
      </c>
      <c r="J11" s="64">
        <f>SUMIFS(SIM_Modele!$AH$4:$AH$855,SIM_Modele!$C$4:$C$855,$C11,SIM_Modele!$D$4:$D$855,2022)</f>
        <v>18928799.900172278</v>
      </c>
      <c r="K11" s="64">
        <f>SUMIFS(SIM_Modele!$AH$4:$AH$855,SIM_Modele!$C$4:$C$855,$C11,SIM_Modele!$D$4:$D$855,2023)</f>
        <v>19534521.496977795</v>
      </c>
      <c r="L11" s="64">
        <f>SUMIFS(SIM_Modele!$AH$4:$AH$855,SIM_Modele!$C$4:$C$855,$C11,SIM_Modele!$D$4:$D$855,2024)</f>
        <v>20159626.184881084</v>
      </c>
      <c r="M11" s="64">
        <f>SUMIFS(SIM_Modele!$AH$4:$AH$855,SIM_Modele!$C$4:$C$855,$C11,SIM_Modele!$D$4:$D$855,2025)</f>
        <v>20804734.222797286</v>
      </c>
      <c r="N11" s="64">
        <f>SUMIFS(SIM_Modele!$AH$4:$AH$855,SIM_Modele!$C$4:$C$855,$C11,SIM_Modele!$D$4:$D$855,2026)</f>
        <v>20056645.183890954</v>
      </c>
      <c r="O11" s="64">
        <f>SUMIFS(SIM_Modele!$AH$4:$AH$855,SIM_Modele!$C$4:$C$855,$C11,SIM_Modele!$D$4:$D$855,2027)</f>
        <v>19311667.157931492</v>
      </c>
      <c r="P11" s="64">
        <f>SUMIFS(SIM_Modele!$AH$4:$AH$1068,SIM_Modele!$C$4:$C$1068,$C11,SIM_Modele!$D$4:$D$1068,2028)</f>
        <v>17319276.18988296</v>
      </c>
      <c r="Q11" s="64">
        <f>SUMIFS(SIM_Modele!$AH$4:$AH$1068,SIM_Modele!$C$4:$C$1068,$C11,SIM_Modele!$D$4:$D$1068,2029)</f>
        <v>17873493.027959209</v>
      </c>
      <c r="R11" s="64">
        <f>SUMIFS(SIM_Modele!$AH$4:$AH$1068,SIM_Modele!$C$4:$C$1068,$C11,SIM_Modele!$D$4:$D$1068,2030)</f>
        <v>18445444.804853909</v>
      </c>
      <c r="S11" s="65">
        <f t="shared" si="2"/>
        <v>1757444.8048539087</v>
      </c>
      <c r="T11" s="66">
        <f t="shared" si="3"/>
        <v>0.1053118890732208</v>
      </c>
      <c r="U11" s="67">
        <f t="shared" si="4"/>
        <v>285944205.04973102</v>
      </c>
      <c r="V11" s="62" t="s">
        <v>380</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68" t="str">
        <f t="shared" si="0"/>
        <v/>
      </c>
      <c r="AY11" s="68">
        <f t="shared" si="1"/>
        <v>100</v>
      </c>
    </row>
    <row r="12" spans="1:51" ht="25.5" customHeight="1" x14ac:dyDescent="0.25">
      <c r="A12" s="62" t="s">
        <v>48</v>
      </c>
      <c r="B12" s="62" t="s">
        <v>376</v>
      </c>
      <c r="C12" s="62" t="s">
        <v>382</v>
      </c>
      <c r="D12" s="63">
        <v>16100000</v>
      </c>
      <c r="E12" s="63">
        <v>15191000</v>
      </c>
      <c r="F12" s="63">
        <v>14430000</v>
      </c>
      <c r="G12" s="64">
        <f>SUMIFS(SIM_Modele!$AH$4:$AH$855,SIM_Modele!$C$4:$C$855,$C12,SIM_Modele!$D$4:$D$855,2019)</f>
        <v>14891760</v>
      </c>
      <c r="H12" s="64">
        <f>SUMIFS(SIM_Modele!$AH$4:$AH$855,SIM_Modele!$C$4:$C$855,$C12,SIM_Modele!$D$4:$D$855,2020)</f>
        <v>15368296.320000008</v>
      </c>
      <c r="I12" s="64">
        <f>SUMIFS(SIM_Modele!$AH$4:$AH$855,SIM_Modele!$C$4:$C$855,$C12,SIM_Modele!$D$4:$D$855,2021)</f>
        <v>15860081.802240007</v>
      </c>
      <c r="J12" s="64">
        <f>SUMIFS(SIM_Modele!$AH$4:$AH$855,SIM_Modele!$C$4:$C$855,$C12,SIM_Modele!$D$4:$D$855,2022)</f>
        <v>16367604.419911679</v>
      </c>
      <c r="K12" s="64">
        <f>SUMIFS(SIM_Modele!$AH$4:$AH$855,SIM_Modele!$C$4:$C$855,$C12,SIM_Modele!$D$4:$D$855,2023)</f>
        <v>16891367.761348858</v>
      </c>
      <c r="L12" s="64">
        <f>SUMIFS(SIM_Modele!$AH$4:$AH$855,SIM_Modele!$C$4:$C$855,$C12,SIM_Modele!$D$4:$D$855,2024)</f>
        <v>17431891.529712021</v>
      </c>
      <c r="M12" s="64">
        <f>SUMIFS(SIM_Modele!$AH$4:$AH$855,SIM_Modele!$C$4:$C$855,$C12,SIM_Modele!$D$4:$D$855,2025)</f>
        <v>17989712.058662813</v>
      </c>
      <c r="N12" s="64">
        <f>SUMIFS(SIM_Modele!$AH$4:$AH$855,SIM_Modele!$C$4:$C$855,$C12,SIM_Modele!$D$4:$D$855,2026)</f>
        <v>17342844.559177052</v>
      </c>
      <c r="O12" s="64">
        <f>SUMIFS(SIM_Modele!$AH$4:$AH$855,SIM_Modele!$C$4:$C$855,$C12,SIM_Modele!$D$4:$D$855,2027)</f>
        <v>16698667.131408893</v>
      </c>
      <c r="P12" s="64">
        <f>SUMIFS(SIM_Modele!$AH$4:$AH$1068,SIM_Modele!$C$4:$C$1068,$C12,SIM_Modele!$D$4:$D$1068,2028)</f>
        <v>15419830.525515435</v>
      </c>
      <c r="Q12" s="64">
        <f>SUMIFS(SIM_Modele!$AH$4:$AH$1068,SIM_Modele!$C$4:$C$1068,$C12,SIM_Modele!$D$4:$D$1068,2029)</f>
        <v>15913265.102331923</v>
      </c>
      <c r="R12" s="64">
        <f>SUMIFS(SIM_Modele!$AH$4:$AH$1068,SIM_Modele!$C$4:$C$1068,$C12,SIM_Modele!$D$4:$D$1068,2030)</f>
        <v>16422489.585606553</v>
      </c>
      <c r="S12" s="65">
        <f t="shared" si="2"/>
        <v>1992489.5856065527</v>
      </c>
      <c r="T12" s="66">
        <f t="shared" si="3"/>
        <v>0.13807966636220045</v>
      </c>
      <c r="U12" s="67">
        <f t="shared" si="4"/>
        <v>242318810.79591522</v>
      </c>
      <c r="V12" s="62" t="s">
        <v>380</v>
      </c>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61" t="str">
        <f t="shared" si="0"/>
        <v/>
      </c>
      <c r="AY12" s="61">
        <f t="shared" si="1"/>
        <v>100</v>
      </c>
    </row>
    <row r="13" spans="1:51" ht="25.5" customHeight="1" x14ac:dyDescent="0.25">
      <c r="A13" s="62" t="s">
        <v>48</v>
      </c>
      <c r="B13" s="62" t="s">
        <v>376</v>
      </c>
      <c r="C13" s="62" t="s">
        <v>383</v>
      </c>
      <c r="D13" s="63">
        <v>22130000</v>
      </c>
      <c r="E13" s="63">
        <v>20693000</v>
      </c>
      <c r="F13" s="63">
        <v>19297000</v>
      </c>
      <c r="G13" s="64">
        <f>SUMIFS(SIM_Modele!$AH$4:$AH$855,SIM_Modele!$C$4:$C$855,$C13,SIM_Modele!$D$4:$D$855,2019)</f>
        <v>19914504.000000004</v>
      </c>
      <c r="H13" s="64">
        <f>SUMIFS(SIM_Modele!$AH$4:$AH$855,SIM_Modele!$C$4:$C$855,$C13,SIM_Modele!$D$4:$D$855,2020)</f>
        <v>20551768.12800001</v>
      </c>
      <c r="I13" s="64">
        <f>SUMIFS(SIM_Modele!$AH$4:$AH$855,SIM_Modele!$C$4:$C$855,$C13,SIM_Modele!$D$4:$D$855,2021)</f>
        <v>21209424.708096009</v>
      </c>
      <c r="J13" s="64">
        <f>SUMIFS(SIM_Modele!$AH$4:$AH$855,SIM_Modele!$C$4:$C$855,$C13,SIM_Modele!$D$4:$D$855,2022)</f>
        <v>21888126.298755072</v>
      </c>
      <c r="K13" s="64">
        <f>SUMIFS(SIM_Modele!$AH$4:$AH$855,SIM_Modele!$C$4:$C$855,$C13,SIM_Modele!$D$4:$D$855,2023)</f>
        <v>22588546.340315241</v>
      </c>
      <c r="L13" s="64">
        <f>SUMIFS(SIM_Modele!$AH$4:$AH$855,SIM_Modele!$C$4:$C$855,$C13,SIM_Modele!$D$4:$D$855,2024)</f>
        <v>23311379.823205329</v>
      </c>
      <c r="M13" s="64">
        <f>SUMIFS(SIM_Modele!$AH$4:$AH$855,SIM_Modele!$C$4:$C$855,$C13,SIM_Modele!$D$4:$D$855,2025)</f>
        <v>24057343.977547906</v>
      </c>
      <c r="N13" s="64">
        <f>SUMIFS(SIM_Modele!$AH$4:$AH$855,SIM_Modele!$C$4:$C$855,$C13,SIM_Modele!$D$4:$D$855,2026)</f>
        <v>25105649.86938424</v>
      </c>
      <c r="O13" s="64">
        <f>SUMIFS(SIM_Modele!$AH$4:$AH$855,SIM_Modele!$C$4:$C$855,$C13,SIM_Modele!$D$4:$D$855,2027)</f>
        <v>26021095.869781256</v>
      </c>
      <c r="P13" s="64">
        <f>SUMIFS(SIM_Modele!$AH$4:$AH$1068,SIM_Modele!$C$4:$C$1068,$C13,SIM_Modele!$D$4:$D$1068,2028)</f>
        <v>26622879.407651316</v>
      </c>
      <c r="Q13" s="64">
        <f>SUMIFS(SIM_Modele!$AH$4:$AH$1068,SIM_Modele!$C$4:$C$1068,$C13,SIM_Modele!$D$4:$D$1068,2029)</f>
        <v>27474811.548696153</v>
      </c>
      <c r="R13" s="64">
        <f>SUMIFS(SIM_Modele!$AH$4:$AH$1068,SIM_Modele!$C$4:$C$1068,$C13,SIM_Modele!$D$4:$D$1068,2030)</f>
        <v>28354005.51825444</v>
      </c>
      <c r="S13" s="65">
        <f t="shared" si="2"/>
        <v>9057005.5182544403</v>
      </c>
      <c r="T13" s="66">
        <f t="shared" si="3"/>
        <v>0.4693478529436928</v>
      </c>
      <c r="U13" s="67">
        <f t="shared" si="4"/>
        <v>349219535.48968703</v>
      </c>
      <c r="V13" s="62" t="s">
        <v>380</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68" t="str">
        <f t="shared" si="0"/>
        <v/>
      </c>
      <c r="AY13" s="68">
        <f t="shared" si="1"/>
        <v>100</v>
      </c>
    </row>
    <row r="14" spans="1:51" ht="25.5" customHeight="1" x14ac:dyDescent="0.25">
      <c r="A14" s="55" t="s">
        <v>48</v>
      </c>
      <c r="B14" s="55" t="s">
        <v>376</v>
      </c>
      <c r="C14" s="55" t="s">
        <v>384</v>
      </c>
      <c r="D14" s="56">
        <v>17508000</v>
      </c>
      <c r="E14" s="56">
        <v>16726000</v>
      </c>
      <c r="F14" s="56">
        <v>13706000</v>
      </c>
      <c r="G14" s="57">
        <f>SUMIFS(SIM_Modele!$AH$4:$AH$855,SIM_Modele!$C$4:$C$855,$C14,SIM_Modele!$D$4:$D$855,2019)</f>
        <v>14144592</v>
      </c>
      <c r="H14" s="57">
        <f>SUMIFS(SIM_Modele!$AH$4:$AH$855,SIM_Modele!$C$4:$C$855,$C14,SIM_Modele!$D$4:$D$855,2020)</f>
        <v>14597218.944000006</v>
      </c>
      <c r="I14" s="57">
        <f>SUMIFS(SIM_Modele!$AH$4:$AH$855,SIM_Modele!$C$4:$C$855,$C14,SIM_Modele!$D$4:$D$855,2021)</f>
        <v>15064329.950208005</v>
      </c>
      <c r="J14" s="57">
        <f>SUMIFS(SIM_Modele!$AH$4:$AH$855,SIM_Modele!$C$4:$C$855,$C14,SIM_Modele!$D$4:$D$855,2022)</f>
        <v>15546388.508614652</v>
      </c>
      <c r="K14" s="57">
        <f>SUMIFS(SIM_Modele!$AH$4:$AH$855,SIM_Modele!$C$4:$C$855,$C14,SIM_Modele!$D$4:$D$855,2023)</f>
        <v>16043872.940890325</v>
      </c>
      <c r="L14" s="57">
        <f>SUMIFS(SIM_Modele!$AH$4:$AH$855,SIM_Modele!$C$4:$C$855,$C14,SIM_Modele!$D$4:$D$855,2024)</f>
        <v>16557276.874998817</v>
      </c>
      <c r="M14" s="57">
        <f>SUMIFS(SIM_Modele!$AH$4:$AH$855,SIM_Modele!$C$4:$C$855,$C14,SIM_Modele!$D$4:$D$855,2025)</f>
        <v>17087109.734998785</v>
      </c>
      <c r="N14" s="57">
        <f>SUMIFS(SIM_Modele!$AH$4:$AH$855,SIM_Modele!$C$4:$C$855,$C14,SIM_Modele!$D$4:$D$855,2026)</f>
        <v>18944139.842832644</v>
      </c>
      <c r="O14" s="57">
        <f>SUMIFS(SIM_Modele!$AH$4:$AH$855,SIM_Modele!$C$4:$C$855,$C14,SIM_Modele!$D$4:$D$855,2027)</f>
        <v>20565758.784148607</v>
      </c>
      <c r="P14" s="57">
        <f>SUMIFS(SIM_Modele!$AH$4:$AH$1068,SIM_Modele!$C$4:$C$1068,$C14,SIM_Modele!$D$4:$D$1068,2028)</f>
        <v>21457838.875745222</v>
      </c>
      <c r="Q14" s="57">
        <f>SUMIFS(SIM_Modele!$AH$4:$AH$1068,SIM_Modele!$C$4:$C$1068,$C14,SIM_Modele!$D$4:$D$1068,2029)</f>
        <v>22144489.719769064</v>
      </c>
      <c r="R14" s="64">
        <f>SUMIFS(SIM_Modele!$AH$4:$AH$1068,SIM_Modele!$C$4:$C$1068,$C14,SIM_Modele!$D$4:$D$1068,2030)</f>
        <v>22853113.390801683</v>
      </c>
      <c r="S14" s="58">
        <f t="shared" si="2"/>
        <v>9147113.3908016831</v>
      </c>
      <c r="T14" s="59">
        <f t="shared" si="3"/>
        <v>0.66738022696641497</v>
      </c>
      <c r="U14" s="60">
        <f t="shared" si="4"/>
        <v>262946129.56700784</v>
      </c>
      <c r="V14" s="55" t="s">
        <v>380</v>
      </c>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61" t="str">
        <f t="shared" si="0"/>
        <v/>
      </c>
      <c r="AY14" s="61">
        <f t="shared" si="1"/>
        <v>100</v>
      </c>
    </row>
    <row r="15" spans="1:51" ht="25.5" customHeight="1" x14ac:dyDescent="0.25">
      <c r="A15" s="62" t="s">
        <v>48</v>
      </c>
      <c r="B15" s="62" t="s">
        <v>376</v>
      </c>
      <c r="C15" s="62" t="s">
        <v>385</v>
      </c>
      <c r="D15" s="63">
        <v>17000000</v>
      </c>
      <c r="E15" s="63">
        <v>16012000</v>
      </c>
      <c r="F15" s="63">
        <v>13608000</v>
      </c>
      <c r="G15" s="64">
        <f>SUMIFS(SIM_Modele!$AH$4:$AH$855,SIM_Modele!$C$4:$C$855,$C15,SIM_Modele!$D$4:$D$855,2019)</f>
        <v>14043456</v>
      </c>
      <c r="H15" s="64">
        <f>SUMIFS(SIM_Modele!$AH$4:$AH$855,SIM_Modele!$C$4:$C$855,$C15,SIM_Modele!$D$4:$D$855,2020)</f>
        <v>14492846.592000006</v>
      </c>
      <c r="I15" s="64">
        <f>SUMIFS(SIM_Modele!$AH$4:$AH$855,SIM_Modele!$C$4:$C$855,$C15,SIM_Modele!$D$4:$D$855,2021)</f>
        <v>14956617.682944005</v>
      </c>
      <c r="J15" s="64">
        <f>SUMIFS(SIM_Modele!$AH$4:$AH$855,SIM_Modele!$C$4:$C$855,$C15,SIM_Modele!$D$4:$D$855,2022)</f>
        <v>15435229.448798204</v>
      </c>
      <c r="K15" s="64">
        <f>SUMIFS(SIM_Modele!$AH$4:$AH$855,SIM_Modele!$C$4:$C$855,$C15,SIM_Modele!$D$4:$D$855,2023)</f>
        <v>15929156.791159751</v>
      </c>
      <c r="L15" s="64">
        <f>SUMIFS(SIM_Modele!$AH$4:$AH$855,SIM_Modele!$C$4:$C$855,$C15,SIM_Modele!$D$4:$D$855,2024)</f>
        <v>16438889.808476863</v>
      </c>
      <c r="M15" s="64">
        <f>SUMIFS(SIM_Modele!$AH$4:$AH$855,SIM_Modele!$C$4:$C$855,$C15,SIM_Modele!$D$4:$D$855,2025)</f>
        <v>16964934.28234813</v>
      </c>
      <c r="N15" s="64">
        <f>SUMIFS(SIM_Modele!$AH$4:$AH$855,SIM_Modele!$C$4:$C$855,$C15,SIM_Modele!$D$4:$D$855,2026)</f>
        <v>19509674.42470035</v>
      </c>
      <c r="O15" s="64">
        <f>SUMIFS(SIM_Modele!$AH$4:$AH$855,SIM_Modele!$C$4:$C$855,$C15,SIM_Modele!$D$4:$D$855,2027)</f>
        <v>22436125.588405401</v>
      </c>
      <c r="P15" s="64">
        <f>SUMIFS(SIM_Modele!$AH$4:$AH$1068,SIM_Modele!$C$4:$C$1068,$C15,SIM_Modele!$D$4:$D$1068,2028)</f>
        <v>27858066.824965917</v>
      </c>
      <c r="Q15" s="64">
        <f>SUMIFS(SIM_Modele!$AH$4:$AH$1068,SIM_Modele!$C$4:$C$1068,$C15,SIM_Modele!$D$4:$D$1068,2029)</f>
        <v>28749524.963364817</v>
      </c>
      <c r="R15" s="64">
        <f>SUMIFS(SIM_Modele!$AH$4:$AH$1068,SIM_Modele!$C$4:$C$1068,$C15,SIM_Modele!$D$4:$D$1068,2030)</f>
        <v>29669509.762192506</v>
      </c>
      <c r="S15" s="65">
        <f t="shared" si="2"/>
        <v>16061509.762192506</v>
      </c>
      <c r="T15" s="66">
        <f t="shared" si="3"/>
        <v>1.1802990712957455</v>
      </c>
      <c r="U15" s="67">
        <f t="shared" si="4"/>
        <v>283104032.16935593</v>
      </c>
      <c r="V15" s="62" t="s">
        <v>380</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68" t="str">
        <f t="shared" si="0"/>
        <v/>
      </c>
      <c r="AY15" s="68">
        <f t="shared" si="1"/>
        <v>100</v>
      </c>
    </row>
    <row r="16" spans="1:51" ht="25.5" customHeight="1" x14ac:dyDescent="0.25">
      <c r="A16" s="55" t="s">
        <v>48</v>
      </c>
      <c r="B16" s="55" t="s">
        <v>376</v>
      </c>
      <c r="C16" s="55" t="s">
        <v>386</v>
      </c>
      <c r="D16" s="56">
        <v>24800000</v>
      </c>
      <c r="E16" s="56">
        <v>23130000</v>
      </c>
      <c r="F16" s="56">
        <v>21955000</v>
      </c>
      <c r="G16" s="57">
        <f>SUMIFS(SIM_Modele!$AH$4:$AH$855,SIM_Modele!$C$4:$C$855,$C16,SIM_Modele!$D$4:$D$855,2019)</f>
        <v>22657560</v>
      </c>
      <c r="H16" s="57">
        <f>SUMIFS(SIM_Modele!$AH$4:$AH$855,SIM_Modele!$C$4:$C$855,$C16,SIM_Modele!$D$4:$D$855,2020)</f>
        <v>23382601.920000009</v>
      </c>
      <c r="I16" s="57">
        <f>SUMIFS(SIM_Modele!$AH$4:$AH$855,SIM_Modele!$C$4:$C$855,$C16,SIM_Modele!$D$4:$D$855,2021)</f>
        <v>24130845.181440007</v>
      </c>
      <c r="J16" s="57">
        <f>SUMIFS(SIM_Modele!$AH$4:$AH$855,SIM_Modele!$C$4:$C$855,$C16,SIM_Modele!$D$4:$D$855,2022)</f>
        <v>24903032.227246076</v>
      </c>
      <c r="K16" s="57">
        <f>SUMIFS(SIM_Modele!$AH$4:$AH$855,SIM_Modele!$C$4:$C$855,$C16,SIM_Modele!$D$4:$D$855,2023)</f>
        <v>25699929.258517954</v>
      </c>
      <c r="L16" s="57">
        <f>SUMIFS(SIM_Modele!$AH$4:$AH$855,SIM_Modele!$C$4:$C$855,$C16,SIM_Modele!$D$4:$D$855,2024)</f>
        <v>26522326.994790532</v>
      </c>
      <c r="M16" s="57">
        <f>SUMIFS(SIM_Modele!$AH$4:$AH$855,SIM_Modele!$C$4:$C$855,$C16,SIM_Modele!$D$4:$D$855,2025)</f>
        <v>27371041.458623845</v>
      </c>
      <c r="N16" s="57">
        <f>SUMIFS(SIM_Modele!$AH$4:$AH$855,SIM_Modele!$C$4:$C$855,$C16,SIM_Modele!$D$4:$D$855,2026)</f>
        <v>29902976.198818661</v>
      </c>
      <c r="O16" s="57">
        <f>SUMIFS(SIM_Modele!$AH$4:$AH$855,SIM_Modele!$C$4:$C$855,$C16,SIM_Modele!$D$4:$D$855,2027)</f>
        <v>32113952.605679128</v>
      </c>
      <c r="P16" s="57">
        <f>SUMIFS(SIM_Modele!$AH$4:$AH$1068,SIM_Modele!$C$4:$C$1068,$C16,SIM_Modele!$D$4:$D$1068,2028)</f>
        <v>33358002.53968253</v>
      </c>
      <c r="Q16" s="57">
        <f>SUMIFS(SIM_Modele!$AH$4:$AH$1068,SIM_Modele!$C$4:$C$1068,$C16,SIM_Modele!$D$4:$D$1068,2029)</f>
        <v>34425458.62095236</v>
      </c>
      <c r="R16" s="64">
        <f>SUMIFS(SIM_Modele!$AH$4:$AH$1068,SIM_Modele!$C$4:$C$1068,$C16,SIM_Modele!$D$4:$D$1068,2030)</f>
        <v>35527073.296822853</v>
      </c>
      <c r="S16" s="58">
        <f t="shared" si="2"/>
        <v>13572073.296822853</v>
      </c>
      <c r="T16" s="59">
        <f t="shared" si="3"/>
        <v>0.61817687528229803</v>
      </c>
      <c r="U16" s="60">
        <f t="shared" si="4"/>
        <v>409879800.30257398</v>
      </c>
      <c r="V16" s="55" t="s">
        <v>380</v>
      </c>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61" t="str">
        <f t="shared" si="0"/>
        <v/>
      </c>
      <c r="AY16" s="61">
        <f t="shared" si="1"/>
        <v>100</v>
      </c>
    </row>
    <row r="17" spans="1:51" ht="25.5" customHeight="1" x14ac:dyDescent="0.25">
      <c r="A17" s="62" t="s">
        <v>48</v>
      </c>
      <c r="B17" s="62" t="s">
        <v>376</v>
      </c>
      <c r="C17" s="62" t="s">
        <v>387</v>
      </c>
      <c r="D17" s="63">
        <v>17080000</v>
      </c>
      <c r="E17" s="63">
        <v>16085000</v>
      </c>
      <c r="F17" s="63">
        <v>15147000</v>
      </c>
      <c r="G17" s="64">
        <f>SUMIFS(SIM_Modele!$AH$4:$AH$855,SIM_Modele!$C$4:$C$855,$C17,SIM_Modele!$D$4:$D$855,2019)</f>
        <v>15631704</v>
      </c>
      <c r="H17" s="64">
        <f>SUMIFS(SIM_Modele!$AH$4:$AH$855,SIM_Modele!$C$4:$C$855,$C17,SIM_Modele!$D$4:$D$855,2020)</f>
        <v>16131918.528000008</v>
      </c>
      <c r="I17" s="64">
        <f>SUMIFS(SIM_Modele!$AH$4:$AH$855,SIM_Modele!$C$4:$C$855,$C17,SIM_Modele!$D$4:$D$855,2021)</f>
        <v>16648139.920896007</v>
      </c>
      <c r="J17" s="64">
        <f>SUMIFS(SIM_Modele!$AH$4:$AH$855,SIM_Modele!$C$4:$C$855,$C17,SIM_Modele!$D$4:$D$855,2022)</f>
        <v>17180880.398364671</v>
      </c>
      <c r="K17" s="64">
        <f>SUMIFS(SIM_Modele!$AH$4:$AH$855,SIM_Modele!$C$4:$C$855,$C17,SIM_Modele!$D$4:$D$855,2023)</f>
        <v>17730668.571112342</v>
      </c>
      <c r="L17" s="64">
        <f>SUMIFS(SIM_Modele!$AH$4:$AH$855,SIM_Modele!$C$4:$C$855,$C17,SIM_Modele!$D$4:$D$855,2024)</f>
        <v>18298049.965387937</v>
      </c>
      <c r="M17" s="64">
        <f>SUMIFS(SIM_Modele!$AH$4:$AH$855,SIM_Modele!$C$4:$C$855,$C17,SIM_Modele!$D$4:$D$855,2025)</f>
        <v>18883587.564280361</v>
      </c>
      <c r="N17" s="64">
        <f>SUMIFS(SIM_Modele!$AH$4:$AH$855,SIM_Modele!$C$4:$C$855,$C17,SIM_Modele!$D$4:$D$855,2026)</f>
        <v>19369980.8421725</v>
      </c>
      <c r="O17" s="64">
        <f>SUMIFS(SIM_Modele!$AH$4:$AH$855,SIM_Modele!$C$4:$C$855,$C17,SIM_Modele!$D$4:$D$855,2027)</f>
        <v>19794746.509442005</v>
      </c>
      <c r="P17" s="64">
        <f>SUMIFS(SIM_Modele!$AH$4:$AH$1068,SIM_Modele!$C$4:$C$1068,$C17,SIM_Modele!$D$4:$D$1068,2028)</f>
        <v>20126575.143022928</v>
      </c>
      <c r="Q17" s="64">
        <f>SUMIFS(SIM_Modele!$AH$4:$AH$1068,SIM_Modele!$C$4:$C$1068,$C17,SIM_Modele!$D$4:$D$1068,2029)</f>
        <v>20770625.547599655</v>
      </c>
      <c r="R17" s="64">
        <f>SUMIFS(SIM_Modele!$AH$4:$AH$1068,SIM_Modele!$C$4:$C$1068,$C17,SIM_Modele!$D$4:$D$1068,2030)</f>
        <v>21435285.56512285</v>
      </c>
      <c r="S17" s="65">
        <f t="shared" si="2"/>
        <v>6288285.5651228502</v>
      </c>
      <c r="T17" s="66">
        <f t="shared" si="3"/>
        <v>0.41515056216563345</v>
      </c>
      <c r="U17" s="67">
        <f t="shared" si="4"/>
        <v>270314162.55540127</v>
      </c>
      <c r="V17" s="62" t="s">
        <v>380</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68" t="str">
        <f t="shared" si="0"/>
        <v/>
      </c>
      <c r="AY17" s="68">
        <f t="shared" si="1"/>
        <v>100</v>
      </c>
    </row>
    <row r="18" spans="1:51" ht="25.5" customHeight="1" x14ac:dyDescent="0.25">
      <c r="A18" s="55" t="s">
        <v>48</v>
      </c>
      <c r="B18" s="55" t="s">
        <v>376</v>
      </c>
      <c r="C18" s="55" t="s">
        <v>388</v>
      </c>
      <c r="D18" s="56">
        <v>24000000</v>
      </c>
      <c r="E18" s="56">
        <v>22400000</v>
      </c>
      <c r="F18" s="56">
        <v>20977000</v>
      </c>
      <c r="G18" s="57">
        <f>SUMIFS(SIM_Modele!$AH$4:$AH$855,SIM_Modele!$C$4:$C$855,$C18,SIM_Modele!$D$4:$D$855,2019)</f>
        <v>21648264</v>
      </c>
      <c r="H18" s="57">
        <f>SUMIFS(SIM_Modele!$AH$4:$AH$855,SIM_Modele!$C$4:$C$855,$C18,SIM_Modele!$D$4:$D$855,2020)</f>
        <v>22341008.44800001</v>
      </c>
      <c r="I18" s="57">
        <f>SUMIFS(SIM_Modele!$AH$4:$AH$855,SIM_Modele!$C$4:$C$855,$C18,SIM_Modele!$D$4:$D$855,2021)</f>
        <v>23055920.718336008</v>
      </c>
      <c r="J18" s="57">
        <f>SUMIFS(SIM_Modele!$AH$4:$AH$855,SIM_Modele!$C$4:$C$855,$C18,SIM_Modele!$D$4:$D$855,2022)</f>
        <v>23793710.18132275</v>
      </c>
      <c r="K18" s="57">
        <f>SUMIFS(SIM_Modele!$AH$4:$AH$855,SIM_Modele!$C$4:$C$855,$C18,SIM_Modele!$D$4:$D$855,2023)</f>
        <v>24555108.907125086</v>
      </c>
      <c r="L18" s="57">
        <f>SUMIFS(SIM_Modele!$AH$4:$AH$855,SIM_Modele!$C$4:$C$855,$C18,SIM_Modele!$D$4:$D$855,2024)</f>
        <v>25340872.392153088</v>
      </c>
      <c r="M18" s="57">
        <f>SUMIFS(SIM_Modele!$AH$4:$AH$855,SIM_Modele!$C$4:$C$855,$C18,SIM_Modele!$D$4:$D$855,2025)</f>
        <v>26151780.308701999</v>
      </c>
      <c r="N18" s="57">
        <f>SUMIFS(SIM_Modele!$AH$4:$AH$855,SIM_Modele!$C$4:$C$855,$C18,SIM_Modele!$D$4:$D$855,2026)</f>
        <v>26355688.23239436</v>
      </c>
      <c r="O18" s="57">
        <f>SUMIFS(SIM_Modele!$AH$4:$AH$855,SIM_Modele!$C$4:$C$855,$C18,SIM_Modele!$D$4:$D$855,2027)</f>
        <v>26533799.942599483</v>
      </c>
      <c r="P18" s="57">
        <f>SUMIFS(SIM_Modele!$AH$4:$AH$1068,SIM_Modele!$C$4:$C$1068,$C18,SIM_Modele!$D$4:$D$1068,2028)</f>
        <v>26797163.569504965</v>
      </c>
      <c r="Q18" s="57">
        <f>SUMIFS(SIM_Modele!$AH$4:$AH$1068,SIM_Modele!$C$4:$C$1068,$C18,SIM_Modele!$D$4:$D$1068,2029)</f>
        <v>27654672.803729113</v>
      </c>
      <c r="R18" s="64">
        <f>SUMIFS(SIM_Modele!$AH$4:$AH$1068,SIM_Modele!$C$4:$C$1068,$C18,SIM_Modele!$D$4:$D$1068,2030)</f>
        <v>28539622.333448455</v>
      </c>
      <c r="S18" s="58">
        <f t="shared" si="2"/>
        <v>7562622.3334484547</v>
      </c>
      <c r="T18" s="59">
        <f t="shared" si="3"/>
        <v>0.36051972796150328</v>
      </c>
      <c r="U18" s="60">
        <f t="shared" si="4"/>
        <v>370144611.83731538</v>
      </c>
      <c r="V18" s="55" t="s">
        <v>380</v>
      </c>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61" t="str">
        <f t="shared" si="0"/>
        <v/>
      </c>
      <c r="AY18" s="61">
        <f t="shared" si="1"/>
        <v>100</v>
      </c>
    </row>
    <row r="19" spans="1:51" ht="25.5" customHeight="1" x14ac:dyDescent="0.25">
      <c r="A19" s="62" t="s">
        <v>48</v>
      </c>
      <c r="B19" s="62" t="s">
        <v>376</v>
      </c>
      <c r="C19" s="62" t="s">
        <v>389</v>
      </c>
      <c r="D19" s="63">
        <v>27350000</v>
      </c>
      <c r="E19" s="63">
        <v>25456000</v>
      </c>
      <c r="F19" s="63">
        <v>23728000</v>
      </c>
      <c r="G19" s="64">
        <f>SUMIFS(SIM_Modele!$AH$4:$AH$855,SIM_Modele!$C$4:$C$855,$C19,SIM_Modele!$D$4:$D$855,2019)</f>
        <v>24487296</v>
      </c>
      <c r="H19" s="64">
        <f>SUMIFS(SIM_Modele!$AH$4:$AH$855,SIM_Modele!$C$4:$C$855,$C19,SIM_Modele!$D$4:$D$855,2020)</f>
        <v>25270889.47200001</v>
      </c>
      <c r="I19" s="64">
        <f>SUMIFS(SIM_Modele!$AH$4:$AH$855,SIM_Modele!$C$4:$C$855,$C19,SIM_Modele!$D$4:$D$855,2021)</f>
        <v>26079557.935104005</v>
      </c>
      <c r="J19" s="64">
        <f>SUMIFS(SIM_Modele!$AH$4:$AH$855,SIM_Modele!$C$4:$C$855,$C19,SIM_Modele!$D$4:$D$855,2022)</f>
        <v>26914103.789027318</v>
      </c>
      <c r="K19" s="64">
        <f>SUMIFS(SIM_Modele!$AH$4:$AH$855,SIM_Modele!$C$4:$C$855,$C19,SIM_Modele!$D$4:$D$855,2023)</f>
        <v>27775355.110276196</v>
      </c>
      <c r="L19" s="64">
        <f>SUMIFS(SIM_Modele!$AH$4:$AH$855,SIM_Modele!$C$4:$C$855,$C19,SIM_Modele!$D$4:$D$855,2024)</f>
        <v>28664166.473805033</v>
      </c>
      <c r="M19" s="64">
        <f>SUMIFS(SIM_Modele!$AH$4:$AH$855,SIM_Modele!$C$4:$C$855,$C19,SIM_Modele!$D$4:$D$855,2025)</f>
        <v>29581419.80096681</v>
      </c>
      <c r="N19" s="64">
        <f>SUMIFS(SIM_Modele!$AH$4:$AH$855,SIM_Modele!$C$4:$C$855,$C19,SIM_Modele!$D$4:$D$855,2026)</f>
        <v>29359452.063450865</v>
      </c>
      <c r="O19" s="64">
        <f>SUMIFS(SIM_Modele!$AH$4:$AH$855,SIM_Modele!$C$4:$C$855,$C19,SIM_Modele!$D$4:$D$855,2027)</f>
        <v>29165691.279802855</v>
      </c>
      <c r="P19" s="64">
        <f>SUMIFS(SIM_Modele!$AH$4:$AH$1068,SIM_Modele!$C$4:$C$1068,$C19,SIM_Modele!$D$4:$D$1068,2028)</f>
        <v>29274542.75631126</v>
      </c>
      <c r="Q19" s="64">
        <f>SUMIFS(SIM_Modele!$AH$4:$AH$1068,SIM_Modele!$C$4:$C$1068,$C19,SIM_Modele!$D$4:$D$1068,2029)</f>
        <v>30211328.124513209</v>
      </c>
      <c r="R19" s="64">
        <f>SUMIFS(SIM_Modele!$AH$4:$AH$1068,SIM_Modele!$C$4:$C$1068,$C19,SIM_Modele!$D$4:$D$1068,2030)</f>
        <v>31178090.624497641</v>
      </c>
      <c r="S19" s="65">
        <f t="shared" si="2"/>
        <v>7450090.6244976409</v>
      </c>
      <c r="T19" s="66">
        <f t="shared" si="3"/>
        <v>0.31397886987936785</v>
      </c>
      <c r="U19" s="67">
        <f t="shared" si="4"/>
        <v>414495893.42975521</v>
      </c>
      <c r="V19" s="62" t="s">
        <v>380</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68" t="str">
        <f t="shared" si="0"/>
        <v/>
      </c>
      <c r="AY19" s="68">
        <f t="shared" si="1"/>
        <v>100</v>
      </c>
    </row>
    <row r="20" spans="1:51" ht="25.5" customHeight="1" x14ac:dyDescent="0.25">
      <c r="A20" s="55" t="s">
        <v>343</v>
      </c>
      <c r="B20" s="55" t="s">
        <v>390</v>
      </c>
      <c r="C20" s="55" t="s">
        <v>391</v>
      </c>
      <c r="D20" s="56">
        <v>121400000</v>
      </c>
      <c r="E20" s="56">
        <v>110777000</v>
      </c>
      <c r="F20" s="56">
        <v>107080000</v>
      </c>
      <c r="G20" s="57">
        <f>$F20*(1+SIM_Parametres!$B$5)^(2019-2018)</f>
        <v>110506560</v>
      </c>
      <c r="H20" s="57">
        <f>$F20*(1+SIM_Parametres!$B$5)^(2020-2018)</f>
        <v>114042769.92</v>
      </c>
      <c r="I20" s="57">
        <f>$F20*(1+SIM_Parametres!$B$5)^(2021-2018)</f>
        <v>117692138.55743998</v>
      </c>
      <c r="J20" s="57">
        <f>$F20*(1+SIM_Parametres!$B$5)^(2022-2018)</f>
        <v>121458286.99127807</v>
      </c>
      <c r="K20" s="57">
        <f>$F20*(1+SIM_Parametres!$B$5)^(2023-2018)</f>
        <v>125344952.17499898</v>
      </c>
      <c r="L20" s="57">
        <f>$F20*(1+SIM_Parametres!$B$5)^(2024-2018)</f>
        <v>129355990.64459893</v>
      </c>
      <c r="M20" s="57">
        <f>$F20*(1+SIM_Parametres!$B$5)^(2025-2018)</f>
        <v>133495382.34522608</v>
      </c>
      <c r="N20" s="57">
        <f>$F20*(1+SIM_Parametres!$B$5)^(2026-2018)</f>
        <v>137767234.58027333</v>
      </c>
      <c r="O20" s="57">
        <f>$F20*(1+SIM_Parametres!$B$5)^(2027-2018)</f>
        <v>142175786.08684209</v>
      </c>
      <c r="P20" s="57">
        <f>$F20*(1+SIM_Parametres!$B$5)^(2028-2018)</f>
        <v>146725411.24162102</v>
      </c>
      <c r="Q20" s="57">
        <f>$F20*(1+SIM_Parametres!$B$5)^(2029-2018)</f>
        <v>151420624.40135288</v>
      </c>
      <c r="R20" s="64">
        <f>$F20*(1+SIM_Parametres!$B$5)^(2030-2018)</f>
        <v>156266084.38219619</v>
      </c>
      <c r="S20" s="58">
        <f t="shared" si="2"/>
        <v>49186084.382196188</v>
      </c>
      <c r="T20" s="59">
        <f t="shared" si="3"/>
        <v>0.45933960013257552</v>
      </c>
      <c r="U20" s="60">
        <f t="shared" si="4"/>
        <v>1925508221.3258276</v>
      </c>
      <c r="V20" s="55" t="s">
        <v>378</v>
      </c>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61" t="str">
        <f t="shared" si="0"/>
        <v/>
      </c>
      <c r="AY20" s="61">
        <f t="shared" si="1"/>
        <v>100</v>
      </c>
    </row>
    <row r="21" spans="1:51" ht="25.5" customHeight="1" x14ac:dyDescent="0.25">
      <c r="A21" s="62" t="s">
        <v>48</v>
      </c>
      <c r="B21" s="62" t="s">
        <v>390</v>
      </c>
      <c r="C21" s="62" t="s">
        <v>392</v>
      </c>
      <c r="D21" s="63">
        <v>16950000</v>
      </c>
      <c r="E21" s="63">
        <v>16966000</v>
      </c>
      <c r="F21" s="63">
        <v>15683000</v>
      </c>
      <c r="G21" s="64">
        <f>SUMIFS(SIM_Modele!$AH$4:$AH$855,SIM_Modele!$C$4:$C$855,$C21,SIM_Modele!$D$4:$D$855,2019)</f>
        <v>16184856</v>
      </c>
      <c r="H21" s="64">
        <f>SUMIFS(SIM_Modele!$AH$4:$AH$855,SIM_Modele!$C$4:$C$855,$C21,SIM_Modele!$D$4:$D$855,2020)</f>
        <v>16702771.392000007</v>
      </c>
      <c r="I21" s="64">
        <f>SUMIFS(SIM_Modele!$AH$4:$AH$855,SIM_Modele!$C$4:$C$855,$C21,SIM_Modele!$D$4:$D$855,2021)</f>
        <v>17237260.076544005</v>
      </c>
      <c r="J21" s="64">
        <f>SUMIFS(SIM_Modele!$AH$4:$AH$855,SIM_Modele!$C$4:$C$855,$C21,SIM_Modele!$D$4:$D$855,2022)</f>
        <v>17788852.398993403</v>
      </c>
      <c r="K21" s="64">
        <f>SUMIFS(SIM_Modele!$AH$4:$AH$855,SIM_Modele!$C$4:$C$855,$C21,SIM_Modele!$D$4:$D$855,2023)</f>
        <v>18358095.675761197</v>
      </c>
      <c r="L21" s="64">
        <f>SUMIFS(SIM_Modele!$AH$4:$AH$855,SIM_Modele!$C$4:$C$855,$C21,SIM_Modele!$D$4:$D$855,2024)</f>
        <v>18945554.737385552</v>
      </c>
      <c r="M21" s="64">
        <f>SUMIFS(SIM_Modele!$AH$4:$AH$855,SIM_Modele!$C$4:$C$855,$C21,SIM_Modele!$D$4:$D$855,2025)</f>
        <v>19551812.488981899</v>
      </c>
      <c r="N21" s="64">
        <f>SUMIFS(SIM_Modele!$AH$4:$AH$855,SIM_Modele!$C$4:$C$855,$C21,SIM_Modele!$D$4:$D$855,2026)</f>
        <v>22484584.362329181</v>
      </c>
      <c r="O21" s="64">
        <f>SUMIFS(SIM_Modele!$AH$4:$AH$855,SIM_Modele!$C$4:$C$855,$C21,SIM_Modele!$D$4:$D$855,2027)</f>
        <v>25857272.016678557</v>
      </c>
      <c r="P21" s="64">
        <f>SUMIFS(SIM_Modele!$AH$4:$AH$1068,SIM_Modele!$C$4:$C$1068,$C21,SIM_Modele!$D$4:$D$1068,2028)</f>
        <v>50405427.15684288</v>
      </c>
      <c r="Q21" s="64">
        <f>SUMIFS(SIM_Modele!$AH$4:$AH$1068,SIM_Modele!$C$4:$C$1068,$C21,SIM_Modele!$D$4:$D$1068,2029)</f>
        <v>52018400.825861834</v>
      </c>
      <c r="R21" s="64">
        <f>SUMIFS(SIM_Modele!$AH$4:$AH$1068,SIM_Modele!$C$4:$C$1068,$C21,SIM_Modele!$D$4:$D$1068,2030)</f>
        <v>53682989.65228942</v>
      </c>
      <c r="S21" s="65">
        <f t="shared" si="2"/>
        <v>37999989.65228942</v>
      </c>
      <c r="T21" s="66">
        <f t="shared" si="3"/>
        <v>2.4230051426569803</v>
      </c>
      <c r="U21" s="67">
        <f t="shared" si="4"/>
        <v>378816876.78366792</v>
      </c>
      <c r="V21" s="62" t="s">
        <v>380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68" t="str">
        <f t="shared" si="0"/>
        <v/>
      </c>
      <c r="AY21" s="68">
        <f t="shared" si="1"/>
        <v>100</v>
      </c>
    </row>
    <row r="22" spans="1:51" ht="25.5" customHeight="1" x14ac:dyDescent="0.25">
      <c r="A22" s="55" t="s">
        <v>48</v>
      </c>
      <c r="B22" s="55" t="s">
        <v>390</v>
      </c>
      <c r="C22" s="55" t="s">
        <v>390</v>
      </c>
      <c r="D22" s="56">
        <v>17950000</v>
      </c>
      <c r="E22" s="56">
        <v>17879000</v>
      </c>
      <c r="F22" s="56">
        <v>15975000</v>
      </c>
      <c r="G22" s="57">
        <f>SUMIFS(SIM_Modele!$AH$4:$AH$855,SIM_Modele!$C$4:$C$855,$C22,SIM_Modele!$D$4:$D$855,2019)</f>
        <v>16486200</v>
      </c>
      <c r="H22" s="57">
        <f>SUMIFS(SIM_Modele!$AH$4:$AH$855,SIM_Modele!$C$4:$C$855,$C22,SIM_Modele!$D$4:$D$855,2020)</f>
        <v>17013758.400000006</v>
      </c>
      <c r="I22" s="57">
        <f>SUMIFS(SIM_Modele!$AH$4:$AH$855,SIM_Modele!$C$4:$C$855,$C22,SIM_Modele!$D$4:$D$855,2021)</f>
        <v>17558198.668800004</v>
      </c>
      <c r="J22" s="57">
        <f>SUMIFS(SIM_Modele!$AH$4:$AH$855,SIM_Modele!$C$4:$C$855,$C22,SIM_Modele!$D$4:$D$855,2022)</f>
        <v>18120061.026201595</v>
      </c>
      <c r="K22" s="57">
        <f>SUMIFS(SIM_Modele!$AH$4:$AH$855,SIM_Modele!$C$4:$C$855,$C22,SIM_Modele!$D$4:$D$855,2023)</f>
        <v>18699902.979040049</v>
      </c>
      <c r="L22" s="57">
        <f>SUMIFS(SIM_Modele!$AH$4:$AH$855,SIM_Modele!$C$4:$C$855,$C22,SIM_Modele!$D$4:$D$855,2024)</f>
        <v>19298299.874369331</v>
      </c>
      <c r="M22" s="57">
        <f>SUMIFS(SIM_Modele!$AH$4:$AH$855,SIM_Modele!$C$4:$C$855,$C22,SIM_Modele!$D$4:$D$855,2025)</f>
        <v>19915845.470349155</v>
      </c>
      <c r="N22" s="57">
        <f>SUMIFS(SIM_Modele!$AH$4:$AH$855,SIM_Modele!$C$4:$C$855,$C22,SIM_Modele!$D$4:$D$855,2026)</f>
        <v>22903222.290901527</v>
      </c>
      <c r="O22" s="57">
        <f>SUMIFS(SIM_Modele!$AH$4:$AH$855,SIM_Modele!$C$4:$C$855,$C22,SIM_Modele!$D$4:$D$855,2027)</f>
        <v>26338705.634536754</v>
      </c>
      <c r="P22" s="57">
        <f>SUMIFS(SIM_Modele!$AH$4:$AH$1068,SIM_Modele!$C$4:$C$1068,$C22,SIM_Modele!$D$4:$D$1068,2028)</f>
        <v>46490552.85444887</v>
      </c>
      <c r="Q22" s="57">
        <f>SUMIFS(SIM_Modele!$AH$4:$AH$1068,SIM_Modele!$C$4:$C$1068,$C22,SIM_Modele!$D$4:$D$1068,2029)</f>
        <v>47978250.545791216</v>
      </c>
      <c r="R22" s="64">
        <f>SUMIFS(SIM_Modele!$AH$4:$AH$1068,SIM_Modele!$C$4:$C$1068,$C22,SIM_Modele!$D$4:$D$1068,2030)</f>
        <v>49513554.563256562</v>
      </c>
      <c r="S22" s="58">
        <f t="shared" si="2"/>
        <v>33538554.563256562</v>
      </c>
      <c r="T22" s="59">
        <f t="shared" si="3"/>
        <v>2.0994400352586267</v>
      </c>
      <c r="U22" s="60">
        <f t="shared" si="4"/>
        <v>372120552.30769503</v>
      </c>
      <c r="V22" s="55" t="s">
        <v>380</v>
      </c>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61" t="str">
        <f t="shared" si="0"/>
        <v/>
      </c>
      <c r="AY22" s="61">
        <f t="shared" si="1"/>
        <v>100</v>
      </c>
    </row>
    <row r="23" spans="1:51" ht="25.5" customHeight="1" x14ac:dyDescent="0.25">
      <c r="A23" s="62" t="s">
        <v>48</v>
      </c>
      <c r="B23" s="62" t="s">
        <v>390</v>
      </c>
      <c r="C23" s="62" t="s">
        <v>393</v>
      </c>
      <c r="D23" s="63">
        <v>15450000</v>
      </c>
      <c r="E23" s="63">
        <v>15600000</v>
      </c>
      <c r="F23" s="63">
        <v>14580000</v>
      </c>
      <c r="G23" s="64">
        <f>SUMIFS(SIM_Modele!$AH$4:$AH$855,SIM_Modele!$C$4:$C$855,$C23,SIM_Modele!$D$4:$D$855,2019)</f>
        <v>15046560.000000002</v>
      </c>
      <c r="H23" s="64">
        <f>SUMIFS(SIM_Modele!$AH$4:$AH$855,SIM_Modele!$C$4:$C$855,$C23,SIM_Modele!$D$4:$D$855,2020)</f>
        <v>15528049.920000007</v>
      </c>
      <c r="I23" s="64">
        <f>SUMIFS(SIM_Modele!$AH$4:$AH$855,SIM_Modele!$C$4:$C$855,$C23,SIM_Modele!$D$4:$D$855,2021)</f>
        <v>16024947.517440006</v>
      </c>
      <c r="J23" s="64">
        <f>SUMIFS(SIM_Modele!$AH$4:$AH$855,SIM_Modele!$C$4:$C$855,$C23,SIM_Modele!$D$4:$D$855,2022)</f>
        <v>16537745.837998077</v>
      </c>
      <c r="K23" s="64">
        <f>SUMIFS(SIM_Modele!$AH$4:$AH$855,SIM_Modele!$C$4:$C$855,$C23,SIM_Modele!$D$4:$D$855,2023)</f>
        <v>17066953.704814021</v>
      </c>
      <c r="L23" s="64">
        <f>SUMIFS(SIM_Modele!$AH$4:$AH$855,SIM_Modele!$C$4:$C$855,$C23,SIM_Modele!$D$4:$D$855,2024)</f>
        <v>17613096.223368067</v>
      </c>
      <c r="M23" s="64">
        <f>SUMIFS(SIM_Modele!$AH$4:$AH$855,SIM_Modele!$C$4:$C$855,$C23,SIM_Modele!$D$4:$D$855,2025)</f>
        <v>18176715.302515853</v>
      </c>
      <c r="N23" s="64">
        <f>SUMIFS(SIM_Modele!$AH$4:$AH$855,SIM_Modele!$C$4:$C$855,$C23,SIM_Modele!$D$4:$D$855,2026)</f>
        <v>20903222.597893231</v>
      </c>
      <c r="O23" s="64">
        <f>SUMIFS(SIM_Modele!$AH$4:$AH$855,SIM_Modele!$C$4:$C$855,$C23,SIM_Modele!$D$4:$D$855,2027)</f>
        <v>24038705.987577215</v>
      </c>
      <c r="P23" s="64">
        <f>SUMIFS(SIM_Modele!$AH$4:$AH$1068,SIM_Modele!$C$4:$C$1068,$C23,SIM_Modele!$D$4:$D$1068,2028)</f>
        <v>31728069.293628752</v>
      </c>
      <c r="Q23" s="64">
        <f>SUMIFS(SIM_Modele!$AH$4:$AH$1068,SIM_Modele!$C$4:$C$1068,$C23,SIM_Modele!$D$4:$D$1068,2029)</f>
        <v>32743367.511024855</v>
      </c>
      <c r="R23" s="64">
        <f>SUMIFS(SIM_Modele!$AH$4:$AH$1068,SIM_Modele!$C$4:$C$1068,$C23,SIM_Modele!$D$4:$D$1068,2030)</f>
        <v>33791155.271377668</v>
      </c>
      <c r="S23" s="65">
        <f t="shared" si="2"/>
        <v>19211155.271377668</v>
      </c>
      <c r="T23" s="66">
        <f t="shared" si="3"/>
        <v>1.3176375357597852</v>
      </c>
      <c r="U23" s="67">
        <f t="shared" si="4"/>
        <v>304828589.16763777</v>
      </c>
      <c r="V23" s="62" t="s">
        <v>380</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68" t="str">
        <f t="shared" si="0"/>
        <v/>
      </c>
      <c r="AY23" s="68">
        <f t="shared" si="1"/>
        <v>100</v>
      </c>
    </row>
    <row r="24" spans="1:51" ht="25.5" customHeight="1" x14ac:dyDescent="0.25">
      <c r="A24" s="55" t="s">
        <v>343</v>
      </c>
      <c r="B24" s="55" t="s">
        <v>394</v>
      </c>
      <c r="C24" s="55" t="s">
        <v>395</v>
      </c>
      <c r="D24" s="56">
        <v>22100000</v>
      </c>
      <c r="E24" s="56">
        <v>22066000</v>
      </c>
      <c r="F24" s="56">
        <v>21120000</v>
      </c>
      <c r="G24" s="57">
        <f>$F24*(1+SIM_Parametres!$B$5)^(2019-2018)</f>
        <v>21795840</v>
      </c>
      <c r="H24" s="57">
        <f>$F24*(1+SIM_Parametres!$B$5)^(2020-2018)</f>
        <v>22493306.879999999</v>
      </c>
      <c r="I24" s="57">
        <f>$F24*(1+SIM_Parametres!$B$5)^(2021-2018)</f>
        <v>23213092.700159997</v>
      </c>
      <c r="J24" s="57">
        <f>$F24*(1+SIM_Parametres!$B$5)^(2022-2018)</f>
        <v>23955911.666565116</v>
      </c>
      <c r="K24" s="57">
        <f>$F24*(1+SIM_Parametres!$B$5)^(2023-2018)</f>
        <v>24722500.839895204</v>
      </c>
      <c r="L24" s="57">
        <f>$F24*(1+SIM_Parametres!$B$5)^(2024-2018)</f>
        <v>25513620.866771847</v>
      </c>
      <c r="M24" s="57">
        <f>$F24*(1+SIM_Parametres!$B$5)^(2025-2018)</f>
        <v>26330056.734508544</v>
      </c>
      <c r="N24" s="57">
        <f>$F24*(1+SIM_Parametres!$B$5)^(2026-2018)</f>
        <v>27172618.550012819</v>
      </c>
      <c r="O24" s="57">
        <f>$F24*(1+SIM_Parametres!$B$5)^(2027-2018)</f>
        <v>28042142.343613233</v>
      </c>
      <c r="P24" s="57">
        <f>$F24*(1+SIM_Parametres!$B$5)^(2028-2018)</f>
        <v>28939490.898608852</v>
      </c>
      <c r="Q24" s="57">
        <f>$F24*(1+SIM_Parametres!$B$5)^(2029-2018)</f>
        <v>29865554.607364334</v>
      </c>
      <c r="R24" s="64">
        <f>$F24*(1+SIM_Parametres!$B$5)^(2030-2018)</f>
        <v>30821252.354799997</v>
      </c>
      <c r="S24" s="58">
        <f t="shared" si="2"/>
        <v>9701252.3547999971</v>
      </c>
      <c r="T24" s="59">
        <f t="shared" si="3"/>
        <v>0.45933960013257563</v>
      </c>
      <c r="U24" s="60">
        <f t="shared" si="4"/>
        <v>378151388.44229996</v>
      </c>
      <c r="V24" s="55" t="s">
        <v>378</v>
      </c>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61" t="str">
        <f t="shared" si="0"/>
        <v/>
      </c>
      <c r="AY24" s="61">
        <f t="shared" si="1"/>
        <v>100</v>
      </c>
    </row>
    <row r="25" spans="1:51" ht="25.5" customHeight="1" x14ac:dyDescent="0.25">
      <c r="A25" s="62" t="s">
        <v>48</v>
      </c>
      <c r="B25" s="62" t="s">
        <v>394</v>
      </c>
      <c r="C25" s="62" t="s">
        <v>396</v>
      </c>
      <c r="D25" s="63">
        <v>15800000</v>
      </c>
      <c r="E25" s="63">
        <v>14920000</v>
      </c>
      <c r="F25" s="63">
        <v>14042000</v>
      </c>
      <c r="G25" s="64">
        <f>SUMIFS(SIM_Modele!$AH$4:$AH$855,SIM_Modele!$C$4:$C$855,$C25,SIM_Modele!$D$4:$D$855,2019)</f>
        <v>14491344</v>
      </c>
      <c r="H25" s="64">
        <f>SUMIFS(SIM_Modele!$AH$4:$AH$855,SIM_Modele!$C$4:$C$855,$C25,SIM_Modele!$D$4:$D$855,2020)</f>
        <v>14955067.008000009</v>
      </c>
      <c r="I25" s="64">
        <f>SUMIFS(SIM_Modele!$AH$4:$AH$855,SIM_Modele!$C$4:$C$855,$C25,SIM_Modele!$D$4:$D$855,2021)</f>
        <v>15433629.152256008</v>
      </c>
      <c r="J25" s="64">
        <f>SUMIFS(SIM_Modele!$AH$4:$AH$855,SIM_Modele!$C$4:$C$855,$C25,SIM_Modele!$D$4:$D$855,2022)</f>
        <v>15927505.285128191</v>
      </c>
      <c r="K25" s="64">
        <f>SUMIFS(SIM_Modele!$AH$4:$AH$855,SIM_Modele!$C$4:$C$855,$C25,SIM_Modele!$D$4:$D$855,2023)</f>
        <v>16437185.454252297</v>
      </c>
      <c r="L25" s="64">
        <f>SUMIFS(SIM_Modele!$AH$4:$AH$855,SIM_Modele!$C$4:$C$855,$C25,SIM_Modele!$D$4:$D$855,2024)</f>
        <v>16963175.388788369</v>
      </c>
      <c r="M25" s="64">
        <f>SUMIFS(SIM_Modele!$AH$4:$AH$855,SIM_Modele!$C$4:$C$855,$C25,SIM_Modele!$D$4:$D$855,2025)</f>
        <v>17505997.001229607</v>
      </c>
      <c r="N25" s="64">
        <f>SUMIFS(SIM_Modele!$AH$4:$AH$855,SIM_Modele!$C$4:$C$855,$C25,SIM_Modele!$D$4:$D$855,2026)</f>
        <v>16876522.751210269</v>
      </c>
      <c r="O25" s="64">
        <f>SUMIFS(SIM_Modele!$AH$4:$AH$855,SIM_Modele!$C$4:$C$855,$C25,SIM_Modele!$D$4:$D$855,2027)</f>
        <v>16249666.241111828</v>
      </c>
      <c r="P25" s="64">
        <f>SUMIFS(SIM_Modele!$AH$4:$AH$1068,SIM_Modele!$C$4:$C$1068,$C25,SIM_Modele!$D$4:$D$1068,2028)</f>
        <v>15849717.900586842</v>
      </c>
      <c r="Q25" s="64">
        <f>SUMIFS(SIM_Modele!$AH$4:$AH$1068,SIM_Modele!$C$4:$C$1068,$C25,SIM_Modele!$D$4:$D$1068,2029)</f>
        <v>16356908.873405617</v>
      </c>
      <c r="R25" s="64">
        <f>SUMIFS(SIM_Modele!$AH$4:$AH$1068,SIM_Modele!$C$4:$C$1068,$C25,SIM_Modele!$D$4:$D$1068,2030)</f>
        <v>16880329.957354601</v>
      </c>
      <c r="S25" s="65">
        <f t="shared" si="2"/>
        <v>2838329.9573546015</v>
      </c>
      <c r="T25" s="66">
        <f t="shared" si="3"/>
        <v>0.20213145971760443</v>
      </c>
      <c r="U25" s="67">
        <f t="shared" si="4"/>
        <v>238689049.01332363</v>
      </c>
      <c r="V25" s="62" t="s">
        <v>380</v>
      </c>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68" t="str">
        <f t="shared" si="0"/>
        <v/>
      </c>
      <c r="AY25" s="68">
        <f t="shared" si="1"/>
        <v>100</v>
      </c>
    </row>
    <row r="26" spans="1:51" ht="25.5" customHeight="1" x14ac:dyDescent="0.25">
      <c r="A26" s="55" t="s">
        <v>48</v>
      </c>
      <c r="B26" s="55" t="s">
        <v>394</v>
      </c>
      <c r="C26" s="55" t="s">
        <v>394</v>
      </c>
      <c r="D26" s="56">
        <v>17400000</v>
      </c>
      <c r="E26" s="56">
        <v>17380000</v>
      </c>
      <c r="F26" s="56">
        <v>16239000</v>
      </c>
      <c r="G26" s="57">
        <f>SUMIFS(SIM_Modele!$AH$4:$AH$855,SIM_Modele!$C$4:$C$855,$C26,SIM_Modele!$D$4:$D$855,2019)</f>
        <v>16758648</v>
      </c>
      <c r="H26" s="57">
        <f>SUMIFS(SIM_Modele!$AH$4:$AH$855,SIM_Modele!$C$4:$C$855,$C26,SIM_Modele!$D$4:$D$855,2020)</f>
        <v>17294924.736000009</v>
      </c>
      <c r="I26" s="57">
        <f>SUMIFS(SIM_Modele!$AH$4:$AH$855,SIM_Modele!$C$4:$C$855,$C26,SIM_Modele!$D$4:$D$855,2021)</f>
        <v>17848362.327552006</v>
      </c>
      <c r="J26" s="57">
        <f>SUMIFS(SIM_Modele!$AH$4:$AH$855,SIM_Modele!$C$4:$C$855,$C26,SIM_Modele!$D$4:$D$855,2022)</f>
        <v>18419509.92203366</v>
      </c>
      <c r="K26" s="57">
        <f>SUMIFS(SIM_Modele!$AH$4:$AH$855,SIM_Modele!$C$4:$C$855,$C26,SIM_Modele!$D$4:$D$855,2023)</f>
        <v>19008934.23953874</v>
      </c>
      <c r="L26" s="57">
        <f>SUMIFS(SIM_Modele!$AH$4:$AH$855,SIM_Modele!$C$4:$C$855,$C26,SIM_Modele!$D$4:$D$855,2024)</f>
        <v>19617220.13520398</v>
      </c>
      <c r="M26" s="57">
        <f>SUMIFS(SIM_Modele!$AH$4:$AH$855,SIM_Modele!$C$4:$C$855,$C26,SIM_Modele!$D$4:$D$855,2025)</f>
        <v>20244971.179530516</v>
      </c>
      <c r="N26" s="57">
        <f>SUMIFS(SIM_Modele!$AH$4:$AH$855,SIM_Modele!$C$4:$C$855,$C26,SIM_Modele!$D$4:$D$855,2026)</f>
        <v>20893653.93520239</v>
      </c>
      <c r="O26" s="57">
        <f>SUMIFS(SIM_Modele!$AH$4:$AH$855,SIM_Modele!$C$4:$C$855,$C26,SIM_Modele!$D$4:$D$855,2027)</f>
        <v>21460135.753633868</v>
      </c>
      <c r="P26" s="57">
        <f>SUMIFS(SIM_Modele!$AH$4:$AH$1068,SIM_Modele!$C$4:$C$1068,$C26,SIM_Modele!$D$4:$D$1068,2028)</f>
        <v>21869026.308526848</v>
      </c>
      <c r="Q26" s="57">
        <f>SUMIFS(SIM_Modele!$AH$4:$AH$1068,SIM_Modele!$C$4:$C$1068,$C26,SIM_Modele!$D$4:$D$1068,2029)</f>
        <v>22568835.1503997</v>
      </c>
      <c r="R26" s="64">
        <f>SUMIFS(SIM_Modele!$AH$4:$AH$1068,SIM_Modele!$C$4:$C$1068,$C26,SIM_Modele!$D$4:$D$1068,2030)</f>
        <v>23291037.875212498</v>
      </c>
      <c r="S26" s="58">
        <f t="shared" si="2"/>
        <v>7052037.875212498</v>
      </c>
      <c r="T26" s="59">
        <f t="shared" si="3"/>
        <v>0.43426552590753731</v>
      </c>
      <c r="U26" s="60">
        <f t="shared" si="4"/>
        <v>290294259.56283414</v>
      </c>
      <c r="V26" s="55" t="s">
        <v>380</v>
      </c>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61" t="str">
        <f t="shared" si="0"/>
        <v/>
      </c>
      <c r="AY26" s="61">
        <f t="shared" si="1"/>
        <v>100</v>
      </c>
    </row>
    <row r="27" spans="1:51" ht="25.5" customHeight="1" x14ac:dyDescent="0.25">
      <c r="A27" s="62" t="s">
        <v>48</v>
      </c>
      <c r="B27" s="62" t="s">
        <v>394</v>
      </c>
      <c r="C27" s="62" t="s">
        <v>397</v>
      </c>
      <c r="D27" s="63">
        <v>16500000</v>
      </c>
      <c r="E27" s="63">
        <v>16100000</v>
      </c>
      <c r="F27" s="63">
        <v>15159000</v>
      </c>
      <c r="G27" s="64">
        <f>SUMIFS(SIM_Modele!$AH$4:$AH$855,SIM_Modele!$C$4:$C$855,$C27,SIM_Modele!$D$4:$D$855,2019)</f>
        <v>15644088</v>
      </c>
      <c r="H27" s="64">
        <f>SUMIFS(SIM_Modele!$AH$4:$AH$855,SIM_Modele!$C$4:$C$855,$C27,SIM_Modele!$D$4:$D$855,2020)</f>
        <v>16144698.816000007</v>
      </c>
      <c r="I27" s="64">
        <f>SUMIFS(SIM_Modele!$AH$4:$AH$855,SIM_Modele!$C$4:$C$855,$C27,SIM_Modele!$D$4:$D$855,2021)</f>
        <v>16661329.178112004</v>
      </c>
      <c r="J27" s="64">
        <f>SUMIFS(SIM_Modele!$AH$4:$AH$855,SIM_Modele!$C$4:$C$855,$C27,SIM_Modele!$D$4:$D$855,2022)</f>
        <v>17194491.71181158</v>
      </c>
      <c r="K27" s="64">
        <f>SUMIFS(SIM_Modele!$AH$4:$AH$855,SIM_Modele!$C$4:$C$855,$C27,SIM_Modele!$D$4:$D$855,2023)</f>
        <v>17744715.446589556</v>
      </c>
      <c r="L27" s="64">
        <f>SUMIFS(SIM_Modele!$AH$4:$AH$855,SIM_Modele!$C$4:$C$855,$C27,SIM_Modele!$D$4:$D$855,2024)</f>
        <v>18312546.34088042</v>
      </c>
      <c r="M27" s="64">
        <f>SUMIFS(SIM_Modele!$AH$4:$AH$855,SIM_Modele!$C$4:$C$855,$C27,SIM_Modele!$D$4:$D$855,2025)</f>
        <v>18898547.823788602</v>
      </c>
      <c r="N27" s="64">
        <f>SUMIFS(SIM_Modele!$AH$4:$AH$855,SIM_Modele!$C$4:$C$855,$C27,SIM_Modele!$D$4:$D$855,2026)</f>
        <v>18219000.739609487</v>
      </c>
      <c r="O27" s="64">
        <f>SUMIFS(SIM_Modele!$AH$4:$AH$855,SIM_Modele!$C$4:$C$855,$C27,SIM_Modele!$D$4:$D$855,2027)</f>
        <v>17542279.628900025</v>
      </c>
      <c r="P27" s="64">
        <f>SUMIFS(SIM_Modele!$AH$4:$AH$1068,SIM_Modele!$C$4:$C$1068,$C27,SIM_Modele!$D$4:$D$1068,2028)</f>
        <v>14453644.691248171</v>
      </c>
      <c r="Q27" s="64">
        <f>SUMIFS(SIM_Modele!$AH$4:$AH$1068,SIM_Modele!$C$4:$C$1068,$C27,SIM_Modele!$D$4:$D$1068,2029)</f>
        <v>14916161.321368109</v>
      </c>
      <c r="R27" s="64">
        <f>SUMIFS(SIM_Modele!$AH$4:$AH$1068,SIM_Modele!$C$4:$C$1068,$C27,SIM_Modele!$D$4:$D$1068,2030)</f>
        <v>15393478.483651891</v>
      </c>
      <c r="S27" s="65">
        <f t="shared" si="2"/>
        <v>234478.48365189135</v>
      </c>
      <c r="T27" s="66">
        <f t="shared" si="3"/>
        <v>1.5467938759277745E-2</v>
      </c>
      <c r="U27" s="67">
        <f t="shared" si="4"/>
        <v>248883982.18195987</v>
      </c>
      <c r="V27" s="62" t="s">
        <v>380</v>
      </c>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68" t="str">
        <f t="shared" si="0"/>
        <v/>
      </c>
      <c r="AY27" s="68">
        <f t="shared" si="1"/>
        <v>100</v>
      </c>
    </row>
    <row r="28" spans="1:51" ht="25.5" customHeight="1" x14ac:dyDescent="0.25">
      <c r="A28" s="55" t="s">
        <v>48</v>
      </c>
      <c r="B28" s="55" t="s">
        <v>394</v>
      </c>
      <c r="C28" s="55" t="s">
        <v>398</v>
      </c>
      <c r="D28" s="56">
        <v>17230000</v>
      </c>
      <c r="E28" s="56">
        <v>17350000</v>
      </c>
      <c r="F28" s="56">
        <v>16050000</v>
      </c>
      <c r="G28" s="57">
        <f>SUMIFS(SIM_Modele!$AH$4:$AH$855,SIM_Modele!$C$4:$C$855,$C28,SIM_Modele!$D$4:$D$855,2019)</f>
        <v>16563600</v>
      </c>
      <c r="H28" s="57">
        <f>SUMIFS(SIM_Modele!$AH$4:$AH$855,SIM_Modele!$C$4:$C$855,$C28,SIM_Modele!$D$4:$D$855,2020)</f>
        <v>17093635.200000007</v>
      </c>
      <c r="I28" s="57">
        <f>SUMIFS(SIM_Modele!$AH$4:$AH$855,SIM_Modele!$C$4:$C$855,$C28,SIM_Modele!$D$4:$D$855,2021)</f>
        <v>17640631.526400004</v>
      </c>
      <c r="J28" s="57">
        <f>SUMIFS(SIM_Modele!$AH$4:$AH$855,SIM_Modele!$C$4:$C$855,$C28,SIM_Modele!$D$4:$D$855,2022)</f>
        <v>18205131.735244792</v>
      </c>
      <c r="K28" s="57">
        <f>SUMIFS(SIM_Modele!$AH$4:$AH$855,SIM_Modele!$C$4:$C$855,$C28,SIM_Modele!$D$4:$D$855,2023)</f>
        <v>18787695.950772628</v>
      </c>
      <c r="L28" s="57">
        <f>SUMIFS(SIM_Modele!$AH$4:$AH$855,SIM_Modele!$C$4:$C$855,$C28,SIM_Modele!$D$4:$D$855,2024)</f>
        <v>19388902.221197352</v>
      </c>
      <c r="M28" s="57">
        <f>SUMIFS(SIM_Modele!$AH$4:$AH$855,SIM_Modele!$C$4:$C$855,$C28,SIM_Modele!$D$4:$D$855,2025)</f>
        <v>20009347.092275675</v>
      </c>
      <c r="N28" s="57">
        <f>SUMIFS(SIM_Modele!$AH$4:$AH$855,SIM_Modele!$C$4:$C$855,$C28,SIM_Modele!$D$4:$D$855,2026)</f>
        <v>19289858.293471348</v>
      </c>
      <c r="O28" s="57">
        <f>SUMIFS(SIM_Modele!$AH$4:$AH$855,SIM_Modele!$C$4:$C$855,$C28,SIM_Modele!$D$4:$D$855,2027)</f>
        <v>18573361.570278075</v>
      </c>
      <c r="P28" s="57">
        <f>SUMIFS(SIM_Modele!$AH$4:$AH$1068,SIM_Modele!$C$4:$C$1068,$C28,SIM_Modele!$D$4:$D$1068,2028)</f>
        <v>16965016.200772729</v>
      </c>
      <c r="Q28" s="57">
        <f>SUMIFS(SIM_Modele!$AH$4:$AH$1068,SIM_Modele!$C$4:$C$1068,$C28,SIM_Modele!$D$4:$D$1068,2029)</f>
        <v>17507896.719197452</v>
      </c>
      <c r="R28" s="64">
        <f>SUMIFS(SIM_Modele!$AH$4:$AH$1068,SIM_Modele!$C$4:$C$1068,$C28,SIM_Modele!$D$4:$D$1068,2030)</f>
        <v>18068149.414211776</v>
      </c>
      <c r="S28" s="58">
        <f t="shared" si="2"/>
        <v>2018149.4142117761</v>
      </c>
      <c r="T28" s="59">
        <f t="shared" si="3"/>
        <v>0.12574139652409819</v>
      </c>
      <c r="U28" s="60">
        <f t="shared" si="4"/>
        <v>268723225.92382181</v>
      </c>
      <c r="V28" s="55" t="s">
        <v>380</v>
      </c>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61" t="str">
        <f t="shared" si="0"/>
        <v/>
      </c>
      <c r="AY28" s="61">
        <f t="shared" si="1"/>
        <v>100</v>
      </c>
    </row>
    <row r="29" spans="1:51" ht="25.5" customHeight="1" x14ac:dyDescent="0.25">
      <c r="A29" s="62" t="s">
        <v>48</v>
      </c>
      <c r="B29" s="62" t="s">
        <v>394</v>
      </c>
      <c r="C29" s="62" t="s">
        <v>399</v>
      </c>
      <c r="D29" s="63">
        <v>13900000</v>
      </c>
      <c r="E29" s="63">
        <v>13700000</v>
      </c>
      <c r="F29" s="63">
        <v>13152000</v>
      </c>
      <c r="G29" s="64">
        <f>SUMIFS(SIM_Modele!$AH$4:$AH$855,SIM_Modele!$C$4:$C$855,$C29,SIM_Modele!$D$4:$D$855,2019)</f>
        <v>13572864</v>
      </c>
      <c r="H29" s="64">
        <f>SUMIFS(SIM_Modele!$AH$4:$AH$855,SIM_Modele!$C$4:$C$855,$C29,SIM_Modele!$D$4:$D$855,2020)</f>
        <v>14007195.648000006</v>
      </c>
      <c r="I29" s="64">
        <f>SUMIFS(SIM_Modele!$AH$4:$AH$855,SIM_Modele!$C$4:$C$855,$C29,SIM_Modele!$D$4:$D$855,2021)</f>
        <v>14455425.908736004</v>
      </c>
      <c r="J29" s="64">
        <f>SUMIFS(SIM_Modele!$AH$4:$AH$855,SIM_Modele!$C$4:$C$855,$C29,SIM_Modele!$D$4:$D$855,2022)</f>
        <v>14917999.537815548</v>
      </c>
      <c r="K29" s="64">
        <f>SUMIFS(SIM_Modele!$AH$4:$AH$855,SIM_Modele!$C$4:$C$855,$C29,SIM_Modele!$D$4:$D$855,2023)</f>
        <v>15395375.523025652</v>
      </c>
      <c r="L29" s="64">
        <f>SUMIFS(SIM_Modele!$AH$4:$AH$855,SIM_Modele!$C$4:$C$855,$C29,SIM_Modele!$D$4:$D$855,2024)</f>
        <v>15888027.539762475</v>
      </c>
      <c r="M29" s="64">
        <f>SUMIFS(SIM_Modele!$AH$4:$AH$855,SIM_Modele!$C$4:$C$855,$C29,SIM_Modele!$D$4:$D$855,2025)</f>
        <v>16396444.42103488</v>
      </c>
      <c r="N29" s="64">
        <f>SUMIFS(SIM_Modele!$AH$4:$AH$855,SIM_Modele!$C$4:$C$855,$C29,SIM_Modele!$D$4:$D$855,2026)</f>
        <v>16138028.746846652</v>
      </c>
      <c r="O29" s="64">
        <f>SUMIFS(SIM_Modele!$AH$4:$AH$855,SIM_Modele!$C$4:$C$855,$C29,SIM_Modele!$D$4:$D$855,2027)</f>
        <v>15912412.549437769</v>
      </c>
      <c r="P29" s="64">
        <f>SUMIFS(SIM_Modele!$AH$4:$AH$1068,SIM_Modele!$C$4:$C$1068,$C29,SIM_Modele!$D$4:$D$1068,2028)</f>
        <v>15916199.707698366</v>
      </c>
      <c r="Q29" s="64">
        <f>SUMIFS(SIM_Modele!$AH$4:$AH$1068,SIM_Modele!$C$4:$C$1068,$C29,SIM_Modele!$D$4:$D$1068,2029)</f>
        <v>16425518.098344712</v>
      </c>
      <c r="R29" s="64">
        <f>SUMIFS(SIM_Modele!$AH$4:$AH$1068,SIM_Modele!$C$4:$C$1068,$C29,SIM_Modele!$D$4:$D$1068,2030)</f>
        <v>16951134.677491747</v>
      </c>
      <c r="S29" s="65">
        <f t="shared" si="2"/>
        <v>3799134.6774917468</v>
      </c>
      <c r="T29" s="66">
        <f t="shared" si="3"/>
        <v>0.2888636464029613</v>
      </c>
      <c r="U29" s="67">
        <f t="shared" si="4"/>
        <v>226728626.35819381</v>
      </c>
      <c r="V29" s="62" t="s">
        <v>380</v>
      </c>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68" t="str">
        <f t="shared" si="0"/>
        <v/>
      </c>
      <c r="AY29" s="68">
        <f t="shared" si="1"/>
        <v>100</v>
      </c>
    </row>
    <row r="30" spans="1:51" ht="25.5" customHeight="1" x14ac:dyDescent="0.25">
      <c r="A30" s="55" t="s">
        <v>48</v>
      </c>
      <c r="B30" s="55" t="s">
        <v>394</v>
      </c>
      <c r="C30" s="55" t="s">
        <v>400</v>
      </c>
      <c r="D30" s="56">
        <v>16200000</v>
      </c>
      <c r="E30" s="56">
        <v>15782000</v>
      </c>
      <c r="F30" s="56">
        <v>14902000</v>
      </c>
      <c r="G30" s="57">
        <f>SUMIFS(SIM_Modele!$AH$4:$AH$855,SIM_Modele!$C$4:$C$855,$C30,SIM_Modele!$D$4:$D$855,2019)</f>
        <v>15378864</v>
      </c>
      <c r="H30" s="57">
        <f>SUMIFS(SIM_Modele!$AH$4:$AH$855,SIM_Modele!$C$4:$C$855,$C30,SIM_Modele!$D$4:$D$855,2020)</f>
        <v>15870987.648000007</v>
      </c>
      <c r="I30" s="57">
        <f>SUMIFS(SIM_Modele!$AH$4:$AH$855,SIM_Modele!$C$4:$C$855,$C30,SIM_Modele!$D$4:$D$855,2021)</f>
        <v>16378859.252736006</v>
      </c>
      <c r="J30" s="57">
        <f>SUMIFS(SIM_Modele!$AH$4:$AH$855,SIM_Modele!$C$4:$C$855,$C30,SIM_Modele!$D$4:$D$855,2022)</f>
        <v>16902982.748823546</v>
      </c>
      <c r="K30" s="57">
        <f>SUMIFS(SIM_Modele!$AH$4:$AH$855,SIM_Modele!$C$4:$C$855,$C30,SIM_Modele!$D$4:$D$855,2023)</f>
        <v>17443878.196785904</v>
      </c>
      <c r="L30" s="57">
        <f>SUMIFS(SIM_Modele!$AH$4:$AH$855,SIM_Modele!$C$4:$C$855,$C30,SIM_Modele!$D$4:$D$855,2024)</f>
        <v>18002082.29908305</v>
      </c>
      <c r="M30" s="57">
        <f>SUMIFS(SIM_Modele!$AH$4:$AH$855,SIM_Modele!$C$4:$C$855,$C30,SIM_Modele!$D$4:$D$855,2025)</f>
        <v>18578148.932653718</v>
      </c>
      <c r="N30" s="57">
        <f>SUMIFS(SIM_Modele!$AH$4:$AH$855,SIM_Modele!$C$4:$C$855,$C30,SIM_Modele!$D$4:$D$855,2026)</f>
        <v>17910122.63484798</v>
      </c>
      <c r="O30" s="57">
        <f>SUMIFS(SIM_Modele!$AH$4:$AH$855,SIM_Modele!$C$4:$C$855,$C30,SIM_Modele!$D$4:$D$855,2027)</f>
        <v>17244874.40001769</v>
      </c>
      <c r="P30" s="57">
        <f>SUMIFS(SIM_Modele!$AH$4:$AH$1068,SIM_Modele!$C$4:$C$1068,$C30,SIM_Modele!$D$4:$D$1068,2028)</f>
        <v>16162736.839188531</v>
      </c>
      <c r="Q30" s="57">
        <f>SUMIFS(SIM_Modele!$AH$4:$AH$1068,SIM_Modele!$C$4:$C$1068,$C30,SIM_Modele!$D$4:$D$1068,2029)</f>
        <v>16679944.418042561</v>
      </c>
      <c r="R30" s="64">
        <f>SUMIFS(SIM_Modele!$AH$4:$AH$1068,SIM_Modele!$C$4:$C$1068,$C30,SIM_Modele!$D$4:$D$1068,2030)</f>
        <v>17213702.639419928</v>
      </c>
      <c r="S30" s="58">
        <f t="shared" si="2"/>
        <v>2311702.6394199282</v>
      </c>
      <c r="T30" s="59">
        <f t="shared" si="3"/>
        <v>0.15512700573211169</v>
      </c>
      <c r="U30" s="60">
        <f t="shared" si="4"/>
        <v>250651184.00959891</v>
      </c>
      <c r="V30" s="55" t="s">
        <v>380</v>
      </c>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61" t="str">
        <f t="shared" si="0"/>
        <v/>
      </c>
      <c r="AY30" s="61">
        <f t="shared" si="1"/>
        <v>100</v>
      </c>
    </row>
    <row r="31" spans="1:51" ht="25.5" customHeight="1" x14ac:dyDescent="0.25">
      <c r="A31" s="62" t="s">
        <v>48</v>
      </c>
      <c r="B31" s="62" t="s">
        <v>394</v>
      </c>
      <c r="C31" s="62" t="s">
        <v>401</v>
      </c>
      <c r="D31" s="63">
        <v>17800000</v>
      </c>
      <c r="E31" s="63">
        <v>17300000</v>
      </c>
      <c r="F31" s="63">
        <v>16251000</v>
      </c>
      <c r="G31" s="64">
        <f>SUMIFS(SIM_Modele!$AH$4:$AH$855,SIM_Modele!$C$4:$C$855,$C31,SIM_Modele!$D$4:$D$855,2019)</f>
        <v>16771032</v>
      </c>
      <c r="H31" s="64">
        <f>SUMIFS(SIM_Modele!$AH$4:$AH$855,SIM_Modele!$C$4:$C$855,$C31,SIM_Modele!$D$4:$D$855,2020)</f>
        <v>17307705.024000008</v>
      </c>
      <c r="I31" s="64">
        <f>SUMIFS(SIM_Modele!$AH$4:$AH$855,SIM_Modele!$C$4:$C$855,$C31,SIM_Modele!$D$4:$D$855,2021)</f>
        <v>17861551.584768005</v>
      </c>
      <c r="J31" s="64">
        <f>SUMIFS(SIM_Modele!$AH$4:$AH$855,SIM_Modele!$C$4:$C$855,$C31,SIM_Modele!$D$4:$D$855,2022)</f>
        <v>18433121.235480569</v>
      </c>
      <c r="K31" s="64">
        <f>SUMIFS(SIM_Modele!$AH$4:$AH$855,SIM_Modele!$C$4:$C$855,$C31,SIM_Modele!$D$4:$D$855,2023)</f>
        <v>19022981.11501595</v>
      </c>
      <c r="L31" s="64">
        <f>SUMIFS(SIM_Modele!$AH$4:$AH$855,SIM_Modele!$C$4:$C$855,$C31,SIM_Modele!$D$4:$D$855,2024)</f>
        <v>19631716.51069646</v>
      </c>
      <c r="M31" s="64">
        <f>SUMIFS(SIM_Modele!$AH$4:$AH$855,SIM_Modele!$C$4:$C$855,$C31,SIM_Modele!$D$4:$D$855,2025)</f>
        <v>20259931.439038754</v>
      </c>
      <c r="N31" s="64">
        <f>SUMIFS(SIM_Modele!$AH$4:$AH$855,SIM_Modele!$C$4:$C$855,$C31,SIM_Modele!$D$4:$D$855,2026)</f>
        <v>19987881.064875256</v>
      </c>
      <c r="O31" s="64">
        <f>SUMIFS(SIM_Modele!$AH$4:$AH$855,SIM_Modele!$C$4:$C$855,$C31,SIM_Modele!$D$4:$D$855,2027)</f>
        <v>19750367.26395566</v>
      </c>
      <c r="P31" s="64">
        <f>SUMIFS(SIM_Modele!$AH$4:$AH$1068,SIM_Modele!$C$4:$C$1068,$C31,SIM_Modele!$D$4:$D$1068,2028)</f>
        <v>19774784.704009764</v>
      </c>
      <c r="Q31" s="64">
        <f>SUMIFS(SIM_Modele!$AH$4:$AH$1068,SIM_Modele!$C$4:$C$1068,$C31,SIM_Modele!$D$4:$D$1068,2029)</f>
        <v>20407577.814538069</v>
      </c>
      <c r="R31" s="64">
        <f>SUMIFS(SIM_Modele!$AH$4:$AH$1068,SIM_Modele!$C$4:$C$1068,$C31,SIM_Modele!$D$4:$D$1068,2030)</f>
        <v>21060620.304603294</v>
      </c>
      <c r="S31" s="65">
        <f t="shared" si="2"/>
        <v>4809620.3046032935</v>
      </c>
      <c r="T31" s="66">
        <f t="shared" si="3"/>
        <v>0.29595842130350708</v>
      </c>
      <c r="U31" s="67">
        <f t="shared" si="4"/>
        <v>281620270.06098181</v>
      </c>
      <c r="V31" s="62" t="s">
        <v>380</v>
      </c>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68" t="str">
        <f t="shared" si="0"/>
        <v/>
      </c>
      <c r="AY31" s="68">
        <f t="shared" si="1"/>
        <v>100</v>
      </c>
    </row>
    <row r="32" spans="1:51" ht="25.5" customHeight="1" x14ac:dyDescent="0.25">
      <c r="A32" s="55" t="s">
        <v>343</v>
      </c>
      <c r="B32" s="55" t="s">
        <v>402</v>
      </c>
      <c r="C32" s="55" t="s">
        <v>403</v>
      </c>
      <c r="D32" s="56">
        <v>22400000</v>
      </c>
      <c r="E32" s="56">
        <v>21440000</v>
      </c>
      <c r="F32" s="56">
        <v>26947000</v>
      </c>
      <c r="G32" s="57">
        <f>$F32*(1+SIM_Parametres!$B$5)^(2019-2018)</f>
        <v>27809304</v>
      </c>
      <c r="H32" s="57">
        <f>$F32*(1+SIM_Parametres!$B$5)^(2020-2018)</f>
        <v>28699201.728</v>
      </c>
      <c r="I32" s="57">
        <f>$F32*(1+SIM_Parametres!$B$5)^(2021-2018)</f>
        <v>29617576.183295999</v>
      </c>
      <c r="J32" s="57">
        <f>$F32*(1+SIM_Parametres!$B$5)^(2022-2018)</f>
        <v>30565338.621161468</v>
      </c>
      <c r="K32" s="57">
        <f>$F32*(1+SIM_Parametres!$B$5)^(2023-2018)</f>
        <v>31543429.457038641</v>
      </c>
      <c r="L32" s="57">
        <f>$F32*(1+SIM_Parametres!$B$5)^(2024-2018)</f>
        <v>32552819.19966387</v>
      </c>
      <c r="M32" s="57">
        <f>$F32*(1+SIM_Parametres!$B$5)^(2025-2018)</f>
        <v>33594509.414053112</v>
      </c>
      <c r="N32" s="57">
        <f>$F32*(1+SIM_Parametres!$B$5)^(2026-2018)</f>
        <v>34669533.715302818</v>
      </c>
      <c r="O32" s="57">
        <f>$F32*(1+SIM_Parametres!$B$5)^(2027-2018)</f>
        <v>35778958.794192508</v>
      </c>
      <c r="P32" s="57">
        <f>$F32*(1+SIM_Parametres!$B$5)^(2028-2018)</f>
        <v>36923885.475606665</v>
      </c>
      <c r="Q32" s="57">
        <f>$F32*(1+SIM_Parametres!$B$5)^(2029-2018)</f>
        <v>38105449.810826078</v>
      </c>
      <c r="R32" s="64">
        <f>$F32*(1+SIM_Parametres!$B$5)^(2030-2018)</f>
        <v>39324824.204772517</v>
      </c>
      <c r="S32" s="58">
        <f t="shared" si="2"/>
        <v>12377824.204772517</v>
      </c>
      <c r="T32" s="59">
        <f t="shared" si="3"/>
        <v>0.45933960013257569</v>
      </c>
      <c r="U32" s="60">
        <f t="shared" si="4"/>
        <v>469971830.60391366</v>
      </c>
      <c r="V32" s="55" t="s">
        <v>378</v>
      </c>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61" t="str">
        <f t="shared" si="0"/>
        <v/>
      </c>
      <c r="AY32" s="61">
        <f t="shared" si="1"/>
        <v>100</v>
      </c>
    </row>
    <row r="33" spans="1:51" ht="25.5" customHeight="1" x14ac:dyDescent="0.25">
      <c r="A33" s="62" t="s">
        <v>48</v>
      </c>
      <c r="B33" s="62" t="s">
        <v>402</v>
      </c>
      <c r="C33" s="62" t="s">
        <v>404</v>
      </c>
      <c r="D33" s="63">
        <v>14320000</v>
      </c>
      <c r="E33" s="63">
        <v>14080000</v>
      </c>
      <c r="F33" s="63">
        <v>13530000</v>
      </c>
      <c r="G33" s="64">
        <f>SUMIFS(SIM_Modele!$AH$4:$AH$855,SIM_Modele!$C$4:$C$855,$C33,SIM_Modele!$D$4:$D$855,2019)</f>
        <v>13962960</v>
      </c>
      <c r="H33" s="64">
        <f>SUMIFS(SIM_Modele!$AH$4:$AH$855,SIM_Modele!$C$4:$C$855,$C33,SIM_Modele!$D$4:$D$855,2020)</f>
        <v>14409774.720000004</v>
      </c>
      <c r="I33" s="64">
        <f>SUMIFS(SIM_Modele!$AH$4:$AH$855,SIM_Modele!$C$4:$C$855,$C33,SIM_Modele!$D$4:$D$855,2021)</f>
        <v>14870887.511040004</v>
      </c>
      <c r="J33" s="64">
        <f>SUMIFS(SIM_Modele!$AH$4:$AH$855,SIM_Modele!$C$4:$C$855,$C33,SIM_Modele!$D$4:$D$855,2022)</f>
        <v>15346755.911393275</v>
      </c>
      <c r="K33" s="64">
        <f>SUMIFS(SIM_Modele!$AH$4:$AH$855,SIM_Modele!$C$4:$C$855,$C33,SIM_Modele!$D$4:$D$855,2023)</f>
        <v>15837852.100557866</v>
      </c>
      <c r="L33" s="64">
        <f>SUMIFS(SIM_Modele!$AH$4:$AH$855,SIM_Modele!$C$4:$C$855,$C33,SIM_Modele!$D$4:$D$855,2024)</f>
        <v>16344663.367775716</v>
      </c>
      <c r="M33" s="64">
        <f>SUMIFS(SIM_Modele!$AH$4:$AH$855,SIM_Modele!$C$4:$C$855,$C33,SIM_Modele!$D$4:$D$855,2025)</f>
        <v>16867692.595544547</v>
      </c>
      <c r="N33" s="64">
        <f>SUMIFS(SIM_Modele!$AH$4:$AH$855,SIM_Modele!$C$4:$C$855,$C33,SIM_Modele!$D$4:$D$855,2026)</f>
        <v>18869229.196620166</v>
      </c>
      <c r="O33" s="64">
        <f>SUMIFS(SIM_Modele!$AH$4:$AH$855,SIM_Modele!$C$4:$C$855,$C33,SIM_Modele!$D$4:$D$855,2027)</f>
        <v>20617032.533743244</v>
      </c>
      <c r="P33" s="64">
        <f>SUMIFS(SIM_Modele!$AH$4:$AH$1068,SIM_Modele!$C$4:$C$1068,$C33,SIM_Modele!$D$4:$D$1068,2028)</f>
        <v>21567975.527356017</v>
      </c>
      <c r="Q33" s="64">
        <f>SUMIFS(SIM_Modele!$AH$4:$AH$1068,SIM_Modele!$C$4:$C$1068,$C33,SIM_Modele!$D$4:$D$1068,2029)</f>
        <v>22258150.744231407</v>
      </c>
      <c r="R33" s="64">
        <f>SUMIFS(SIM_Modele!$AH$4:$AH$1068,SIM_Modele!$C$4:$C$1068,$C33,SIM_Modele!$D$4:$D$1068,2030)</f>
        <v>22970411.568046819</v>
      </c>
      <c r="S33" s="65">
        <f t="shared" si="2"/>
        <v>9440411.5680468194</v>
      </c>
      <c r="T33" s="66">
        <f t="shared" si="3"/>
        <v>0.69773921419414775</v>
      </c>
      <c r="U33" s="67">
        <f t="shared" si="4"/>
        <v>255853385.77630904</v>
      </c>
      <c r="V33" s="62" t="s">
        <v>380</v>
      </c>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68" t="str">
        <f t="shared" si="0"/>
        <v/>
      </c>
      <c r="AY33" s="68">
        <f t="shared" si="1"/>
        <v>100</v>
      </c>
    </row>
    <row r="34" spans="1:51" ht="25.5" customHeight="1" x14ac:dyDescent="0.25">
      <c r="A34" s="55" t="s">
        <v>48</v>
      </c>
      <c r="B34" s="55" t="s">
        <v>402</v>
      </c>
      <c r="C34" s="55" t="s">
        <v>402</v>
      </c>
      <c r="D34" s="56">
        <v>16300000</v>
      </c>
      <c r="E34" s="56">
        <v>16123000</v>
      </c>
      <c r="F34" s="56">
        <v>15742000</v>
      </c>
      <c r="G34" s="57">
        <f>SUMIFS(SIM_Modele!$AH$4:$AH$855,SIM_Modele!$C$4:$C$855,$C34,SIM_Modele!$D$4:$D$855,2019)</f>
        <v>16245744</v>
      </c>
      <c r="H34" s="57">
        <f>SUMIFS(SIM_Modele!$AH$4:$AH$855,SIM_Modele!$C$4:$C$855,$C34,SIM_Modele!$D$4:$D$855,2020)</f>
        <v>16765607.808000006</v>
      </c>
      <c r="I34" s="57">
        <f>SUMIFS(SIM_Modele!$AH$4:$AH$855,SIM_Modele!$C$4:$C$855,$C34,SIM_Modele!$D$4:$D$855,2021)</f>
        <v>17302107.257856004</v>
      </c>
      <c r="J34" s="57">
        <f>SUMIFS(SIM_Modele!$AH$4:$AH$855,SIM_Modele!$C$4:$C$855,$C34,SIM_Modele!$D$4:$D$855,2022)</f>
        <v>17855774.690107387</v>
      </c>
      <c r="K34" s="57">
        <f>SUMIFS(SIM_Modele!$AH$4:$AH$855,SIM_Modele!$C$4:$C$855,$C34,SIM_Modele!$D$4:$D$855,2023)</f>
        <v>18427159.480190828</v>
      </c>
      <c r="L34" s="57">
        <f>SUMIFS(SIM_Modele!$AH$4:$AH$855,SIM_Modele!$C$4:$C$855,$C34,SIM_Modele!$D$4:$D$855,2024)</f>
        <v>19016828.583556931</v>
      </c>
      <c r="M34" s="57">
        <f>SUMIFS(SIM_Modele!$AH$4:$AH$855,SIM_Modele!$C$4:$C$855,$C34,SIM_Modele!$D$4:$D$855,2025)</f>
        <v>19625367.098230761</v>
      </c>
      <c r="N34" s="57">
        <f>SUMIFS(SIM_Modele!$AH$4:$AH$855,SIM_Modele!$C$4:$C$855,$C34,SIM_Modele!$D$4:$D$855,2026)</f>
        <v>22569172.162965372</v>
      </c>
      <c r="O34" s="57">
        <f>SUMIFS(SIM_Modele!$AH$4:$AH$855,SIM_Modele!$C$4:$C$855,$C34,SIM_Modele!$D$4:$D$855,2027)</f>
        <v>25954547.987410177</v>
      </c>
      <c r="P34" s="57">
        <f>SUMIFS(SIM_Modele!$AH$4:$AH$1068,SIM_Modele!$C$4:$C$1068,$C34,SIM_Modele!$D$4:$D$1068,2028)</f>
        <v>28305522.054012217</v>
      </c>
      <c r="Q34" s="57">
        <f>SUMIFS(SIM_Modele!$AH$4:$AH$1068,SIM_Modele!$C$4:$C$1068,$C34,SIM_Modele!$D$4:$D$1068,2029)</f>
        <v>29211298.759740602</v>
      </c>
      <c r="R34" s="64">
        <f>SUMIFS(SIM_Modele!$AH$4:$AH$1068,SIM_Modele!$C$4:$C$1068,$C34,SIM_Modele!$D$4:$D$1068,2030)</f>
        <v>30146060.320052311</v>
      </c>
      <c r="S34" s="58">
        <f t="shared" si="2"/>
        <v>14404060.320052311</v>
      </c>
      <c r="T34" s="59">
        <f t="shared" si="3"/>
        <v>0.91500827849398492</v>
      </c>
      <c r="U34" s="60">
        <f t="shared" si="4"/>
        <v>309590190.20212263</v>
      </c>
      <c r="V34" s="55" t="s">
        <v>380</v>
      </c>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61" t="str">
        <f t="shared" si="0"/>
        <v/>
      </c>
      <c r="AY34" s="61">
        <f t="shared" si="1"/>
        <v>100</v>
      </c>
    </row>
    <row r="35" spans="1:51" ht="25.5" customHeight="1" x14ac:dyDescent="0.25">
      <c r="A35" s="62" t="s">
        <v>48</v>
      </c>
      <c r="B35" s="62" t="s">
        <v>402</v>
      </c>
      <c r="C35" s="62" t="s">
        <v>405</v>
      </c>
      <c r="D35" s="63">
        <v>23600000</v>
      </c>
      <c r="E35" s="63">
        <v>24050000</v>
      </c>
      <c r="F35" s="63">
        <v>23067000</v>
      </c>
      <c r="G35" s="64">
        <f>SUMIFS(SIM_Modele!$AH$4:$AH$855,SIM_Modele!$C$4:$C$855,$C35,SIM_Modele!$D$4:$D$855,2019)</f>
        <v>23805144</v>
      </c>
      <c r="H35" s="64">
        <f>SUMIFS(SIM_Modele!$AH$4:$AH$855,SIM_Modele!$C$4:$C$855,$C35,SIM_Modele!$D$4:$D$855,2020)</f>
        <v>24566908.60800001</v>
      </c>
      <c r="I35" s="64">
        <f>SUMIFS(SIM_Modele!$AH$4:$AH$855,SIM_Modele!$C$4:$C$855,$C35,SIM_Modele!$D$4:$D$855,2021)</f>
        <v>25353049.683456004</v>
      </c>
      <c r="J35" s="64">
        <f>SUMIFS(SIM_Modele!$AH$4:$AH$855,SIM_Modele!$C$4:$C$855,$C35,SIM_Modele!$D$4:$D$855,2022)</f>
        <v>26164347.273326583</v>
      </c>
      <c r="K35" s="64">
        <f>SUMIFS(SIM_Modele!$AH$4:$AH$855,SIM_Modele!$C$4:$C$855,$C35,SIM_Modele!$D$4:$D$855,2023)</f>
        <v>27001606.386073042</v>
      </c>
      <c r="L35" s="64">
        <f>SUMIFS(SIM_Modele!$AH$4:$AH$855,SIM_Modele!$C$4:$C$855,$C35,SIM_Modele!$D$4:$D$855,2024)</f>
        <v>27865657.790427379</v>
      </c>
      <c r="M35" s="64">
        <f>SUMIFS(SIM_Modele!$AH$4:$AH$855,SIM_Modele!$C$4:$C$855,$C35,SIM_Modele!$D$4:$D$855,2025)</f>
        <v>28757358.839721069</v>
      </c>
      <c r="N35" s="64">
        <f>SUMIFS(SIM_Modele!$AH$4:$AH$855,SIM_Modele!$C$4:$C$855,$C35,SIM_Modele!$D$4:$D$855,2026)</f>
        <v>27723312.227757242</v>
      </c>
      <c r="O35" s="64">
        <f>SUMIFS(SIM_Modele!$AH$4:$AH$855,SIM_Modele!$C$4:$C$855,$C35,SIM_Modele!$D$4:$D$855,2027)</f>
        <v>26693565.815676291</v>
      </c>
      <c r="P35" s="64">
        <f>SUMIFS(SIM_Modele!$AH$4:$AH$1068,SIM_Modele!$C$4:$C$1068,$C35,SIM_Modele!$D$4:$D$1068,2028)</f>
        <v>25653711.289334994</v>
      </c>
      <c r="Q35" s="64">
        <f>SUMIFS(SIM_Modele!$AH$4:$AH$1068,SIM_Modele!$C$4:$C$1068,$C35,SIM_Modele!$D$4:$D$1068,2029)</f>
        <v>26474630.050593704</v>
      </c>
      <c r="R35" s="64">
        <f>SUMIFS(SIM_Modele!$AH$4:$AH$1068,SIM_Modele!$C$4:$C$1068,$C35,SIM_Modele!$D$4:$D$1068,2030)</f>
        <v>27321818.212212715</v>
      </c>
      <c r="S35" s="65">
        <f t="shared" si="2"/>
        <v>4254818.2122127153</v>
      </c>
      <c r="T35" s="66">
        <f t="shared" si="3"/>
        <v>0.18445477141425912</v>
      </c>
      <c r="U35" s="67">
        <f t="shared" si="4"/>
        <v>388098110.17657906</v>
      </c>
      <c r="V35" s="62" t="s">
        <v>380</v>
      </c>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68" t="str">
        <f t="shared" si="0"/>
        <v/>
      </c>
      <c r="AY35" s="68">
        <f t="shared" si="1"/>
        <v>100</v>
      </c>
    </row>
    <row r="36" spans="1:51" ht="25.5" customHeight="1" x14ac:dyDescent="0.25">
      <c r="A36" s="55" t="s">
        <v>48</v>
      </c>
      <c r="B36" s="55" t="s">
        <v>402</v>
      </c>
      <c r="C36" s="55" t="s">
        <v>406</v>
      </c>
      <c r="D36" s="56">
        <v>16400000</v>
      </c>
      <c r="E36" s="56">
        <v>16465000</v>
      </c>
      <c r="F36" s="56">
        <v>15285000</v>
      </c>
      <c r="G36" s="57">
        <f>SUMIFS(SIM_Modele!$AH$4:$AH$855,SIM_Modele!$C$4:$C$855,$C36,SIM_Modele!$D$4:$D$855,2019)</f>
        <v>15774120</v>
      </c>
      <c r="H36" s="57">
        <f>SUMIFS(SIM_Modele!$AH$4:$AH$855,SIM_Modele!$C$4:$C$855,$C36,SIM_Modele!$D$4:$D$855,2020)</f>
        <v>16278891.840000007</v>
      </c>
      <c r="I36" s="57">
        <f>SUMIFS(SIM_Modele!$AH$4:$AH$855,SIM_Modele!$C$4:$C$855,$C36,SIM_Modele!$D$4:$D$855,2021)</f>
        <v>16799816.378880005</v>
      </c>
      <c r="J36" s="57">
        <f>SUMIFS(SIM_Modele!$AH$4:$AH$855,SIM_Modele!$C$4:$C$855,$C36,SIM_Modele!$D$4:$D$855,2022)</f>
        <v>17337410.503004156</v>
      </c>
      <c r="K36" s="57">
        <f>SUMIFS(SIM_Modele!$AH$4:$AH$855,SIM_Modele!$C$4:$C$855,$C36,SIM_Modele!$D$4:$D$855,2023)</f>
        <v>17892207.639100295</v>
      </c>
      <c r="L36" s="57">
        <f>SUMIFS(SIM_Modele!$AH$4:$AH$855,SIM_Modele!$C$4:$C$855,$C36,SIM_Modele!$D$4:$D$855,2024)</f>
        <v>18464758.283551503</v>
      </c>
      <c r="M36" s="57">
        <f>SUMIFS(SIM_Modele!$AH$4:$AH$855,SIM_Modele!$C$4:$C$855,$C36,SIM_Modele!$D$4:$D$855,2025)</f>
        <v>19055630.54862516</v>
      </c>
      <c r="N36" s="57">
        <f>SUMIFS(SIM_Modele!$AH$4:$AH$855,SIM_Modele!$C$4:$C$855,$C36,SIM_Modele!$D$4:$D$855,2026)</f>
        <v>19958402.028008904</v>
      </c>
      <c r="O36" s="57">
        <f>SUMIFS(SIM_Modele!$AH$4:$AH$855,SIM_Modele!$C$4:$C$855,$C36,SIM_Modele!$D$4:$D$855,2027)</f>
        <v>20746754.707107313</v>
      </c>
      <c r="P36" s="57">
        <f>SUMIFS(SIM_Modele!$AH$4:$AH$1068,SIM_Modele!$C$4:$C$1068,$C36,SIM_Modele!$D$4:$D$1068,2028)</f>
        <v>21253669.929663941</v>
      </c>
      <c r="Q36" s="57">
        <f>SUMIFS(SIM_Modele!$AH$4:$AH$1068,SIM_Modele!$C$4:$C$1068,$C36,SIM_Modele!$D$4:$D$1068,2029)</f>
        <v>21933787.367413189</v>
      </c>
      <c r="R36" s="64">
        <f>SUMIFS(SIM_Modele!$AH$4:$AH$1068,SIM_Modele!$C$4:$C$1068,$C36,SIM_Modele!$D$4:$D$1068,2030)</f>
        <v>22635668.563170414</v>
      </c>
      <c r="S36" s="58">
        <f t="shared" si="2"/>
        <v>7350668.5631704144</v>
      </c>
      <c r="T36" s="59">
        <f t="shared" si="3"/>
        <v>0.48090733157804477</v>
      </c>
      <c r="U36" s="60">
        <f t="shared" si="4"/>
        <v>276281117.78852487</v>
      </c>
      <c r="V36" s="55" t="s">
        <v>380</v>
      </c>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61" t="str">
        <f t="shared" si="0"/>
        <v/>
      </c>
      <c r="AY36" s="61">
        <f t="shared" si="1"/>
        <v>100</v>
      </c>
    </row>
    <row r="37" spans="1:51" ht="25.5" customHeight="1" x14ac:dyDescent="0.25">
      <c r="A37" s="62" t="s">
        <v>343</v>
      </c>
      <c r="B37" s="62" t="s">
        <v>407</v>
      </c>
      <c r="C37" s="62" t="s">
        <v>408</v>
      </c>
      <c r="D37" s="63">
        <v>30400000</v>
      </c>
      <c r="E37" s="63">
        <v>29180000</v>
      </c>
      <c r="F37" s="63">
        <v>28727000</v>
      </c>
      <c r="G37" s="64">
        <f>$F37*(1+SIM_Parametres!$B$5)^(2019-2018)</f>
        <v>29646264</v>
      </c>
      <c r="H37" s="64">
        <f>$F37*(1+SIM_Parametres!$B$5)^(2020-2018)</f>
        <v>30594944.447999999</v>
      </c>
      <c r="I37" s="64">
        <f>$F37*(1+SIM_Parametres!$B$5)^(2021-2018)</f>
        <v>31573982.670335997</v>
      </c>
      <c r="J37" s="64">
        <f>$F37*(1+SIM_Parametres!$B$5)^(2022-2018)</f>
        <v>32584350.11578675</v>
      </c>
      <c r="K37" s="64">
        <f>$F37*(1+SIM_Parametres!$B$5)^(2023-2018)</f>
        <v>33627049.31949193</v>
      </c>
      <c r="L37" s="64">
        <f>$F37*(1+SIM_Parametres!$B$5)^(2024-2018)</f>
        <v>34703114.897715665</v>
      </c>
      <c r="M37" s="64">
        <f>$F37*(1+SIM_Parametres!$B$5)^(2025-2018)</f>
        <v>35813614.574442565</v>
      </c>
      <c r="N37" s="64">
        <f>$F37*(1+SIM_Parametres!$B$5)^(2026-2018)</f>
        <v>36959650.240824729</v>
      </c>
      <c r="O37" s="64">
        <f>$F37*(1+SIM_Parametres!$B$5)^(2027-2018)</f>
        <v>38142359.048531123</v>
      </c>
      <c r="P37" s="64">
        <f>$F37*(1+SIM_Parametres!$B$5)^(2028-2018)</f>
        <v>39362914.53808412</v>
      </c>
      <c r="Q37" s="64">
        <f>$F37*(1+SIM_Parametres!$B$5)^(2029-2018)</f>
        <v>40622527.80330281</v>
      </c>
      <c r="R37" s="64">
        <f>$F37*(1+SIM_Parametres!$B$5)^(2030-2018)</f>
        <v>41922448.693008497</v>
      </c>
      <c r="S37" s="65">
        <f t="shared" si="2"/>
        <v>13195448.693008497</v>
      </c>
      <c r="T37" s="66">
        <f t="shared" si="3"/>
        <v>0.45933960013257552</v>
      </c>
      <c r="U37" s="67">
        <f t="shared" si="4"/>
        <v>513860220.34952414</v>
      </c>
      <c r="V37" s="62" t="s">
        <v>378</v>
      </c>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68" t="str">
        <f t="shared" si="0"/>
        <v/>
      </c>
      <c r="AY37" s="68">
        <f t="shared" si="1"/>
        <v>100</v>
      </c>
    </row>
    <row r="38" spans="1:51" ht="25.5" customHeight="1" x14ac:dyDescent="0.25">
      <c r="A38" s="55" t="s">
        <v>48</v>
      </c>
      <c r="B38" s="55" t="s">
        <v>407</v>
      </c>
      <c r="C38" s="55" t="s">
        <v>409</v>
      </c>
      <c r="D38" s="56">
        <v>15250000</v>
      </c>
      <c r="E38" s="56">
        <v>15515000</v>
      </c>
      <c r="F38" s="56">
        <v>14410000</v>
      </c>
      <c r="G38" s="57">
        <f>SUMIFS(SIM_Modele!$AH$4:$AH$855,SIM_Modele!$C$4:$C$855,$C38,SIM_Modele!$D$4:$D$855,2019)</f>
        <v>14871120</v>
      </c>
      <c r="H38" s="57">
        <f>SUMIFS(SIM_Modele!$AH$4:$AH$855,SIM_Modele!$C$4:$C$855,$C38,SIM_Modele!$D$4:$D$855,2020)</f>
        <v>15346995.840000007</v>
      </c>
      <c r="I38" s="57">
        <f>SUMIFS(SIM_Modele!$AH$4:$AH$855,SIM_Modele!$C$4:$C$855,$C38,SIM_Modele!$D$4:$D$855,2021)</f>
        <v>15838099.706880007</v>
      </c>
      <c r="J38" s="57">
        <f>SUMIFS(SIM_Modele!$AH$4:$AH$855,SIM_Modele!$C$4:$C$855,$C38,SIM_Modele!$D$4:$D$855,2022)</f>
        <v>16344918.897500157</v>
      </c>
      <c r="K38" s="57">
        <f>SUMIFS(SIM_Modele!$AH$4:$AH$855,SIM_Modele!$C$4:$C$855,$C38,SIM_Modele!$D$4:$D$855,2023)</f>
        <v>16867956.302220166</v>
      </c>
      <c r="L38" s="57">
        <f>SUMIFS(SIM_Modele!$AH$4:$AH$855,SIM_Modele!$C$4:$C$855,$C38,SIM_Modele!$D$4:$D$855,2024)</f>
        <v>17407730.90389121</v>
      </c>
      <c r="M38" s="57">
        <f>SUMIFS(SIM_Modele!$AH$4:$AH$855,SIM_Modele!$C$4:$C$855,$C38,SIM_Modele!$D$4:$D$855,2025)</f>
        <v>17964778.292815734</v>
      </c>
      <c r="N38" s="57">
        <f>SUMIFS(SIM_Modele!$AH$4:$AH$855,SIM_Modele!$C$4:$C$855,$C38,SIM_Modele!$D$4:$D$855,2026)</f>
        <v>18935714.77777005</v>
      </c>
      <c r="O38" s="57">
        <f>SUMIFS(SIM_Modele!$AH$4:$AH$855,SIM_Modele!$C$4:$C$855,$C38,SIM_Modele!$D$4:$D$855,2027)</f>
        <v>19783587.621911645</v>
      </c>
      <c r="P38" s="57">
        <f>SUMIFS(SIM_Modele!$AH$4:$AH$1068,SIM_Modele!$C$4:$C$1068,$C38,SIM_Modele!$D$4:$D$1068,2028)</f>
        <v>20311541.325917613</v>
      </c>
      <c r="Q38" s="57">
        <f>SUMIFS(SIM_Modele!$AH$4:$AH$1068,SIM_Modele!$C$4:$C$1068,$C38,SIM_Modele!$D$4:$D$1068,2029)</f>
        <v>20961510.648346975</v>
      </c>
      <c r="R38" s="64">
        <f>SUMIFS(SIM_Modele!$AH$4:$AH$1068,SIM_Modele!$C$4:$C$1068,$C38,SIM_Modele!$D$4:$D$1068,2030)</f>
        <v>21632278.989094082</v>
      </c>
      <c r="S38" s="58">
        <f t="shared" si="2"/>
        <v>7222278.9890940823</v>
      </c>
      <c r="T38" s="59">
        <f t="shared" si="3"/>
        <v>0.50119909709188637</v>
      </c>
      <c r="U38" s="60">
        <f t="shared" si="4"/>
        <v>261441233.30634761</v>
      </c>
      <c r="V38" s="55" t="s">
        <v>380</v>
      </c>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61" t="str">
        <f t="shared" si="0"/>
        <v/>
      </c>
      <c r="AY38" s="61">
        <f t="shared" si="1"/>
        <v>100</v>
      </c>
    </row>
    <row r="39" spans="1:51" ht="25.5" customHeight="1" x14ac:dyDescent="0.25">
      <c r="A39" s="62" t="s">
        <v>48</v>
      </c>
      <c r="B39" s="62" t="s">
        <v>407</v>
      </c>
      <c r="C39" s="62" t="s">
        <v>410</v>
      </c>
      <c r="D39" s="63">
        <v>17500000</v>
      </c>
      <c r="E39" s="63">
        <v>17968000</v>
      </c>
      <c r="F39" s="63">
        <v>16947000</v>
      </c>
      <c r="G39" s="64">
        <f>SUMIFS(SIM_Modele!$AH$4:$AH$855,SIM_Modele!$C$4:$C$855,$C39,SIM_Modele!$D$4:$D$855,2019)</f>
        <v>17489304</v>
      </c>
      <c r="H39" s="64">
        <f>SUMIFS(SIM_Modele!$AH$4:$AH$855,SIM_Modele!$C$4:$C$855,$C39,SIM_Modele!$D$4:$D$855,2020)</f>
        <v>18048961.728000008</v>
      </c>
      <c r="I39" s="64">
        <f>SUMIFS(SIM_Modele!$AH$4:$AH$855,SIM_Modele!$C$4:$C$855,$C39,SIM_Modele!$D$4:$D$855,2021)</f>
        <v>18626528.503296006</v>
      </c>
      <c r="J39" s="64">
        <f>SUMIFS(SIM_Modele!$AH$4:$AH$855,SIM_Modele!$C$4:$C$855,$C39,SIM_Modele!$D$4:$D$855,2022)</f>
        <v>19222577.41540147</v>
      </c>
      <c r="K39" s="64">
        <f>SUMIFS(SIM_Modele!$AH$4:$AH$855,SIM_Modele!$C$4:$C$855,$C39,SIM_Modele!$D$4:$D$855,2023)</f>
        <v>19837699.892694321</v>
      </c>
      <c r="L39" s="64">
        <f>SUMIFS(SIM_Modele!$AH$4:$AH$855,SIM_Modele!$C$4:$C$855,$C39,SIM_Modele!$D$4:$D$855,2024)</f>
        <v>20472506.28926054</v>
      </c>
      <c r="M39" s="64">
        <f>SUMIFS(SIM_Modele!$AH$4:$AH$855,SIM_Modele!$C$4:$C$855,$C39,SIM_Modele!$D$4:$D$855,2025)</f>
        <v>21127626.490516886</v>
      </c>
      <c r="N39" s="64">
        <f>SUMIFS(SIM_Modele!$AH$4:$AH$855,SIM_Modele!$C$4:$C$855,$C39,SIM_Modele!$D$4:$D$855,2026)</f>
        <v>24296770.464094415</v>
      </c>
      <c r="O39" s="64">
        <f>SUMIFS(SIM_Modele!$AH$4:$AH$855,SIM_Modele!$C$4:$C$855,$C39,SIM_Modele!$D$4:$D$855,2027)</f>
        <v>27941286.033708576</v>
      </c>
      <c r="P39" s="64">
        <f>SUMIFS(SIM_Modele!$AH$4:$AH$1068,SIM_Modele!$C$4:$C$1068,$C39,SIM_Modele!$D$4:$D$1068,2028)</f>
        <v>32157300.084268648</v>
      </c>
      <c r="Q39" s="64">
        <f>SUMIFS(SIM_Modele!$AH$4:$AH$1068,SIM_Modele!$C$4:$C$1068,$C39,SIM_Modele!$D$4:$D$1068,2029)</f>
        <v>33186333.686965235</v>
      </c>
      <c r="R39" s="64">
        <f>SUMIFS(SIM_Modele!$AH$4:$AH$1068,SIM_Modele!$C$4:$C$1068,$C39,SIM_Modele!$D$4:$D$1068,2030)</f>
        <v>34248296.364948139</v>
      </c>
      <c r="S39" s="65">
        <f t="shared" si="2"/>
        <v>17301296.364948139</v>
      </c>
      <c r="T39" s="66">
        <f t="shared" si="3"/>
        <v>1.0209061406117979</v>
      </c>
      <c r="U39" s="67">
        <f t="shared" si="4"/>
        <v>339070190.95315421</v>
      </c>
      <c r="V39" s="62" t="s">
        <v>380</v>
      </c>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68" t="str">
        <f t="shared" si="0"/>
        <v/>
      </c>
      <c r="AY39" s="68">
        <f t="shared" si="1"/>
        <v>100</v>
      </c>
    </row>
    <row r="40" spans="1:51" ht="25.5" customHeight="1" x14ac:dyDescent="0.25">
      <c r="A40" s="55" t="s">
        <v>48</v>
      </c>
      <c r="B40" s="55" t="s">
        <v>407</v>
      </c>
      <c r="C40" s="55" t="s">
        <v>411</v>
      </c>
      <c r="D40" s="56">
        <v>16500000</v>
      </c>
      <c r="E40" s="56">
        <v>16556000</v>
      </c>
      <c r="F40" s="56">
        <v>15499000</v>
      </c>
      <c r="G40" s="57">
        <f>SUMIFS(SIM_Modele!$AH$4:$AH$855,SIM_Modele!$C$4:$C$855,$C40,SIM_Modele!$D$4:$D$855,2019)</f>
        <v>15994968.000000002</v>
      </c>
      <c r="H40" s="57">
        <f>SUMIFS(SIM_Modele!$AH$4:$AH$855,SIM_Modele!$C$4:$C$855,$C40,SIM_Modele!$D$4:$D$855,2020)</f>
        <v>16506806.976000007</v>
      </c>
      <c r="I40" s="57">
        <f>SUMIFS(SIM_Modele!$AH$4:$AH$855,SIM_Modele!$C$4:$C$855,$C40,SIM_Modele!$D$4:$D$855,2021)</f>
        <v>17035024.799232006</v>
      </c>
      <c r="J40" s="57">
        <f>SUMIFS(SIM_Modele!$AH$4:$AH$855,SIM_Modele!$C$4:$C$855,$C40,SIM_Modele!$D$4:$D$855,2022)</f>
        <v>17580145.59280742</v>
      </c>
      <c r="K40" s="57">
        <f>SUMIFS(SIM_Modele!$AH$4:$AH$855,SIM_Modele!$C$4:$C$855,$C40,SIM_Modele!$D$4:$D$855,2023)</f>
        <v>18142710.251777261</v>
      </c>
      <c r="L40" s="57">
        <f>SUMIFS(SIM_Modele!$AH$4:$AH$855,SIM_Modele!$C$4:$C$855,$C40,SIM_Modele!$D$4:$D$855,2024)</f>
        <v>18723276.979834136</v>
      </c>
      <c r="M40" s="57">
        <f>SUMIFS(SIM_Modele!$AH$4:$AH$855,SIM_Modele!$C$4:$C$855,$C40,SIM_Modele!$D$4:$D$855,2025)</f>
        <v>19322421.843188837</v>
      </c>
      <c r="N40" s="57">
        <f>SUMIFS(SIM_Modele!$AH$4:$AH$855,SIM_Modele!$C$4:$C$855,$C40,SIM_Modele!$D$4:$D$855,2026)</f>
        <v>21289626.545564249</v>
      </c>
      <c r="O40" s="57">
        <f>SUMIFS(SIM_Modele!$AH$4:$AH$855,SIM_Modele!$C$4:$C$855,$C40,SIM_Modele!$D$4:$D$855,2027)</f>
        <v>23007456.169106591</v>
      </c>
      <c r="P40" s="57">
        <f>SUMIFS(SIM_Modele!$AH$4:$AH$1068,SIM_Modele!$C$4:$C$1068,$C40,SIM_Modele!$D$4:$D$1068,2028)</f>
        <v>23960785.483310767</v>
      </c>
      <c r="Q40" s="57">
        <f>SUMIFS(SIM_Modele!$AH$4:$AH$1068,SIM_Modele!$C$4:$C$1068,$C40,SIM_Modele!$D$4:$D$1068,2029)</f>
        <v>24727530.618776701</v>
      </c>
      <c r="R40" s="64">
        <f>SUMIFS(SIM_Modele!$AH$4:$AH$1068,SIM_Modele!$C$4:$C$1068,$C40,SIM_Modele!$D$4:$D$1068,2030)</f>
        <v>25518811.598577563</v>
      </c>
      <c r="S40" s="58">
        <f t="shared" si="2"/>
        <v>10019811.598577563</v>
      </c>
      <c r="T40" s="59">
        <f t="shared" si="3"/>
        <v>0.64648116643509668</v>
      </c>
      <c r="U40" s="60">
        <f t="shared" si="4"/>
        <v>290364564.85817558</v>
      </c>
      <c r="V40" s="55" t="s">
        <v>380</v>
      </c>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61" t="str">
        <f t="shared" si="0"/>
        <v/>
      </c>
      <c r="AY40" s="61">
        <f t="shared" si="1"/>
        <v>100</v>
      </c>
    </row>
    <row r="41" spans="1:51" ht="25.5" customHeight="1" x14ac:dyDescent="0.25">
      <c r="A41" s="62" t="s">
        <v>48</v>
      </c>
      <c r="B41" s="62" t="s">
        <v>407</v>
      </c>
      <c r="C41" s="62" t="s">
        <v>412</v>
      </c>
      <c r="D41" s="63">
        <v>21960000</v>
      </c>
      <c r="E41" s="63">
        <v>22038000</v>
      </c>
      <c r="F41" s="63">
        <v>21033000</v>
      </c>
      <c r="G41" s="64">
        <f>SUMIFS(SIM_Modele!$AH$4:$AH$855,SIM_Modele!$C$4:$C$855,$C41,SIM_Modele!$D$4:$D$855,2019)</f>
        <v>21706056</v>
      </c>
      <c r="H41" s="64">
        <f>SUMIFS(SIM_Modele!$AH$4:$AH$855,SIM_Modele!$C$4:$C$855,$C41,SIM_Modele!$D$4:$D$855,2020)</f>
        <v>22400649.792000011</v>
      </c>
      <c r="I41" s="64">
        <f>SUMIFS(SIM_Modele!$AH$4:$AH$855,SIM_Modele!$C$4:$C$855,$C41,SIM_Modele!$D$4:$D$855,2021)</f>
        <v>23117470.585344009</v>
      </c>
      <c r="J41" s="64">
        <f>SUMIFS(SIM_Modele!$AH$4:$AH$855,SIM_Modele!$C$4:$C$855,$C41,SIM_Modele!$D$4:$D$855,2022)</f>
        <v>23857229.644075003</v>
      </c>
      <c r="K41" s="64">
        <f>SUMIFS(SIM_Modele!$AH$4:$AH$855,SIM_Modele!$C$4:$C$855,$C41,SIM_Modele!$D$4:$D$855,2023)</f>
        <v>24620660.992685407</v>
      </c>
      <c r="L41" s="64">
        <f>SUMIFS(SIM_Modele!$AH$4:$AH$855,SIM_Modele!$C$4:$C$855,$C41,SIM_Modele!$D$4:$D$855,2024)</f>
        <v>25408522.144451343</v>
      </c>
      <c r="M41" s="64">
        <f>SUMIFS(SIM_Modele!$AH$4:$AH$855,SIM_Modele!$C$4:$C$855,$C41,SIM_Modele!$D$4:$D$855,2025)</f>
        <v>26221594.853073802</v>
      </c>
      <c r="N41" s="64">
        <f>SUMIFS(SIM_Modele!$AH$4:$AH$855,SIM_Modele!$C$4:$C$855,$C41,SIM_Modele!$D$4:$D$855,2026)</f>
        <v>29934422.523321003</v>
      </c>
      <c r="O41" s="64">
        <f>SUMIFS(SIM_Modele!$AH$4:$AH$855,SIM_Modele!$C$4:$C$855,$C41,SIM_Modele!$D$4:$D$855,2027)</f>
        <v>33176566.868992068</v>
      </c>
      <c r="P41" s="64">
        <f>SUMIFS(SIM_Modele!$AH$4:$AH$1068,SIM_Modele!$C$4:$C$1068,$C41,SIM_Modele!$D$4:$D$1068,2028)</f>
        <v>34906024.143667258</v>
      </c>
      <c r="Q41" s="64">
        <f>SUMIFS(SIM_Modele!$AH$4:$AH$1068,SIM_Modele!$C$4:$C$1068,$C41,SIM_Modele!$D$4:$D$1068,2029)</f>
        <v>36023016.916264601</v>
      </c>
      <c r="R41" s="64">
        <f>SUMIFS(SIM_Modele!$AH$4:$AH$1068,SIM_Modele!$C$4:$C$1068,$C41,SIM_Modele!$D$4:$D$1068,2030)</f>
        <v>37175753.457585081</v>
      </c>
      <c r="S41" s="65">
        <f t="shared" ref="S41:S72" si="5">R41-F41</f>
        <v>16142753.457585081</v>
      </c>
      <c r="T41" s="66">
        <f t="shared" ref="T41:T72" si="6">IFERROR(S41/F41,0)</f>
        <v>0.76749647970261403</v>
      </c>
      <c r="U41" s="67">
        <f t="shared" ref="U41:U72" si="7">SUM(D41:R41)</f>
        <v>403578967.92145962</v>
      </c>
      <c r="V41" s="62" t="s">
        <v>380</v>
      </c>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68" t="str">
        <f t="shared" si="0"/>
        <v/>
      </c>
      <c r="AY41" s="68">
        <f t="shared" si="1"/>
        <v>100</v>
      </c>
    </row>
    <row r="42" spans="1:51" ht="25.5" customHeight="1" x14ac:dyDescent="0.25">
      <c r="A42" s="55" t="s">
        <v>343</v>
      </c>
      <c r="B42" s="55" t="s">
        <v>413</v>
      </c>
      <c r="C42" s="55" t="s">
        <v>414</v>
      </c>
      <c r="D42" s="56">
        <v>22950000</v>
      </c>
      <c r="E42" s="56">
        <v>22442000</v>
      </c>
      <c r="F42" s="56">
        <v>20676000</v>
      </c>
      <c r="G42" s="57">
        <f>$F42*(1+SIM_Parametres!$B$5)^(2019-2018)</f>
        <v>21337632</v>
      </c>
      <c r="H42" s="57">
        <f>$F42*(1+SIM_Parametres!$B$5)^(2020-2018)</f>
        <v>22020436.223999999</v>
      </c>
      <c r="I42" s="57">
        <f>$F42*(1+SIM_Parametres!$B$5)^(2021-2018)</f>
        <v>22725090.183167998</v>
      </c>
      <c r="J42" s="57">
        <f>$F42*(1+SIM_Parametres!$B$5)^(2022-2018)</f>
        <v>23452293.069029376</v>
      </c>
      <c r="K42" s="57">
        <f>$F42*(1+SIM_Parametres!$B$5)^(2023-2018)</f>
        <v>24202766.447238319</v>
      </c>
      <c r="L42" s="57">
        <f>$F42*(1+SIM_Parametres!$B$5)^(2024-2018)</f>
        <v>24977254.97354994</v>
      </c>
      <c r="M42" s="57">
        <f>$F42*(1+SIM_Parametres!$B$5)^(2025-2018)</f>
        <v>25776527.132703535</v>
      </c>
      <c r="N42" s="57">
        <f>$F42*(1+SIM_Parametres!$B$5)^(2026-2018)</f>
        <v>26601376.00095005</v>
      </c>
      <c r="O42" s="57">
        <f>$F42*(1+SIM_Parametres!$B$5)^(2027-2018)</f>
        <v>27452620.032980457</v>
      </c>
      <c r="P42" s="57">
        <f>$F42*(1+SIM_Parametres!$B$5)^(2028-2018)</f>
        <v>28331103.874035828</v>
      </c>
      <c r="Q42" s="57">
        <f>$F42*(1+SIM_Parametres!$B$5)^(2029-2018)</f>
        <v>29237699.198004972</v>
      </c>
      <c r="R42" s="64">
        <f>$F42*(1+SIM_Parametres!$B$5)^(2030-2018)</f>
        <v>30173305.572341133</v>
      </c>
      <c r="S42" s="58">
        <f t="shared" si="5"/>
        <v>9497305.5723411329</v>
      </c>
      <c r="T42" s="59">
        <f t="shared" si="6"/>
        <v>0.45933960013257558</v>
      </c>
      <c r="U42" s="60">
        <f t="shared" si="7"/>
        <v>372356104.70800161</v>
      </c>
      <c r="V42" s="55" t="s">
        <v>378</v>
      </c>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61" t="str">
        <f t="shared" si="0"/>
        <v/>
      </c>
      <c r="AY42" s="61">
        <f t="shared" si="1"/>
        <v>100</v>
      </c>
    </row>
    <row r="43" spans="1:51" ht="25.5" customHeight="1" x14ac:dyDescent="0.25">
      <c r="A43" s="62" t="s">
        <v>48</v>
      </c>
      <c r="B43" s="62" t="s">
        <v>413</v>
      </c>
      <c r="C43" s="62" t="s">
        <v>413</v>
      </c>
      <c r="D43" s="63">
        <v>22500000</v>
      </c>
      <c r="E43" s="63">
        <v>22031000</v>
      </c>
      <c r="F43" s="63">
        <v>21149000</v>
      </c>
      <c r="G43" s="64">
        <f>SUMIFS(SIM_Modele!$AH$4:$AH$855,SIM_Modele!$C$4:$C$855,$C43,SIM_Modele!$D$4:$D$855,2019)</f>
        <v>21825768</v>
      </c>
      <c r="H43" s="64">
        <f>SUMIFS(SIM_Modele!$AH$4:$AH$855,SIM_Modele!$C$4:$C$855,$C43,SIM_Modele!$D$4:$D$855,2020)</f>
        <v>22524192.576000012</v>
      </c>
      <c r="I43" s="64">
        <f>SUMIFS(SIM_Modele!$AH$4:$AH$855,SIM_Modele!$C$4:$C$855,$C43,SIM_Modele!$D$4:$D$855,2021)</f>
        <v>23244966.738432012</v>
      </c>
      <c r="J43" s="64">
        <f>SUMIFS(SIM_Modele!$AH$4:$AH$855,SIM_Modele!$C$4:$C$855,$C43,SIM_Modele!$D$4:$D$855,2022)</f>
        <v>23988805.674061824</v>
      </c>
      <c r="K43" s="64">
        <f>SUMIFS(SIM_Modele!$AH$4:$AH$855,SIM_Modele!$C$4:$C$855,$C43,SIM_Modele!$D$4:$D$855,2023)</f>
        <v>24756447.455631807</v>
      </c>
      <c r="L43" s="64">
        <f>SUMIFS(SIM_Modele!$AH$4:$AH$855,SIM_Modele!$C$4:$C$855,$C43,SIM_Modele!$D$4:$D$855,2024)</f>
        <v>25548653.774212025</v>
      </c>
      <c r="M43" s="64">
        <f>SUMIFS(SIM_Modele!$AH$4:$AH$855,SIM_Modele!$C$4:$C$855,$C43,SIM_Modele!$D$4:$D$855,2025)</f>
        <v>26366210.694986824</v>
      </c>
      <c r="N43" s="64">
        <f>SUMIFS(SIM_Modele!$AH$4:$AH$855,SIM_Modele!$C$4:$C$855,$C43,SIM_Modele!$D$4:$D$855,2026)</f>
        <v>25418144.115179177</v>
      </c>
      <c r="O43" s="64">
        <f>SUMIFS(SIM_Modele!$AH$4:$AH$855,SIM_Modele!$C$4:$C$855,$C43,SIM_Modele!$D$4:$D$855,2027)</f>
        <v>24474020.177558333</v>
      </c>
      <c r="P43" s="64">
        <f>SUMIFS(SIM_Modele!$AH$4:$AH$1068,SIM_Modele!$C$4:$C$1068,$C43,SIM_Modele!$D$4:$D$1068,2028)</f>
        <v>19107016.826122742</v>
      </c>
      <c r="Q43" s="64">
        <f>SUMIFS(SIM_Modele!$AH$4:$AH$1068,SIM_Modele!$C$4:$C$1068,$C43,SIM_Modele!$D$4:$D$1068,2029)</f>
        <v>19718441.364558671</v>
      </c>
      <c r="R43" s="64">
        <f>SUMIFS(SIM_Modele!$AH$4:$AH$1068,SIM_Modele!$C$4:$C$1068,$C43,SIM_Modele!$D$4:$D$1068,2030)</f>
        <v>20349431.488224547</v>
      </c>
      <c r="S43" s="65">
        <f t="shared" si="5"/>
        <v>-799568.51177545264</v>
      </c>
      <c r="T43" s="66">
        <f t="shared" si="6"/>
        <v>-3.7806445305946033E-2</v>
      </c>
      <c r="U43" s="67">
        <f t="shared" si="7"/>
        <v>343002098.88496804</v>
      </c>
      <c r="V43" s="62" t="s">
        <v>380</v>
      </c>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68" t="str">
        <f t="shared" si="0"/>
        <v/>
      </c>
      <c r="AY43" s="68">
        <f t="shared" si="1"/>
        <v>100</v>
      </c>
    </row>
    <row r="44" spans="1:51" ht="25.5" customHeight="1" x14ac:dyDescent="0.25">
      <c r="A44" s="55" t="s">
        <v>48</v>
      </c>
      <c r="B44" s="55" t="s">
        <v>413</v>
      </c>
      <c r="C44" s="55" t="s">
        <v>415</v>
      </c>
      <c r="D44" s="56">
        <v>16700000</v>
      </c>
      <c r="E44" s="56">
        <v>17990000</v>
      </c>
      <c r="F44" s="56">
        <v>15318000</v>
      </c>
      <c r="G44" s="57">
        <f>SUMIFS(SIM_Modele!$AH$4:$AH$855,SIM_Modele!$C$4:$C$855,$C44,SIM_Modele!$D$4:$D$855,2019)</f>
        <v>15808176</v>
      </c>
      <c r="H44" s="57">
        <f>SUMIFS(SIM_Modele!$AH$4:$AH$855,SIM_Modele!$C$4:$C$855,$C44,SIM_Modele!$D$4:$D$855,2020)</f>
        <v>16314037.632000007</v>
      </c>
      <c r="I44" s="57">
        <f>SUMIFS(SIM_Modele!$AH$4:$AH$855,SIM_Modele!$C$4:$C$855,$C44,SIM_Modele!$D$4:$D$855,2021)</f>
        <v>16836086.836224005</v>
      </c>
      <c r="J44" s="57">
        <f>SUMIFS(SIM_Modele!$AH$4:$AH$855,SIM_Modele!$C$4:$C$855,$C44,SIM_Modele!$D$4:$D$855,2022)</f>
        <v>17374841.61498316</v>
      </c>
      <c r="K44" s="57">
        <f>SUMIFS(SIM_Modele!$AH$4:$AH$855,SIM_Modele!$C$4:$C$855,$C44,SIM_Modele!$D$4:$D$855,2023)</f>
        <v>17930836.546662625</v>
      </c>
      <c r="L44" s="57">
        <f>SUMIFS(SIM_Modele!$AH$4:$AH$855,SIM_Modele!$C$4:$C$855,$C44,SIM_Modele!$D$4:$D$855,2024)</f>
        <v>18504623.316155829</v>
      </c>
      <c r="M44" s="57">
        <f>SUMIFS(SIM_Modele!$AH$4:$AH$855,SIM_Modele!$C$4:$C$855,$C44,SIM_Modele!$D$4:$D$855,2025)</f>
        <v>19096771.262272824</v>
      </c>
      <c r="N44" s="57">
        <f>SUMIFS(SIM_Modele!$AH$4:$AH$855,SIM_Modele!$C$4:$C$855,$C44,SIM_Modele!$D$4:$D$855,2026)</f>
        <v>18410096.532049481</v>
      </c>
      <c r="O44" s="57">
        <f>SUMIFS(SIM_Modele!$AH$4:$AH$855,SIM_Modele!$C$4:$C$855,$C44,SIM_Modele!$D$4:$D$855,2027)</f>
        <v>17726277.416418668</v>
      </c>
      <c r="P44" s="57">
        <f>SUMIFS(SIM_Modele!$AH$4:$AH$1068,SIM_Modele!$C$4:$C$1068,$C44,SIM_Modele!$D$4:$D$1068,2028)</f>
        <v>14864744.424754161</v>
      </c>
      <c r="Q44" s="57">
        <f>SUMIFS(SIM_Modele!$AH$4:$AH$1068,SIM_Modele!$C$4:$C$1068,$C44,SIM_Modele!$D$4:$D$1068,2029)</f>
        <v>15340416.246346295</v>
      </c>
      <c r="R44" s="64">
        <f>SUMIFS(SIM_Modele!$AH$4:$AH$1068,SIM_Modele!$C$4:$C$1068,$C44,SIM_Modele!$D$4:$D$1068,2030)</f>
        <v>15831309.566229377</v>
      </c>
      <c r="S44" s="58">
        <f t="shared" si="5"/>
        <v>513309.56622937694</v>
      </c>
      <c r="T44" s="59">
        <f t="shared" si="6"/>
        <v>3.3510221062108429E-2</v>
      </c>
      <c r="U44" s="60">
        <f t="shared" si="7"/>
        <v>254046217.39409643</v>
      </c>
      <c r="V44" s="55" t="s">
        <v>380</v>
      </c>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61" t="str">
        <f t="shared" si="0"/>
        <v/>
      </c>
      <c r="AY44" s="61">
        <f t="shared" si="1"/>
        <v>100</v>
      </c>
    </row>
    <row r="45" spans="1:51" ht="25.5" customHeight="1" x14ac:dyDescent="0.25">
      <c r="A45" s="62" t="s">
        <v>48</v>
      </c>
      <c r="B45" s="62" t="s">
        <v>413</v>
      </c>
      <c r="C45" s="62" t="s">
        <v>416</v>
      </c>
      <c r="D45" s="63">
        <v>16700000</v>
      </c>
      <c r="E45" s="63">
        <v>16240000</v>
      </c>
      <c r="F45" s="63">
        <v>15377000</v>
      </c>
      <c r="G45" s="64">
        <f>SUMIFS(SIM_Modele!$AH$4:$AH$855,SIM_Modele!$C$4:$C$855,$C45,SIM_Modele!$D$4:$D$855,2019)</f>
        <v>15869064</v>
      </c>
      <c r="H45" s="64">
        <f>SUMIFS(SIM_Modele!$AH$4:$AH$855,SIM_Modele!$C$4:$C$855,$C45,SIM_Modele!$D$4:$D$855,2020)</f>
        <v>16376874.048000006</v>
      </c>
      <c r="I45" s="64">
        <f>SUMIFS(SIM_Modele!$AH$4:$AH$855,SIM_Modele!$C$4:$C$855,$C45,SIM_Modele!$D$4:$D$855,2021)</f>
        <v>16900934.017536003</v>
      </c>
      <c r="J45" s="64">
        <f>SUMIFS(SIM_Modele!$AH$4:$AH$855,SIM_Modele!$C$4:$C$855,$C45,SIM_Modele!$D$4:$D$855,2022)</f>
        <v>17441763.906097144</v>
      </c>
      <c r="K45" s="64">
        <f>SUMIFS(SIM_Modele!$AH$4:$AH$855,SIM_Modele!$C$4:$C$855,$C45,SIM_Modele!$D$4:$D$855,2023)</f>
        <v>17999900.351092257</v>
      </c>
      <c r="L45" s="64">
        <f>SUMIFS(SIM_Modele!$AH$4:$AH$855,SIM_Modele!$C$4:$C$855,$C45,SIM_Modele!$D$4:$D$855,2024)</f>
        <v>18575897.162327208</v>
      </c>
      <c r="M45" s="64">
        <f>SUMIFS(SIM_Modele!$AH$4:$AH$855,SIM_Modele!$C$4:$C$855,$C45,SIM_Modele!$D$4:$D$855,2025)</f>
        <v>19170325.871521685</v>
      </c>
      <c r="N45" s="64">
        <f>SUMIFS(SIM_Modele!$AH$4:$AH$855,SIM_Modele!$C$4:$C$855,$C45,SIM_Modele!$D$4:$D$855,2026)</f>
        <v>18481006.291508343</v>
      </c>
      <c r="O45" s="64">
        <f>SUMIFS(SIM_Modele!$AH$4:$AH$855,SIM_Modele!$C$4:$C$855,$C45,SIM_Modele!$D$4:$D$855,2027)</f>
        <v>17794553.324994761</v>
      </c>
      <c r="P45" s="64">
        <f>SUMIFS(SIM_Modele!$AH$4:$AH$1068,SIM_Modele!$C$4:$C$1068,$C45,SIM_Modele!$D$4:$D$1068,2028)</f>
        <v>17212177.949042231</v>
      </c>
      <c r="Q45" s="64">
        <f>SUMIFS(SIM_Modele!$AH$4:$AH$1068,SIM_Modele!$C$4:$C$1068,$C45,SIM_Modele!$D$4:$D$1068,2029)</f>
        <v>17762967.643411588</v>
      </c>
      <c r="R45" s="64">
        <f>SUMIFS(SIM_Modele!$AH$4:$AH$1068,SIM_Modele!$C$4:$C$1068,$C45,SIM_Modele!$D$4:$D$1068,2030)</f>
        <v>18331382.608000759</v>
      </c>
      <c r="S45" s="65">
        <f t="shared" si="5"/>
        <v>2954382.608000759</v>
      </c>
      <c r="T45" s="66">
        <f t="shared" si="6"/>
        <v>0.19212997385710862</v>
      </c>
      <c r="U45" s="67">
        <f t="shared" si="7"/>
        <v>260233847.17353198</v>
      </c>
      <c r="V45" s="62" t="s">
        <v>380</v>
      </c>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68" t="str">
        <f t="shared" si="0"/>
        <v/>
      </c>
      <c r="AY45" s="68">
        <f t="shared" si="1"/>
        <v>100</v>
      </c>
    </row>
    <row r="46" spans="1:51" ht="25.5" customHeight="1" x14ac:dyDescent="0.25">
      <c r="A46" s="55" t="s">
        <v>343</v>
      </c>
      <c r="B46" s="55" t="s">
        <v>417</v>
      </c>
      <c r="C46" s="55" t="s">
        <v>418</v>
      </c>
      <c r="D46" s="56">
        <v>45900000</v>
      </c>
      <c r="E46" s="56">
        <v>44100000</v>
      </c>
      <c r="F46" s="56">
        <v>42706000</v>
      </c>
      <c r="G46" s="57">
        <f>$F46*(1+SIM_Parametres!$B$5)^(2019-2018)</f>
        <v>44072592</v>
      </c>
      <c r="H46" s="57">
        <f>$F46*(1+SIM_Parametres!$B$5)^(2020-2018)</f>
        <v>45482914.943999998</v>
      </c>
      <c r="I46" s="57">
        <f>$F46*(1+SIM_Parametres!$B$5)^(2021-2018)</f>
        <v>46938368.222207993</v>
      </c>
      <c r="J46" s="57">
        <f>$F46*(1+SIM_Parametres!$B$5)^(2022-2018)</f>
        <v>48440396.005318649</v>
      </c>
      <c r="K46" s="57">
        <f>$F46*(1+SIM_Parametres!$B$5)^(2023-2018)</f>
        <v>49990488.677488856</v>
      </c>
      <c r="L46" s="57">
        <f>$F46*(1+SIM_Parametres!$B$5)^(2024-2018)</f>
        <v>51590184.315168492</v>
      </c>
      <c r="M46" s="57">
        <f>$F46*(1+SIM_Parametres!$B$5)^(2025-2018)</f>
        <v>53241070.213253878</v>
      </c>
      <c r="N46" s="57">
        <f>$F46*(1+SIM_Parametres!$B$5)^(2026-2018)</f>
        <v>54944784.460078008</v>
      </c>
      <c r="O46" s="57">
        <f>$F46*(1+SIM_Parametres!$B$5)^(2027-2018)</f>
        <v>56703017.562800512</v>
      </c>
      <c r="P46" s="57">
        <f>$F46*(1+SIM_Parametres!$B$5)^(2028-2018)</f>
        <v>58517514.124810122</v>
      </c>
      <c r="Q46" s="57">
        <f>$F46*(1+SIM_Parametres!$B$5)^(2029-2018)</f>
        <v>60390074.576804042</v>
      </c>
      <c r="R46" s="64">
        <f>$F46*(1+SIM_Parametres!$B$5)^(2030-2018)</f>
        <v>62322556.963261776</v>
      </c>
      <c r="S46" s="58">
        <f t="shared" si="5"/>
        <v>19616556.963261776</v>
      </c>
      <c r="T46" s="59">
        <f t="shared" si="6"/>
        <v>0.45933960013257563</v>
      </c>
      <c r="U46" s="60">
        <f t="shared" si="7"/>
        <v>765339962.06519222</v>
      </c>
      <c r="V46" s="55" t="s">
        <v>378</v>
      </c>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61" t="str">
        <f t="shared" si="0"/>
        <v/>
      </c>
      <c r="AY46" s="61">
        <f t="shared" si="1"/>
        <v>100</v>
      </c>
    </row>
    <row r="47" spans="1:51" ht="25.5" customHeight="1" x14ac:dyDescent="0.25">
      <c r="A47" s="62" t="s">
        <v>48</v>
      </c>
      <c r="B47" s="62" t="s">
        <v>417</v>
      </c>
      <c r="C47" s="62" t="s">
        <v>417</v>
      </c>
      <c r="D47" s="63">
        <v>18000000</v>
      </c>
      <c r="E47" s="63">
        <v>18425000</v>
      </c>
      <c r="F47" s="63">
        <v>17557000</v>
      </c>
      <c r="G47" s="64">
        <f>SUMIFS(SIM_Modele!$AH$4:$AH$855,SIM_Modele!$C$4:$C$855,$C47,SIM_Modele!$D$4:$D$855,2019)</f>
        <v>18118824</v>
      </c>
      <c r="H47" s="64">
        <f>SUMIFS(SIM_Modele!$AH$4:$AH$855,SIM_Modele!$C$4:$C$855,$C47,SIM_Modele!$D$4:$D$855,2020)</f>
        <v>18698626.368000008</v>
      </c>
      <c r="I47" s="64">
        <f>SUMIFS(SIM_Modele!$AH$4:$AH$855,SIM_Modele!$C$4:$C$855,$C47,SIM_Modele!$D$4:$D$855,2021)</f>
        <v>19296982.411776002</v>
      </c>
      <c r="J47" s="64">
        <f>SUMIFS(SIM_Modele!$AH$4:$AH$855,SIM_Modele!$C$4:$C$855,$C47,SIM_Modele!$D$4:$D$855,2022)</f>
        <v>19914485.848952822</v>
      </c>
      <c r="K47" s="64">
        <f>SUMIFS(SIM_Modele!$AH$4:$AH$855,SIM_Modele!$C$4:$C$855,$C47,SIM_Modele!$D$4:$D$855,2023)</f>
        <v>20551749.396119315</v>
      </c>
      <c r="L47" s="64">
        <f>SUMIFS(SIM_Modele!$AH$4:$AH$855,SIM_Modele!$C$4:$C$855,$C47,SIM_Modele!$D$4:$D$855,2024)</f>
        <v>21209405.376795132</v>
      </c>
      <c r="M47" s="64">
        <f>SUMIFS(SIM_Modele!$AH$4:$AH$855,SIM_Modele!$C$4:$C$855,$C47,SIM_Modele!$D$4:$D$855,2025)</f>
        <v>21888106.348852582</v>
      </c>
      <c r="N47" s="64">
        <f>SUMIFS(SIM_Modele!$AH$4:$AH$855,SIM_Modele!$C$4:$C$855,$C47,SIM_Modele!$D$4:$D$855,2026)</f>
        <v>24949266.582693059</v>
      </c>
      <c r="O47" s="64">
        <f>SUMIFS(SIM_Modele!$AH$4:$AH$855,SIM_Modele!$C$4:$C$855,$C47,SIM_Modele!$D$4:$D$855,2027)</f>
        <v>27622357.388878942</v>
      </c>
      <c r="P47" s="64">
        <f>SUMIFS(SIM_Modele!$AH$4:$AH$1068,SIM_Modele!$C$4:$C$1068,$C47,SIM_Modele!$D$4:$D$1068,2028)</f>
        <v>29050096.119754061</v>
      </c>
      <c r="Q47" s="64">
        <f>SUMIFS(SIM_Modele!$AH$4:$AH$1068,SIM_Modele!$C$4:$C$1068,$C47,SIM_Modele!$D$4:$D$1068,2029)</f>
        <v>29979699.195586186</v>
      </c>
      <c r="R47" s="64">
        <f>SUMIFS(SIM_Modele!$AH$4:$AH$1068,SIM_Modele!$C$4:$C$1068,$C47,SIM_Modele!$D$4:$D$1068,2030)</f>
        <v>30939049.569844954</v>
      </c>
      <c r="S47" s="65">
        <f t="shared" si="5"/>
        <v>13382049.569844954</v>
      </c>
      <c r="T47" s="66">
        <f t="shared" si="6"/>
        <v>0.76220593323716768</v>
      </c>
      <c r="U47" s="67">
        <f t="shared" si="7"/>
        <v>336200648.60725313</v>
      </c>
      <c r="V47" s="62" t="s">
        <v>380</v>
      </c>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68" t="str">
        <f t="shared" si="0"/>
        <v/>
      </c>
      <c r="AY47" s="68">
        <f t="shared" si="1"/>
        <v>100</v>
      </c>
    </row>
    <row r="48" spans="1:51" ht="25.5" customHeight="1" x14ac:dyDescent="0.25">
      <c r="A48" s="55" t="s">
        <v>48</v>
      </c>
      <c r="B48" s="55" t="s">
        <v>417</v>
      </c>
      <c r="C48" s="55" t="s">
        <v>419</v>
      </c>
      <c r="D48" s="56">
        <v>18070000</v>
      </c>
      <c r="E48" s="56">
        <v>17488000</v>
      </c>
      <c r="F48" s="56">
        <v>16433000</v>
      </c>
      <c r="G48" s="57">
        <f>SUMIFS(SIM_Modele!$AH$4:$AH$855,SIM_Modele!$C$4:$C$855,$C48,SIM_Modele!$D$4:$D$855,2019)</f>
        <v>16958856</v>
      </c>
      <c r="H48" s="57">
        <f>SUMIFS(SIM_Modele!$AH$4:$AH$855,SIM_Modele!$C$4:$C$855,$C48,SIM_Modele!$D$4:$D$855,2020)</f>
        <v>17501539.392000005</v>
      </c>
      <c r="I48" s="57">
        <f>SUMIFS(SIM_Modele!$AH$4:$AH$855,SIM_Modele!$C$4:$C$855,$C48,SIM_Modele!$D$4:$D$855,2021)</f>
        <v>18061588.652544003</v>
      </c>
      <c r="J48" s="57">
        <f>SUMIFS(SIM_Modele!$AH$4:$AH$855,SIM_Modele!$C$4:$C$855,$C48,SIM_Modele!$D$4:$D$855,2022)</f>
        <v>18639559.489425402</v>
      </c>
      <c r="K48" s="57">
        <f>SUMIFS(SIM_Modele!$AH$4:$AH$855,SIM_Modele!$C$4:$C$855,$C48,SIM_Modele!$D$4:$D$855,2023)</f>
        <v>19236025.393087018</v>
      </c>
      <c r="L48" s="57">
        <f>SUMIFS(SIM_Modele!$AH$4:$AH$855,SIM_Modele!$C$4:$C$855,$C48,SIM_Modele!$D$4:$D$855,2024)</f>
        <v>19851578.205665801</v>
      </c>
      <c r="M48" s="57">
        <f>SUMIFS(SIM_Modele!$AH$4:$AH$855,SIM_Modele!$C$4:$C$855,$C48,SIM_Modele!$D$4:$D$855,2025)</f>
        <v>20486828.708247114</v>
      </c>
      <c r="N48" s="57">
        <f>SUMIFS(SIM_Modele!$AH$4:$AH$855,SIM_Modele!$C$4:$C$855,$C48,SIM_Modele!$D$4:$D$855,2026)</f>
        <v>21383745.94194556</v>
      </c>
      <c r="O48" s="57">
        <f>SUMIFS(SIM_Modele!$AH$4:$AH$855,SIM_Modele!$C$4:$C$855,$C48,SIM_Modele!$D$4:$D$855,2027)</f>
        <v>22166989.727432474</v>
      </c>
      <c r="P48" s="57">
        <f>SUMIFS(SIM_Modele!$AH$4:$AH$1068,SIM_Modele!$C$4:$C$1068,$C48,SIM_Modele!$D$4:$D$1068,2028)</f>
        <v>22681211.716243409</v>
      </c>
      <c r="Q48" s="57">
        <f>SUMIFS(SIM_Modele!$AH$4:$AH$1068,SIM_Modele!$C$4:$C$1068,$C48,SIM_Modele!$D$4:$D$1068,2029)</f>
        <v>23407010.49116319</v>
      </c>
      <c r="R48" s="64">
        <f>SUMIFS(SIM_Modele!$AH$4:$AH$1068,SIM_Modele!$C$4:$C$1068,$C48,SIM_Modele!$D$4:$D$1068,2030)</f>
        <v>24156034.826880421</v>
      </c>
      <c r="S48" s="58">
        <f t="shared" si="5"/>
        <v>7723034.8268804215</v>
      </c>
      <c r="T48" s="59">
        <f t="shared" si="6"/>
        <v>0.46997108421349854</v>
      </c>
      <c r="U48" s="60">
        <f t="shared" si="7"/>
        <v>296521968.54463434</v>
      </c>
      <c r="V48" s="55" t="s">
        <v>380</v>
      </c>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61" t="str">
        <f t="shared" si="0"/>
        <v/>
      </c>
      <c r="AY48" s="61">
        <f t="shared" si="1"/>
        <v>100</v>
      </c>
    </row>
    <row r="49" spans="1:51" ht="25.5" customHeight="1" x14ac:dyDescent="0.25">
      <c r="A49" s="62" t="s">
        <v>48</v>
      </c>
      <c r="B49" s="62" t="s">
        <v>417</v>
      </c>
      <c r="C49" s="62" t="s">
        <v>420</v>
      </c>
      <c r="D49" s="63">
        <v>24200000</v>
      </c>
      <c r="E49" s="63">
        <v>23600000</v>
      </c>
      <c r="F49" s="63">
        <v>22219000</v>
      </c>
      <c r="G49" s="64">
        <f>SUMIFS(SIM_Modele!$AH$4:$AH$855,SIM_Modele!$C$4:$C$855,$C49,SIM_Modele!$D$4:$D$855,2019)</f>
        <v>22930008</v>
      </c>
      <c r="H49" s="64">
        <f>SUMIFS(SIM_Modele!$AH$4:$AH$855,SIM_Modele!$C$4:$C$855,$C49,SIM_Modele!$D$4:$D$855,2020)</f>
        <v>23663768.256000008</v>
      </c>
      <c r="I49" s="64">
        <f>SUMIFS(SIM_Modele!$AH$4:$AH$855,SIM_Modele!$C$4:$C$855,$C49,SIM_Modele!$D$4:$D$855,2021)</f>
        <v>24421008.840192005</v>
      </c>
      <c r="J49" s="64">
        <f>SUMIFS(SIM_Modele!$AH$4:$AH$855,SIM_Modele!$C$4:$C$855,$C49,SIM_Modele!$D$4:$D$855,2022)</f>
        <v>25202481.123078138</v>
      </c>
      <c r="K49" s="64">
        <f>SUMIFS(SIM_Modele!$AH$4:$AH$855,SIM_Modele!$C$4:$C$855,$C49,SIM_Modele!$D$4:$D$855,2023)</f>
        <v>26008960.519016642</v>
      </c>
      <c r="L49" s="64">
        <f>SUMIFS(SIM_Modele!$AH$4:$AH$855,SIM_Modele!$C$4:$C$855,$C49,SIM_Modele!$D$4:$D$855,2024)</f>
        <v>26841247.255625177</v>
      </c>
      <c r="M49" s="64">
        <f>SUMIFS(SIM_Modele!$AH$4:$AH$855,SIM_Modele!$C$4:$C$855,$C49,SIM_Modele!$D$4:$D$855,2025)</f>
        <v>27700167.167805195</v>
      </c>
      <c r="N49" s="64">
        <f>SUMIFS(SIM_Modele!$AH$4:$AH$855,SIM_Modele!$C$4:$C$855,$C49,SIM_Modele!$D$4:$D$855,2026)</f>
        <v>29099146.230417773</v>
      </c>
      <c r="O49" s="64">
        <f>SUMIFS(SIM_Modele!$AH$4:$AH$855,SIM_Modele!$C$4:$C$855,$C49,SIM_Modele!$D$4:$D$855,2027)</f>
        <v>30320812.324482694</v>
      </c>
      <c r="P49" s="64">
        <f>SUMIFS(SIM_Modele!$AH$4:$AH$1068,SIM_Modele!$C$4:$C$1068,$C49,SIM_Modele!$D$4:$D$1068,2028)</f>
        <v>31093887.963825054</v>
      </c>
      <c r="Q49" s="64">
        <f>SUMIFS(SIM_Modele!$AH$4:$AH$1068,SIM_Modele!$C$4:$C$1068,$C49,SIM_Modele!$D$4:$D$1068,2029)</f>
        <v>32088892.378667451</v>
      </c>
      <c r="R49" s="64">
        <f>SUMIFS(SIM_Modele!$AH$4:$AH$1068,SIM_Modele!$C$4:$C$1068,$C49,SIM_Modele!$D$4:$D$1068,2030)</f>
        <v>33115736.934784822</v>
      </c>
      <c r="S49" s="65">
        <f t="shared" si="5"/>
        <v>10896736.934784822</v>
      </c>
      <c r="T49" s="66">
        <f t="shared" si="6"/>
        <v>0.4904242735849868</v>
      </c>
      <c r="U49" s="67">
        <f t="shared" si="7"/>
        <v>402505116.99389499</v>
      </c>
      <c r="V49" s="62" t="s">
        <v>380</v>
      </c>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68" t="str">
        <f t="shared" si="0"/>
        <v/>
      </c>
      <c r="AY49" s="68">
        <f t="shared" si="1"/>
        <v>100</v>
      </c>
    </row>
    <row r="50" spans="1:51" ht="25.5" customHeight="1" x14ac:dyDescent="0.25">
      <c r="A50" s="55" t="s">
        <v>343</v>
      </c>
      <c r="B50" s="55" t="s">
        <v>421</v>
      </c>
      <c r="C50" s="55" t="s">
        <v>422</v>
      </c>
      <c r="D50" s="56">
        <v>27590000</v>
      </c>
      <c r="E50" s="56">
        <v>26325000</v>
      </c>
      <c r="F50" s="56">
        <v>25424000</v>
      </c>
      <c r="G50" s="57">
        <f>$F50*(1+SIM_Parametres!$B$5)^(2019-2018)</f>
        <v>26237568</v>
      </c>
      <c r="H50" s="57">
        <f>$F50*(1+SIM_Parametres!$B$5)^(2020-2018)</f>
        <v>27077170.175999999</v>
      </c>
      <c r="I50" s="57">
        <f>$F50*(1+SIM_Parametres!$B$5)^(2021-2018)</f>
        <v>27943639.621631999</v>
      </c>
      <c r="J50" s="57">
        <f>$F50*(1+SIM_Parametres!$B$5)^(2022-2018)</f>
        <v>28837836.089524221</v>
      </c>
      <c r="K50" s="57">
        <f>$F50*(1+SIM_Parametres!$B$5)^(2023-2018)</f>
        <v>29760646.844388999</v>
      </c>
      <c r="L50" s="57">
        <f>$F50*(1+SIM_Parametres!$B$5)^(2024-2018)</f>
        <v>30712987.543409444</v>
      </c>
      <c r="M50" s="57">
        <f>$F50*(1+SIM_Parametres!$B$5)^(2025-2018)</f>
        <v>31695803.144798543</v>
      </c>
      <c r="N50" s="57">
        <f>$F50*(1+SIM_Parametres!$B$5)^(2026-2018)</f>
        <v>32710068.845432099</v>
      </c>
      <c r="O50" s="57">
        <f>$F50*(1+SIM_Parametres!$B$5)^(2027-2018)</f>
        <v>33756791.048485927</v>
      </c>
      <c r="P50" s="57">
        <f>$F50*(1+SIM_Parametres!$B$5)^(2028-2018)</f>
        <v>34837008.362037472</v>
      </c>
      <c r="Q50" s="57">
        <f>$F50*(1+SIM_Parametres!$B$5)^(2029-2018)</f>
        <v>35951792.629622675</v>
      </c>
      <c r="R50" s="64">
        <f>$F50*(1+SIM_Parametres!$B$5)^(2030-2018)</f>
        <v>37102249.993770599</v>
      </c>
      <c r="S50" s="58">
        <f t="shared" si="5"/>
        <v>11678249.993770599</v>
      </c>
      <c r="T50" s="59">
        <f t="shared" si="6"/>
        <v>0.45933960013257552</v>
      </c>
      <c r="U50" s="60">
        <f t="shared" si="7"/>
        <v>455962562.29910201</v>
      </c>
      <c r="V50" s="55" t="s">
        <v>378</v>
      </c>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61" t="str">
        <f t="shared" si="0"/>
        <v/>
      </c>
      <c r="AY50" s="61">
        <f t="shared" si="1"/>
        <v>100</v>
      </c>
    </row>
    <row r="51" spans="1:51" ht="25.5" customHeight="1" x14ac:dyDescent="0.25">
      <c r="A51" s="62" t="s">
        <v>48</v>
      </c>
      <c r="B51" s="62" t="s">
        <v>421</v>
      </c>
      <c r="C51" s="62" t="s">
        <v>423</v>
      </c>
      <c r="D51" s="63">
        <v>15000000</v>
      </c>
      <c r="E51" s="63">
        <v>14200000</v>
      </c>
      <c r="F51" s="63">
        <v>13239000</v>
      </c>
      <c r="G51" s="64">
        <f>SUMIFS(SIM_Modele!$AH$4:$AH$855,SIM_Modele!$C$4:$C$855,$C51,SIM_Modele!$D$4:$D$855,2019)</f>
        <v>13662648</v>
      </c>
      <c r="H51" s="64">
        <f>SUMIFS(SIM_Modele!$AH$4:$AH$855,SIM_Modele!$C$4:$C$855,$C51,SIM_Modele!$D$4:$D$855,2020)</f>
        <v>14099852.736000005</v>
      </c>
      <c r="I51" s="64">
        <f>SUMIFS(SIM_Modele!$AH$4:$AH$855,SIM_Modele!$C$4:$C$855,$C51,SIM_Modele!$D$4:$D$855,2021)</f>
        <v>14551048.023552002</v>
      </c>
      <c r="J51" s="64">
        <f>SUMIFS(SIM_Modele!$AH$4:$AH$855,SIM_Modele!$C$4:$C$855,$C51,SIM_Modele!$D$4:$D$855,2022)</f>
        <v>15016681.560305659</v>
      </c>
      <c r="K51" s="64">
        <f>SUMIFS(SIM_Modele!$AH$4:$AH$855,SIM_Modele!$C$4:$C$855,$C51,SIM_Modele!$D$4:$D$855,2023)</f>
        <v>15497215.370235445</v>
      </c>
      <c r="L51" s="64">
        <f>SUMIFS(SIM_Modele!$AH$4:$AH$855,SIM_Modele!$C$4:$C$855,$C51,SIM_Modele!$D$4:$D$855,2024)</f>
        <v>15993126.262082979</v>
      </c>
      <c r="M51" s="64">
        <f>SUMIFS(SIM_Modele!$AH$4:$AH$855,SIM_Modele!$C$4:$C$855,$C51,SIM_Modele!$D$4:$D$855,2025)</f>
        <v>16504906.302469641</v>
      </c>
      <c r="N51" s="64">
        <f>SUMIFS(SIM_Modele!$AH$4:$AH$855,SIM_Modele!$C$4:$C$855,$C51,SIM_Modele!$D$4:$D$855,2026)</f>
        <v>16023017.294794133</v>
      </c>
      <c r="O51" s="64">
        <f>SUMIFS(SIM_Modele!$AH$4:$AH$855,SIM_Modele!$C$4:$C$855,$C51,SIM_Modele!$D$4:$D$855,2027)</f>
        <v>15602261.630993899</v>
      </c>
      <c r="P51" s="64">
        <f>SUMIFS(SIM_Modele!$AH$4:$AH$1068,SIM_Modele!$C$4:$C$1068,$C51,SIM_Modele!$D$4:$D$1068,2028)</f>
        <v>15513446.7057418</v>
      </c>
      <c r="Q51" s="64">
        <f>SUMIFS(SIM_Modele!$AH$4:$AH$1068,SIM_Modele!$C$4:$C$1068,$C51,SIM_Modele!$D$4:$D$1068,2029)</f>
        <v>16009877.000325538</v>
      </c>
      <c r="R51" s="64">
        <f>SUMIFS(SIM_Modele!$AH$4:$AH$1068,SIM_Modele!$C$4:$C$1068,$C51,SIM_Modele!$D$4:$D$1068,2030)</f>
        <v>16522193.064335963</v>
      </c>
      <c r="S51" s="65">
        <f t="shared" si="5"/>
        <v>3283193.0643359628</v>
      </c>
      <c r="T51" s="66">
        <f t="shared" si="6"/>
        <v>0.2479940376415109</v>
      </c>
      <c r="U51" s="67">
        <f t="shared" si="7"/>
        <v>227435273.95083705</v>
      </c>
      <c r="V51" s="62" t="s">
        <v>380</v>
      </c>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68" t="str">
        <f t="shared" si="0"/>
        <v/>
      </c>
      <c r="AY51" s="68">
        <f t="shared" si="1"/>
        <v>100</v>
      </c>
    </row>
    <row r="52" spans="1:51" ht="25.5" customHeight="1" x14ac:dyDescent="0.25">
      <c r="A52" s="55" t="s">
        <v>48</v>
      </c>
      <c r="B52" s="55" t="s">
        <v>421</v>
      </c>
      <c r="C52" s="55" t="s">
        <v>424</v>
      </c>
      <c r="D52" s="56">
        <v>21500000</v>
      </c>
      <c r="E52" s="56">
        <v>21120000</v>
      </c>
      <c r="F52" s="56">
        <v>20262000</v>
      </c>
      <c r="G52" s="57">
        <f>SUMIFS(SIM_Modele!$AH$4:$AH$855,SIM_Modele!$C$4:$C$855,$C52,SIM_Modele!$D$4:$D$855,2019)</f>
        <v>20910384</v>
      </c>
      <c r="H52" s="57">
        <f>SUMIFS(SIM_Modele!$AH$4:$AH$855,SIM_Modele!$C$4:$C$855,$C52,SIM_Modele!$D$4:$D$855,2020)</f>
        <v>21579516.28800001</v>
      </c>
      <c r="I52" s="57">
        <f>SUMIFS(SIM_Modele!$AH$4:$AH$855,SIM_Modele!$C$4:$C$855,$C52,SIM_Modele!$D$4:$D$855,2021)</f>
        <v>22270060.809216008</v>
      </c>
      <c r="J52" s="57">
        <f>SUMIFS(SIM_Modele!$AH$4:$AH$855,SIM_Modele!$C$4:$C$855,$C52,SIM_Modele!$D$4:$D$855,2022)</f>
        <v>22982702.755110908</v>
      </c>
      <c r="K52" s="57">
        <f>SUMIFS(SIM_Modele!$AH$4:$AH$855,SIM_Modele!$C$4:$C$855,$C52,SIM_Modele!$D$4:$D$855,2023)</f>
        <v>23718149.243274465</v>
      </c>
      <c r="L52" s="57">
        <f>SUMIFS(SIM_Modele!$AH$4:$AH$855,SIM_Modele!$C$4:$C$855,$C52,SIM_Modele!$D$4:$D$855,2024)</f>
        <v>24477130.019059248</v>
      </c>
      <c r="M52" s="57">
        <f>SUMIFS(SIM_Modele!$AH$4:$AH$855,SIM_Modele!$C$4:$C$855,$C52,SIM_Modele!$D$4:$D$855,2025)</f>
        <v>25260398.179669157</v>
      </c>
      <c r="N52" s="57">
        <f>SUMIFS(SIM_Modele!$AH$4:$AH$855,SIM_Modele!$C$4:$C$855,$C52,SIM_Modele!$D$4:$D$855,2026)</f>
        <v>24352094.002636556</v>
      </c>
      <c r="O52" s="57">
        <f>SUMIFS(SIM_Modele!$AH$4:$AH$855,SIM_Modele!$C$4:$C$855,$C52,SIM_Modele!$D$4:$D$855,2027)</f>
        <v>23447567.111337978</v>
      </c>
      <c r="P52" s="57">
        <f>SUMIFS(SIM_Modele!$AH$4:$AH$1068,SIM_Modele!$C$4:$C$1068,$C52,SIM_Modele!$D$4:$D$1068,2028)</f>
        <v>19665232.698475108</v>
      </c>
      <c r="Q52" s="57">
        <f>SUMIFS(SIM_Modele!$AH$4:$AH$1068,SIM_Modele!$C$4:$C$1068,$C52,SIM_Modele!$D$4:$D$1068,2029)</f>
        <v>20294520.144826308</v>
      </c>
      <c r="R52" s="64">
        <f>SUMIFS(SIM_Modele!$AH$4:$AH$1068,SIM_Modele!$C$4:$C$1068,$C52,SIM_Modele!$D$4:$D$1068,2030)</f>
        <v>20943944.78946076</v>
      </c>
      <c r="S52" s="58">
        <f t="shared" si="5"/>
        <v>681944.78946075961</v>
      </c>
      <c r="T52" s="59">
        <f t="shared" si="6"/>
        <v>3.3656341400688954E-2</v>
      </c>
      <c r="U52" s="60">
        <f t="shared" si="7"/>
        <v>332783700.04106647</v>
      </c>
      <c r="V52" s="55" t="s">
        <v>380</v>
      </c>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61" t="str">
        <f t="shared" si="0"/>
        <v/>
      </c>
      <c r="AY52" s="61">
        <f t="shared" si="1"/>
        <v>100</v>
      </c>
    </row>
    <row r="53" spans="1:51" ht="25.5" customHeight="1" x14ac:dyDescent="0.25">
      <c r="A53" s="62" t="s">
        <v>48</v>
      </c>
      <c r="B53" s="62" t="s">
        <v>421</v>
      </c>
      <c r="C53" s="62" t="s">
        <v>425</v>
      </c>
      <c r="D53" s="63">
        <v>16800000</v>
      </c>
      <c r="E53" s="63">
        <v>22830000</v>
      </c>
      <c r="F53" s="63">
        <v>21257000</v>
      </c>
      <c r="G53" s="64">
        <f>SUMIFS(SIM_Modele!$AH$4:$AH$855,SIM_Modele!$C$4:$C$855,$C53,SIM_Modele!$D$4:$D$855,2019)</f>
        <v>21937224</v>
      </c>
      <c r="H53" s="64">
        <f>SUMIFS(SIM_Modele!$AH$4:$AH$855,SIM_Modele!$C$4:$C$855,$C53,SIM_Modele!$D$4:$D$855,2020)</f>
        <v>22639215.168000013</v>
      </c>
      <c r="I53" s="64">
        <f>SUMIFS(SIM_Modele!$AH$4:$AH$855,SIM_Modele!$C$4:$C$855,$C53,SIM_Modele!$D$4:$D$855,2021)</f>
        <v>23363670.053376012</v>
      </c>
      <c r="J53" s="64">
        <f>SUMIFS(SIM_Modele!$AH$4:$AH$855,SIM_Modele!$C$4:$C$855,$C53,SIM_Modele!$D$4:$D$855,2022)</f>
        <v>24111307.495084032</v>
      </c>
      <c r="K53" s="64">
        <f>SUMIFS(SIM_Modele!$AH$4:$AH$855,SIM_Modele!$C$4:$C$855,$C53,SIM_Modele!$D$4:$D$855,2023)</f>
        <v>24882869.334926728</v>
      </c>
      <c r="L53" s="64">
        <f>SUMIFS(SIM_Modele!$AH$4:$AH$855,SIM_Modele!$C$4:$C$855,$C53,SIM_Modele!$D$4:$D$855,2024)</f>
        <v>25679121.153644383</v>
      </c>
      <c r="M53" s="64">
        <f>SUMIFS(SIM_Modele!$AH$4:$AH$855,SIM_Modele!$C$4:$C$855,$C53,SIM_Modele!$D$4:$D$855,2025)</f>
        <v>26500853.030561015</v>
      </c>
      <c r="N53" s="64">
        <f>SUMIFS(SIM_Modele!$AH$4:$AH$855,SIM_Modele!$C$4:$C$855,$C53,SIM_Modele!$D$4:$D$855,2026)</f>
        <v>25547945.030798797</v>
      </c>
      <c r="O53" s="64">
        <f>SUMIFS(SIM_Modele!$AH$4:$AH$855,SIM_Modele!$C$4:$C$855,$C53,SIM_Modele!$D$4:$D$855,2027)</f>
        <v>24598999.806816276</v>
      </c>
      <c r="P53" s="64">
        <f>SUMIFS(SIM_Modele!$AH$4:$AH$1068,SIM_Modele!$C$4:$C$1068,$C53,SIM_Modele!$D$4:$D$1068,2028)</f>
        <v>16640004.10602304</v>
      </c>
      <c r="Q53" s="64">
        <f>SUMIFS(SIM_Modele!$AH$4:$AH$1068,SIM_Modele!$C$4:$C$1068,$C53,SIM_Modele!$D$4:$D$1068,2029)</f>
        <v>17172484.237415776</v>
      </c>
      <c r="R53" s="64">
        <f>SUMIFS(SIM_Modele!$AH$4:$AH$1068,SIM_Modele!$C$4:$C$1068,$C53,SIM_Modele!$D$4:$D$1068,2030)</f>
        <v>17722003.733013082</v>
      </c>
      <c r="S53" s="65">
        <f t="shared" si="5"/>
        <v>-3534996.2669869177</v>
      </c>
      <c r="T53" s="66">
        <f t="shared" si="6"/>
        <v>-0.16629798499256329</v>
      </c>
      <c r="U53" s="67">
        <f t="shared" si="7"/>
        <v>331682697.14965916</v>
      </c>
      <c r="V53" s="62" t="s">
        <v>380</v>
      </c>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68" t="str">
        <f t="shared" si="0"/>
        <v/>
      </c>
      <c r="AY53" s="68">
        <f t="shared" si="1"/>
        <v>100</v>
      </c>
    </row>
    <row r="54" spans="1:51" ht="25.5" customHeight="1" x14ac:dyDescent="0.25">
      <c r="A54" s="55" t="s">
        <v>48</v>
      </c>
      <c r="B54" s="55" t="s">
        <v>421</v>
      </c>
      <c r="C54" s="55" t="s">
        <v>426</v>
      </c>
      <c r="D54" s="56">
        <v>17400000</v>
      </c>
      <c r="E54" s="56">
        <v>17627000</v>
      </c>
      <c r="F54" s="56">
        <v>16528000</v>
      </c>
      <c r="G54" s="57">
        <f>SUMIFS(SIM_Modele!$AH$4:$AH$855,SIM_Modele!$C$4:$C$855,$C54,SIM_Modele!$D$4:$D$855,2019)</f>
        <v>17056896</v>
      </c>
      <c r="H54" s="57">
        <f>SUMIFS(SIM_Modele!$AH$4:$AH$855,SIM_Modele!$C$4:$C$855,$C54,SIM_Modele!$D$4:$D$855,2020)</f>
        <v>17602716.672000006</v>
      </c>
      <c r="I54" s="57">
        <f>SUMIFS(SIM_Modele!$AH$4:$AH$855,SIM_Modele!$C$4:$C$855,$C54,SIM_Modele!$D$4:$D$855,2021)</f>
        <v>18166003.605504002</v>
      </c>
      <c r="J54" s="57">
        <f>SUMIFS(SIM_Modele!$AH$4:$AH$855,SIM_Modele!$C$4:$C$855,$C54,SIM_Modele!$D$4:$D$855,2022)</f>
        <v>18747315.720880121</v>
      </c>
      <c r="K54" s="57">
        <f>SUMIFS(SIM_Modele!$AH$4:$AH$855,SIM_Modele!$C$4:$C$855,$C54,SIM_Modele!$D$4:$D$855,2023)</f>
        <v>19347229.82394829</v>
      </c>
      <c r="L54" s="57">
        <f>SUMIFS(SIM_Modele!$AH$4:$AH$855,SIM_Modele!$C$4:$C$855,$C54,SIM_Modele!$D$4:$D$855,2024)</f>
        <v>19966341.178314634</v>
      </c>
      <c r="M54" s="57">
        <f>SUMIFS(SIM_Modele!$AH$4:$AH$855,SIM_Modele!$C$4:$C$855,$C54,SIM_Modele!$D$4:$D$855,2025)</f>
        <v>20605264.09602071</v>
      </c>
      <c r="N54" s="57">
        <f>SUMIFS(SIM_Modele!$AH$4:$AH$855,SIM_Modele!$C$4:$C$855,$C54,SIM_Modele!$D$4:$D$855,2026)</f>
        <v>21095580.504052497</v>
      </c>
      <c r="O54" s="57">
        <f>SUMIFS(SIM_Modele!$AH$4:$AH$855,SIM_Modele!$C$4:$C$855,$C54,SIM_Modele!$D$4:$D$855,2027)</f>
        <v>21523775.634766102</v>
      </c>
      <c r="P54" s="57">
        <f>SUMIFS(SIM_Modele!$AH$4:$AH$1068,SIM_Modele!$C$4:$C$1068,$C54,SIM_Modele!$D$4:$D$1068,2028)</f>
        <v>21868974.163155492</v>
      </c>
      <c r="Q54" s="57">
        <f>SUMIFS(SIM_Modele!$AH$4:$AH$1068,SIM_Modele!$C$4:$C$1068,$C54,SIM_Modele!$D$4:$D$1068,2029)</f>
        <v>22568781.336376462</v>
      </c>
      <c r="R54" s="64">
        <f>SUMIFS(SIM_Modele!$AH$4:$AH$1068,SIM_Modele!$C$4:$C$1068,$C54,SIM_Modele!$D$4:$D$1068,2030)</f>
        <v>23290982.339140512</v>
      </c>
      <c r="S54" s="58">
        <f t="shared" si="5"/>
        <v>6762982.339140512</v>
      </c>
      <c r="T54" s="59">
        <f t="shared" si="6"/>
        <v>0.40918334578536497</v>
      </c>
      <c r="U54" s="60">
        <f t="shared" si="7"/>
        <v>293394861.07415885</v>
      </c>
      <c r="V54" s="55" t="s">
        <v>380</v>
      </c>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61" t="str">
        <f t="shared" si="0"/>
        <v/>
      </c>
      <c r="AY54" s="61">
        <f t="shared" si="1"/>
        <v>100</v>
      </c>
    </row>
    <row r="55" spans="1:51" ht="25.5" customHeight="1" x14ac:dyDescent="0.25">
      <c r="A55" s="62" t="s">
        <v>48</v>
      </c>
      <c r="B55" s="62" t="s">
        <v>421</v>
      </c>
      <c r="C55" s="62" t="s">
        <v>427</v>
      </c>
      <c r="D55" s="63">
        <v>15700000</v>
      </c>
      <c r="E55" s="63">
        <v>15330000</v>
      </c>
      <c r="F55" s="63">
        <v>14662000</v>
      </c>
      <c r="G55" s="64">
        <f>SUMIFS(SIM_Modele!$AH$4:$AH$855,SIM_Modele!$C$4:$C$855,$C55,SIM_Modele!$D$4:$D$855,2019)</f>
        <v>15131184</v>
      </c>
      <c r="H55" s="64">
        <f>SUMIFS(SIM_Modele!$AH$4:$AH$855,SIM_Modele!$C$4:$C$855,$C55,SIM_Modele!$D$4:$D$855,2020)</f>
        <v>15615381.888000008</v>
      </c>
      <c r="I55" s="64">
        <f>SUMIFS(SIM_Modele!$AH$4:$AH$855,SIM_Modele!$C$4:$C$855,$C55,SIM_Modele!$D$4:$D$855,2021)</f>
        <v>16115074.108416006</v>
      </c>
      <c r="J55" s="64">
        <f>SUMIFS(SIM_Modele!$AH$4:$AH$855,SIM_Modele!$C$4:$C$855,$C55,SIM_Modele!$D$4:$D$855,2022)</f>
        <v>16630756.479885308</v>
      </c>
      <c r="K55" s="64">
        <f>SUMIFS(SIM_Modele!$AH$4:$AH$855,SIM_Modele!$C$4:$C$855,$C55,SIM_Modele!$D$4:$D$855,2023)</f>
        <v>17162940.687241644</v>
      </c>
      <c r="L55" s="64">
        <f>SUMIFS(SIM_Modele!$AH$4:$AH$855,SIM_Modele!$C$4:$C$855,$C55,SIM_Modele!$D$4:$D$855,2024)</f>
        <v>17712154.789233375</v>
      </c>
      <c r="M55" s="64">
        <f>SUMIFS(SIM_Modele!$AH$4:$AH$855,SIM_Modele!$C$4:$C$855,$C55,SIM_Modele!$D$4:$D$855,2025)</f>
        <v>18278943.742488854</v>
      </c>
      <c r="N55" s="64">
        <f>SUMIFS(SIM_Modele!$AH$4:$AH$855,SIM_Modele!$C$4:$C$855,$C55,SIM_Modele!$D$4:$D$855,2026)</f>
        <v>17621676.155693274</v>
      </c>
      <c r="O55" s="64">
        <f>SUMIFS(SIM_Modele!$AH$4:$AH$855,SIM_Modele!$C$4:$C$855,$C55,SIM_Modele!$D$4:$D$855,2027)</f>
        <v>16967141.89055559</v>
      </c>
      <c r="P55" s="64">
        <f>SUMIFS(SIM_Modele!$AH$4:$AH$1068,SIM_Modele!$C$4:$C$1068,$C55,SIM_Modele!$D$4:$D$1068,2028)</f>
        <v>16313404.438315371</v>
      </c>
      <c r="Q55" s="64">
        <f>SUMIFS(SIM_Modele!$AH$4:$AH$1068,SIM_Modele!$C$4:$C$1068,$C55,SIM_Modele!$D$4:$D$1068,2029)</f>
        <v>16835433.380341463</v>
      </c>
      <c r="R55" s="64">
        <f>SUMIFS(SIM_Modele!$AH$4:$AH$1068,SIM_Modele!$C$4:$C$1068,$C55,SIM_Modele!$D$4:$D$1068,2030)</f>
        <v>17374167.248512391</v>
      </c>
      <c r="S55" s="65">
        <f t="shared" si="5"/>
        <v>2712167.248512391</v>
      </c>
      <c r="T55" s="66">
        <f t="shared" si="6"/>
        <v>0.18497935128307127</v>
      </c>
      <c r="U55" s="67">
        <f t="shared" si="7"/>
        <v>247450258.80868328</v>
      </c>
      <c r="V55" s="62" t="s">
        <v>380</v>
      </c>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68" t="str">
        <f t="shared" si="0"/>
        <v/>
      </c>
      <c r="AY55" s="68">
        <f t="shared" si="1"/>
        <v>100</v>
      </c>
    </row>
    <row r="56" spans="1:51" ht="25.5" customHeight="1" x14ac:dyDescent="0.25">
      <c r="A56" s="55" t="s">
        <v>48</v>
      </c>
      <c r="B56" s="55" t="s">
        <v>421</v>
      </c>
      <c r="C56" s="55" t="s">
        <v>428</v>
      </c>
      <c r="D56" s="56">
        <v>16950000</v>
      </c>
      <c r="E56" s="56">
        <v>17100000</v>
      </c>
      <c r="F56" s="56">
        <v>16315000</v>
      </c>
      <c r="G56" s="57">
        <f>SUMIFS(SIM_Modele!$AH$4:$AH$855,SIM_Modele!$C$4:$C$855,$C56,SIM_Modele!$D$4:$D$855,2019)</f>
        <v>16837080</v>
      </c>
      <c r="H56" s="57">
        <f>SUMIFS(SIM_Modele!$AH$4:$AH$855,SIM_Modele!$C$4:$C$855,$C56,SIM_Modele!$D$4:$D$855,2020)</f>
        <v>17375866.560000006</v>
      </c>
      <c r="I56" s="57">
        <f>SUMIFS(SIM_Modele!$AH$4:$AH$855,SIM_Modele!$C$4:$C$855,$C56,SIM_Modele!$D$4:$D$855,2021)</f>
        <v>17931894.289920002</v>
      </c>
      <c r="J56" s="57">
        <f>SUMIFS(SIM_Modele!$AH$4:$AH$855,SIM_Modele!$C$4:$C$855,$C56,SIM_Modele!$D$4:$D$855,2022)</f>
        <v>18505714.907197431</v>
      </c>
      <c r="K56" s="57">
        <f>SUMIFS(SIM_Modele!$AH$4:$AH$855,SIM_Modele!$C$4:$C$855,$C56,SIM_Modele!$D$4:$D$855,2023)</f>
        <v>19097897.784227755</v>
      </c>
      <c r="L56" s="57">
        <f>SUMIFS(SIM_Modele!$AH$4:$AH$855,SIM_Modele!$C$4:$C$855,$C56,SIM_Modele!$D$4:$D$855,2024)</f>
        <v>19709030.513323043</v>
      </c>
      <c r="M56" s="57">
        <f>SUMIFS(SIM_Modele!$AH$4:$AH$855,SIM_Modele!$C$4:$C$855,$C56,SIM_Modele!$D$4:$D$855,2025)</f>
        <v>20339719.489749387</v>
      </c>
      <c r="N56" s="57">
        <f>SUMIFS(SIM_Modele!$AH$4:$AH$855,SIM_Modele!$C$4:$C$855,$C56,SIM_Modele!$D$4:$D$855,2026)</f>
        <v>19608351.280871347</v>
      </c>
      <c r="O56" s="57">
        <f>SUMIFS(SIM_Modele!$AH$4:$AH$855,SIM_Modele!$C$4:$C$855,$C56,SIM_Modele!$D$4:$D$855,2027)</f>
        <v>18880024.549475815</v>
      </c>
      <c r="P56" s="57">
        <f>SUMIFS(SIM_Modele!$AH$4:$AH$1068,SIM_Modele!$C$4:$C$1068,$C56,SIM_Modele!$D$4:$D$1068,2028)</f>
        <v>18576563.334855646</v>
      </c>
      <c r="Q56" s="57">
        <f>SUMIFS(SIM_Modele!$AH$4:$AH$1068,SIM_Modele!$C$4:$C$1068,$C56,SIM_Modele!$D$4:$D$1068,2029)</f>
        <v>19171013.361571025</v>
      </c>
      <c r="R56" s="64">
        <f>SUMIFS(SIM_Modele!$AH$4:$AH$1068,SIM_Modele!$C$4:$C$1068,$C56,SIM_Modele!$D$4:$D$1068,2030)</f>
        <v>19784485.789141301</v>
      </c>
      <c r="S56" s="58">
        <f t="shared" si="5"/>
        <v>3469485.7891413011</v>
      </c>
      <c r="T56" s="59">
        <f t="shared" si="6"/>
        <v>0.21265619302122593</v>
      </c>
      <c r="U56" s="60">
        <f t="shared" si="7"/>
        <v>276182641.86033273</v>
      </c>
      <c r="V56" s="55" t="s">
        <v>380</v>
      </c>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61" t="str">
        <f t="shared" si="0"/>
        <v/>
      </c>
      <c r="AY56" s="61">
        <f t="shared" si="1"/>
        <v>100</v>
      </c>
    </row>
    <row r="57" spans="1:51" ht="25.5" customHeight="1" x14ac:dyDescent="0.25">
      <c r="A57" s="62" t="s">
        <v>48</v>
      </c>
      <c r="B57" s="62" t="s">
        <v>421</v>
      </c>
      <c r="C57" s="62" t="s">
        <v>421</v>
      </c>
      <c r="D57" s="63">
        <v>20200000</v>
      </c>
      <c r="E57" s="63">
        <v>20000000</v>
      </c>
      <c r="F57" s="63">
        <v>19275000</v>
      </c>
      <c r="G57" s="64">
        <f>SUMIFS(SIM_Modele!$AH$4:$AH$855,SIM_Modele!$C$4:$C$855,$C57,SIM_Modele!$D$4:$D$855,2019)</f>
        <v>19891800.000000004</v>
      </c>
      <c r="H57" s="64">
        <f>SUMIFS(SIM_Modele!$AH$4:$AH$855,SIM_Modele!$C$4:$C$855,$C57,SIM_Modele!$D$4:$D$855,2020)</f>
        <v>20528337.600000009</v>
      </c>
      <c r="I57" s="64">
        <f>SUMIFS(SIM_Modele!$AH$4:$AH$855,SIM_Modele!$C$4:$C$855,$C57,SIM_Modele!$D$4:$D$855,2021)</f>
        <v>21185244.403200008</v>
      </c>
      <c r="J57" s="64">
        <f>SUMIFS(SIM_Modele!$AH$4:$AH$855,SIM_Modele!$C$4:$C$855,$C57,SIM_Modele!$D$4:$D$855,2022)</f>
        <v>21863172.224102397</v>
      </c>
      <c r="K57" s="64">
        <f>SUMIFS(SIM_Modele!$AH$4:$AH$855,SIM_Modele!$C$4:$C$855,$C57,SIM_Modele!$D$4:$D$855,2023)</f>
        <v>22562793.735273678</v>
      </c>
      <c r="L57" s="64">
        <f>SUMIFS(SIM_Modele!$AH$4:$AH$855,SIM_Modele!$C$4:$C$855,$C57,SIM_Modele!$D$4:$D$855,2024)</f>
        <v>23284803.134802438</v>
      </c>
      <c r="M57" s="64">
        <f>SUMIFS(SIM_Modele!$AH$4:$AH$855,SIM_Modele!$C$4:$C$855,$C57,SIM_Modele!$D$4:$D$855,2025)</f>
        <v>24029916.835116122</v>
      </c>
      <c r="N57" s="64">
        <f>SUMIFS(SIM_Modele!$AH$4:$AH$855,SIM_Modele!$C$4:$C$855,$C57,SIM_Modele!$D$4:$D$855,2026)</f>
        <v>23165857.857112795</v>
      </c>
      <c r="O57" s="64">
        <f>SUMIFS(SIM_Modele!$AH$4:$AH$855,SIM_Modele!$C$4:$C$855,$C57,SIM_Modele!$D$4:$D$855,2027)</f>
        <v>22305392.166175079</v>
      </c>
      <c r="P57" s="64">
        <f>SUMIFS(SIM_Modele!$AH$4:$AH$1068,SIM_Modele!$C$4:$C$1068,$C57,SIM_Modele!$D$4:$D$1068,2028)</f>
        <v>21010837.229694687</v>
      </c>
      <c r="Q57" s="64">
        <f>SUMIFS(SIM_Modele!$AH$4:$AH$1068,SIM_Modele!$C$4:$C$1068,$C57,SIM_Modele!$D$4:$D$1068,2029)</f>
        <v>21683184.021044914</v>
      </c>
      <c r="R57" s="64">
        <f>SUMIFS(SIM_Modele!$AH$4:$AH$1068,SIM_Modele!$C$4:$C$1068,$C57,SIM_Modele!$D$4:$D$1068,2030)</f>
        <v>22377045.909718357</v>
      </c>
      <c r="S57" s="65">
        <f t="shared" si="5"/>
        <v>3102045.909718357</v>
      </c>
      <c r="T57" s="66">
        <f t="shared" si="6"/>
        <v>0.16093623396722995</v>
      </c>
      <c r="U57" s="67">
        <f t="shared" si="7"/>
        <v>323363385.11624044</v>
      </c>
      <c r="V57" s="62" t="s">
        <v>380</v>
      </c>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68" t="str">
        <f t="shared" si="0"/>
        <v/>
      </c>
      <c r="AY57" s="68">
        <f t="shared" si="1"/>
        <v>100</v>
      </c>
    </row>
    <row r="58" spans="1:51" ht="25.5" customHeight="1" x14ac:dyDescent="0.25">
      <c r="A58" s="55" t="s">
        <v>48</v>
      </c>
      <c r="B58" s="55" t="s">
        <v>421</v>
      </c>
      <c r="C58" s="55" t="s">
        <v>429</v>
      </c>
      <c r="D58" s="56">
        <v>16600000</v>
      </c>
      <c r="E58" s="56">
        <v>16150000</v>
      </c>
      <c r="F58" s="56">
        <v>15386000</v>
      </c>
      <c r="G58" s="57">
        <f>SUMIFS(SIM_Modele!$AH$4:$AH$855,SIM_Modele!$C$4:$C$855,$C58,SIM_Modele!$D$4:$D$855,2019)</f>
        <v>15878352</v>
      </c>
      <c r="H58" s="57">
        <f>SUMIFS(SIM_Modele!$AH$4:$AH$855,SIM_Modele!$C$4:$C$855,$C58,SIM_Modele!$D$4:$D$855,2020)</f>
        <v>16386459.264000008</v>
      </c>
      <c r="I58" s="57">
        <f>SUMIFS(SIM_Modele!$AH$4:$AH$855,SIM_Modele!$C$4:$C$855,$C58,SIM_Modele!$D$4:$D$855,2021)</f>
        <v>16910825.960448004</v>
      </c>
      <c r="J58" s="57">
        <f>SUMIFS(SIM_Modele!$AH$4:$AH$855,SIM_Modele!$C$4:$C$855,$C58,SIM_Modele!$D$4:$D$855,2022)</f>
        <v>17451972.39118233</v>
      </c>
      <c r="K58" s="57">
        <f>SUMIFS(SIM_Modele!$AH$4:$AH$855,SIM_Modele!$C$4:$C$855,$C58,SIM_Modele!$D$4:$D$855,2023)</f>
        <v>18010435.507700168</v>
      </c>
      <c r="L58" s="57">
        <f>SUMIFS(SIM_Modele!$AH$4:$AH$855,SIM_Modele!$C$4:$C$855,$C58,SIM_Modele!$D$4:$D$855,2024)</f>
        <v>18586769.44394657</v>
      </c>
      <c r="M58" s="57">
        <f>SUMIFS(SIM_Modele!$AH$4:$AH$855,SIM_Modele!$C$4:$C$855,$C58,SIM_Modele!$D$4:$D$855,2025)</f>
        <v>19181546.066152867</v>
      </c>
      <c r="N58" s="57">
        <f>SUMIFS(SIM_Modele!$AH$4:$AH$855,SIM_Modele!$C$4:$C$855,$C58,SIM_Modele!$D$4:$D$855,2026)</f>
        <v>18491823.034476645</v>
      </c>
      <c r="O58" s="57">
        <f>SUMIFS(SIM_Modele!$AH$4:$AH$855,SIM_Modele!$C$4:$C$855,$C58,SIM_Modele!$D$4:$D$855,2027)</f>
        <v>17804968.294099592</v>
      </c>
      <c r="P58" s="57">
        <f>SUMIFS(SIM_Modele!$AH$4:$AH$1068,SIM_Modele!$C$4:$C$1068,$C58,SIM_Modele!$D$4:$D$1068,2028)</f>
        <v>15994055.555416491</v>
      </c>
      <c r="Q58" s="57">
        <f>SUMIFS(SIM_Modele!$AH$4:$AH$1068,SIM_Modele!$C$4:$C$1068,$C58,SIM_Modele!$D$4:$D$1068,2029)</f>
        <v>16505865.333189819</v>
      </c>
      <c r="R58" s="64">
        <f>SUMIFS(SIM_Modele!$AH$4:$AH$1068,SIM_Modele!$C$4:$C$1068,$C58,SIM_Modele!$D$4:$D$1068,2030)</f>
        <v>17034053.023851894</v>
      </c>
      <c r="S58" s="58">
        <f t="shared" si="5"/>
        <v>1648053.0238518938</v>
      </c>
      <c r="T58" s="59">
        <f t="shared" si="6"/>
        <v>0.1071138063078054</v>
      </c>
      <c r="U58" s="60">
        <f t="shared" si="7"/>
        <v>256373125.87446442</v>
      </c>
      <c r="V58" s="55" t="s">
        <v>380</v>
      </c>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61" t="str">
        <f t="shared" si="0"/>
        <v/>
      </c>
      <c r="AY58" s="61">
        <f t="shared" si="1"/>
        <v>100</v>
      </c>
    </row>
    <row r="59" spans="1:51" ht="25.5" customHeight="1" x14ac:dyDescent="0.25">
      <c r="A59" s="62" t="s">
        <v>343</v>
      </c>
      <c r="B59" s="62" t="s">
        <v>430</v>
      </c>
      <c r="C59" s="62" t="s">
        <v>431</v>
      </c>
      <c r="D59" s="63">
        <v>22650000</v>
      </c>
      <c r="E59" s="63">
        <v>21668000</v>
      </c>
      <c r="F59" s="63">
        <v>20906000</v>
      </c>
      <c r="G59" s="64">
        <f>$F59*(1+SIM_Parametres!$B$5)^(2019-2018)</f>
        <v>21574992</v>
      </c>
      <c r="H59" s="64">
        <f>$F59*(1+SIM_Parametres!$B$5)^(2020-2018)</f>
        <v>22265391.743999999</v>
      </c>
      <c r="I59" s="64">
        <f>$F59*(1+SIM_Parametres!$B$5)^(2021-2018)</f>
        <v>22977884.279808</v>
      </c>
      <c r="J59" s="64">
        <f>$F59*(1+SIM_Parametres!$B$5)^(2022-2018)</f>
        <v>23713176.576761853</v>
      </c>
      <c r="K59" s="64">
        <f>$F59*(1+SIM_Parametres!$B$5)^(2023-2018)</f>
        <v>24471998.227218237</v>
      </c>
      <c r="L59" s="64">
        <f>$F59*(1+SIM_Parametres!$B$5)^(2024-2018)</f>
        <v>25255102.170489214</v>
      </c>
      <c r="M59" s="64">
        <f>$F59*(1+SIM_Parametres!$B$5)^(2025-2018)</f>
        <v>26063265.439944867</v>
      </c>
      <c r="N59" s="64">
        <f>$F59*(1+SIM_Parametres!$B$5)^(2026-2018)</f>
        <v>26897289.934023108</v>
      </c>
      <c r="O59" s="64">
        <f>$F59*(1+SIM_Parametres!$B$5)^(2027-2018)</f>
        <v>27758003.21191185</v>
      </c>
      <c r="P59" s="64">
        <f>$F59*(1+SIM_Parametres!$B$5)^(2028-2018)</f>
        <v>28646259.314693026</v>
      </c>
      <c r="Q59" s="64">
        <f>$F59*(1+SIM_Parametres!$B$5)^(2029-2018)</f>
        <v>29562939.6127632</v>
      </c>
      <c r="R59" s="64">
        <f>$F59*(1+SIM_Parametres!$B$5)^(2030-2018)</f>
        <v>30508953.680371623</v>
      </c>
      <c r="S59" s="65">
        <f t="shared" si="5"/>
        <v>9602953.6803716235</v>
      </c>
      <c r="T59" s="66">
        <f t="shared" si="6"/>
        <v>0.45933960013257552</v>
      </c>
      <c r="U59" s="67">
        <f t="shared" si="7"/>
        <v>374919256.19198501</v>
      </c>
      <c r="V59" s="62" t="s">
        <v>378</v>
      </c>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68" t="str">
        <f t="shared" si="0"/>
        <v/>
      </c>
      <c r="AY59" s="68">
        <f t="shared" si="1"/>
        <v>100</v>
      </c>
    </row>
    <row r="60" spans="1:51" ht="25.5" customHeight="1" x14ac:dyDescent="0.25">
      <c r="A60" s="55" t="s">
        <v>48</v>
      </c>
      <c r="B60" s="55" t="s">
        <v>430</v>
      </c>
      <c r="C60" s="55" t="s">
        <v>432</v>
      </c>
      <c r="D60" s="56">
        <v>20400000</v>
      </c>
      <c r="E60" s="56">
        <v>20365000</v>
      </c>
      <c r="F60" s="56">
        <v>19476000</v>
      </c>
      <c r="G60" s="57">
        <f>SUMIFS(SIM_Modele!$AH$4:$AH$855,SIM_Modele!$C$4:$C$855,$C60,SIM_Modele!$D$4:$D$855,2019)</f>
        <v>20099232</v>
      </c>
      <c r="H60" s="57">
        <f>SUMIFS(SIM_Modele!$AH$4:$AH$855,SIM_Modele!$C$4:$C$855,$C60,SIM_Modele!$D$4:$D$855,2020)</f>
        <v>20742407.424000006</v>
      </c>
      <c r="I60" s="57">
        <f>SUMIFS(SIM_Modele!$AH$4:$AH$855,SIM_Modele!$C$4:$C$855,$C60,SIM_Modele!$D$4:$D$855,2021)</f>
        <v>21406164.461568005</v>
      </c>
      <c r="J60" s="57">
        <f>SUMIFS(SIM_Modele!$AH$4:$AH$855,SIM_Modele!$C$4:$C$855,$C60,SIM_Modele!$D$4:$D$855,2022)</f>
        <v>22091161.724338174</v>
      </c>
      <c r="K60" s="57">
        <f>SUMIFS(SIM_Modele!$AH$4:$AH$855,SIM_Modele!$C$4:$C$855,$C60,SIM_Modele!$D$4:$D$855,2023)</f>
        <v>22798078.899517003</v>
      </c>
      <c r="L60" s="57">
        <f>SUMIFS(SIM_Modele!$AH$4:$AH$855,SIM_Modele!$C$4:$C$855,$C60,SIM_Modele!$D$4:$D$855,2024)</f>
        <v>23527617.424301546</v>
      </c>
      <c r="M60" s="57">
        <f>SUMIFS(SIM_Modele!$AH$4:$AH$855,SIM_Modele!$C$4:$C$855,$C60,SIM_Modele!$D$4:$D$855,2025)</f>
        <v>24280501.181879204</v>
      </c>
      <c r="N60" s="57">
        <f>SUMIFS(SIM_Modele!$AH$4:$AH$855,SIM_Modele!$C$4:$C$855,$C60,SIM_Modele!$D$4:$D$855,2026)</f>
        <v>26212721.783643551</v>
      </c>
      <c r="O60" s="57">
        <f>SUMIFS(SIM_Modele!$AH$4:$AH$855,SIM_Modele!$C$4:$C$855,$C60,SIM_Modele!$D$4:$D$855,2027)</f>
        <v>27900013.616836939</v>
      </c>
      <c r="P60" s="57">
        <f>SUMIFS(SIM_Modele!$AH$4:$AH$1068,SIM_Modele!$C$4:$C$1068,$C60,SIM_Modele!$D$4:$D$1068,2028)</f>
        <v>28872514.322200164</v>
      </c>
      <c r="Q60" s="57">
        <f>SUMIFS(SIM_Modele!$AH$4:$AH$1068,SIM_Modele!$C$4:$C$1068,$C60,SIM_Modele!$D$4:$D$1068,2029)</f>
        <v>29796434.780510563</v>
      </c>
      <c r="R60" s="64">
        <f>SUMIFS(SIM_Modele!$AH$4:$AH$1068,SIM_Modele!$C$4:$C$1068,$C60,SIM_Modele!$D$4:$D$1068,2030)</f>
        <v>30749920.69348691</v>
      </c>
      <c r="S60" s="58">
        <f t="shared" si="5"/>
        <v>11273920.69348691</v>
      </c>
      <c r="T60" s="59">
        <f t="shared" si="6"/>
        <v>0.5788622249685208</v>
      </c>
      <c r="U60" s="60">
        <f t="shared" si="7"/>
        <v>358717768.31228209</v>
      </c>
      <c r="V60" s="55" t="s">
        <v>380</v>
      </c>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61" t="str">
        <f t="shared" si="0"/>
        <v/>
      </c>
      <c r="AY60" s="61">
        <f t="shared" si="1"/>
        <v>100</v>
      </c>
    </row>
    <row r="61" spans="1:51" ht="25.5" customHeight="1" x14ac:dyDescent="0.25">
      <c r="A61" s="62" t="s">
        <v>48</v>
      </c>
      <c r="B61" s="62" t="s">
        <v>430</v>
      </c>
      <c r="C61" s="62" t="s">
        <v>430</v>
      </c>
      <c r="D61" s="63">
        <v>18500000</v>
      </c>
      <c r="E61" s="63">
        <v>18381000</v>
      </c>
      <c r="F61" s="63">
        <v>17210000</v>
      </c>
      <c r="G61" s="64">
        <f>SUMIFS(SIM_Modele!$AH$4:$AH$855,SIM_Modele!$C$4:$C$855,$C61,SIM_Modele!$D$4:$D$855,2019)</f>
        <v>17760720</v>
      </c>
      <c r="H61" s="64">
        <f>SUMIFS(SIM_Modele!$AH$4:$AH$855,SIM_Modele!$C$4:$C$855,$C61,SIM_Modele!$D$4:$D$855,2020)</f>
        <v>18329063.040000007</v>
      </c>
      <c r="I61" s="64">
        <f>SUMIFS(SIM_Modele!$AH$4:$AH$855,SIM_Modele!$C$4:$C$855,$C61,SIM_Modele!$D$4:$D$855,2021)</f>
        <v>18915593.057280004</v>
      </c>
      <c r="J61" s="64">
        <f>SUMIFS(SIM_Modele!$AH$4:$AH$855,SIM_Modele!$C$4:$C$855,$C61,SIM_Modele!$D$4:$D$855,2022)</f>
        <v>19520892.035112955</v>
      </c>
      <c r="K61" s="64">
        <f>SUMIFS(SIM_Modele!$AH$4:$AH$855,SIM_Modele!$C$4:$C$855,$C61,SIM_Modele!$D$4:$D$855,2023)</f>
        <v>20145560.580236573</v>
      </c>
      <c r="L61" s="64">
        <f>SUMIFS(SIM_Modele!$AH$4:$AH$855,SIM_Modele!$C$4:$C$855,$C61,SIM_Modele!$D$4:$D$855,2024)</f>
        <v>20790218.518804144</v>
      </c>
      <c r="M61" s="64">
        <f>SUMIFS(SIM_Modele!$AH$4:$AH$855,SIM_Modele!$C$4:$C$855,$C61,SIM_Modele!$D$4:$D$855,2025)</f>
        <v>21455505.511405885</v>
      </c>
      <c r="N61" s="64">
        <f>SUMIFS(SIM_Modele!$AH$4:$AH$855,SIM_Modele!$C$4:$C$855,$C61,SIM_Modele!$D$4:$D$855,2026)</f>
        <v>23253933.410628133</v>
      </c>
      <c r="O61" s="64">
        <f>SUMIFS(SIM_Modele!$AH$4:$AH$855,SIM_Modele!$C$4:$C$855,$C61,SIM_Modele!$D$4:$D$855,2027)</f>
        <v>24824389.655099221</v>
      </c>
      <c r="P61" s="64">
        <f>SUMIFS(SIM_Modele!$AH$4:$AH$1068,SIM_Modele!$C$4:$C$1068,$C61,SIM_Modele!$D$4:$D$1068,2028)</f>
        <v>25721758.220432129</v>
      </c>
      <c r="Q61" s="64">
        <f>SUMIFS(SIM_Modele!$AH$4:$AH$1068,SIM_Modele!$C$4:$C$1068,$C61,SIM_Modele!$D$4:$D$1068,2029)</f>
        <v>26544854.483485952</v>
      </c>
      <c r="R61" s="64">
        <f>SUMIFS(SIM_Modele!$AH$4:$AH$1068,SIM_Modele!$C$4:$C$1068,$C61,SIM_Modele!$D$4:$D$1068,2030)</f>
        <v>27394289.826957516</v>
      </c>
      <c r="S61" s="65">
        <f t="shared" si="5"/>
        <v>10184289.826957516</v>
      </c>
      <c r="T61" s="66">
        <f t="shared" si="6"/>
        <v>0.59176582376278419</v>
      </c>
      <c r="U61" s="67">
        <f t="shared" si="7"/>
        <v>318747778.33944255</v>
      </c>
      <c r="V61" s="62" t="s">
        <v>380</v>
      </c>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68" t="str">
        <f t="shared" si="0"/>
        <v/>
      </c>
      <c r="AY61" s="68">
        <f t="shared" si="1"/>
        <v>100</v>
      </c>
    </row>
    <row r="62" spans="1:51" ht="25.5" customHeight="1" x14ac:dyDescent="0.25">
      <c r="A62" s="55" t="s">
        <v>48</v>
      </c>
      <c r="B62" s="55" t="s">
        <v>430</v>
      </c>
      <c r="C62" s="55" t="s">
        <v>433</v>
      </c>
      <c r="D62" s="56">
        <v>17080000</v>
      </c>
      <c r="E62" s="56">
        <v>16585000</v>
      </c>
      <c r="F62" s="56">
        <v>16157000</v>
      </c>
      <c r="G62" s="57">
        <f>SUMIFS(SIM_Modele!$AH$4:$AH$855,SIM_Modele!$C$4:$C$855,$C62,SIM_Modele!$D$4:$D$855,2019)</f>
        <v>16674024.000000002</v>
      </c>
      <c r="H62" s="57">
        <f>SUMIFS(SIM_Modele!$AH$4:$AH$855,SIM_Modele!$C$4:$C$855,$C62,SIM_Modele!$D$4:$D$855,2020)</f>
        <v>17207592.768000007</v>
      </c>
      <c r="I62" s="57">
        <f>SUMIFS(SIM_Modele!$AH$4:$AH$855,SIM_Modele!$C$4:$C$855,$C62,SIM_Modele!$D$4:$D$855,2021)</f>
        <v>17758235.736576002</v>
      </c>
      <c r="J62" s="57">
        <f>SUMIFS(SIM_Modele!$AH$4:$AH$855,SIM_Modele!$C$4:$C$855,$C62,SIM_Modele!$D$4:$D$855,2022)</f>
        <v>18326499.280146424</v>
      </c>
      <c r="K62" s="57">
        <f>SUMIFS(SIM_Modele!$AH$4:$AH$855,SIM_Modele!$C$4:$C$855,$C62,SIM_Modele!$D$4:$D$855,2023)</f>
        <v>18912947.257111114</v>
      </c>
      <c r="L62" s="57">
        <f>SUMIFS(SIM_Modele!$AH$4:$AH$855,SIM_Modele!$C$4:$C$855,$C62,SIM_Modele!$D$4:$D$855,2024)</f>
        <v>19518161.569338668</v>
      </c>
      <c r="M62" s="57">
        <f>SUMIFS(SIM_Modele!$AH$4:$AH$855,SIM_Modele!$C$4:$C$855,$C62,SIM_Modele!$D$4:$D$855,2025)</f>
        <v>20142742.739557512</v>
      </c>
      <c r="N62" s="57">
        <f>SUMIFS(SIM_Modele!$AH$4:$AH$855,SIM_Modele!$C$4:$C$855,$C62,SIM_Modele!$D$4:$D$855,2026)</f>
        <v>19418457.348761156</v>
      </c>
      <c r="O62" s="57">
        <f>SUMIFS(SIM_Modele!$AH$4:$AH$855,SIM_Modele!$C$4:$C$855,$C62,SIM_Modele!$D$4:$D$855,2027)</f>
        <v>18697183.980746593</v>
      </c>
      <c r="P62" s="57">
        <f>SUMIFS(SIM_Modele!$AH$4:$AH$1068,SIM_Modele!$C$4:$C$1068,$C62,SIM_Modele!$D$4:$D$1068,2028)</f>
        <v>17246320.984718695</v>
      </c>
      <c r="Q62" s="57">
        <f>SUMIFS(SIM_Modele!$AH$4:$AH$1068,SIM_Modele!$C$4:$C$1068,$C62,SIM_Modele!$D$4:$D$1068,2029)</f>
        <v>17798203.256229691</v>
      </c>
      <c r="R62" s="64">
        <f>SUMIFS(SIM_Modele!$AH$4:$AH$1068,SIM_Modele!$C$4:$C$1068,$C62,SIM_Modele!$D$4:$D$1068,2030)</f>
        <v>18367745.760429047</v>
      </c>
      <c r="S62" s="58">
        <f t="shared" si="5"/>
        <v>2210745.760429047</v>
      </c>
      <c r="T62" s="59">
        <f t="shared" si="6"/>
        <v>0.13682897570273239</v>
      </c>
      <c r="U62" s="60">
        <f t="shared" si="7"/>
        <v>269890114.68161494</v>
      </c>
      <c r="V62" s="55" t="s">
        <v>380</v>
      </c>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61" t="str">
        <f t="shared" si="0"/>
        <v/>
      </c>
      <c r="AY62" s="61">
        <f t="shared" si="1"/>
        <v>100</v>
      </c>
    </row>
    <row r="63" spans="1:51" ht="25.5" customHeight="1" x14ac:dyDescent="0.25">
      <c r="A63" s="62" t="s">
        <v>48</v>
      </c>
      <c r="B63" s="62" t="s">
        <v>430</v>
      </c>
      <c r="C63" s="62" t="s">
        <v>434</v>
      </c>
      <c r="D63" s="63">
        <v>16600000</v>
      </c>
      <c r="E63" s="63">
        <v>16647000</v>
      </c>
      <c r="F63" s="63">
        <v>15391000</v>
      </c>
      <c r="G63" s="64">
        <f>SUMIFS(SIM_Modele!$AH$4:$AH$855,SIM_Modele!$C$4:$C$855,$C63,SIM_Modele!$D$4:$D$855,2019)</f>
        <v>15883512</v>
      </c>
      <c r="H63" s="64">
        <f>SUMIFS(SIM_Modele!$AH$4:$AH$855,SIM_Modele!$C$4:$C$855,$C63,SIM_Modele!$D$4:$D$855,2020)</f>
        <v>16391784.384000007</v>
      </c>
      <c r="I63" s="64">
        <f>SUMIFS(SIM_Modele!$AH$4:$AH$855,SIM_Modele!$C$4:$C$855,$C63,SIM_Modele!$D$4:$D$855,2021)</f>
        <v>16916321.484288007</v>
      </c>
      <c r="J63" s="64">
        <f>SUMIFS(SIM_Modele!$AH$4:$AH$855,SIM_Modele!$C$4:$C$855,$C63,SIM_Modele!$D$4:$D$855,2022)</f>
        <v>17457643.771785215</v>
      </c>
      <c r="K63" s="64">
        <f>SUMIFS(SIM_Modele!$AH$4:$AH$855,SIM_Modele!$C$4:$C$855,$C63,SIM_Modele!$D$4:$D$855,2023)</f>
        <v>18016288.372482345</v>
      </c>
      <c r="L63" s="64">
        <f>SUMIFS(SIM_Modele!$AH$4:$AH$855,SIM_Modele!$C$4:$C$855,$C63,SIM_Modele!$D$4:$D$855,2024)</f>
        <v>18592809.600401778</v>
      </c>
      <c r="M63" s="64">
        <f>SUMIFS(SIM_Modele!$AH$4:$AH$855,SIM_Modele!$C$4:$C$855,$C63,SIM_Modele!$D$4:$D$855,2025)</f>
        <v>19187779.507614642</v>
      </c>
      <c r="N63" s="64">
        <f>SUMIFS(SIM_Modele!$AH$4:$AH$855,SIM_Modele!$C$4:$C$855,$C63,SIM_Modele!$D$4:$D$855,2026)</f>
        <v>18739745.922738742</v>
      </c>
      <c r="O63" s="64">
        <f>SUMIFS(SIM_Modele!$AH$4:$AH$855,SIM_Modele!$C$4:$C$855,$C63,SIM_Modele!$D$4:$D$855,2027)</f>
        <v>18348559.060121261</v>
      </c>
      <c r="P63" s="64">
        <f>SUMIFS(SIM_Modele!$AH$4:$AH$1068,SIM_Modele!$C$4:$C$1068,$C63,SIM_Modele!$D$4:$D$1068,2028)</f>
        <v>18292165.717397686</v>
      </c>
      <c r="Q63" s="64">
        <f>SUMIFS(SIM_Modele!$AH$4:$AH$1068,SIM_Modele!$C$4:$C$1068,$C63,SIM_Modele!$D$4:$D$1068,2029)</f>
        <v>18877515.020354412</v>
      </c>
      <c r="R63" s="64">
        <f>SUMIFS(SIM_Modele!$AH$4:$AH$1068,SIM_Modele!$C$4:$C$1068,$C63,SIM_Modele!$D$4:$D$1068,2030)</f>
        <v>19481595.501005758</v>
      </c>
      <c r="S63" s="65">
        <f t="shared" si="5"/>
        <v>4090595.5010057576</v>
      </c>
      <c r="T63" s="66">
        <f t="shared" si="6"/>
        <v>0.2657784095254212</v>
      </c>
      <c r="U63" s="67">
        <f t="shared" si="7"/>
        <v>264823720.34218988</v>
      </c>
      <c r="V63" s="62" t="s">
        <v>380</v>
      </c>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68" t="str">
        <f t="shared" si="0"/>
        <v/>
      </c>
      <c r="AY63" s="68">
        <f t="shared" si="1"/>
        <v>100</v>
      </c>
    </row>
    <row r="64" spans="1:51" ht="25.5" customHeight="1" x14ac:dyDescent="0.25">
      <c r="A64" s="55" t="s">
        <v>343</v>
      </c>
      <c r="B64" s="55" t="s">
        <v>435</v>
      </c>
      <c r="C64" s="55" t="s">
        <v>436</v>
      </c>
      <c r="D64" s="56">
        <v>29550000</v>
      </c>
      <c r="E64" s="56">
        <v>28964000</v>
      </c>
      <c r="F64" s="56">
        <v>27900000</v>
      </c>
      <c r="G64" s="57">
        <f>$F64*(1+SIM_Parametres!$B$5)^(2019-2018)</f>
        <v>28792800</v>
      </c>
      <c r="H64" s="57">
        <f>$F64*(1+SIM_Parametres!$B$5)^(2020-2018)</f>
        <v>29714169.599999998</v>
      </c>
      <c r="I64" s="57">
        <f>$F64*(1+SIM_Parametres!$B$5)^(2021-2018)</f>
        <v>30665023.027199998</v>
      </c>
      <c r="J64" s="57">
        <f>$F64*(1+SIM_Parametres!$B$5)^(2022-2018)</f>
        <v>31646303.764070399</v>
      </c>
      <c r="K64" s="57">
        <f>$F64*(1+SIM_Parametres!$B$5)^(2023-2018)</f>
        <v>32658985.484520655</v>
      </c>
      <c r="L64" s="57">
        <f>$F64*(1+SIM_Parametres!$B$5)^(2024-2018)</f>
        <v>33704073.020025313</v>
      </c>
      <c r="M64" s="57">
        <f>$F64*(1+SIM_Parametres!$B$5)^(2025-2018)</f>
        <v>34782603.356666118</v>
      </c>
      <c r="N64" s="57">
        <f>$F64*(1+SIM_Parametres!$B$5)^(2026-2018)</f>
        <v>35895646.664079435</v>
      </c>
      <c r="O64" s="57">
        <f>$F64*(1+SIM_Parametres!$B$5)^(2027-2018)</f>
        <v>37044307.35732998</v>
      </c>
      <c r="P64" s="57">
        <f>$F64*(1+SIM_Parametres!$B$5)^(2028-2018)</f>
        <v>38229725.192764536</v>
      </c>
      <c r="Q64" s="57">
        <f>$F64*(1+SIM_Parametres!$B$5)^(2029-2018)</f>
        <v>39453076.398933001</v>
      </c>
      <c r="R64" s="64">
        <f>$F64*(1+SIM_Parametres!$B$5)^(2030-2018)</f>
        <v>40715574.843698859</v>
      </c>
      <c r="S64" s="58">
        <f t="shared" si="5"/>
        <v>12815574.843698859</v>
      </c>
      <c r="T64" s="59">
        <f t="shared" si="6"/>
        <v>0.45933960013257558</v>
      </c>
      <c r="U64" s="60">
        <f t="shared" si="7"/>
        <v>499716288.70928818</v>
      </c>
      <c r="V64" s="55" t="s">
        <v>378</v>
      </c>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61" t="str">
        <f t="shared" si="0"/>
        <v/>
      </c>
      <c r="AY64" s="61">
        <f t="shared" si="1"/>
        <v>100</v>
      </c>
    </row>
    <row r="65" spans="1:51" ht="25.5" customHeight="1" x14ac:dyDescent="0.25">
      <c r="A65" s="62" t="s">
        <v>48</v>
      </c>
      <c r="B65" s="62" t="s">
        <v>435</v>
      </c>
      <c r="C65" s="62" t="s">
        <v>437</v>
      </c>
      <c r="D65" s="63">
        <v>15900000</v>
      </c>
      <c r="E65" s="63">
        <v>16008000</v>
      </c>
      <c r="F65" s="63">
        <v>15262000</v>
      </c>
      <c r="G65" s="64">
        <f>SUMIFS(SIM_Modele!$AH$4:$AH$855,SIM_Modele!$C$4:$C$855,$C65,SIM_Modele!$D$4:$D$855,2019)</f>
        <v>15750384</v>
      </c>
      <c r="H65" s="64">
        <f>SUMIFS(SIM_Modele!$AH$4:$AH$855,SIM_Modele!$C$4:$C$855,$C65,SIM_Modele!$D$4:$D$855,2020)</f>
        <v>16254396.288000008</v>
      </c>
      <c r="I65" s="64">
        <f>SUMIFS(SIM_Modele!$AH$4:$AH$855,SIM_Modele!$C$4:$C$855,$C65,SIM_Modele!$D$4:$D$855,2021)</f>
        <v>16774536.969216008</v>
      </c>
      <c r="J65" s="64">
        <f>SUMIFS(SIM_Modele!$AH$4:$AH$855,SIM_Modele!$C$4:$C$855,$C65,SIM_Modele!$D$4:$D$855,2022)</f>
        <v>17311322.152230907</v>
      </c>
      <c r="K65" s="64">
        <f>SUMIFS(SIM_Modele!$AH$4:$AH$855,SIM_Modele!$C$4:$C$855,$C65,SIM_Modele!$D$4:$D$855,2023)</f>
        <v>17865284.461102299</v>
      </c>
      <c r="L65" s="64">
        <f>SUMIFS(SIM_Modele!$AH$4:$AH$855,SIM_Modele!$C$4:$C$855,$C65,SIM_Modele!$D$4:$D$855,2024)</f>
        <v>18436973.56385757</v>
      </c>
      <c r="M65" s="64">
        <f>SUMIFS(SIM_Modele!$AH$4:$AH$855,SIM_Modele!$C$4:$C$855,$C65,SIM_Modele!$D$4:$D$855,2025)</f>
        <v>19026956.717901021</v>
      </c>
      <c r="N65" s="64">
        <f>SUMIFS(SIM_Modele!$AH$4:$AH$855,SIM_Modele!$C$4:$C$855,$C65,SIM_Modele!$D$4:$D$855,2026)</f>
        <v>18342792.35358005</v>
      </c>
      <c r="O65" s="64">
        <f>SUMIFS(SIM_Modele!$AH$4:$AH$855,SIM_Modele!$C$4:$C$855,$C65,SIM_Modele!$D$4:$D$855,2027)</f>
        <v>17661473.164210845</v>
      </c>
      <c r="P65" s="64">
        <f>SUMIFS(SIM_Modele!$AH$4:$AH$1068,SIM_Modele!$C$4:$C$1068,$C65,SIM_Modele!$D$4:$D$1068,2028)</f>
        <v>15917085.116267174</v>
      </c>
      <c r="Q65" s="64">
        <f>SUMIFS(SIM_Modele!$AH$4:$AH$1068,SIM_Modele!$C$4:$C$1068,$C65,SIM_Modele!$D$4:$D$1068,2029)</f>
        <v>16426431.839987725</v>
      </c>
      <c r="R65" s="64">
        <f>SUMIFS(SIM_Modele!$AH$4:$AH$1068,SIM_Modele!$C$4:$C$1068,$C65,SIM_Modele!$D$4:$D$1068,2030)</f>
        <v>16952077.658867333</v>
      </c>
      <c r="S65" s="65">
        <f t="shared" si="5"/>
        <v>1690077.6588673331</v>
      </c>
      <c r="T65" s="66">
        <f t="shared" si="6"/>
        <v>0.11073762671126544</v>
      </c>
      <c r="U65" s="67">
        <f t="shared" si="7"/>
        <v>253889714.28522092</v>
      </c>
      <c r="V65" s="62" t="s">
        <v>380</v>
      </c>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68" t="str">
        <f t="shared" si="0"/>
        <v/>
      </c>
      <c r="AY65" s="68">
        <f t="shared" si="1"/>
        <v>100</v>
      </c>
    </row>
    <row r="66" spans="1:51" ht="25.5" customHeight="1" x14ac:dyDescent="0.25">
      <c r="A66" s="55" t="s">
        <v>48</v>
      </c>
      <c r="B66" s="55" t="s">
        <v>435</v>
      </c>
      <c r="C66" s="55" t="s">
        <v>438</v>
      </c>
      <c r="D66" s="56">
        <v>16600000</v>
      </c>
      <c r="E66" s="56">
        <v>16147000</v>
      </c>
      <c r="F66" s="56">
        <v>15054000</v>
      </c>
      <c r="G66" s="57">
        <f>SUMIFS(SIM_Modele!$AH$4:$AH$855,SIM_Modele!$C$4:$C$855,$C66,SIM_Modele!$D$4:$D$855,2019)</f>
        <v>15535728</v>
      </c>
      <c r="H66" s="57">
        <f>SUMIFS(SIM_Modele!$AH$4:$AH$855,SIM_Modele!$C$4:$C$855,$C66,SIM_Modele!$D$4:$D$855,2020)</f>
        <v>16032871.296000008</v>
      </c>
      <c r="I66" s="57">
        <f>SUMIFS(SIM_Modele!$AH$4:$AH$855,SIM_Modele!$C$4:$C$855,$C66,SIM_Modele!$D$4:$D$855,2021)</f>
        <v>16545923.177472005</v>
      </c>
      <c r="J66" s="57">
        <f>SUMIFS(SIM_Modele!$AH$4:$AH$855,SIM_Modele!$C$4:$C$855,$C66,SIM_Modele!$D$4:$D$855,2022)</f>
        <v>17075392.719151098</v>
      </c>
      <c r="K66" s="57">
        <f>SUMIFS(SIM_Modele!$AH$4:$AH$855,SIM_Modele!$C$4:$C$855,$C66,SIM_Modele!$D$4:$D$855,2023)</f>
        <v>17621805.286163937</v>
      </c>
      <c r="L66" s="57">
        <f>SUMIFS(SIM_Modele!$AH$4:$AH$855,SIM_Modele!$C$4:$C$855,$C66,SIM_Modele!$D$4:$D$855,2024)</f>
        <v>18185703.055321183</v>
      </c>
      <c r="M66" s="57">
        <f>SUMIFS(SIM_Modele!$AH$4:$AH$855,SIM_Modele!$C$4:$C$855,$C66,SIM_Modele!$D$4:$D$855,2025)</f>
        <v>18767645.553091466</v>
      </c>
      <c r="N66" s="57">
        <f>SUMIFS(SIM_Modele!$AH$4:$AH$855,SIM_Modele!$C$4:$C$855,$C66,SIM_Modele!$D$4:$D$855,2026)</f>
        <v>19224639.896426246</v>
      </c>
      <c r="O66" s="57">
        <f>SUMIFS(SIM_Modele!$AH$4:$AH$855,SIM_Modele!$C$4:$C$855,$C66,SIM_Modele!$D$4:$D$855,2027)</f>
        <v>19623733.795715939</v>
      </c>
      <c r="P66" s="57">
        <f>SUMIFS(SIM_Modele!$AH$4:$AH$1068,SIM_Modele!$C$4:$C$1068,$C66,SIM_Modele!$D$4:$D$1068,2028)</f>
        <v>19942492.965931471</v>
      </c>
      <c r="Q66" s="57">
        <f>SUMIFS(SIM_Modele!$AH$4:$AH$1068,SIM_Modele!$C$4:$C$1068,$C66,SIM_Modele!$D$4:$D$1068,2029)</f>
        <v>20580652.740841277</v>
      </c>
      <c r="R66" s="64">
        <f>SUMIFS(SIM_Modele!$AH$4:$AH$1068,SIM_Modele!$C$4:$C$1068,$C66,SIM_Modele!$D$4:$D$1068,2030)</f>
        <v>21239233.628548201</v>
      </c>
      <c r="S66" s="58">
        <f t="shared" si="5"/>
        <v>6185233.6285482012</v>
      </c>
      <c r="T66" s="59">
        <f t="shared" si="6"/>
        <v>0.41086977737134323</v>
      </c>
      <c r="U66" s="60">
        <f t="shared" si="7"/>
        <v>268176822.11466283</v>
      </c>
      <c r="V66" s="55" t="s">
        <v>380</v>
      </c>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61" t="str">
        <f t="shared" ref="AX66:AX129" si="8">IFERROR(AV66/AD66*100000,"")</f>
        <v/>
      </c>
      <c r="AY66" s="61">
        <f t="shared" ref="AY66:AY129" si="9">IFERROR(100-AQ66,"")</f>
        <v>100</v>
      </c>
    </row>
    <row r="67" spans="1:51" ht="25.5" customHeight="1" x14ac:dyDescent="0.25">
      <c r="A67" s="62" t="s">
        <v>48</v>
      </c>
      <c r="B67" s="62" t="s">
        <v>435</v>
      </c>
      <c r="C67" s="62" t="s">
        <v>439</v>
      </c>
      <c r="D67" s="63">
        <v>19950000</v>
      </c>
      <c r="E67" s="63">
        <v>19204000</v>
      </c>
      <c r="F67" s="63">
        <v>18294000</v>
      </c>
      <c r="G67" s="64">
        <f>SUMIFS(SIM_Modele!$AH$4:$AH$855,SIM_Modele!$C$4:$C$855,$C67,SIM_Modele!$D$4:$D$855,2019)</f>
        <v>18879408</v>
      </c>
      <c r="H67" s="64">
        <f>SUMIFS(SIM_Modele!$AH$4:$AH$855,SIM_Modele!$C$4:$C$855,$C67,SIM_Modele!$D$4:$D$855,2020)</f>
        <v>19483549.056000009</v>
      </c>
      <c r="I67" s="64">
        <f>SUMIFS(SIM_Modele!$AH$4:$AH$855,SIM_Modele!$C$4:$C$855,$C67,SIM_Modele!$D$4:$D$855,2021)</f>
        <v>20107022.625792004</v>
      </c>
      <c r="J67" s="64">
        <f>SUMIFS(SIM_Modele!$AH$4:$AH$855,SIM_Modele!$C$4:$C$855,$C67,SIM_Modele!$D$4:$D$855,2022)</f>
        <v>20750447.349817336</v>
      </c>
      <c r="K67" s="64">
        <f>SUMIFS(SIM_Modele!$AH$4:$AH$855,SIM_Modele!$C$4:$C$855,$C67,SIM_Modele!$D$4:$D$855,2023)</f>
        <v>21414461.665011499</v>
      </c>
      <c r="L67" s="64">
        <f>SUMIFS(SIM_Modele!$AH$4:$AH$855,SIM_Modele!$C$4:$C$855,$C67,SIM_Modele!$D$4:$D$855,2024)</f>
        <v>22099724.438291866</v>
      </c>
      <c r="M67" s="64">
        <f>SUMIFS(SIM_Modele!$AH$4:$AH$855,SIM_Modele!$C$4:$C$855,$C67,SIM_Modele!$D$4:$D$855,2025)</f>
        <v>22806915.620317213</v>
      </c>
      <c r="N67" s="64">
        <f>SUMIFS(SIM_Modele!$AH$4:$AH$855,SIM_Modele!$C$4:$C$855,$C67,SIM_Modele!$D$4:$D$855,2026)</f>
        <v>23713119.812366791</v>
      </c>
      <c r="O67" s="64">
        <f>SUMIFS(SIM_Modele!$AH$4:$AH$855,SIM_Modele!$C$4:$C$855,$C67,SIM_Modele!$D$4:$D$855,2027)</f>
        <v>24504478.121968541</v>
      </c>
      <c r="P67" s="64">
        <f>SUMIFS(SIM_Modele!$AH$4:$AH$1068,SIM_Modele!$C$4:$C$1068,$C67,SIM_Modele!$D$4:$D$1068,2028)</f>
        <v>25038387.8745685</v>
      </c>
      <c r="Q67" s="64">
        <f>SUMIFS(SIM_Modele!$AH$4:$AH$1068,SIM_Modele!$C$4:$C$1068,$C67,SIM_Modele!$D$4:$D$1068,2029)</f>
        <v>25839616.286554683</v>
      </c>
      <c r="R67" s="64">
        <f>SUMIFS(SIM_Modele!$AH$4:$AH$1068,SIM_Modele!$C$4:$C$1068,$C67,SIM_Modele!$D$4:$D$1068,2030)</f>
        <v>26666484.007724438</v>
      </c>
      <c r="S67" s="65">
        <f t="shared" si="5"/>
        <v>8372484.0077244379</v>
      </c>
      <c r="T67" s="66">
        <f t="shared" si="6"/>
        <v>0.45766284069773905</v>
      </c>
      <c r="U67" s="67">
        <f t="shared" si="7"/>
        <v>328751614.85841292</v>
      </c>
      <c r="V67" s="62" t="s">
        <v>380</v>
      </c>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68" t="str">
        <f t="shared" si="8"/>
        <v/>
      </c>
      <c r="AY67" s="68">
        <f t="shared" si="9"/>
        <v>100</v>
      </c>
    </row>
    <row r="68" spans="1:51" ht="25.5" customHeight="1" x14ac:dyDescent="0.25">
      <c r="A68" s="55" t="s">
        <v>48</v>
      </c>
      <c r="B68" s="55" t="s">
        <v>435</v>
      </c>
      <c r="C68" s="55" t="s">
        <v>440</v>
      </c>
      <c r="D68" s="56">
        <v>17400000</v>
      </c>
      <c r="E68" s="56">
        <v>17627000</v>
      </c>
      <c r="F68" s="56">
        <v>16541000</v>
      </c>
      <c r="G68" s="57">
        <f>SUMIFS(SIM_Modele!$AH$4:$AH$855,SIM_Modele!$C$4:$C$855,$C68,SIM_Modele!$D$4:$D$855,2019)</f>
        <v>17070312</v>
      </c>
      <c r="H68" s="57">
        <f>SUMIFS(SIM_Modele!$AH$4:$AH$855,SIM_Modele!$C$4:$C$855,$C68,SIM_Modele!$D$4:$D$855,2020)</f>
        <v>17616561.984000009</v>
      </c>
      <c r="I68" s="57">
        <f>SUMIFS(SIM_Modele!$AH$4:$AH$855,SIM_Modele!$C$4:$C$855,$C68,SIM_Modele!$D$4:$D$855,2021)</f>
        <v>18180291.967488006</v>
      </c>
      <c r="J68" s="57">
        <f>SUMIFS(SIM_Modele!$AH$4:$AH$855,SIM_Modele!$C$4:$C$855,$C68,SIM_Modele!$D$4:$D$855,2022)</f>
        <v>18762061.310447611</v>
      </c>
      <c r="K68" s="57">
        <f>SUMIFS(SIM_Modele!$AH$4:$AH$855,SIM_Modele!$C$4:$C$855,$C68,SIM_Modele!$D$4:$D$855,2023)</f>
        <v>19362447.272381939</v>
      </c>
      <c r="L68" s="57">
        <f>SUMIFS(SIM_Modele!$AH$4:$AH$855,SIM_Modele!$C$4:$C$855,$C68,SIM_Modele!$D$4:$D$855,2024)</f>
        <v>19982045.585098159</v>
      </c>
      <c r="M68" s="57">
        <f>SUMIFS(SIM_Modele!$AH$4:$AH$855,SIM_Modele!$C$4:$C$855,$C68,SIM_Modele!$D$4:$D$855,2025)</f>
        <v>20621471.043821309</v>
      </c>
      <c r="N68" s="57">
        <f>SUMIFS(SIM_Modele!$AH$4:$AH$855,SIM_Modele!$C$4:$C$855,$C68,SIM_Modele!$D$4:$D$855,2026)</f>
        <v>20843398.785768446</v>
      </c>
      <c r="O68" s="57">
        <f>SUMIFS(SIM_Modele!$AH$4:$AH$855,SIM_Modele!$C$4:$C$855,$C68,SIM_Modele!$D$4:$D$855,2027)</f>
        <v>21037233.621248804</v>
      </c>
      <c r="P68" s="57">
        <f>SUMIFS(SIM_Modele!$AH$4:$AH$1068,SIM_Modele!$C$4:$C$1068,$C68,SIM_Modele!$D$4:$D$1068,2028)</f>
        <v>21270441.05955502</v>
      </c>
      <c r="Q68" s="57">
        <f>SUMIFS(SIM_Modele!$AH$4:$AH$1068,SIM_Modele!$C$4:$C$1068,$C68,SIM_Modele!$D$4:$D$1068,2029)</f>
        <v>21951095.173460774</v>
      </c>
      <c r="R68" s="64">
        <f>SUMIFS(SIM_Modele!$AH$4:$AH$1068,SIM_Modele!$C$4:$C$1068,$C68,SIM_Modele!$D$4:$D$1068,2030)</f>
        <v>22653530.219011527</v>
      </c>
      <c r="S68" s="58">
        <f t="shared" si="5"/>
        <v>6112530.2190115266</v>
      </c>
      <c r="T68" s="59">
        <f t="shared" si="6"/>
        <v>0.36953813064576063</v>
      </c>
      <c r="U68" s="60">
        <f t="shared" si="7"/>
        <v>290918890.02228159</v>
      </c>
      <c r="V68" s="55" t="s">
        <v>380</v>
      </c>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61" t="str">
        <f t="shared" si="8"/>
        <v/>
      </c>
      <c r="AY68" s="61">
        <f t="shared" si="9"/>
        <v>100</v>
      </c>
    </row>
    <row r="69" spans="1:51" ht="25.5" customHeight="1" x14ac:dyDescent="0.25">
      <c r="A69" s="62" t="s">
        <v>48</v>
      </c>
      <c r="B69" s="62" t="s">
        <v>435</v>
      </c>
      <c r="C69" s="62" t="s">
        <v>435</v>
      </c>
      <c r="D69" s="63">
        <v>18850000</v>
      </c>
      <c r="E69" s="63">
        <v>17200000</v>
      </c>
      <c r="F69" s="63">
        <v>16379000</v>
      </c>
      <c r="G69" s="64">
        <f>SUMIFS(SIM_Modele!$AH$4:$AH$855,SIM_Modele!$C$4:$C$855,$C69,SIM_Modele!$D$4:$D$855,2019)</f>
        <v>16903128</v>
      </c>
      <c r="H69" s="64">
        <f>SUMIFS(SIM_Modele!$AH$4:$AH$855,SIM_Modele!$C$4:$C$855,$C69,SIM_Modele!$D$4:$D$855,2020)</f>
        <v>17444028.096000005</v>
      </c>
      <c r="I69" s="64">
        <f>SUMIFS(SIM_Modele!$AH$4:$AH$855,SIM_Modele!$C$4:$C$855,$C69,SIM_Modele!$D$4:$D$855,2021)</f>
        <v>18002236.995072</v>
      </c>
      <c r="J69" s="64">
        <f>SUMIFS(SIM_Modele!$AH$4:$AH$855,SIM_Modele!$C$4:$C$855,$C69,SIM_Modele!$D$4:$D$855,2022)</f>
        <v>18578308.578914292</v>
      </c>
      <c r="K69" s="64">
        <f>SUMIFS(SIM_Modele!$AH$4:$AH$855,SIM_Modele!$C$4:$C$855,$C69,SIM_Modele!$D$4:$D$855,2023)</f>
        <v>19172814.453439552</v>
      </c>
      <c r="L69" s="64">
        <f>SUMIFS(SIM_Modele!$AH$4:$AH$855,SIM_Modele!$C$4:$C$855,$C69,SIM_Modele!$D$4:$D$855,2024)</f>
        <v>19786344.515949618</v>
      </c>
      <c r="M69" s="64">
        <f>SUMIFS(SIM_Modele!$AH$4:$AH$855,SIM_Modele!$C$4:$C$855,$C69,SIM_Modele!$D$4:$D$855,2025)</f>
        <v>20419507.540460013</v>
      </c>
      <c r="N69" s="64">
        <f>SUMIFS(SIM_Modele!$AH$4:$AH$855,SIM_Modele!$C$4:$C$855,$C69,SIM_Modele!$D$4:$D$855,2026)</f>
        <v>23482433.671529014</v>
      </c>
      <c r="O69" s="64">
        <f>SUMIFS(SIM_Modele!$AH$4:$AH$855,SIM_Modele!$C$4:$C$855,$C69,SIM_Modele!$D$4:$D$855,2027)</f>
        <v>26788504.482498076</v>
      </c>
      <c r="P69" s="64">
        <f>SUMIFS(SIM_Modele!$AH$4:$AH$1068,SIM_Modele!$C$4:$C$1068,$C69,SIM_Modele!$D$4:$D$1068,2028)</f>
        <v>28504084.553163983</v>
      </c>
      <c r="Q69" s="64">
        <f>SUMIFS(SIM_Modele!$AH$4:$AH$1068,SIM_Modele!$C$4:$C$1068,$C69,SIM_Modele!$D$4:$D$1068,2029)</f>
        <v>29416215.258865226</v>
      </c>
      <c r="R69" s="64">
        <f>SUMIFS(SIM_Modele!$AH$4:$AH$1068,SIM_Modele!$C$4:$C$1068,$C69,SIM_Modele!$D$4:$D$1068,2030)</f>
        <v>30357534.147148918</v>
      </c>
      <c r="S69" s="65">
        <f t="shared" si="5"/>
        <v>13978534.147148918</v>
      </c>
      <c r="T69" s="66">
        <f t="shared" si="6"/>
        <v>0.85344246578844363</v>
      </c>
      <c r="U69" s="67">
        <f t="shared" si="7"/>
        <v>321284140.29304069</v>
      </c>
      <c r="V69" s="62" t="s">
        <v>380</v>
      </c>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68" t="str">
        <f t="shared" si="8"/>
        <v/>
      </c>
      <c r="AY69" s="68">
        <f t="shared" si="9"/>
        <v>100</v>
      </c>
    </row>
    <row r="70" spans="1:51" ht="25.5" customHeight="1" x14ac:dyDescent="0.25">
      <c r="A70" s="55" t="s">
        <v>343</v>
      </c>
      <c r="B70" s="55" t="s">
        <v>441</v>
      </c>
      <c r="C70" s="55" t="s">
        <v>442</v>
      </c>
      <c r="D70" s="56">
        <v>22950000</v>
      </c>
      <c r="E70" s="56">
        <v>22441000</v>
      </c>
      <c r="F70" s="56">
        <v>21174000</v>
      </c>
      <c r="G70" s="57">
        <f>$F70*(1+SIM_Parametres!$B$5)^(2019-2018)</f>
        <v>21851568</v>
      </c>
      <c r="H70" s="57">
        <f>$F70*(1+SIM_Parametres!$B$5)^(2020-2018)</f>
        <v>22550818.175999999</v>
      </c>
      <c r="I70" s="57">
        <f>$F70*(1+SIM_Parametres!$B$5)^(2021-2018)</f>
        <v>23272444.357631996</v>
      </c>
      <c r="J70" s="57">
        <f>$F70*(1+SIM_Parametres!$B$5)^(2022-2018)</f>
        <v>24017162.577076223</v>
      </c>
      <c r="K70" s="57">
        <f>$F70*(1+SIM_Parametres!$B$5)^(2023-2018)</f>
        <v>24785711.779542666</v>
      </c>
      <c r="L70" s="57">
        <f>$F70*(1+SIM_Parametres!$B$5)^(2024-2018)</f>
        <v>25578854.556488026</v>
      </c>
      <c r="M70" s="57">
        <f>$F70*(1+SIM_Parametres!$B$5)^(2025-2018)</f>
        <v>26397377.902295638</v>
      </c>
      <c r="N70" s="57">
        <f>$F70*(1+SIM_Parametres!$B$5)^(2026-2018)</f>
        <v>27242093.995169103</v>
      </c>
      <c r="O70" s="57">
        <f>$F70*(1+SIM_Parametres!$B$5)^(2027-2018)</f>
        <v>28113841.003014516</v>
      </c>
      <c r="P70" s="57">
        <f>$F70*(1+SIM_Parametres!$B$5)^(2028-2018)</f>
        <v>29013483.915110979</v>
      </c>
      <c r="Q70" s="57">
        <f>$F70*(1+SIM_Parametres!$B$5)^(2029-2018)</f>
        <v>29941915.400394529</v>
      </c>
      <c r="R70" s="64">
        <f>$F70*(1+SIM_Parametres!$B$5)^(2030-2018)</f>
        <v>30900056.693207156</v>
      </c>
      <c r="S70" s="58">
        <f t="shared" si="5"/>
        <v>9726056.6932071559</v>
      </c>
      <c r="T70" s="59">
        <f t="shared" si="6"/>
        <v>0.45933960013257563</v>
      </c>
      <c r="U70" s="60">
        <f t="shared" si="7"/>
        <v>380230328.35593081</v>
      </c>
      <c r="V70" s="55" t="s">
        <v>378</v>
      </c>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61" t="str">
        <f t="shared" si="8"/>
        <v/>
      </c>
      <c r="AY70" s="61">
        <f t="shared" si="9"/>
        <v>100</v>
      </c>
    </row>
    <row r="71" spans="1:51" ht="25.5" customHeight="1" x14ac:dyDescent="0.25">
      <c r="A71" s="62" t="s">
        <v>48</v>
      </c>
      <c r="B71" s="62" t="s">
        <v>441</v>
      </c>
      <c r="C71" s="62" t="s">
        <v>443</v>
      </c>
      <c r="D71" s="63">
        <v>16000000</v>
      </c>
      <c r="E71" s="63">
        <v>15600000</v>
      </c>
      <c r="F71" s="63">
        <v>15146000</v>
      </c>
      <c r="G71" s="64">
        <f>SUMIFS(SIM_Modele!$AH$4:$AH$855,SIM_Modele!$C$4:$C$855,$C71,SIM_Modele!$D$4:$D$855,2019)</f>
        <v>15630672</v>
      </c>
      <c r="H71" s="64">
        <f>SUMIFS(SIM_Modele!$AH$4:$AH$855,SIM_Modele!$C$4:$C$855,$C71,SIM_Modele!$D$4:$D$855,2020)</f>
        <v>16130853.504000008</v>
      </c>
      <c r="I71" s="64">
        <f>SUMIFS(SIM_Modele!$AH$4:$AH$855,SIM_Modele!$C$4:$C$855,$C71,SIM_Modele!$D$4:$D$855,2021)</f>
        <v>16647040.816128006</v>
      </c>
      <c r="J71" s="64">
        <f>SUMIFS(SIM_Modele!$AH$4:$AH$855,SIM_Modele!$C$4:$C$855,$C71,SIM_Modele!$D$4:$D$855,2022)</f>
        <v>17179746.12224409</v>
      </c>
      <c r="K71" s="64">
        <f>SUMIFS(SIM_Modele!$AH$4:$AH$855,SIM_Modele!$C$4:$C$855,$C71,SIM_Modele!$D$4:$D$855,2023)</f>
        <v>17729497.998155903</v>
      </c>
      <c r="L71" s="64">
        <f>SUMIFS(SIM_Modele!$AH$4:$AH$855,SIM_Modele!$C$4:$C$855,$C71,SIM_Modele!$D$4:$D$855,2024)</f>
        <v>18296841.934096891</v>
      </c>
      <c r="M71" s="64">
        <f>SUMIFS(SIM_Modele!$AH$4:$AH$855,SIM_Modele!$C$4:$C$855,$C71,SIM_Modele!$D$4:$D$855,2025)</f>
        <v>18882340.875987999</v>
      </c>
      <c r="N71" s="64">
        <f>SUMIFS(SIM_Modele!$AH$4:$AH$855,SIM_Modele!$C$4:$C$855,$C71,SIM_Modele!$D$4:$D$855,2026)</f>
        <v>21714692.007386196</v>
      </c>
      <c r="O71" s="64">
        <f>SUMIFS(SIM_Modele!$AH$4:$AH$855,SIM_Modele!$C$4:$C$855,$C71,SIM_Modele!$D$4:$D$855,2027)</f>
        <v>24971895.808494125</v>
      </c>
      <c r="P71" s="64">
        <f>SUMIFS(SIM_Modele!$AH$4:$AH$1068,SIM_Modele!$C$4:$C$1068,$C71,SIM_Modele!$D$4:$D$1068,2028)</f>
        <v>28057226.095000505</v>
      </c>
      <c r="Q71" s="64">
        <f>SUMIFS(SIM_Modele!$AH$4:$AH$1068,SIM_Modele!$C$4:$C$1068,$C71,SIM_Modele!$D$4:$D$1068,2029)</f>
        <v>28955057.330040511</v>
      </c>
      <c r="R71" s="64">
        <f>SUMIFS(SIM_Modele!$AH$4:$AH$1068,SIM_Modele!$C$4:$C$1068,$C71,SIM_Modele!$D$4:$D$1068,2030)</f>
        <v>29881619.164601821</v>
      </c>
      <c r="S71" s="65">
        <f t="shared" si="5"/>
        <v>14735619.164601821</v>
      </c>
      <c r="T71" s="66">
        <f t="shared" si="6"/>
        <v>0.97290500228455179</v>
      </c>
      <c r="U71" s="67">
        <f t="shared" si="7"/>
        <v>300823483.65613604</v>
      </c>
      <c r="V71" s="62" t="s">
        <v>380</v>
      </c>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68" t="str">
        <f t="shared" si="8"/>
        <v/>
      </c>
      <c r="AY71" s="68">
        <f t="shared" si="9"/>
        <v>100</v>
      </c>
    </row>
    <row r="72" spans="1:51" ht="25.5" customHeight="1" x14ac:dyDescent="0.25">
      <c r="A72" s="55" t="s">
        <v>48</v>
      </c>
      <c r="B72" s="55" t="s">
        <v>441</v>
      </c>
      <c r="C72" s="55" t="s">
        <v>441</v>
      </c>
      <c r="D72" s="56">
        <v>20200000</v>
      </c>
      <c r="E72" s="56">
        <v>18432000</v>
      </c>
      <c r="F72" s="56">
        <v>17255000</v>
      </c>
      <c r="G72" s="57">
        <f>SUMIFS(SIM_Modele!$AH$4:$AH$855,SIM_Modele!$C$4:$C$855,$C72,SIM_Modele!$D$4:$D$855,2019)</f>
        <v>17807160</v>
      </c>
      <c r="H72" s="57">
        <f>SUMIFS(SIM_Modele!$AH$4:$AH$855,SIM_Modele!$C$4:$C$855,$C72,SIM_Modele!$D$4:$D$855,2020)</f>
        <v>18376989.120000005</v>
      </c>
      <c r="I72" s="57">
        <f>SUMIFS(SIM_Modele!$AH$4:$AH$855,SIM_Modele!$C$4:$C$855,$C72,SIM_Modele!$D$4:$D$855,2021)</f>
        <v>18965052.771840002</v>
      </c>
      <c r="J72" s="57">
        <f>SUMIFS(SIM_Modele!$AH$4:$AH$855,SIM_Modele!$C$4:$C$855,$C72,SIM_Modele!$D$4:$D$855,2022)</f>
        <v>19571934.460538872</v>
      </c>
      <c r="K72" s="57">
        <f>SUMIFS(SIM_Modele!$AH$4:$AH$855,SIM_Modele!$C$4:$C$855,$C72,SIM_Modele!$D$4:$D$855,2023)</f>
        <v>20198236.36327612</v>
      </c>
      <c r="L72" s="57">
        <f>SUMIFS(SIM_Modele!$AH$4:$AH$855,SIM_Modele!$C$4:$C$855,$C72,SIM_Modele!$D$4:$D$855,2024)</f>
        <v>20844579.926900957</v>
      </c>
      <c r="M72" s="57">
        <f>SUMIFS(SIM_Modele!$AH$4:$AH$855,SIM_Modele!$C$4:$C$855,$C72,SIM_Modele!$D$4:$D$855,2025)</f>
        <v>21511606.484561794</v>
      </c>
      <c r="N72" s="57">
        <f>SUMIFS(SIM_Modele!$AH$4:$AH$855,SIM_Modele!$C$4:$C$855,$C72,SIM_Modele!$D$4:$D$855,2026)</f>
        <v>24517308.534223828</v>
      </c>
      <c r="O72" s="57">
        <f>SUMIFS(SIM_Modele!$AH$4:$AH$855,SIM_Modele!$C$4:$C$855,$C72,SIM_Modele!$D$4:$D$855,2027)</f>
        <v>27141971.745066449</v>
      </c>
      <c r="P72" s="57">
        <f>SUMIFS(SIM_Modele!$AH$4:$AH$1068,SIM_Modele!$C$4:$C$1068,$C72,SIM_Modele!$D$4:$D$1068,2028)</f>
        <v>28543981.088026956</v>
      </c>
      <c r="Q72" s="57">
        <f>SUMIFS(SIM_Modele!$AH$4:$AH$1068,SIM_Modele!$C$4:$C$1068,$C72,SIM_Modele!$D$4:$D$1068,2029)</f>
        <v>29457388.482843813</v>
      </c>
      <c r="R72" s="64">
        <f>SUMIFS(SIM_Modele!$AH$4:$AH$1068,SIM_Modele!$C$4:$C$1068,$C72,SIM_Modele!$D$4:$D$1068,2030)</f>
        <v>30400024.914294824</v>
      </c>
      <c r="S72" s="58">
        <f t="shared" si="5"/>
        <v>13145024.914294824</v>
      </c>
      <c r="T72" s="59">
        <f t="shared" si="6"/>
        <v>0.76180961543290782</v>
      </c>
      <c r="U72" s="60">
        <f t="shared" si="7"/>
        <v>333223233.89157361</v>
      </c>
      <c r="V72" s="55" t="s">
        <v>380</v>
      </c>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61" t="str">
        <f t="shared" si="8"/>
        <v/>
      </c>
      <c r="AY72" s="61">
        <f t="shared" si="9"/>
        <v>100</v>
      </c>
    </row>
    <row r="73" spans="1:51" ht="25.5" customHeight="1" x14ac:dyDescent="0.25">
      <c r="A73" s="62" t="s">
        <v>343</v>
      </c>
      <c r="B73" s="62" t="s">
        <v>444</v>
      </c>
      <c r="C73" s="62" t="s">
        <v>445</v>
      </c>
      <c r="D73" s="63">
        <v>22960000</v>
      </c>
      <c r="E73" s="63">
        <v>22201000</v>
      </c>
      <c r="F73" s="63">
        <v>21236000</v>
      </c>
      <c r="G73" s="64">
        <f>$F73*(1+SIM_Parametres!$B$5)^(2019-2018)</f>
        <v>21915552</v>
      </c>
      <c r="H73" s="64">
        <f>$F73*(1+SIM_Parametres!$B$5)^(2020-2018)</f>
        <v>22616849.664000001</v>
      </c>
      <c r="I73" s="64">
        <f>$F73*(1+SIM_Parametres!$B$5)^(2021-2018)</f>
        <v>23340588.853247996</v>
      </c>
      <c r="J73" s="64">
        <f>$F73*(1+SIM_Parametres!$B$5)^(2022-2018)</f>
        <v>24087487.696551934</v>
      </c>
      <c r="K73" s="64">
        <f>$F73*(1+SIM_Parametres!$B$5)^(2023-2018)</f>
        <v>24858287.3028416</v>
      </c>
      <c r="L73" s="64">
        <f>$F73*(1+SIM_Parametres!$B$5)^(2024-2018)</f>
        <v>25653752.496532526</v>
      </c>
      <c r="M73" s="64">
        <f>$F73*(1+SIM_Parametres!$B$5)^(2025-2018)</f>
        <v>26474672.576421563</v>
      </c>
      <c r="N73" s="64">
        <f>$F73*(1+SIM_Parametres!$B$5)^(2026-2018)</f>
        <v>27321862.098867059</v>
      </c>
      <c r="O73" s="64">
        <f>$F73*(1+SIM_Parametres!$B$5)^(2027-2018)</f>
        <v>28196161.686030805</v>
      </c>
      <c r="P73" s="64">
        <f>$F73*(1+SIM_Parametres!$B$5)^(2028-2018)</f>
        <v>29098438.859983787</v>
      </c>
      <c r="Q73" s="64">
        <f>$F73*(1+SIM_Parametres!$B$5)^(2029-2018)</f>
        <v>30029588.903503269</v>
      </c>
      <c r="R73" s="64">
        <f>$F73*(1+SIM_Parametres!$B$5)^(2030-2018)</f>
        <v>30990535.748415373</v>
      </c>
      <c r="S73" s="65">
        <f t="shared" ref="S73:S93" si="10">R73-F73</f>
        <v>9754535.7484153733</v>
      </c>
      <c r="T73" s="66">
        <f t="shared" ref="T73:T93" si="11">IFERROR(S73/F73,0)</f>
        <v>0.45933960013257552</v>
      </c>
      <c r="U73" s="67">
        <f t="shared" ref="U73:U93" si="12">SUM(D73:R73)</f>
        <v>380980777.88639593</v>
      </c>
      <c r="V73" s="62" t="s">
        <v>378</v>
      </c>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68" t="str">
        <f t="shared" si="8"/>
        <v/>
      </c>
      <c r="AY73" s="68">
        <f t="shared" si="9"/>
        <v>100</v>
      </c>
    </row>
    <row r="74" spans="1:51" ht="25.5" customHeight="1" x14ac:dyDescent="0.25">
      <c r="A74" s="55" t="s">
        <v>48</v>
      </c>
      <c r="B74" s="55" t="s">
        <v>444</v>
      </c>
      <c r="C74" s="55" t="s">
        <v>446</v>
      </c>
      <c r="D74" s="56">
        <v>18500000</v>
      </c>
      <c r="E74" s="56">
        <v>18381000</v>
      </c>
      <c r="F74" s="56">
        <v>17380000</v>
      </c>
      <c r="G74" s="57">
        <f>SUMIFS(SIM_Modele!$AH$4:$AH$855,SIM_Modele!$C$4:$C$855,$C74,SIM_Modele!$D$4:$D$855,2019)</f>
        <v>17936160</v>
      </c>
      <c r="H74" s="57">
        <f>SUMIFS(SIM_Modele!$AH$4:$AH$855,SIM_Modele!$C$4:$C$855,$C74,SIM_Modele!$D$4:$D$855,2020)</f>
        <v>18510117.120000005</v>
      </c>
      <c r="I74" s="57">
        <f>SUMIFS(SIM_Modele!$AH$4:$AH$855,SIM_Modele!$C$4:$C$855,$C74,SIM_Modele!$D$4:$D$855,2021)</f>
        <v>19102440.867839999</v>
      </c>
      <c r="J74" s="57">
        <f>SUMIFS(SIM_Modele!$AH$4:$AH$855,SIM_Modele!$C$4:$C$855,$C74,SIM_Modele!$D$4:$D$855,2022)</f>
        <v>19713718.975610867</v>
      </c>
      <c r="K74" s="57">
        <f>SUMIFS(SIM_Modele!$AH$4:$AH$855,SIM_Modele!$C$4:$C$855,$C74,SIM_Modele!$D$4:$D$855,2023)</f>
        <v>20344557.98283042</v>
      </c>
      <c r="L74" s="57">
        <f>SUMIFS(SIM_Modele!$AH$4:$AH$855,SIM_Modele!$C$4:$C$855,$C74,SIM_Modele!$D$4:$D$855,2024)</f>
        <v>20995583.838280994</v>
      </c>
      <c r="M74" s="57">
        <f>SUMIFS(SIM_Modele!$AH$4:$AH$855,SIM_Modele!$C$4:$C$855,$C74,SIM_Modele!$D$4:$D$855,2025)</f>
        <v>21667442.521105994</v>
      </c>
      <c r="N74" s="57">
        <f>SUMIFS(SIM_Modele!$AH$4:$AH$855,SIM_Modele!$C$4:$C$855,$C74,SIM_Modele!$D$4:$D$855,2026)</f>
        <v>20888332.532120373</v>
      </c>
      <c r="O74" s="57">
        <f>SUMIFS(SIM_Modele!$AH$4:$AH$855,SIM_Modele!$C$4:$C$855,$C74,SIM_Modele!$D$4:$D$855,2027)</f>
        <v>20196267.567169026</v>
      </c>
      <c r="P74" s="57">
        <f>SUMIFS(SIM_Modele!$AH$4:$AH$1068,SIM_Modele!$C$4:$C$1068,$C74,SIM_Modele!$D$4:$D$1068,2028)</f>
        <v>20012940.716443103</v>
      </c>
      <c r="Q74" s="57">
        <f>SUMIFS(SIM_Modele!$AH$4:$AH$1068,SIM_Modele!$C$4:$C$1068,$C74,SIM_Modele!$D$4:$D$1068,2029)</f>
        <v>20653354.819369279</v>
      </c>
      <c r="R74" s="64">
        <f>SUMIFS(SIM_Modele!$AH$4:$AH$1068,SIM_Modele!$C$4:$C$1068,$C74,SIM_Modele!$D$4:$D$1068,2030)</f>
        <v>21314262.173589103</v>
      </c>
      <c r="S74" s="58">
        <f t="shared" si="10"/>
        <v>3934262.1735891029</v>
      </c>
      <c r="T74" s="59">
        <f t="shared" si="11"/>
        <v>0.22636721367025908</v>
      </c>
      <c r="U74" s="60">
        <f t="shared" si="12"/>
        <v>295596179.1143592</v>
      </c>
      <c r="V74" s="55" t="s">
        <v>380</v>
      </c>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61" t="str">
        <f t="shared" si="8"/>
        <v/>
      </c>
      <c r="AY74" s="61">
        <f t="shared" si="9"/>
        <v>100</v>
      </c>
    </row>
    <row r="75" spans="1:51" ht="25.5" customHeight="1" x14ac:dyDescent="0.25">
      <c r="A75" s="62" t="s">
        <v>48</v>
      </c>
      <c r="B75" s="62" t="s">
        <v>444</v>
      </c>
      <c r="C75" s="62" t="s">
        <v>447</v>
      </c>
      <c r="D75" s="63">
        <v>15700000</v>
      </c>
      <c r="E75" s="63">
        <v>15326000</v>
      </c>
      <c r="F75" s="63">
        <v>14477000</v>
      </c>
      <c r="G75" s="64">
        <f>SUMIFS(SIM_Modele!$AH$4:$AH$855,SIM_Modele!$C$4:$C$855,$C75,SIM_Modele!$D$4:$D$855,2019)</f>
        <v>14940264</v>
      </c>
      <c r="H75" s="64">
        <f>SUMIFS(SIM_Modele!$AH$4:$AH$855,SIM_Modele!$C$4:$C$855,$C75,SIM_Modele!$D$4:$D$855,2020)</f>
        <v>15418352.448000008</v>
      </c>
      <c r="I75" s="64">
        <f>SUMIFS(SIM_Modele!$AH$4:$AH$855,SIM_Modele!$C$4:$C$855,$C75,SIM_Modele!$D$4:$D$855,2021)</f>
        <v>15911739.726336006</v>
      </c>
      <c r="J75" s="64">
        <f>SUMIFS(SIM_Modele!$AH$4:$AH$855,SIM_Modele!$C$4:$C$855,$C75,SIM_Modele!$D$4:$D$855,2022)</f>
        <v>16420915.397578748</v>
      </c>
      <c r="K75" s="64">
        <f>SUMIFS(SIM_Modele!$AH$4:$AH$855,SIM_Modele!$C$4:$C$855,$C75,SIM_Modele!$D$4:$D$855,2023)</f>
        <v>16946384.690301273</v>
      </c>
      <c r="L75" s="64">
        <f>SUMIFS(SIM_Modele!$AH$4:$AH$855,SIM_Modele!$C$4:$C$855,$C75,SIM_Modele!$D$4:$D$855,2024)</f>
        <v>17488669.000390913</v>
      </c>
      <c r="M75" s="64">
        <f>SUMIFS(SIM_Modele!$AH$4:$AH$855,SIM_Modele!$C$4:$C$855,$C75,SIM_Modele!$D$4:$D$855,2025)</f>
        <v>18048306.40840343</v>
      </c>
      <c r="N75" s="64">
        <f>SUMIFS(SIM_Modele!$AH$4:$AH$855,SIM_Modele!$C$4:$C$855,$C75,SIM_Modele!$D$4:$D$855,2026)</f>
        <v>17517667.789464168</v>
      </c>
      <c r="O75" s="64">
        <f>SUMIFS(SIM_Modele!$AH$4:$AH$855,SIM_Modele!$C$4:$C$855,$C75,SIM_Modele!$D$4:$D$855,2027)</f>
        <v>17054346.707422137</v>
      </c>
      <c r="P75" s="64">
        <f>SUMIFS(SIM_Modele!$AH$4:$AH$1068,SIM_Modele!$C$4:$C$1068,$C75,SIM_Modele!$D$4:$D$1068,2028)</f>
        <v>16955686.389951672</v>
      </c>
      <c r="Q75" s="64">
        <f>SUMIFS(SIM_Modele!$AH$4:$AH$1068,SIM_Modele!$C$4:$C$1068,$C75,SIM_Modele!$D$4:$D$1068,2029)</f>
        <v>17498268.354430124</v>
      </c>
      <c r="R75" s="64">
        <f>SUMIFS(SIM_Modele!$AH$4:$AH$1068,SIM_Modele!$C$4:$C$1068,$C75,SIM_Modele!$D$4:$D$1068,2030)</f>
        <v>18058212.941771891</v>
      </c>
      <c r="S75" s="65">
        <f t="shared" si="10"/>
        <v>3581212.941771891</v>
      </c>
      <c r="T75" s="66">
        <f t="shared" si="11"/>
        <v>0.24737258698431241</v>
      </c>
      <c r="U75" s="67">
        <f t="shared" si="12"/>
        <v>247761813.85405037</v>
      </c>
      <c r="V75" s="62" t="s">
        <v>380</v>
      </c>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68" t="str">
        <f t="shared" si="8"/>
        <v/>
      </c>
      <c r="AY75" s="68">
        <f t="shared" si="9"/>
        <v>100</v>
      </c>
    </row>
    <row r="76" spans="1:51" ht="25.5" customHeight="1" x14ac:dyDescent="0.25">
      <c r="A76" s="55" t="s">
        <v>48</v>
      </c>
      <c r="B76" s="55" t="s">
        <v>444</v>
      </c>
      <c r="C76" s="55" t="s">
        <v>448</v>
      </c>
      <c r="D76" s="56">
        <v>15700000</v>
      </c>
      <c r="E76" s="56">
        <v>16076000</v>
      </c>
      <c r="F76" s="56">
        <v>15220000</v>
      </c>
      <c r="G76" s="57">
        <f>SUMIFS(SIM_Modele!$AH$4:$AH$855,SIM_Modele!$C$4:$C$855,$C76,SIM_Modele!$D$4:$D$855,2019)</f>
        <v>15707040</v>
      </c>
      <c r="H76" s="57">
        <f>SUMIFS(SIM_Modele!$AH$4:$AH$855,SIM_Modele!$C$4:$C$855,$C76,SIM_Modele!$D$4:$D$855,2020)</f>
        <v>16209665.280000007</v>
      </c>
      <c r="I76" s="57">
        <f>SUMIFS(SIM_Modele!$AH$4:$AH$855,SIM_Modele!$C$4:$C$855,$C76,SIM_Modele!$D$4:$D$855,2021)</f>
        <v>16728374.568960004</v>
      </c>
      <c r="J76" s="57">
        <f>SUMIFS(SIM_Modele!$AH$4:$AH$855,SIM_Modele!$C$4:$C$855,$C76,SIM_Modele!$D$4:$D$855,2022)</f>
        <v>17263682.555166714</v>
      </c>
      <c r="K76" s="57">
        <f>SUMIFS(SIM_Modele!$AH$4:$AH$855,SIM_Modele!$C$4:$C$855,$C76,SIM_Modele!$D$4:$D$855,2023)</f>
        <v>17816120.396932054</v>
      </c>
      <c r="L76" s="57">
        <f>SUMIFS(SIM_Modele!$AH$4:$AH$855,SIM_Modele!$C$4:$C$855,$C76,SIM_Modele!$D$4:$D$855,2024)</f>
        <v>18386236.249633878</v>
      </c>
      <c r="M76" s="57">
        <f>SUMIFS(SIM_Modele!$AH$4:$AH$855,SIM_Modele!$C$4:$C$855,$C76,SIM_Modele!$D$4:$D$855,2025)</f>
        <v>18974595.809622169</v>
      </c>
      <c r="N76" s="57">
        <f>SUMIFS(SIM_Modele!$AH$4:$AH$855,SIM_Modele!$C$4:$C$855,$C76,SIM_Modele!$D$4:$D$855,2026)</f>
        <v>19191387.059390228</v>
      </c>
      <c r="O76" s="57">
        <f>SUMIFS(SIM_Modele!$AH$4:$AH$855,SIM_Modele!$C$4:$C$855,$C76,SIM_Modele!$D$4:$D$855,2027)</f>
        <v>19380733.070934042</v>
      </c>
      <c r="P76" s="57">
        <f>SUMIFS(SIM_Modele!$AH$4:$AH$1068,SIM_Modele!$C$4:$C$1068,$C76,SIM_Modele!$D$4:$D$1068,2028)</f>
        <v>19600573.498901114</v>
      </c>
      <c r="Q76" s="57">
        <f>SUMIFS(SIM_Modele!$AH$4:$AH$1068,SIM_Modele!$C$4:$C$1068,$C76,SIM_Modele!$D$4:$D$1068,2029)</f>
        <v>20227791.850865945</v>
      </c>
      <c r="R76" s="64">
        <f>SUMIFS(SIM_Modele!$AH$4:$AH$1068,SIM_Modele!$C$4:$C$1068,$C76,SIM_Modele!$D$4:$D$1068,2030)</f>
        <v>20875081.190093663</v>
      </c>
      <c r="S76" s="58">
        <f t="shared" si="10"/>
        <v>5655081.1900936626</v>
      </c>
      <c r="T76" s="59">
        <f t="shared" si="11"/>
        <v>0.37155592576173868</v>
      </c>
      <c r="U76" s="60">
        <f t="shared" si="12"/>
        <v>267357281.53049985</v>
      </c>
      <c r="V76" s="55" t="s">
        <v>380</v>
      </c>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61" t="str">
        <f t="shared" si="8"/>
        <v/>
      </c>
      <c r="AY76" s="61">
        <f t="shared" si="9"/>
        <v>100</v>
      </c>
    </row>
    <row r="77" spans="1:51" ht="25.5" customHeight="1" x14ac:dyDescent="0.25">
      <c r="A77" s="62" t="s">
        <v>48</v>
      </c>
      <c r="B77" s="62" t="s">
        <v>444</v>
      </c>
      <c r="C77" s="62" t="s">
        <v>449</v>
      </c>
      <c r="D77" s="63">
        <v>17300000</v>
      </c>
      <c r="E77" s="63">
        <v>16786000</v>
      </c>
      <c r="F77" s="63">
        <v>15921000</v>
      </c>
      <c r="G77" s="64">
        <f>SUMIFS(SIM_Modele!$AH$4:$AH$855,SIM_Modele!$C$4:$C$855,$C77,SIM_Modele!$D$4:$D$855,2019)</f>
        <v>16430472</v>
      </c>
      <c r="H77" s="64">
        <f>SUMIFS(SIM_Modele!$AH$4:$AH$855,SIM_Modele!$C$4:$C$855,$C77,SIM_Modele!$D$4:$D$855,2020)</f>
        <v>16956247.104000006</v>
      </c>
      <c r="I77" s="64">
        <f>SUMIFS(SIM_Modele!$AH$4:$AH$855,SIM_Modele!$C$4:$C$855,$C77,SIM_Modele!$D$4:$D$855,2021)</f>
        <v>17498847.011328004</v>
      </c>
      <c r="J77" s="64">
        <f>SUMIFS(SIM_Modele!$AH$4:$AH$855,SIM_Modele!$C$4:$C$855,$C77,SIM_Modele!$D$4:$D$855,2022)</f>
        <v>18058810.115690488</v>
      </c>
      <c r="K77" s="64">
        <f>SUMIFS(SIM_Modele!$AH$4:$AH$855,SIM_Modele!$C$4:$C$855,$C77,SIM_Modele!$D$4:$D$855,2023)</f>
        <v>18636692.039392587</v>
      </c>
      <c r="L77" s="64">
        <f>SUMIFS(SIM_Modele!$AH$4:$AH$855,SIM_Modele!$C$4:$C$855,$C77,SIM_Modele!$D$4:$D$855,2024)</f>
        <v>19233066.184653148</v>
      </c>
      <c r="M77" s="64">
        <f>SUMIFS(SIM_Modele!$AH$4:$AH$855,SIM_Modele!$C$4:$C$855,$C77,SIM_Modele!$D$4:$D$855,2025)</f>
        <v>19848524.302562054</v>
      </c>
      <c r="N77" s="64">
        <f>SUMIFS(SIM_Modele!$AH$4:$AH$855,SIM_Modele!$C$4:$C$855,$C77,SIM_Modele!$D$4:$D$855,2026)</f>
        <v>19134818.310925685</v>
      </c>
      <c r="O77" s="64">
        <f>SUMIFS(SIM_Modele!$AH$4:$AH$855,SIM_Modele!$C$4:$C$855,$C77,SIM_Modele!$D$4:$D$855,2027)</f>
        <v>18424080.346442185</v>
      </c>
      <c r="P77" s="64">
        <f>SUMIFS(SIM_Modele!$AH$4:$AH$1068,SIM_Modele!$C$4:$C$1068,$C77,SIM_Modele!$D$4:$D$1068,2028)</f>
        <v>17875753.646234445</v>
      </c>
      <c r="Q77" s="64">
        <f>SUMIFS(SIM_Modele!$AH$4:$AH$1068,SIM_Modele!$C$4:$C$1068,$C77,SIM_Modele!$D$4:$D$1068,2029)</f>
        <v>18447777.762913946</v>
      </c>
      <c r="R77" s="64">
        <f>SUMIFS(SIM_Modele!$AH$4:$AH$1068,SIM_Modele!$C$4:$C$1068,$C77,SIM_Modele!$D$4:$D$1068,2030)</f>
        <v>19038106.651327197</v>
      </c>
      <c r="S77" s="65">
        <f t="shared" si="10"/>
        <v>3117106.6513271965</v>
      </c>
      <c r="T77" s="66">
        <f t="shared" si="11"/>
        <v>0.1957858583837194</v>
      </c>
      <c r="U77" s="67">
        <f t="shared" si="12"/>
        <v>269590195.47546977</v>
      </c>
      <c r="V77" s="62" t="s">
        <v>380</v>
      </c>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68" t="str">
        <f t="shared" si="8"/>
        <v/>
      </c>
      <c r="AY77" s="68">
        <f t="shared" si="9"/>
        <v>100</v>
      </c>
    </row>
    <row r="78" spans="1:51" ht="25.5" customHeight="1" x14ac:dyDescent="0.25">
      <c r="A78" s="55" t="s">
        <v>48</v>
      </c>
      <c r="B78" s="55" t="s">
        <v>444</v>
      </c>
      <c r="C78" s="55" t="s">
        <v>450</v>
      </c>
      <c r="D78" s="56">
        <v>16600000</v>
      </c>
      <c r="E78" s="56">
        <v>16397000</v>
      </c>
      <c r="F78" s="56">
        <v>15477000</v>
      </c>
      <c r="G78" s="57">
        <f>SUMIFS(SIM_Modele!$AH$4:$AH$855,SIM_Modele!$C$4:$C$855,$C78,SIM_Modele!$D$4:$D$855,2019)</f>
        <v>15972263.999999998</v>
      </c>
      <c r="H78" s="57">
        <f>SUMIFS(SIM_Modele!$AH$4:$AH$855,SIM_Modele!$C$4:$C$855,$C78,SIM_Modele!$D$4:$D$855,2020)</f>
        <v>16483376.448000006</v>
      </c>
      <c r="I78" s="57">
        <f>SUMIFS(SIM_Modele!$AH$4:$AH$855,SIM_Modele!$C$4:$C$855,$C78,SIM_Modele!$D$4:$D$855,2021)</f>
        <v>17010844.494336002</v>
      </c>
      <c r="J78" s="57">
        <f>SUMIFS(SIM_Modele!$AH$4:$AH$855,SIM_Modele!$C$4:$C$855,$C78,SIM_Modele!$D$4:$D$855,2022)</f>
        <v>17555191.518154744</v>
      </c>
      <c r="K78" s="57">
        <f>SUMIFS(SIM_Modele!$AH$4:$AH$855,SIM_Modele!$C$4:$C$855,$C78,SIM_Modele!$D$4:$D$855,2023)</f>
        <v>18116957.646735698</v>
      </c>
      <c r="L78" s="57">
        <f>SUMIFS(SIM_Modele!$AH$4:$AH$855,SIM_Modele!$C$4:$C$855,$C78,SIM_Modele!$D$4:$D$855,2024)</f>
        <v>18696700.291431241</v>
      </c>
      <c r="M78" s="57">
        <f>SUMIFS(SIM_Modele!$AH$4:$AH$855,SIM_Modele!$C$4:$C$855,$C78,SIM_Modele!$D$4:$D$855,2025)</f>
        <v>19294994.700757049</v>
      </c>
      <c r="N78" s="57">
        <f>SUMIFS(SIM_Modele!$AH$4:$AH$855,SIM_Modele!$C$4:$C$855,$C78,SIM_Modele!$D$4:$D$855,2026)</f>
        <v>19037625.873904835</v>
      </c>
      <c r="O78" s="57">
        <f>SUMIFS(SIM_Modele!$AH$4:$AH$855,SIM_Modele!$C$4:$C$855,$C78,SIM_Modele!$D$4:$D$855,2027)</f>
        <v>18812930.088588957</v>
      </c>
      <c r="P78" s="57">
        <f>SUMIFS(SIM_Modele!$AH$4:$AH$1068,SIM_Modele!$C$4:$C$1068,$C78,SIM_Modele!$D$4:$D$1068,2028)</f>
        <v>18836904.822224699</v>
      </c>
      <c r="Q78" s="57">
        <f>SUMIFS(SIM_Modele!$AH$4:$AH$1068,SIM_Modele!$C$4:$C$1068,$C78,SIM_Modele!$D$4:$D$1068,2029)</f>
        <v>19439685.776535887</v>
      </c>
      <c r="R78" s="64">
        <f>SUMIFS(SIM_Modele!$AH$4:$AH$1068,SIM_Modele!$C$4:$C$1068,$C78,SIM_Modele!$D$4:$D$1068,2030)</f>
        <v>20061755.721385039</v>
      </c>
      <c r="S78" s="58">
        <f t="shared" si="10"/>
        <v>4584755.7213850394</v>
      </c>
      <c r="T78" s="59">
        <f t="shared" si="11"/>
        <v>0.29623025918362988</v>
      </c>
      <c r="U78" s="60">
        <f t="shared" si="12"/>
        <v>267793231.38205418</v>
      </c>
      <c r="V78" s="55" t="s">
        <v>380</v>
      </c>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61" t="str">
        <f t="shared" si="8"/>
        <v/>
      </c>
      <c r="AY78" s="61">
        <f t="shared" si="9"/>
        <v>100</v>
      </c>
    </row>
    <row r="79" spans="1:51" ht="25.5" customHeight="1" x14ac:dyDescent="0.25">
      <c r="A79" s="62" t="s">
        <v>48</v>
      </c>
      <c r="B79" s="62" t="s">
        <v>444</v>
      </c>
      <c r="C79" s="62" t="s">
        <v>451</v>
      </c>
      <c r="D79" s="63">
        <v>17580000</v>
      </c>
      <c r="E79" s="63">
        <v>17791000</v>
      </c>
      <c r="F79" s="63">
        <v>17147000</v>
      </c>
      <c r="G79" s="64">
        <f>SUMIFS(SIM_Modele!$AH$4:$AH$855,SIM_Modele!$C$4:$C$855,$C79,SIM_Modele!$D$4:$D$855,2019)</f>
        <v>17695704</v>
      </c>
      <c r="H79" s="64">
        <f>SUMIFS(SIM_Modele!$AH$4:$AH$855,SIM_Modele!$C$4:$C$855,$C79,SIM_Modele!$D$4:$D$855,2020)</f>
        <v>18261966.528000008</v>
      </c>
      <c r="I79" s="64">
        <f>SUMIFS(SIM_Modele!$AH$4:$AH$855,SIM_Modele!$C$4:$C$855,$C79,SIM_Modele!$D$4:$D$855,2021)</f>
        <v>18846349.456896003</v>
      </c>
      <c r="J79" s="64">
        <f>SUMIFS(SIM_Modele!$AH$4:$AH$855,SIM_Modele!$C$4:$C$855,$C79,SIM_Modele!$D$4:$D$855,2022)</f>
        <v>19449432.639516663</v>
      </c>
      <c r="K79" s="64">
        <f>SUMIFS(SIM_Modele!$AH$4:$AH$855,SIM_Modele!$C$4:$C$855,$C79,SIM_Modele!$D$4:$D$855,2023)</f>
        <v>20071814.4839812</v>
      </c>
      <c r="L79" s="64">
        <f>SUMIFS(SIM_Modele!$AH$4:$AH$855,SIM_Modele!$C$4:$C$855,$C79,SIM_Modele!$D$4:$D$855,2024)</f>
        <v>20714112.547468599</v>
      </c>
      <c r="M79" s="64">
        <f>SUMIFS(SIM_Modele!$AH$4:$AH$855,SIM_Modele!$C$4:$C$855,$C79,SIM_Modele!$D$4:$D$855,2025)</f>
        <v>21376964.148987602</v>
      </c>
      <c r="N79" s="64">
        <f>SUMIFS(SIM_Modele!$AH$4:$AH$855,SIM_Modele!$C$4:$C$855,$C79,SIM_Modele!$D$4:$D$855,2026)</f>
        <v>24583508.77133574</v>
      </c>
      <c r="O79" s="64">
        <f>SUMIFS(SIM_Modele!$AH$4:$AH$855,SIM_Modele!$C$4:$C$855,$C79,SIM_Modele!$D$4:$D$855,2027)</f>
        <v>28271035.087036099</v>
      </c>
      <c r="P79" s="64">
        <f>SUMIFS(SIM_Modele!$AH$4:$AH$1068,SIM_Modele!$C$4:$C$1068,$C79,SIM_Modele!$D$4:$D$1068,2028)</f>
        <v>31838106.265081681</v>
      </c>
      <c r="Q79" s="64">
        <f>SUMIFS(SIM_Modele!$AH$4:$AH$1068,SIM_Modele!$C$4:$C$1068,$C79,SIM_Modele!$D$4:$D$1068,2029)</f>
        <v>32856925.665564291</v>
      </c>
      <c r="R79" s="64">
        <f>SUMIFS(SIM_Modele!$AH$4:$AH$1068,SIM_Modele!$C$4:$C$1068,$C79,SIM_Modele!$D$4:$D$1068,2030)</f>
        <v>33908347.286862358</v>
      </c>
      <c r="S79" s="65">
        <f t="shared" si="10"/>
        <v>16761347.286862358</v>
      </c>
      <c r="T79" s="66">
        <f t="shared" si="11"/>
        <v>0.97750902705209997</v>
      </c>
      <c r="U79" s="67">
        <f t="shared" si="12"/>
        <v>340392266.88073027</v>
      </c>
      <c r="V79" s="62" t="s">
        <v>380</v>
      </c>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68" t="str">
        <f t="shared" si="8"/>
        <v/>
      </c>
      <c r="AY79" s="68">
        <f t="shared" si="9"/>
        <v>100</v>
      </c>
    </row>
    <row r="80" spans="1:51" ht="25.5" customHeight="1" x14ac:dyDescent="0.25">
      <c r="A80" s="55" t="s">
        <v>343</v>
      </c>
      <c r="B80" s="55" t="s">
        <v>452</v>
      </c>
      <c r="C80" s="55" t="s">
        <v>453</v>
      </c>
      <c r="D80" s="56">
        <v>84800000</v>
      </c>
      <c r="E80" s="56">
        <v>78130000</v>
      </c>
      <c r="F80" s="56">
        <v>76107000</v>
      </c>
      <c r="G80" s="57">
        <f>$F80*(1+SIM_Parametres!$B$5)^(2019-2018)</f>
        <v>78542424</v>
      </c>
      <c r="H80" s="57">
        <f>$F80*(1+SIM_Parametres!$B$5)^(2020-2018)</f>
        <v>81055781.568000004</v>
      </c>
      <c r="I80" s="57">
        <f>$F80*(1+SIM_Parametres!$B$5)^(2021-2018)</f>
        <v>83649566.578175992</v>
      </c>
      <c r="J80" s="57">
        <f>$F80*(1+SIM_Parametres!$B$5)^(2022-2018)</f>
        <v>86326352.70867762</v>
      </c>
      <c r="K80" s="57">
        <f>$F80*(1+SIM_Parametres!$B$5)^(2023-2018)</f>
        <v>89088795.995355323</v>
      </c>
      <c r="L80" s="57">
        <f>$F80*(1+SIM_Parametres!$B$5)^(2024-2018)</f>
        <v>91939637.467206672</v>
      </c>
      <c r="M80" s="57">
        <f>$F80*(1+SIM_Parametres!$B$5)^(2025-2018)</f>
        <v>94881705.866157278</v>
      </c>
      <c r="N80" s="57">
        <f>$F80*(1+SIM_Parametres!$B$5)^(2026-2018)</f>
        <v>97917920.45387432</v>
      </c>
      <c r="O80" s="57">
        <f>$F80*(1+SIM_Parametres!$B$5)^(2027-2018)</f>
        <v>101051293.90839832</v>
      </c>
      <c r="P80" s="57">
        <f>$F80*(1+SIM_Parametres!$B$5)^(2028-2018)</f>
        <v>104284935.31346704</v>
      </c>
      <c r="Q80" s="57">
        <f>$F80*(1+SIM_Parametres!$B$5)^(2029-2018)</f>
        <v>107622053.24349798</v>
      </c>
      <c r="R80" s="64">
        <f>$F80*(1+SIM_Parametres!$B$5)^(2030-2018)</f>
        <v>111065958.94728993</v>
      </c>
      <c r="S80" s="58">
        <f t="shared" si="10"/>
        <v>34958958.947289929</v>
      </c>
      <c r="T80" s="59">
        <f t="shared" si="11"/>
        <v>0.45933960013257558</v>
      </c>
      <c r="U80" s="60">
        <f t="shared" si="12"/>
        <v>1366463426.0501008</v>
      </c>
      <c r="V80" s="55" t="s">
        <v>378</v>
      </c>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61" t="str">
        <f t="shared" si="8"/>
        <v/>
      </c>
      <c r="AY80" s="61">
        <f t="shared" si="9"/>
        <v>100</v>
      </c>
    </row>
    <row r="81" spans="1:51" ht="25.5" customHeight="1" x14ac:dyDescent="0.25">
      <c r="A81" s="62" t="s">
        <v>48</v>
      </c>
      <c r="B81" s="62" t="s">
        <v>452</v>
      </c>
      <c r="C81" s="62" t="s">
        <v>454</v>
      </c>
      <c r="D81" s="63">
        <v>22700000</v>
      </c>
      <c r="E81" s="63">
        <v>20713000</v>
      </c>
      <c r="F81" s="63">
        <v>16932000</v>
      </c>
      <c r="G81" s="64">
        <f>SUMIFS(SIM_Modele!$AH$4:$AH$855,SIM_Modele!$C$4:$C$855,$C81,SIM_Modele!$D$4:$D$855,2019)</f>
        <v>17473824</v>
      </c>
      <c r="H81" s="64">
        <f>SUMIFS(SIM_Modele!$AH$4:$AH$855,SIM_Modele!$C$4:$C$855,$C81,SIM_Modele!$D$4:$D$855,2020)</f>
        <v>18032986.368000008</v>
      </c>
      <c r="I81" s="64">
        <f>SUMIFS(SIM_Modele!$AH$4:$AH$855,SIM_Modele!$C$4:$C$855,$C81,SIM_Modele!$D$4:$D$855,2021)</f>
        <v>18610041.931776006</v>
      </c>
      <c r="J81" s="64">
        <f>SUMIFS(SIM_Modele!$AH$4:$AH$855,SIM_Modele!$C$4:$C$855,$C81,SIM_Modele!$D$4:$D$855,2022)</f>
        <v>19205563.27359283</v>
      </c>
      <c r="K81" s="64">
        <f>SUMIFS(SIM_Modele!$AH$4:$AH$855,SIM_Modele!$C$4:$C$855,$C81,SIM_Modele!$D$4:$D$855,2023)</f>
        <v>19820141.298347805</v>
      </c>
      <c r="L81" s="64">
        <f>SUMIFS(SIM_Modele!$AH$4:$AH$855,SIM_Modele!$C$4:$C$855,$C81,SIM_Modele!$D$4:$D$855,2024)</f>
        <v>20454385.819894932</v>
      </c>
      <c r="M81" s="64">
        <f>SUMIFS(SIM_Modele!$AH$4:$AH$855,SIM_Modele!$C$4:$C$855,$C81,SIM_Modele!$D$4:$D$855,2025)</f>
        <v>21108926.166131578</v>
      </c>
      <c r="N81" s="64">
        <f>SUMIFS(SIM_Modele!$AH$4:$AH$855,SIM_Modele!$C$4:$C$855,$C81,SIM_Modele!$D$4:$D$855,2026)</f>
        <v>20349899.10436492</v>
      </c>
      <c r="O81" s="64">
        <f>SUMIFS(SIM_Modele!$AH$4:$AH$855,SIM_Modele!$C$4:$C$855,$C81,SIM_Modele!$D$4:$D$855,2027)</f>
        <v>19594028.542551305</v>
      </c>
      <c r="P81" s="64">
        <f>SUMIFS(SIM_Modele!$AH$4:$AH$1068,SIM_Modele!$C$4:$C$1068,$C81,SIM_Modele!$D$4:$D$1068,2028)</f>
        <v>16515999.06842988</v>
      </c>
      <c r="Q81" s="64">
        <f>SUMIFS(SIM_Modele!$AH$4:$AH$1068,SIM_Modele!$C$4:$C$1068,$C81,SIM_Modele!$D$4:$D$1068,2029)</f>
        <v>17044511.038619637</v>
      </c>
      <c r="R81" s="64">
        <f>SUMIFS(SIM_Modele!$AH$4:$AH$1068,SIM_Modele!$C$4:$C$1068,$C81,SIM_Modele!$D$4:$D$1068,2030)</f>
        <v>17589935.391855467</v>
      </c>
      <c r="S81" s="65">
        <f t="shared" si="10"/>
        <v>657935.39185546711</v>
      </c>
      <c r="T81" s="66">
        <f t="shared" si="11"/>
        <v>3.8857511921537156E-2</v>
      </c>
      <c r="U81" s="67">
        <f t="shared" si="12"/>
        <v>286145242.00356442</v>
      </c>
      <c r="V81" s="62" t="s">
        <v>380</v>
      </c>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68" t="str">
        <f t="shared" si="8"/>
        <v/>
      </c>
      <c r="AY81" s="68">
        <f t="shared" si="9"/>
        <v>100</v>
      </c>
    </row>
    <row r="82" spans="1:51" ht="25.5" customHeight="1" x14ac:dyDescent="0.25">
      <c r="A82" s="55" t="s">
        <v>48</v>
      </c>
      <c r="B82" s="55" t="s">
        <v>452</v>
      </c>
      <c r="C82" s="55" t="s">
        <v>455</v>
      </c>
      <c r="D82" s="56">
        <v>18950000</v>
      </c>
      <c r="E82" s="56">
        <v>17891000</v>
      </c>
      <c r="F82" s="56">
        <v>17235000</v>
      </c>
      <c r="G82" s="57">
        <f>SUMIFS(SIM_Modele!$AH$4:$AH$855,SIM_Modele!$C$4:$C$855,$C82,SIM_Modele!$D$4:$D$855,2019)</f>
        <v>17786520</v>
      </c>
      <c r="H82" s="57">
        <f>SUMIFS(SIM_Modele!$AH$4:$AH$855,SIM_Modele!$C$4:$C$855,$C82,SIM_Modele!$D$4:$D$855,2020)</f>
        <v>18355688.640000008</v>
      </c>
      <c r="I82" s="57">
        <f>SUMIFS(SIM_Modele!$AH$4:$AH$855,SIM_Modele!$C$4:$C$855,$C82,SIM_Modele!$D$4:$D$855,2021)</f>
        <v>18943070.676480006</v>
      </c>
      <c r="J82" s="57">
        <f>SUMIFS(SIM_Modele!$AH$4:$AH$855,SIM_Modele!$C$4:$C$855,$C82,SIM_Modele!$D$4:$D$855,2022)</f>
        <v>19549248.938127354</v>
      </c>
      <c r="K82" s="57">
        <f>SUMIFS(SIM_Modele!$AH$4:$AH$855,SIM_Modele!$C$4:$C$855,$C82,SIM_Modele!$D$4:$D$855,2023)</f>
        <v>20174824.904147431</v>
      </c>
      <c r="L82" s="57">
        <f>SUMIFS(SIM_Modele!$AH$4:$AH$855,SIM_Modele!$C$4:$C$855,$C82,SIM_Modele!$D$4:$D$855,2024)</f>
        <v>20820419.301080149</v>
      </c>
      <c r="M82" s="57">
        <f>SUMIFS(SIM_Modele!$AH$4:$AH$855,SIM_Modele!$C$4:$C$855,$C82,SIM_Modele!$D$4:$D$855,2025)</f>
        <v>21486672.718714722</v>
      </c>
      <c r="N82" s="57">
        <f>SUMIFS(SIM_Modele!$AH$4:$AH$855,SIM_Modele!$C$4:$C$855,$C82,SIM_Modele!$D$4:$D$855,2026)</f>
        <v>20943061.631483208</v>
      </c>
      <c r="O82" s="57">
        <f>SUMIFS(SIM_Modele!$AH$4:$AH$855,SIM_Modele!$C$4:$C$855,$C82,SIM_Modele!$D$4:$D$855,2027)</f>
        <v>20468420.292076662</v>
      </c>
      <c r="P82" s="57">
        <f>SUMIFS(SIM_Modele!$AH$4:$AH$1068,SIM_Modele!$C$4:$C$1068,$C82,SIM_Modele!$D$4:$D$1068,2028)</f>
        <v>20387770.14539852</v>
      </c>
      <c r="Q82" s="57">
        <f>SUMIFS(SIM_Modele!$AH$4:$AH$1068,SIM_Modele!$C$4:$C$1068,$C82,SIM_Modele!$D$4:$D$1068,2029)</f>
        <v>21040178.79005127</v>
      </c>
      <c r="R82" s="64">
        <f>SUMIFS(SIM_Modele!$AH$4:$AH$1068,SIM_Modele!$C$4:$C$1068,$C82,SIM_Modele!$D$4:$D$1068,2030)</f>
        <v>21713464.511332918</v>
      </c>
      <c r="S82" s="58">
        <f t="shared" si="10"/>
        <v>4478464.511332918</v>
      </c>
      <c r="T82" s="59">
        <f t="shared" si="11"/>
        <v>0.2598470850787884</v>
      </c>
      <c r="U82" s="60">
        <f t="shared" si="12"/>
        <v>295745340.54889226</v>
      </c>
      <c r="V82" s="55" t="s">
        <v>380</v>
      </c>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61" t="str">
        <f t="shared" si="8"/>
        <v/>
      </c>
      <c r="AY82" s="61">
        <f t="shared" si="9"/>
        <v>100</v>
      </c>
    </row>
    <row r="83" spans="1:51" ht="25.5" customHeight="1" x14ac:dyDescent="0.25">
      <c r="A83" s="62" t="s">
        <v>48</v>
      </c>
      <c r="B83" s="62" t="s">
        <v>452</v>
      </c>
      <c r="C83" s="62" t="s">
        <v>456</v>
      </c>
      <c r="D83" s="63">
        <v>17750000</v>
      </c>
      <c r="E83" s="63">
        <v>16396000</v>
      </c>
      <c r="F83" s="63">
        <v>15608000</v>
      </c>
      <c r="G83" s="64">
        <f>SUMIFS(SIM_Modele!$AH$4:$AH$855,SIM_Modele!$C$4:$C$855,$C83,SIM_Modele!$D$4:$D$855,2019)</f>
        <v>16107456</v>
      </c>
      <c r="H83" s="64">
        <f>SUMIFS(SIM_Modele!$AH$4:$AH$855,SIM_Modele!$C$4:$C$855,$C83,SIM_Modele!$D$4:$D$855,2020)</f>
        <v>16622894.592000008</v>
      </c>
      <c r="I83" s="64">
        <f>SUMIFS(SIM_Modele!$AH$4:$AH$855,SIM_Modele!$C$4:$C$855,$C83,SIM_Modele!$D$4:$D$855,2021)</f>
        <v>17154827.218944006</v>
      </c>
      <c r="J83" s="64">
        <f>SUMIFS(SIM_Modele!$AH$4:$AH$855,SIM_Modele!$C$4:$C$855,$C83,SIM_Modele!$D$4:$D$855,2022)</f>
        <v>17703781.689950202</v>
      </c>
      <c r="K83" s="64">
        <f>SUMIFS(SIM_Modele!$AH$4:$AH$855,SIM_Modele!$C$4:$C$855,$C83,SIM_Modele!$D$4:$D$855,2023)</f>
        <v>18270302.704028614</v>
      </c>
      <c r="L83" s="64">
        <f>SUMIFS(SIM_Modele!$AH$4:$AH$855,SIM_Modele!$C$4:$C$855,$C83,SIM_Modele!$D$4:$D$855,2024)</f>
        <v>18854952.390557528</v>
      </c>
      <c r="M83" s="64">
        <f>SUMIFS(SIM_Modele!$AH$4:$AH$855,SIM_Modele!$C$4:$C$855,$C83,SIM_Modele!$D$4:$D$855,2025)</f>
        <v>19458310.867055375</v>
      </c>
      <c r="N83" s="64">
        <f>SUMIFS(SIM_Modele!$AH$4:$AH$855,SIM_Modele!$C$4:$C$855,$C83,SIM_Modele!$D$4:$D$855,2026)</f>
        <v>22377057.497113679</v>
      </c>
      <c r="O83" s="64">
        <f>SUMIFS(SIM_Modele!$AH$4:$AH$855,SIM_Modele!$C$4:$C$855,$C83,SIM_Modele!$D$4:$D$855,2027)</f>
        <v>25733616.121680729</v>
      </c>
      <c r="P83" s="64">
        <f>SUMIFS(SIM_Modele!$AH$4:$AH$1068,SIM_Modele!$C$4:$C$1068,$C83,SIM_Modele!$D$4:$D$1068,2028)</f>
        <v>35021644.344404131</v>
      </c>
      <c r="Q83" s="64">
        <f>SUMIFS(SIM_Modele!$AH$4:$AH$1068,SIM_Modele!$C$4:$C$1068,$C83,SIM_Modele!$D$4:$D$1068,2029)</f>
        <v>36142336.963425055</v>
      </c>
      <c r="R83" s="64">
        <f>SUMIFS(SIM_Modele!$AH$4:$AH$1068,SIM_Modele!$C$4:$C$1068,$C83,SIM_Modele!$D$4:$D$1068,2030)</f>
        <v>37298891.746254675</v>
      </c>
      <c r="S83" s="65">
        <f t="shared" si="10"/>
        <v>21690891.746254675</v>
      </c>
      <c r="T83" s="66">
        <f t="shared" si="11"/>
        <v>1.3897290970178546</v>
      </c>
      <c r="U83" s="67">
        <f t="shared" si="12"/>
        <v>330500072.135414</v>
      </c>
      <c r="V83" s="62" t="s">
        <v>380</v>
      </c>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68" t="str">
        <f t="shared" si="8"/>
        <v/>
      </c>
      <c r="AY83" s="68">
        <f t="shared" si="9"/>
        <v>100</v>
      </c>
    </row>
    <row r="84" spans="1:51" ht="25.5" customHeight="1" x14ac:dyDescent="0.25">
      <c r="A84" s="55" t="s">
        <v>48</v>
      </c>
      <c r="B84" s="55" t="s">
        <v>452</v>
      </c>
      <c r="C84" s="55" t="s">
        <v>457</v>
      </c>
      <c r="D84" s="56">
        <v>17200000</v>
      </c>
      <c r="E84" s="56">
        <v>15695000</v>
      </c>
      <c r="F84" s="56">
        <v>15326000</v>
      </c>
      <c r="G84" s="57">
        <f>SUMIFS(SIM_Modele!$AH$4:$AH$855,SIM_Modele!$C$4:$C$855,$C84,SIM_Modele!$D$4:$D$855,2019)</f>
        <v>15816432</v>
      </c>
      <c r="H84" s="57">
        <f>SUMIFS(SIM_Modele!$AH$4:$AH$855,SIM_Modele!$C$4:$C$855,$C84,SIM_Modele!$D$4:$D$855,2020)</f>
        <v>16322557.824000008</v>
      </c>
      <c r="I84" s="57">
        <f>SUMIFS(SIM_Modele!$AH$4:$AH$855,SIM_Modele!$C$4:$C$855,$C84,SIM_Modele!$D$4:$D$855,2021)</f>
        <v>16844879.674368005</v>
      </c>
      <c r="J84" s="57">
        <f>SUMIFS(SIM_Modele!$AH$4:$AH$855,SIM_Modele!$C$4:$C$855,$C84,SIM_Modele!$D$4:$D$855,2022)</f>
        <v>17383915.823947772</v>
      </c>
      <c r="K84" s="57">
        <f>SUMIFS(SIM_Modele!$AH$4:$AH$855,SIM_Modele!$C$4:$C$855,$C84,SIM_Modele!$D$4:$D$855,2023)</f>
        <v>17940201.130314104</v>
      </c>
      <c r="L84" s="57">
        <f>SUMIFS(SIM_Modele!$AH$4:$AH$855,SIM_Modele!$C$4:$C$855,$C84,SIM_Modele!$D$4:$D$855,2024)</f>
        <v>18514287.566484153</v>
      </c>
      <c r="M84" s="57">
        <f>SUMIFS(SIM_Modele!$AH$4:$AH$855,SIM_Modele!$C$4:$C$855,$C84,SIM_Modele!$D$4:$D$855,2025)</f>
        <v>19106744.768611655</v>
      </c>
      <c r="N84" s="57">
        <f>SUMIFS(SIM_Modele!$AH$4:$AH$855,SIM_Modele!$C$4:$C$855,$C84,SIM_Modele!$D$4:$D$855,2026)</f>
        <v>18419711.414687973</v>
      </c>
      <c r="O84" s="57">
        <f>SUMIFS(SIM_Modele!$AH$4:$AH$855,SIM_Modele!$C$4:$C$855,$C84,SIM_Modele!$D$4:$D$855,2027)</f>
        <v>17735535.16673407</v>
      </c>
      <c r="P84" s="57">
        <f>SUMIFS(SIM_Modele!$AH$4:$AH$1068,SIM_Modele!$C$4:$C$1068,$C84,SIM_Modele!$D$4:$D$1068,2028)</f>
        <v>15999310.469771111</v>
      </c>
      <c r="Q84" s="57">
        <f>SUMIFS(SIM_Modele!$AH$4:$AH$1068,SIM_Modele!$C$4:$C$1068,$C84,SIM_Modele!$D$4:$D$1068,2029)</f>
        <v>16511288.404803786</v>
      </c>
      <c r="R84" s="64">
        <f>SUMIFS(SIM_Modele!$AH$4:$AH$1068,SIM_Modele!$C$4:$C$1068,$C84,SIM_Modele!$D$4:$D$1068,2030)</f>
        <v>17039649.633757509</v>
      </c>
      <c r="S84" s="58">
        <f t="shared" si="10"/>
        <v>1713649.6337575093</v>
      </c>
      <c r="T84" s="59">
        <f t="shared" si="11"/>
        <v>0.11181323461813319</v>
      </c>
      <c r="U84" s="60">
        <f t="shared" si="12"/>
        <v>255855513.87748012</v>
      </c>
      <c r="V84" s="55" t="s">
        <v>380</v>
      </c>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61" t="str">
        <f t="shared" si="8"/>
        <v/>
      </c>
      <c r="AY84" s="61">
        <f t="shared" si="9"/>
        <v>100</v>
      </c>
    </row>
    <row r="85" spans="1:51" ht="25.5" customHeight="1" x14ac:dyDescent="0.25">
      <c r="A85" s="62" t="s">
        <v>48</v>
      </c>
      <c r="B85" s="62" t="s">
        <v>452</v>
      </c>
      <c r="C85" s="62" t="s">
        <v>458</v>
      </c>
      <c r="D85" s="63">
        <v>15900000</v>
      </c>
      <c r="E85" s="63">
        <v>15508000</v>
      </c>
      <c r="F85" s="63">
        <v>14575000</v>
      </c>
      <c r="G85" s="64">
        <f>SUMIFS(SIM_Modele!$AH$4:$AH$855,SIM_Modele!$C$4:$C$855,$C85,SIM_Modele!$D$4:$D$855,2019)</f>
        <v>15041400</v>
      </c>
      <c r="H85" s="64">
        <f>SUMIFS(SIM_Modele!$AH$4:$AH$855,SIM_Modele!$C$4:$C$855,$C85,SIM_Modele!$D$4:$D$855,2020)</f>
        <v>15522724.800000008</v>
      </c>
      <c r="I85" s="64">
        <f>SUMIFS(SIM_Modele!$AH$4:$AH$855,SIM_Modele!$C$4:$C$855,$C85,SIM_Modele!$D$4:$D$855,2021)</f>
        <v>16019451.993600005</v>
      </c>
      <c r="J85" s="64">
        <f>SUMIFS(SIM_Modele!$AH$4:$AH$855,SIM_Modele!$C$4:$C$855,$C85,SIM_Modele!$D$4:$D$855,2022)</f>
        <v>16532074.457395196</v>
      </c>
      <c r="K85" s="64">
        <f>SUMIFS(SIM_Modele!$AH$4:$AH$855,SIM_Modele!$C$4:$C$855,$C85,SIM_Modele!$D$4:$D$855,2023)</f>
        <v>17061100.840031847</v>
      </c>
      <c r="L85" s="64">
        <f>SUMIFS(SIM_Modele!$AH$4:$AH$855,SIM_Modele!$C$4:$C$855,$C85,SIM_Modele!$D$4:$D$855,2024)</f>
        <v>17607056.066912867</v>
      </c>
      <c r="M85" s="64">
        <f>SUMIFS(SIM_Modele!$AH$4:$AH$855,SIM_Modele!$C$4:$C$855,$C85,SIM_Modele!$D$4:$D$855,2025)</f>
        <v>18170481.861054085</v>
      </c>
      <c r="N85" s="64">
        <f>SUMIFS(SIM_Modele!$AH$4:$AH$855,SIM_Modele!$C$4:$C$855,$C85,SIM_Modele!$D$4:$D$855,2026)</f>
        <v>18545909.616252456</v>
      </c>
      <c r="O85" s="64">
        <f>SUMIFS(SIM_Modele!$AH$4:$AH$855,SIM_Modele!$C$4:$C$855,$C85,SIM_Modele!$D$4:$D$855,2027)</f>
        <v>18873777.257254243</v>
      </c>
      <c r="P85" s="64">
        <f>SUMIFS(SIM_Modele!$AH$4:$AH$1068,SIM_Modele!$C$4:$C$1068,$C85,SIM_Modele!$D$4:$D$1068,2028)</f>
        <v>19154398.41647283</v>
      </c>
      <c r="Q85" s="64">
        <f>SUMIFS(SIM_Modele!$AH$4:$AH$1068,SIM_Modele!$C$4:$C$1068,$C85,SIM_Modele!$D$4:$D$1068,2029)</f>
        <v>19767339.165799957</v>
      </c>
      <c r="R85" s="64">
        <f>SUMIFS(SIM_Modele!$AH$4:$AH$1068,SIM_Modele!$C$4:$C$1068,$C85,SIM_Modele!$D$4:$D$1068,2030)</f>
        <v>20399894.019105561</v>
      </c>
      <c r="S85" s="65">
        <f t="shared" si="10"/>
        <v>5824894.0191055611</v>
      </c>
      <c r="T85" s="66">
        <f t="shared" si="11"/>
        <v>0.39964967541033009</v>
      </c>
      <c r="U85" s="67">
        <f t="shared" si="12"/>
        <v>258678608.49387905</v>
      </c>
      <c r="V85" s="62" t="s">
        <v>380</v>
      </c>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68" t="str">
        <f t="shared" si="8"/>
        <v/>
      </c>
      <c r="AY85" s="68">
        <f t="shared" si="9"/>
        <v>100</v>
      </c>
    </row>
    <row r="86" spans="1:51" ht="25.5" customHeight="1" x14ac:dyDescent="0.25">
      <c r="A86" s="55" t="s">
        <v>48</v>
      </c>
      <c r="B86" s="55" t="s">
        <v>452</v>
      </c>
      <c r="C86" s="55" t="s">
        <v>459</v>
      </c>
      <c r="D86" s="56">
        <v>17530000</v>
      </c>
      <c r="E86" s="56">
        <v>15996000</v>
      </c>
      <c r="F86" s="56">
        <v>15397000</v>
      </c>
      <c r="G86" s="57">
        <f>SUMIFS(SIM_Modele!$AH$4:$AH$855,SIM_Modele!$C$4:$C$855,$C86,SIM_Modele!$D$4:$D$855,2019)</f>
        <v>15889704</v>
      </c>
      <c r="H86" s="57">
        <f>SUMIFS(SIM_Modele!$AH$4:$AH$855,SIM_Modele!$C$4:$C$855,$C86,SIM_Modele!$D$4:$D$855,2020)</f>
        <v>16398174.528000008</v>
      </c>
      <c r="I86" s="57">
        <f>SUMIFS(SIM_Modele!$AH$4:$AH$855,SIM_Modele!$C$4:$C$855,$C86,SIM_Modele!$D$4:$D$855,2021)</f>
        <v>16922916.112896007</v>
      </c>
      <c r="J86" s="57">
        <f>SUMIFS(SIM_Modele!$AH$4:$AH$855,SIM_Modele!$C$4:$C$855,$C86,SIM_Modele!$D$4:$D$855,2022)</f>
        <v>17464449.428508669</v>
      </c>
      <c r="K86" s="57">
        <f>SUMIFS(SIM_Modele!$AH$4:$AH$855,SIM_Modele!$C$4:$C$855,$C86,SIM_Modele!$D$4:$D$855,2023)</f>
        <v>18023311.810220953</v>
      </c>
      <c r="L86" s="57">
        <f>SUMIFS(SIM_Modele!$AH$4:$AH$855,SIM_Modele!$C$4:$C$855,$C86,SIM_Modele!$D$4:$D$855,2024)</f>
        <v>18600057.788148023</v>
      </c>
      <c r="M86" s="57">
        <f>SUMIFS(SIM_Modele!$AH$4:$AH$855,SIM_Modele!$C$4:$C$855,$C86,SIM_Modele!$D$4:$D$855,2025)</f>
        <v>19195259.637368768</v>
      </c>
      <c r="N86" s="57">
        <f>SUMIFS(SIM_Modele!$AH$4:$AH$855,SIM_Modele!$C$4:$C$855,$C86,SIM_Modele!$D$4:$D$855,2026)</f>
        <v>20058540.586043224</v>
      </c>
      <c r="O86" s="57">
        <f>SUMIFS(SIM_Modele!$AH$4:$AH$855,SIM_Modele!$C$4:$C$855,$C86,SIM_Modele!$D$4:$D$855,2027)</f>
        <v>20812409.944318894</v>
      </c>
      <c r="P86" s="57">
        <f>SUMIFS(SIM_Modele!$AH$4:$AH$1068,SIM_Modele!$C$4:$C$1068,$C86,SIM_Modele!$D$4:$D$1068,2028)</f>
        <v>21303782.03659717</v>
      </c>
      <c r="Q86" s="57">
        <f>SUMIFS(SIM_Modele!$AH$4:$AH$1068,SIM_Modele!$C$4:$C$1068,$C86,SIM_Modele!$D$4:$D$1068,2029)</f>
        <v>21985503.061768278</v>
      </c>
      <c r="R86" s="64">
        <f>SUMIFS(SIM_Modele!$AH$4:$AH$1068,SIM_Modele!$C$4:$C$1068,$C86,SIM_Modele!$D$4:$D$1068,2030)</f>
        <v>22689039.159744866</v>
      </c>
      <c r="S86" s="58">
        <f t="shared" si="10"/>
        <v>7292039.1597448662</v>
      </c>
      <c r="T86" s="59">
        <f t="shared" si="11"/>
        <v>0.4736012963398627</v>
      </c>
      <c r="U86" s="60">
        <f t="shared" si="12"/>
        <v>278266148.09361482</v>
      </c>
      <c r="V86" s="55" t="s">
        <v>380</v>
      </c>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61" t="str">
        <f t="shared" si="8"/>
        <v/>
      </c>
      <c r="AY86" s="61">
        <f t="shared" si="9"/>
        <v>100</v>
      </c>
    </row>
    <row r="87" spans="1:51" ht="25.5" customHeight="1" x14ac:dyDescent="0.25">
      <c r="A87" s="62" t="s">
        <v>48</v>
      </c>
      <c r="B87" s="62" t="s">
        <v>452</v>
      </c>
      <c r="C87" s="62" t="s">
        <v>452</v>
      </c>
      <c r="D87" s="63">
        <v>21130000</v>
      </c>
      <c r="E87" s="63">
        <v>20281000</v>
      </c>
      <c r="F87" s="63">
        <v>19254000</v>
      </c>
      <c r="G87" s="64">
        <f>SUMIFS(SIM_Modele!$AH$4:$AH$855,SIM_Modele!$C$4:$C$855,$C87,SIM_Modele!$D$4:$D$855,2019)</f>
        <v>19870128</v>
      </c>
      <c r="H87" s="64">
        <f>SUMIFS(SIM_Modele!$AH$4:$AH$855,SIM_Modele!$C$4:$C$855,$C87,SIM_Modele!$D$4:$D$855,2020)</f>
        <v>20505972.096000008</v>
      </c>
      <c r="I87" s="64">
        <f>SUMIFS(SIM_Modele!$AH$4:$AH$855,SIM_Modele!$C$4:$C$855,$C87,SIM_Modele!$D$4:$D$855,2021)</f>
        <v>21162163.203072008</v>
      </c>
      <c r="J87" s="64">
        <f>SUMIFS(SIM_Modele!$AH$4:$AH$855,SIM_Modele!$C$4:$C$855,$C87,SIM_Modele!$D$4:$D$855,2022)</f>
        <v>21839352.425570302</v>
      </c>
      <c r="K87" s="64">
        <f>SUMIFS(SIM_Modele!$AH$4:$AH$855,SIM_Modele!$C$4:$C$855,$C87,SIM_Modele!$D$4:$D$855,2023)</f>
        <v>22538211.703188561</v>
      </c>
      <c r="L87" s="64">
        <f>SUMIFS(SIM_Modele!$AH$4:$AH$855,SIM_Modele!$C$4:$C$855,$C87,SIM_Modele!$D$4:$D$855,2024)</f>
        <v>23259434.477690596</v>
      </c>
      <c r="M87" s="64">
        <f>SUMIFS(SIM_Modele!$AH$4:$AH$855,SIM_Modele!$C$4:$C$855,$C87,SIM_Modele!$D$4:$D$855,2025)</f>
        <v>24003736.380976703</v>
      </c>
      <c r="N87" s="64">
        <f>SUMIFS(SIM_Modele!$AH$4:$AH$855,SIM_Modele!$C$4:$C$855,$C87,SIM_Modele!$D$4:$D$855,2026)</f>
        <v>27604296.838123206</v>
      </c>
      <c r="O87" s="64">
        <f>SUMIFS(SIM_Modele!$AH$4:$AH$855,SIM_Modele!$C$4:$C$855,$C87,SIM_Modele!$D$4:$D$855,2027)</f>
        <v>31744941.363841683</v>
      </c>
      <c r="P87" s="64">
        <f>SUMIFS(SIM_Modele!$AH$4:$AH$1068,SIM_Modele!$C$4:$C$1068,$C87,SIM_Modele!$D$4:$D$1068,2028)</f>
        <v>37988278.28017085</v>
      </c>
      <c r="Q87" s="64">
        <f>SUMIFS(SIM_Modele!$AH$4:$AH$1068,SIM_Modele!$C$4:$C$1068,$C87,SIM_Modele!$D$4:$D$1068,2029)</f>
        <v>39203903.185136303</v>
      </c>
      <c r="R87" s="64">
        <f>SUMIFS(SIM_Modele!$AH$4:$AH$1068,SIM_Modele!$C$4:$C$1068,$C87,SIM_Modele!$D$4:$D$1068,2030)</f>
        <v>40458428.087060682</v>
      </c>
      <c r="S87" s="65">
        <f t="shared" si="10"/>
        <v>21204428.087060682</v>
      </c>
      <c r="T87" s="66">
        <f t="shared" si="11"/>
        <v>1.1012998902597217</v>
      </c>
      <c r="U87" s="67">
        <f t="shared" si="12"/>
        <v>390843846.04083097</v>
      </c>
      <c r="V87" s="62" t="s">
        <v>380</v>
      </c>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68" t="str">
        <f t="shared" si="8"/>
        <v/>
      </c>
      <c r="AY87" s="68">
        <f t="shared" si="9"/>
        <v>100</v>
      </c>
    </row>
    <row r="88" spans="1:51" ht="25.5" customHeight="1" x14ac:dyDescent="0.25">
      <c r="A88" s="55" t="s">
        <v>48</v>
      </c>
      <c r="B88" s="55" t="s">
        <v>452</v>
      </c>
      <c r="C88" s="55" t="s">
        <v>460</v>
      </c>
      <c r="D88" s="56">
        <v>18650000</v>
      </c>
      <c r="E88" s="56">
        <v>17818000</v>
      </c>
      <c r="F88" s="56">
        <v>16945000</v>
      </c>
      <c r="G88" s="57">
        <f>SUMIFS(SIM_Modele!$AH$4:$AH$855,SIM_Modele!$C$4:$C$855,$C88,SIM_Modele!$D$4:$D$855,2019)</f>
        <v>17487240</v>
      </c>
      <c r="H88" s="57">
        <f>SUMIFS(SIM_Modele!$AH$4:$AH$855,SIM_Modele!$C$4:$C$855,$C88,SIM_Modele!$D$4:$D$855,2020)</f>
        <v>18046831.680000007</v>
      </c>
      <c r="I88" s="57">
        <f>SUMIFS(SIM_Modele!$AH$4:$AH$855,SIM_Modele!$C$4:$C$855,$C88,SIM_Modele!$D$4:$D$855,2021)</f>
        <v>18624330.293760002</v>
      </c>
      <c r="J88" s="57">
        <f>SUMIFS(SIM_Modele!$AH$4:$AH$855,SIM_Modele!$C$4:$C$855,$C88,SIM_Modele!$D$4:$D$855,2022)</f>
        <v>19220308.863160312</v>
      </c>
      <c r="K88" s="57">
        <f>SUMIFS(SIM_Modele!$AH$4:$AH$855,SIM_Modele!$C$4:$C$855,$C88,SIM_Modele!$D$4:$D$855,2023)</f>
        <v>19835358.746781446</v>
      </c>
      <c r="L88" s="57">
        <f>SUMIFS(SIM_Modele!$AH$4:$AH$855,SIM_Modele!$C$4:$C$855,$C88,SIM_Modele!$D$4:$D$855,2024)</f>
        <v>20470090.226678453</v>
      </c>
      <c r="M88" s="57">
        <f>SUMIFS(SIM_Modele!$AH$4:$AH$855,SIM_Modele!$C$4:$C$855,$C88,SIM_Modele!$D$4:$D$855,2025)</f>
        <v>21125133.11393217</v>
      </c>
      <c r="N88" s="57">
        <f>SUMIFS(SIM_Modele!$AH$4:$AH$855,SIM_Modele!$C$4:$C$855,$C88,SIM_Modele!$D$4:$D$855,2026)</f>
        <v>24293903.081021994</v>
      </c>
      <c r="O88" s="57">
        <f>SUMIFS(SIM_Modele!$AH$4:$AH$855,SIM_Modele!$C$4:$C$855,$C88,SIM_Modele!$D$4:$D$855,2027)</f>
        <v>27937988.543175291</v>
      </c>
      <c r="P88" s="57">
        <f>SUMIFS(SIM_Modele!$AH$4:$AH$1068,SIM_Modele!$C$4:$C$1068,$C88,SIM_Modele!$D$4:$D$1068,2028)</f>
        <v>30060085.37620648</v>
      </c>
      <c r="Q88" s="57">
        <f>SUMIFS(SIM_Modele!$AH$4:$AH$1068,SIM_Modele!$C$4:$C$1068,$C88,SIM_Modele!$D$4:$D$1068,2029)</f>
        <v>31022008.108245086</v>
      </c>
      <c r="R88" s="64">
        <f>SUMIFS(SIM_Modele!$AH$4:$AH$1068,SIM_Modele!$C$4:$C$1068,$C88,SIM_Modele!$D$4:$D$1068,2030)</f>
        <v>32014712.367708933</v>
      </c>
      <c r="S88" s="58">
        <f t="shared" si="10"/>
        <v>15069712.367708933</v>
      </c>
      <c r="T88" s="59">
        <f t="shared" si="11"/>
        <v>0.88933091576919043</v>
      </c>
      <c r="U88" s="60">
        <f t="shared" si="12"/>
        <v>333550990.40067011</v>
      </c>
      <c r="V88" s="55" t="s">
        <v>380</v>
      </c>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61" t="str">
        <f t="shared" si="8"/>
        <v/>
      </c>
      <c r="AY88" s="61">
        <f t="shared" si="9"/>
        <v>100</v>
      </c>
    </row>
    <row r="89" spans="1:51" ht="25.5" customHeight="1" x14ac:dyDescent="0.25">
      <c r="A89" s="62" t="s">
        <v>343</v>
      </c>
      <c r="B89" s="62" t="s">
        <v>461</v>
      </c>
      <c r="C89" s="62" t="s">
        <v>462</v>
      </c>
      <c r="D89" s="63">
        <v>22480000</v>
      </c>
      <c r="E89" s="63">
        <v>22013000</v>
      </c>
      <c r="F89" s="63">
        <v>21159000</v>
      </c>
      <c r="G89" s="64">
        <f>$F89*(1+SIM_Parametres!$B$5)^(2019-2018)</f>
        <v>21836088</v>
      </c>
      <c r="H89" s="64">
        <f>$F89*(1+SIM_Parametres!$B$5)^(2020-2018)</f>
        <v>22534842.816</v>
      </c>
      <c r="I89" s="64">
        <f>$F89*(1+SIM_Parametres!$B$5)^(2021-2018)</f>
        <v>23255957.786111999</v>
      </c>
      <c r="J89" s="64">
        <f>$F89*(1+SIM_Parametres!$B$5)^(2022-2018)</f>
        <v>24000148.435267583</v>
      </c>
      <c r="K89" s="64">
        <f>$F89*(1+SIM_Parametres!$B$5)^(2023-2018)</f>
        <v>24768153.185196146</v>
      </c>
      <c r="L89" s="64">
        <f>$F89*(1+SIM_Parametres!$B$5)^(2024-2018)</f>
        <v>25560734.087122422</v>
      </c>
      <c r="M89" s="64">
        <f>$F89*(1+SIM_Parametres!$B$5)^(2025-2018)</f>
        <v>26378677.577910334</v>
      </c>
      <c r="N89" s="64">
        <f>$F89*(1+SIM_Parametres!$B$5)^(2026-2018)</f>
        <v>27222795.260403469</v>
      </c>
      <c r="O89" s="64">
        <f>$F89*(1+SIM_Parametres!$B$5)^(2027-2018)</f>
        <v>28093924.708736382</v>
      </c>
      <c r="P89" s="64">
        <f>$F89*(1+SIM_Parametres!$B$5)^(2028-2018)</f>
        <v>28992930.299415942</v>
      </c>
      <c r="Q89" s="64">
        <f>$F89*(1+SIM_Parametres!$B$5)^(2029-2018)</f>
        <v>29920704.068997253</v>
      </c>
      <c r="R89" s="64">
        <f>$F89*(1+SIM_Parametres!$B$5)^(2030-2018)</f>
        <v>30878166.599205166</v>
      </c>
      <c r="S89" s="65">
        <f t="shared" si="10"/>
        <v>9719166.5992051661</v>
      </c>
      <c r="T89" s="66">
        <f t="shared" si="11"/>
        <v>0.45933960013257558</v>
      </c>
      <c r="U89" s="67">
        <f t="shared" si="12"/>
        <v>379095122.82436669</v>
      </c>
      <c r="V89" s="62" t="s">
        <v>378</v>
      </c>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68" t="str">
        <f t="shared" si="8"/>
        <v/>
      </c>
      <c r="AY89" s="68">
        <f t="shared" si="9"/>
        <v>100</v>
      </c>
    </row>
    <row r="90" spans="1:51" ht="25.5" customHeight="1" x14ac:dyDescent="0.25">
      <c r="A90" s="55" t="s">
        <v>48</v>
      </c>
      <c r="B90" s="55" t="s">
        <v>461</v>
      </c>
      <c r="C90" s="55" t="s">
        <v>463</v>
      </c>
      <c r="D90" s="56">
        <v>22330000</v>
      </c>
      <c r="E90" s="56">
        <v>22126000</v>
      </c>
      <c r="F90" s="56">
        <v>21225000</v>
      </c>
      <c r="G90" s="57">
        <f>SUMIFS(SIM_Modele!$AH$4:$AH$855,SIM_Modele!$C$4:$C$855,$C90,SIM_Modele!$D$4:$D$855,2019)</f>
        <v>21904200</v>
      </c>
      <c r="H90" s="57">
        <f>SUMIFS(SIM_Modele!$AH$4:$AH$855,SIM_Modele!$C$4:$C$855,$C90,SIM_Modele!$D$4:$D$855,2020)</f>
        <v>22605134.40000001</v>
      </c>
      <c r="I90" s="57">
        <f>SUMIFS(SIM_Modele!$AH$4:$AH$855,SIM_Modele!$C$4:$C$855,$C90,SIM_Modele!$D$4:$D$855,2021)</f>
        <v>23328498.700800005</v>
      </c>
      <c r="J90" s="57">
        <f>SUMIFS(SIM_Modele!$AH$4:$AH$855,SIM_Modele!$C$4:$C$855,$C90,SIM_Modele!$D$4:$D$855,2022)</f>
        <v>24075010.659225591</v>
      </c>
      <c r="K90" s="57">
        <f>SUMIFS(SIM_Modele!$AH$4:$AH$855,SIM_Modele!$C$4:$C$855,$C90,SIM_Modele!$D$4:$D$855,2023)</f>
        <v>24845411.000320815</v>
      </c>
      <c r="L90" s="57">
        <f>SUMIFS(SIM_Modele!$AH$4:$AH$855,SIM_Modele!$C$4:$C$855,$C90,SIM_Modele!$D$4:$D$855,2024)</f>
        <v>25640464.152331084</v>
      </c>
      <c r="M90" s="57">
        <f>SUMIFS(SIM_Modele!$AH$4:$AH$855,SIM_Modele!$C$4:$C$855,$C90,SIM_Modele!$D$4:$D$855,2025)</f>
        <v>26460959.005205695</v>
      </c>
      <c r="N90" s="57">
        <f>SUMIFS(SIM_Modele!$AH$4:$AH$855,SIM_Modele!$C$4:$C$855,$C90,SIM_Modele!$D$4:$D$855,2026)</f>
        <v>25509485.500244834</v>
      </c>
      <c r="O90" s="57">
        <f>SUMIFS(SIM_Modele!$AH$4:$AH$855,SIM_Modele!$C$4:$C$855,$C90,SIM_Modele!$D$4:$D$855,2027)</f>
        <v>24561968.805554662</v>
      </c>
      <c r="P90" s="57">
        <f>SUMIFS(SIM_Modele!$AH$4:$AH$1068,SIM_Modele!$C$4:$C$1068,$C90,SIM_Modele!$D$4:$D$1068,2028)</f>
        <v>17797956.978371684</v>
      </c>
      <c r="Q90" s="57">
        <f>SUMIFS(SIM_Modele!$AH$4:$AH$1068,SIM_Modele!$C$4:$C$1068,$C90,SIM_Modele!$D$4:$D$1068,2029)</f>
        <v>18367491.601679571</v>
      </c>
      <c r="R90" s="64">
        <f>SUMIFS(SIM_Modele!$AH$4:$AH$1068,SIM_Modele!$C$4:$C$1068,$C90,SIM_Modele!$D$4:$D$1068,2030)</f>
        <v>18955251.332933325</v>
      </c>
      <c r="S90" s="58">
        <f t="shared" si="10"/>
        <v>-2269748.6670666747</v>
      </c>
      <c r="T90" s="59">
        <f t="shared" si="11"/>
        <v>-0.10693751081586217</v>
      </c>
      <c r="U90" s="60">
        <f t="shared" si="12"/>
        <v>339732832.13666725</v>
      </c>
      <c r="V90" s="55" t="s">
        <v>380</v>
      </c>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61" t="str">
        <f t="shared" si="8"/>
        <v/>
      </c>
      <c r="AY90" s="61">
        <f t="shared" si="9"/>
        <v>100</v>
      </c>
    </row>
    <row r="91" spans="1:51" ht="25.5" customHeight="1" x14ac:dyDescent="0.25">
      <c r="A91" s="62" t="s">
        <v>48</v>
      </c>
      <c r="B91" s="62" t="s">
        <v>461</v>
      </c>
      <c r="C91" s="62" t="s">
        <v>464</v>
      </c>
      <c r="D91" s="63">
        <v>15800000</v>
      </c>
      <c r="E91" s="63">
        <v>15417000</v>
      </c>
      <c r="F91" s="63">
        <v>14386000</v>
      </c>
      <c r="G91" s="64">
        <f>SUMIFS(SIM_Modele!$AH$4:$AH$855,SIM_Modele!$C$4:$C$855,$C91,SIM_Modele!$D$4:$D$855,2019)</f>
        <v>14846352</v>
      </c>
      <c r="H91" s="64">
        <f>SUMIFS(SIM_Modele!$AH$4:$AH$855,SIM_Modele!$C$4:$C$855,$C91,SIM_Modele!$D$4:$D$855,2020)</f>
        <v>15321435.264000008</v>
      </c>
      <c r="I91" s="64">
        <f>SUMIFS(SIM_Modele!$AH$4:$AH$855,SIM_Modele!$C$4:$C$855,$C91,SIM_Modele!$D$4:$D$855,2021)</f>
        <v>15811721.192448007</v>
      </c>
      <c r="J91" s="64">
        <f>SUMIFS(SIM_Modele!$AH$4:$AH$855,SIM_Modele!$C$4:$C$855,$C91,SIM_Modele!$D$4:$D$855,2022)</f>
        <v>16317696.270606335</v>
      </c>
      <c r="K91" s="64">
        <f>SUMIFS(SIM_Modele!$AH$4:$AH$855,SIM_Modele!$C$4:$C$855,$C91,SIM_Modele!$D$4:$D$855,2023)</f>
        <v>16839862.551265743</v>
      </c>
      <c r="L91" s="64">
        <f>SUMIFS(SIM_Modele!$AH$4:$AH$855,SIM_Modele!$C$4:$C$855,$C91,SIM_Modele!$D$4:$D$855,2024)</f>
        <v>17378738.152906243</v>
      </c>
      <c r="M91" s="64">
        <f>SUMIFS(SIM_Modele!$AH$4:$AH$855,SIM_Modele!$C$4:$C$855,$C91,SIM_Modele!$D$4:$D$855,2025)</f>
        <v>17934857.773799252</v>
      </c>
      <c r="N91" s="64">
        <f>SUMIFS(SIM_Modele!$AH$4:$AH$855,SIM_Modele!$C$4:$C$855,$C91,SIM_Modele!$D$4:$D$855,2026)</f>
        <v>17289962.704665352</v>
      </c>
      <c r="O91" s="64">
        <f>SUMIFS(SIM_Modele!$AH$4:$AH$855,SIM_Modele!$C$4:$C$855,$C91,SIM_Modele!$D$4:$D$855,2027)</f>
        <v>16647749.504674172</v>
      </c>
      <c r="P91" s="64">
        <f>SUMIFS(SIM_Modele!$AH$4:$AH$1068,SIM_Modele!$C$4:$C$1068,$C91,SIM_Modele!$D$4:$D$1068,2028)</f>
        <v>15076452.428228486</v>
      </c>
      <c r="Q91" s="64">
        <f>SUMIFS(SIM_Modele!$AH$4:$AH$1068,SIM_Modele!$C$4:$C$1068,$C91,SIM_Modele!$D$4:$D$1068,2029)</f>
        <v>15558898.905931799</v>
      </c>
      <c r="R91" s="64">
        <f>SUMIFS(SIM_Modele!$AH$4:$AH$1068,SIM_Modele!$C$4:$C$1068,$C91,SIM_Modele!$D$4:$D$1068,2030)</f>
        <v>16056783.67092162</v>
      </c>
      <c r="S91" s="65">
        <f t="shared" si="10"/>
        <v>1670783.67092162</v>
      </c>
      <c r="T91" s="66">
        <f t="shared" si="11"/>
        <v>0.11613955727246073</v>
      </c>
      <c r="U91" s="67">
        <f t="shared" si="12"/>
        <v>240683510.41944703</v>
      </c>
      <c r="V91" s="62" t="s">
        <v>380</v>
      </c>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68" t="str">
        <f t="shared" si="8"/>
        <v/>
      </c>
      <c r="AY91" s="68">
        <f t="shared" si="9"/>
        <v>100</v>
      </c>
    </row>
    <row r="92" spans="1:51" ht="25.5" customHeight="1" x14ac:dyDescent="0.25">
      <c r="A92" s="55" t="s">
        <v>48</v>
      </c>
      <c r="B92" s="55" t="s">
        <v>461</v>
      </c>
      <c r="C92" s="55" t="s">
        <v>465</v>
      </c>
      <c r="D92" s="56">
        <v>16500000</v>
      </c>
      <c r="E92" s="56">
        <v>16560000</v>
      </c>
      <c r="F92" s="56">
        <v>16015000</v>
      </c>
      <c r="G92" s="57">
        <f>SUMIFS(SIM_Modele!$AH$4:$AH$855,SIM_Modele!$C$4:$C$855,$C92,SIM_Modele!$D$4:$D$855,2019)</f>
        <v>16527480</v>
      </c>
      <c r="H92" s="57">
        <f>SUMIFS(SIM_Modele!$AH$4:$AH$855,SIM_Modele!$C$4:$C$855,$C92,SIM_Modele!$D$4:$D$855,2020)</f>
        <v>17056359.360000007</v>
      </c>
      <c r="I92" s="57">
        <f>SUMIFS(SIM_Modele!$AH$4:$AH$855,SIM_Modele!$C$4:$C$855,$C92,SIM_Modele!$D$4:$D$855,2021)</f>
        <v>17602162.859520003</v>
      </c>
      <c r="J92" s="57">
        <f>SUMIFS(SIM_Modele!$AH$4:$AH$855,SIM_Modele!$C$4:$C$855,$C92,SIM_Modele!$D$4:$D$855,2022)</f>
        <v>18165432.071024634</v>
      </c>
      <c r="K92" s="57">
        <f>SUMIFS(SIM_Modele!$AH$4:$AH$855,SIM_Modele!$C$4:$C$855,$C92,SIM_Modele!$D$4:$D$855,2023)</f>
        <v>18746725.897297427</v>
      </c>
      <c r="L92" s="57">
        <f>SUMIFS(SIM_Modele!$AH$4:$AH$855,SIM_Modele!$C$4:$C$855,$C92,SIM_Modele!$D$4:$D$855,2024)</f>
        <v>19346621.126010943</v>
      </c>
      <c r="M92" s="57">
        <f>SUMIFS(SIM_Modele!$AH$4:$AH$855,SIM_Modele!$C$4:$C$855,$C92,SIM_Modele!$D$4:$D$855,2025)</f>
        <v>19965713.002043299</v>
      </c>
      <c r="N92" s="57">
        <f>SUMIFS(SIM_Modele!$AH$4:$AH$855,SIM_Modele!$C$4:$C$855,$C92,SIM_Modele!$D$4:$D$855,2026)</f>
        <v>19247793.181927957</v>
      </c>
      <c r="O92" s="57">
        <f>SUMIFS(SIM_Modele!$AH$4:$AH$855,SIM_Modele!$C$4:$C$855,$C92,SIM_Modele!$D$4:$D$855,2027)</f>
        <v>18532858.91264819</v>
      </c>
      <c r="P92" s="57">
        <f>SUMIFS(SIM_Modele!$AH$4:$AH$1068,SIM_Modele!$C$4:$C$1068,$C92,SIM_Modele!$D$4:$D$1068,2028)</f>
        <v>13341861.730197728</v>
      </c>
      <c r="Q92" s="57">
        <f>SUMIFS(SIM_Modele!$AH$4:$AH$1068,SIM_Modele!$C$4:$C$1068,$C92,SIM_Modele!$D$4:$D$1068,2029)</f>
        <v>13768801.305564051</v>
      </c>
      <c r="R92" s="57">
        <f>SUMIFS(SIM_Modele!$AH$4:$AH$1068,SIM_Modele!$C$4:$C$1068,$C92,SIM_Modele!$D$4:$D$1068,2030)</f>
        <v>14209402.947342105</v>
      </c>
      <c r="S92" s="58">
        <f t="shared" si="10"/>
        <v>-1805597.0526578948</v>
      </c>
      <c r="T92" s="59">
        <f t="shared" si="11"/>
        <v>-0.11274411818032437</v>
      </c>
      <c r="U92" s="60">
        <f t="shared" si="12"/>
        <v>255586212.39357635</v>
      </c>
      <c r="V92" s="55" t="s">
        <v>380</v>
      </c>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61" t="str">
        <f t="shared" si="8"/>
        <v/>
      </c>
      <c r="AY92" s="61">
        <f t="shared" si="9"/>
        <v>100</v>
      </c>
    </row>
    <row r="93" spans="1:51" ht="25.5" customHeight="1" x14ac:dyDescent="0.25">
      <c r="A93" s="62" t="s">
        <v>48</v>
      </c>
      <c r="B93" s="62" t="s">
        <v>461</v>
      </c>
      <c r="C93" s="62" t="s">
        <v>461</v>
      </c>
      <c r="D93" s="63">
        <v>19980000</v>
      </c>
      <c r="E93" s="63">
        <v>19731000</v>
      </c>
      <c r="F93" s="63">
        <v>19062000</v>
      </c>
      <c r="G93" s="64">
        <f>SUMIFS(SIM_Modele!$AH$4:$AH$855,SIM_Modele!$C$4:$C$855,$C93,SIM_Modele!$D$4:$D$855,2019)</f>
        <v>19671984</v>
      </c>
      <c r="H93" s="64">
        <f>SUMIFS(SIM_Modele!$AH$4:$AH$855,SIM_Modele!$C$4:$C$855,$C93,SIM_Modele!$D$4:$D$855,2020)</f>
        <v>20301487.488000009</v>
      </c>
      <c r="I93" s="64">
        <f>SUMIFS(SIM_Modele!$AH$4:$AH$855,SIM_Modele!$C$4:$C$855,$C93,SIM_Modele!$D$4:$D$855,2021)</f>
        <v>20951135.087616004</v>
      </c>
      <c r="J93" s="64">
        <f>SUMIFS(SIM_Modele!$AH$4:$AH$855,SIM_Modele!$C$4:$C$855,$C93,SIM_Modele!$D$4:$D$855,2022)</f>
        <v>21621571.410419703</v>
      </c>
      <c r="K93" s="64">
        <f>SUMIFS(SIM_Modele!$AH$4:$AH$855,SIM_Modele!$C$4:$C$855,$C93,SIM_Modele!$D$4:$D$855,2023)</f>
        <v>22313461.695553139</v>
      </c>
      <c r="L93" s="64">
        <f>SUMIFS(SIM_Modele!$AH$4:$AH$855,SIM_Modele!$C$4:$C$855,$C93,SIM_Modele!$D$4:$D$855,2024)</f>
        <v>23027492.46981084</v>
      </c>
      <c r="M93" s="64">
        <f>SUMIFS(SIM_Modele!$AH$4:$AH$855,SIM_Modele!$C$4:$C$855,$C93,SIM_Modele!$D$4:$D$855,2025)</f>
        <v>23764372.228844795</v>
      </c>
      <c r="N93" s="64">
        <f>SUMIFS(SIM_Modele!$AH$4:$AH$855,SIM_Modele!$C$4:$C$855,$C93,SIM_Modele!$D$4:$D$855,2026)</f>
        <v>23728336.792426515</v>
      </c>
      <c r="O93" s="64">
        <f>SUMIFS(SIM_Modele!$AH$4:$AH$855,SIM_Modele!$C$4:$C$855,$C93,SIM_Modele!$D$4:$D$855,2027)</f>
        <v>23696921.785751119</v>
      </c>
      <c r="P93" s="64">
        <f>SUMIFS(SIM_Modele!$AH$4:$AH$1068,SIM_Modele!$C$4:$C$1068,$C93,SIM_Modele!$D$4:$D$1068,2028)</f>
        <v>23843797.554520518</v>
      </c>
      <c r="Q93" s="64">
        <f>SUMIFS(SIM_Modele!$AH$4:$AH$1068,SIM_Modele!$C$4:$C$1068,$C93,SIM_Modele!$D$4:$D$1068,2029)</f>
        <v>24606799.076265167</v>
      </c>
      <c r="R93" s="64">
        <f>SUMIFS(SIM_Modele!$AH$4:$AH$1068,SIM_Modele!$C$4:$C$1068,$C93,SIM_Modele!$D$4:$D$1068,2030)</f>
        <v>25394216.646705661</v>
      </c>
      <c r="S93" s="65">
        <f t="shared" si="10"/>
        <v>6332216.646705661</v>
      </c>
      <c r="T93" s="66">
        <f t="shared" si="11"/>
        <v>0.3321905700716431</v>
      </c>
      <c r="U93" s="67">
        <f t="shared" si="12"/>
        <v>331694576.23591352</v>
      </c>
      <c r="V93" s="62" t="s">
        <v>380</v>
      </c>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61" t="str">
        <f t="shared" si="8"/>
        <v/>
      </c>
      <c r="AY93" s="61">
        <f t="shared" si="9"/>
        <v>100</v>
      </c>
    </row>
    <row r="94" spans="1:51" ht="25.5" customHeight="1" x14ac:dyDescent="0.25">
      <c r="A94" s="69"/>
      <c r="B94" s="69"/>
      <c r="C94" s="69"/>
      <c r="D94" s="69"/>
      <c r="E94" s="69"/>
      <c r="F94" s="69"/>
      <c r="G94" s="69"/>
      <c r="H94" s="69"/>
      <c r="I94" s="69"/>
      <c r="J94" s="69"/>
      <c r="K94" s="69"/>
      <c r="L94" s="69"/>
      <c r="M94" s="69"/>
      <c r="N94" s="69"/>
      <c r="O94" s="69"/>
      <c r="P94" s="70"/>
      <c r="Q94" s="70"/>
      <c r="R94" s="70"/>
      <c r="S94" s="70"/>
      <c r="T94" s="71"/>
      <c r="U94" s="72"/>
      <c r="V94" s="23"/>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61" t="str">
        <f t="shared" si="8"/>
        <v/>
      </c>
      <c r="AY94" s="61">
        <f t="shared" si="9"/>
        <v>100</v>
      </c>
    </row>
    <row r="95" spans="1:51" ht="25.5" customHeight="1" x14ac:dyDescent="0.25">
      <c r="A95" s="209" t="s">
        <v>466</v>
      </c>
      <c r="B95" s="209"/>
      <c r="C95" s="209"/>
      <c r="D95" s="73">
        <f t="shared" ref="D95:R95" si="13">SUM(D9:D93)</f>
        <v>1832784000</v>
      </c>
      <c r="E95" s="73">
        <f t="shared" si="13"/>
        <v>1776322000</v>
      </c>
      <c r="F95" s="73">
        <f t="shared" si="13"/>
        <v>1682833000</v>
      </c>
      <c r="G95" s="73">
        <f t="shared" si="13"/>
        <v>1736683656</v>
      </c>
      <c r="H95" s="73">
        <f t="shared" si="13"/>
        <v>1792257532.9920006</v>
      </c>
      <c r="I95" s="73">
        <f t="shared" si="13"/>
        <v>1849609774.0477445</v>
      </c>
      <c r="J95" s="73">
        <f t="shared" si="13"/>
        <v>1908797286.8172724</v>
      </c>
      <c r="K95" s="73">
        <f t="shared" si="13"/>
        <v>1969878799.9954243</v>
      </c>
      <c r="L95" s="73">
        <f t="shared" si="13"/>
        <v>2032914921.5952773</v>
      </c>
      <c r="M95" s="73">
        <f t="shared" si="13"/>
        <v>2097968199.0863273</v>
      </c>
      <c r="N95" s="73">
        <f t="shared" si="13"/>
        <v>2165103181.4570899</v>
      </c>
      <c r="O95" s="73">
        <f t="shared" si="13"/>
        <v>2234386483.2637181</v>
      </c>
      <c r="P95" s="73">
        <f t="shared" si="13"/>
        <v>2305886850.7281561</v>
      </c>
      <c r="Q95" s="73">
        <f t="shared" si="13"/>
        <v>2379675229.9514561</v>
      </c>
      <c r="R95" s="73">
        <f t="shared" si="13"/>
        <v>2455824837.3099031</v>
      </c>
      <c r="S95" s="73">
        <f>R95-F95</f>
        <v>772991837.30990314</v>
      </c>
      <c r="T95" s="66">
        <f>IFERROR(S95/F95,0)</f>
        <v>0.45933960013257591</v>
      </c>
      <c r="U95" s="67">
        <f>SUM(D95:R95)</f>
        <v>30220925753.244366</v>
      </c>
      <c r="V95" s="62" t="s">
        <v>467</v>
      </c>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61" t="str">
        <f t="shared" si="8"/>
        <v/>
      </c>
      <c r="AY95" s="61">
        <f t="shared" si="9"/>
        <v>100</v>
      </c>
    </row>
    <row r="96" spans="1:51" ht="25.5" customHeight="1" x14ac:dyDescent="0.25">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61" t="str">
        <f t="shared" si="8"/>
        <v/>
      </c>
      <c r="AY96" s="61">
        <f t="shared" si="9"/>
        <v>100</v>
      </c>
    </row>
    <row r="97" spans="1:51" ht="25.5" customHeight="1" x14ac:dyDescent="0.25">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61" t="str">
        <f t="shared" si="8"/>
        <v/>
      </c>
      <c r="AY97" s="61">
        <f t="shared" si="9"/>
        <v>100</v>
      </c>
    </row>
    <row r="98" spans="1:51" ht="25.5" customHeight="1" x14ac:dyDescent="0.25">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61" t="str">
        <f t="shared" si="8"/>
        <v/>
      </c>
      <c r="AY98" s="61">
        <f t="shared" si="9"/>
        <v>100</v>
      </c>
    </row>
    <row r="99" spans="1:51" ht="25.5" customHeight="1" x14ac:dyDescent="0.25">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61" t="str">
        <f t="shared" si="8"/>
        <v/>
      </c>
      <c r="AY99" s="61">
        <f t="shared" si="9"/>
        <v>100</v>
      </c>
    </row>
    <row r="100" spans="1:51" ht="25.5" customHeight="1" x14ac:dyDescent="0.25">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61" t="str">
        <f t="shared" si="8"/>
        <v/>
      </c>
      <c r="AY100" s="61">
        <f t="shared" si="9"/>
        <v>100</v>
      </c>
    </row>
    <row r="101" spans="1:51" ht="25.5" customHeight="1" x14ac:dyDescent="0.25">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61" t="str">
        <f t="shared" si="8"/>
        <v/>
      </c>
      <c r="AY101" s="61">
        <f t="shared" si="9"/>
        <v>100</v>
      </c>
    </row>
    <row r="102" spans="1:51" ht="25.5" customHeight="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61" t="str">
        <f t="shared" si="8"/>
        <v/>
      </c>
      <c r="AY102" s="61">
        <f t="shared" si="9"/>
        <v>100</v>
      </c>
    </row>
    <row r="103" spans="1:51" ht="25.5" customHeight="1" x14ac:dyDescent="0.25">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61" t="str">
        <f t="shared" si="8"/>
        <v/>
      </c>
      <c r="AY103" s="61">
        <f t="shared" si="9"/>
        <v>100</v>
      </c>
    </row>
    <row r="104" spans="1:51" ht="25.5" customHeight="1" x14ac:dyDescent="0.25">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61" t="str">
        <f t="shared" si="8"/>
        <v/>
      </c>
      <c r="AY104" s="61">
        <f t="shared" si="9"/>
        <v>100</v>
      </c>
    </row>
    <row r="105" spans="1:51" ht="25.5" customHeight="1" x14ac:dyDescent="0.2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61" t="str">
        <f t="shared" si="8"/>
        <v/>
      </c>
      <c r="AY105" s="61">
        <f t="shared" si="9"/>
        <v>100</v>
      </c>
    </row>
    <row r="106" spans="1:51" ht="25.5" customHeight="1" x14ac:dyDescent="0.25">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61" t="str">
        <f t="shared" si="8"/>
        <v/>
      </c>
      <c r="AY106" s="61">
        <f t="shared" si="9"/>
        <v>100</v>
      </c>
    </row>
    <row r="107" spans="1:51" ht="25.5" customHeight="1" x14ac:dyDescent="0.25">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61" t="str">
        <f t="shared" si="8"/>
        <v/>
      </c>
      <c r="AY107" s="61">
        <f t="shared" si="9"/>
        <v>100</v>
      </c>
    </row>
    <row r="108" spans="1:51" ht="25.5" customHeight="1" x14ac:dyDescent="0.25">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61" t="str">
        <f t="shared" si="8"/>
        <v/>
      </c>
      <c r="AY108" s="61">
        <f t="shared" si="9"/>
        <v>100</v>
      </c>
    </row>
    <row r="109" spans="1:51" ht="25.5" customHeight="1" x14ac:dyDescent="0.25">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61" t="str">
        <f t="shared" si="8"/>
        <v/>
      </c>
      <c r="AY109" s="61">
        <f t="shared" si="9"/>
        <v>100</v>
      </c>
    </row>
    <row r="110" spans="1:51" ht="25.5" customHeight="1" x14ac:dyDescent="0.25">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61" t="str">
        <f t="shared" si="8"/>
        <v/>
      </c>
      <c r="AY110" s="61">
        <f t="shared" si="9"/>
        <v>100</v>
      </c>
    </row>
    <row r="111" spans="1:51" ht="25.5" customHeight="1" x14ac:dyDescent="0.25">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61" t="str">
        <f t="shared" si="8"/>
        <v/>
      </c>
      <c r="AY111" s="61">
        <f t="shared" si="9"/>
        <v>100</v>
      </c>
    </row>
    <row r="112" spans="1:51" ht="25.5" customHeight="1" x14ac:dyDescent="0.25">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61" t="str">
        <f t="shared" si="8"/>
        <v/>
      </c>
      <c r="AY112" s="61">
        <f t="shared" si="9"/>
        <v>100</v>
      </c>
    </row>
    <row r="113" spans="1:51" ht="25.5" customHeight="1" x14ac:dyDescent="0.25">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61" t="str">
        <f t="shared" si="8"/>
        <v/>
      </c>
      <c r="AY113" s="61">
        <f t="shared" si="9"/>
        <v>100</v>
      </c>
    </row>
    <row r="114" spans="1:51" ht="25.5" customHeight="1" x14ac:dyDescent="0.25">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61" t="str">
        <f t="shared" si="8"/>
        <v/>
      </c>
      <c r="AY114" s="61">
        <f t="shared" si="9"/>
        <v>100</v>
      </c>
    </row>
    <row r="115" spans="1:51" ht="25.5" customHeight="1" x14ac:dyDescent="0.2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61" t="str">
        <f t="shared" si="8"/>
        <v/>
      </c>
      <c r="AY115" s="61">
        <f t="shared" si="9"/>
        <v>100</v>
      </c>
    </row>
    <row r="116" spans="1:51" ht="25.5" customHeight="1" x14ac:dyDescent="0.25">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61" t="str">
        <f t="shared" si="8"/>
        <v/>
      </c>
      <c r="AY116" s="61">
        <f t="shared" si="9"/>
        <v>100</v>
      </c>
    </row>
    <row r="117" spans="1:51" ht="25.5" customHeight="1" x14ac:dyDescent="0.25">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61" t="str">
        <f t="shared" si="8"/>
        <v/>
      </c>
      <c r="AY117" s="61">
        <f t="shared" si="9"/>
        <v>100</v>
      </c>
    </row>
    <row r="118" spans="1:51" ht="25.5" customHeight="1" x14ac:dyDescent="0.25">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61" t="str">
        <f t="shared" si="8"/>
        <v/>
      </c>
      <c r="AY118" s="61">
        <f t="shared" si="9"/>
        <v>100</v>
      </c>
    </row>
    <row r="119" spans="1:51" ht="25.5" customHeight="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61" t="str">
        <f t="shared" si="8"/>
        <v/>
      </c>
      <c r="AY119" s="61">
        <f t="shared" si="9"/>
        <v>100</v>
      </c>
    </row>
    <row r="120" spans="1:51" ht="25.5" customHeight="1" x14ac:dyDescent="0.25">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61" t="str">
        <f t="shared" si="8"/>
        <v/>
      </c>
      <c r="AY120" s="61">
        <f t="shared" si="9"/>
        <v>100</v>
      </c>
    </row>
    <row r="121" spans="1:51" ht="25.5" customHeight="1" x14ac:dyDescent="0.25">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61" t="str">
        <f t="shared" si="8"/>
        <v/>
      </c>
      <c r="AY121" s="61">
        <f t="shared" si="9"/>
        <v>100</v>
      </c>
    </row>
    <row r="122" spans="1:51" ht="25.5" customHeight="1" x14ac:dyDescent="0.25">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61" t="str">
        <f t="shared" si="8"/>
        <v/>
      </c>
      <c r="AY122" s="61">
        <f t="shared" si="9"/>
        <v>100</v>
      </c>
    </row>
    <row r="123" spans="1:51" ht="25.5" customHeight="1" x14ac:dyDescent="0.25">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61" t="str">
        <f t="shared" si="8"/>
        <v/>
      </c>
      <c r="AY123" s="61">
        <f t="shared" si="9"/>
        <v>100</v>
      </c>
    </row>
    <row r="124" spans="1:51" ht="25.5" customHeight="1" x14ac:dyDescent="0.25">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61" t="str">
        <f t="shared" si="8"/>
        <v/>
      </c>
      <c r="AY124" s="61">
        <f t="shared" si="9"/>
        <v>100</v>
      </c>
    </row>
    <row r="125" spans="1:51" ht="25.5" customHeight="1" x14ac:dyDescent="0.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61" t="str">
        <f t="shared" si="8"/>
        <v/>
      </c>
      <c r="AY125" s="61">
        <f t="shared" si="9"/>
        <v>100</v>
      </c>
    </row>
    <row r="126" spans="1:51" ht="25.5" customHeight="1" x14ac:dyDescent="0.25">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61" t="str">
        <f t="shared" si="8"/>
        <v/>
      </c>
      <c r="AY126" s="61">
        <f t="shared" si="9"/>
        <v>100</v>
      </c>
    </row>
    <row r="127" spans="1:51" ht="25.5" customHeight="1" x14ac:dyDescent="0.25">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61" t="str">
        <f t="shared" si="8"/>
        <v/>
      </c>
      <c r="AY127" s="61">
        <f t="shared" si="9"/>
        <v>100</v>
      </c>
    </row>
    <row r="128" spans="1:51" ht="25.5" customHeight="1" x14ac:dyDescent="0.25">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61" t="str">
        <f t="shared" si="8"/>
        <v/>
      </c>
      <c r="AY128" s="61">
        <f t="shared" si="9"/>
        <v>100</v>
      </c>
    </row>
    <row r="129" spans="1:51" ht="25.5" customHeight="1" x14ac:dyDescent="0.25">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61" t="str">
        <f t="shared" si="8"/>
        <v/>
      </c>
      <c r="AY129" s="61">
        <f t="shared" si="9"/>
        <v>100</v>
      </c>
    </row>
    <row r="130" spans="1:51" ht="25.5" customHeight="1" x14ac:dyDescent="0.25">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61" t="str">
        <f t="shared" ref="AX130:AX193" si="14">IFERROR(AV130/AD130*100000,"")</f>
        <v/>
      </c>
      <c r="AY130" s="61">
        <f t="shared" ref="AY130:AY193" si="15">IFERROR(100-AQ130,"")</f>
        <v>100</v>
      </c>
    </row>
    <row r="131" spans="1:51" ht="25.5" customHeight="1" x14ac:dyDescent="0.25">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61" t="str">
        <f t="shared" si="14"/>
        <v/>
      </c>
      <c r="AY131" s="61">
        <f t="shared" si="15"/>
        <v>100</v>
      </c>
    </row>
    <row r="132" spans="1:51" ht="25.5" customHeight="1" x14ac:dyDescent="0.25">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61" t="str">
        <f t="shared" si="14"/>
        <v/>
      </c>
      <c r="AY132" s="61">
        <f t="shared" si="15"/>
        <v>100</v>
      </c>
    </row>
    <row r="133" spans="1:51" ht="25.5" customHeight="1" x14ac:dyDescent="0.25">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61" t="str">
        <f t="shared" si="14"/>
        <v/>
      </c>
      <c r="AY133" s="61">
        <f t="shared" si="15"/>
        <v>100</v>
      </c>
    </row>
    <row r="134" spans="1:51" ht="25.5" customHeight="1" x14ac:dyDescent="0.25">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61" t="str">
        <f t="shared" si="14"/>
        <v/>
      </c>
      <c r="AY134" s="61">
        <f t="shared" si="15"/>
        <v>100</v>
      </c>
    </row>
    <row r="135" spans="1:51" ht="25.5" customHeight="1" x14ac:dyDescent="0.2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61" t="str">
        <f t="shared" si="14"/>
        <v/>
      </c>
      <c r="AY135" s="61">
        <f t="shared" si="15"/>
        <v>100</v>
      </c>
    </row>
    <row r="136" spans="1:51" ht="25.5" customHeight="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61" t="str">
        <f t="shared" si="14"/>
        <v/>
      </c>
      <c r="AY136" s="61">
        <f t="shared" si="15"/>
        <v>100</v>
      </c>
    </row>
    <row r="137" spans="1:51" ht="25.5" customHeight="1" x14ac:dyDescent="0.25">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61" t="str">
        <f t="shared" si="14"/>
        <v/>
      </c>
      <c r="AY137" s="61">
        <f t="shared" si="15"/>
        <v>100</v>
      </c>
    </row>
    <row r="138" spans="1:51" ht="25.5" customHeight="1" x14ac:dyDescent="0.25">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61" t="str">
        <f t="shared" si="14"/>
        <v/>
      </c>
      <c r="AY138" s="61">
        <f t="shared" si="15"/>
        <v>100</v>
      </c>
    </row>
    <row r="139" spans="1:51" ht="25.5" customHeight="1" x14ac:dyDescent="0.25">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61" t="str">
        <f t="shared" si="14"/>
        <v/>
      </c>
      <c r="AY139" s="61">
        <f t="shared" si="15"/>
        <v>100</v>
      </c>
    </row>
    <row r="140" spans="1:51" ht="25.5" customHeight="1" x14ac:dyDescent="0.25">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61" t="str">
        <f t="shared" si="14"/>
        <v/>
      </c>
      <c r="AY140" s="61">
        <f t="shared" si="15"/>
        <v>100</v>
      </c>
    </row>
    <row r="141" spans="1:51" ht="25.5" customHeight="1" x14ac:dyDescent="0.25">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61" t="str">
        <f t="shared" si="14"/>
        <v/>
      </c>
      <c r="AY141" s="61">
        <f t="shared" si="15"/>
        <v>100</v>
      </c>
    </row>
    <row r="142" spans="1:51" ht="25.5" customHeight="1" x14ac:dyDescent="0.25">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61" t="str">
        <f t="shared" si="14"/>
        <v/>
      </c>
      <c r="AY142" s="61">
        <f t="shared" si="15"/>
        <v>100</v>
      </c>
    </row>
    <row r="143" spans="1:51" ht="25.5" customHeight="1" x14ac:dyDescent="0.25">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61" t="str">
        <f t="shared" si="14"/>
        <v/>
      </c>
      <c r="AY143" s="61">
        <f t="shared" si="15"/>
        <v>100</v>
      </c>
    </row>
    <row r="144" spans="1:51" ht="25.5" customHeight="1" x14ac:dyDescent="0.25">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61" t="str">
        <f t="shared" si="14"/>
        <v/>
      </c>
      <c r="AY144" s="61">
        <f t="shared" si="15"/>
        <v>100</v>
      </c>
    </row>
    <row r="145" spans="1:51" ht="25.5" customHeight="1" x14ac:dyDescent="0.2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61" t="str">
        <f t="shared" si="14"/>
        <v/>
      </c>
      <c r="AY145" s="61">
        <f t="shared" si="15"/>
        <v>100</v>
      </c>
    </row>
    <row r="146" spans="1:51" ht="25.5" customHeight="1" x14ac:dyDescent="0.25">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61" t="str">
        <f t="shared" si="14"/>
        <v/>
      </c>
      <c r="AY146" s="61">
        <f t="shared" si="15"/>
        <v>100</v>
      </c>
    </row>
    <row r="147" spans="1:51" ht="25.5" customHeight="1" x14ac:dyDescent="0.25">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61" t="str">
        <f t="shared" si="14"/>
        <v/>
      </c>
      <c r="AY147" s="61">
        <f t="shared" si="15"/>
        <v>100</v>
      </c>
    </row>
    <row r="148" spans="1:51" ht="25.5" customHeight="1" x14ac:dyDescent="0.25">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61" t="str">
        <f t="shared" si="14"/>
        <v/>
      </c>
      <c r="AY148" s="61">
        <f t="shared" si="15"/>
        <v>100</v>
      </c>
    </row>
    <row r="149" spans="1:51" ht="25.5" customHeight="1" x14ac:dyDescent="0.25">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61" t="str">
        <f t="shared" si="14"/>
        <v/>
      </c>
      <c r="AY149" s="61">
        <f t="shared" si="15"/>
        <v>100</v>
      </c>
    </row>
    <row r="150" spans="1:51" ht="25.5" customHeight="1" x14ac:dyDescent="0.25">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61" t="str">
        <f t="shared" si="14"/>
        <v/>
      </c>
      <c r="AY150" s="61">
        <f t="shared" si="15"/>
        <v>100</v>
      </c>
    </row>
    <row r="151" spans="1:51" ht="25.5" customHeight="1" x14ac:dyDescent="0.25">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61" t="str">
        <f t="shared" si="14"/>
        <v/>
      </c>
      <c r="AY151" s="61">
        <f t="shared" si="15"/>
        <v>100</v>
      </c>
    </row>
    <row r="152" spans="1:51" ht="25.5" customHeight="1" x14ac:dyDescent="0.25">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61" t="str">
        <f t="shared" si="14"/>
        <v/>
      </c>
      <c r="AY152" s="61">
        <f t="shared" si="15"/>
        <v>100</v>
      </c>
    </row>
    <row r="153" spans="1:51" ht="25.5" customHeight="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61" t="str">
        <f t="shared" si="14"/>
        <v/>
      </c>
      <c r="AY153" s="61">
        <f t="shared" si="15"/>
        <v>100</v>
      </c>
    </row>
    <row r="154" spans="1:51" ht="25.5" customHeight="1" x14ac:dyDescent="0.25">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61" t="str">
        <f t="shared" si="14"/>
        <v/>
      </c>
      <c r="AY154" s="61">
        <f t="shared" si="15"/>
        <v>100</v>
      </c>
    </row>
    <row r="155" spans="1:51" ht="25.5" customHeight="1" x14ac:dyDescent="0.2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61" t="str">
        <f t="shared" si="14"/>
        <v/>
      </c>
      <c r="AY155" s="61">
        <f t="shared" si="15"/>
        <v>100</v>
      </c>
    </row>
    <row r="156" spans="1:51" ht="25.5" customHeight="1" x14ac:dyDescent="0.25">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61" t="str">
        <f t="shared" si="14"/>
        <v/>
      </c>
      <c r="AY156" s="61">
        <f t="shared" si="15"/>
        <v>100</v>
      </c>
    </row>
    <row r="157" spans="1:51" ht="25.5" customHeight="1" x14ac:dyDescent="0.25">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61" t="str">
        <f t="shared" si="14"/>
        <v/>
      </c>
      <c r="AY157" s="61">
        <f t="shared" si="15"/>
        <v>100</v>
      </c>
    </row>
    <row r="158" spans="1:51" ht="25.5" customHeight="1" x14ac:dyDescent="0.25">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61" t="str">
        <f t="shared" si="14"/>
        <v/>
      </c>
      <c r="AY158" s="61">
        <f t="shared" si="15"/>
        <v>100</v>
      </c>
    </row>
    <row r="159" spans="1:51" ht="25.5" customHeight="1" x14ac:dyDescent="0.25">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61" t="str">
        <f t="shared" si="14"/>
        <v/>
      </c>
      <c r="AY159" s="61">
        <f t="shared" si="15"/>
        <v>100</v>
      </c>
    </row>
    <row r="160" spans="1:51" ht="25.5" customHeight="1" x14ac:dyDescent="0.25">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61" t="str">
        <f t="shared" si="14"/>
        <v/>
      </c>
      <c r="AY160" s="61">
        <f t="shared" si="15"/>
        <v>100</v>
      </c>
    </row>
    <row r="161" spans="1:51" ht="25.5" customHeight="1" x14ac:dyDescent="0.25">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61" t="str">
        <f t="shared" si="14"/>
        <v/>
      </c>
      <c r="AY161" s="61">
        <f t="shared" si="15"/>
        <v>100</v>
      </c>
    </row>
    <row r="162" spans="1:51" ht="25.5" customHeight="1" x14ac:dyDescent="0.25">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61" t="str">
        <f t="shared" si="14"/>
        <v/>
      </c>
      <c r="AY162" s="61">
        <f t="shared" si="15"/>
        <v>100</v>
      </c>
    </row>
    <row r="163" spans="1:51" ht="25.5" customHeight="1" x14ac:dyDescent="0.25">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61" t="str">
        <f t="shared" si="14"/>
        <v/>
      </c>
      <c r="AY163" s="61">
        <f t="shared" si="15"/>
        <v>100</v>
      </c>
    </row>
    <row r="164" spans="1:51" ht="25.5" customHeight="1" x14ac:dyDescent="0.25">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61" t="str">
        <f t="shared" si="14"/>
        <v/>
      </c>
      <c r="AY164" s="61">
        <f t="shared" si="15"/>
        <v>100</v>
      </c>
    </row>
    <row r="165" spans="1:51" ht="25.5" customHeight="1" x14ac:dyDescent="0.2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61" t="str">
        <f t="shared" si="14"/>
        <v/>
      </c>
      <c r="AY165" s="61">
        <f t="shared" si="15"/>
        <v>100</v>
      </c>
    </row>
    <row r="166" spans="1:51" ht="25.5" customHeight="1" x14ac:dyDescent="0.25">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61" t="str">
        <f t="shared" si="14"/>
        <v/>
      </c>
      <c r="AY166" s="61">
        <f t="shared" si="15"/>
        <v>100</v>
      </c>
    </row>
    <row r="167" spans="1:51" ht="25.5" customHeight="1" x14ac:dyDescent="0.25">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61" t="str">
        <f t="shared" si="14"/>
        <v/>
      </c>
      <c r="AY167" s="61">
        <f t="shared" si="15"/>
        <v>100</v>
      </c>
    </row>
    <row r="168" spans="1:51" ht="25.5" customHeight="1" x14ac:dyDescent="0.25">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61" t="str">
        <f t="shared" si="14"/>
        <v/>
      </c>
      <c r="AY168" s="61">
        <f t="shared" si="15"/>
        <v>100</v>
      </c>
    </row>
    <row r="169" spans="1:51" ht="25.5" customHeight="1" x14ac:dyDescent="0.25">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61" t="str">
        <f t="shared" si="14"/>
        <v/>
      </c>
      <c r="AY169" s="61">
        <f t="shared" si="15"/>
        <v>100</v>
      </c>
    </row>
    <row r="170" spans="1:51" ht="25.5" customHeight="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61" t="str">
        <f t="shared" si="14"/>
        <v/>
      </c>
      <c r="AY170" s="61">
        <f t="shared" si="15"/>
        <v>100</v>
      </c>
    </row>
    <row r="171" spans="1:51" ht="25.5" customHeight="1" x14ac:dyDescent="0.25">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61" t="str">
        <f t="shared" si="14"/>
        <v/>
      </c>
      <c r="AY171" s="61">
        <f t="shared" si="15"/>
        <v>100</v>
      </c>
    </row>
    <row r="172" spans="1:51" ht="25.5" customHeight="1" x14ac:dyDescent="0.25">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61" t="str">
        <f t="shared" si="14"/>
        <v/>
      </c>
      <c r="AY172" s="61">
        <f t="shared" si="15"/>
        <v>100</v>
      </c>
    </row>
    <row r="173" spans="1:51" ht="25.5" customHeight="1" x14ac:dyDescent="0.25">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61" t="str">
        <f t="shared" si="14"/>
        <v/>
      </c>
      <c r="AY173" s="61">
        <f t="shared" si="15"/>
        <v>100</v>
      </c>
    </row>
    <row r="174" spans="1:51" ht="25.5" customHeight="1" x14ac:dyDescent="0.25">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61" t="str">
        <f t="shared" si="14"/>
        <v/>
      </c>
      <c r="AY174" s="61">
        <f t="shared" si="15"/>
        <v>100</v>
      </c>
    </row>
    <row r="175" spans="1:51" ht="25.5" customHeight="1" x14ac:dyDescent="0.2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61" t="str">
        <f t="shared" si="14"/>
        <v/>
      </c>
      <c r="AY175" s="61">
        <f t="shared" si="15"/>
        <v>100</v>
      </c>
    </row>
    <row r="176" spans="1:51" ht="25.5" customHeight="1" x14ac:dyDescent="0.25">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61" t="str">
        <f t="shared" si="14"/>
        <v/>
      </c>
      <c r="AY176" s="61">
        <f t="shared" si="15"/>
        <v>100</v>
      </c>
    </row>
    <row r="177" spans="1:51" ht="25.5" customHeight="1" x14ac:dyDescent="0.25">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61" t="str">
        <f t="shared" si="14"/>
        <v/>
      </c>
      <c r="AY177" s="61">
        <f t="shared" si="15"/>
        <v>100</v>
      </c>
    </row>
    <row r="178" spans="1:51" ht="25.5" customHeight="1" x14ac:dyDescent="0.25">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61" t="str">
        <f t="shared" si="14"/>
        <v/>
      </c>
      <c r="AY178" s="61">
        <f t="shared" si="15"/>
        <v>100</v>
      </c>
    </row>
    <row r="179" spans="1:51" ht="25.5" customHeight="1" x14ac:dyDescent="0.25">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61" t="str">
        <f t="shared" si="14"/>
        <v/>
      </c>
      <c r="AY179" s="61">
        <f t="shared" si="15"/>
        <v>100</v>
      </c>
    </row>
    <row r="180" spans="1:51" ht="25.5" customHeight="1" x14ac:dyDescent="0.25">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61" t="str">
        <f t="shared" si="14"/>
        <v/>
      </c>
      <c r="AY180" s="61">
        <f t="shared" si="15"/>
        <v>100</v>
      </c>
    </row>
    <row r="181" spans="1:51" ht="25.5" customHeight="1" x14ac:dyDescent="0.25">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61" t="str">
        <f t="shared" si="14"/>
        <v/>
      </c>
      <c r="AY181" s="61">
        <f t="shared" si="15"/>
        <v>100</v>
      </c>
    </row>
    <row r="182" spans="1:51" ht="25.5" customHeight="1" x14ac:dyDescent="0.25">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61" t="str">
        <f t="shared" si="14"/>
        <v/>
      </c>
      <c r="AY182" s="61">
        <f t="shared" si="15"/>
        <v>100</v>
      </c>
    </row>
    <row r="183" spans="1:51" ht="25.5" customHeight="1" x14ac:dyDescent="0.25">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61" t="str">
        <f t="shared" si="14"/>
        <v/>
      </c>
      <c r="AY183" s="61">
        <f t="shared" si="15"/>
        <v>100</v>
      </c>
    </row>
    <row r="184" spans="1:51" ht="25.5" customHeight="1" x14ac:dyDescent="0.25">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61" t="str">
        <f t="shared" si="14"/>
        <v/>
      </c>
      <c r="AY184" s="61">
        <f t="shared" si="15"/>
        <v>100</v>
      </c>
    </row>
    <row r="185" spans="1:51" ht="25.5" customHeight="1" x14ac:dyDescent="0.2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61" t="str">
        <f t="shared" si="14"/>
        <v/>
      </c>
      <c r="AY185" s="61">
        <f t="shared" si="15"/>
        <v>100</v>
      </c>
    </row>
    <row r="186" spans="1:51" ht="25.5" customHeight="1" x14ac:dyDescent="0.25">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61" t="str">
        <f t="shared" si="14"/>
        <v/>
      </c>
      <c r="AY186" s="61">
        <f t="shared" si="15"/>
        <v>100</v>
      </c>
    </row>
    <row r="187" spans="1:51" ht="25.5" customHeight="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61" t="str">
        <f t="shared" si="14"/>
        <v/>
      </c>
      <c r="AY187" s="61">
        <f t="shared" si="15"/>
        <v>100</v>
      </c>
    </row>
    <row r="188" spans="1:51" ht="25.5" customHeight="1" x14ac:dyDescent="0.25">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61" t="str">
        <f t="shared" si="14"/>
        <v/>
      </c>
      <c r="AY188" s="61">
        <f t="shared" si="15"/>
        <v>100</v>
      </c>
    </row>
    <row r="189" spans="1:51" ht="25.5" customHeight="1" x14ac:dyDescent="0.25">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61" t="str">
        <f t="shared" si="14"/>
        <v/>
      </c>
      <c r="AY189" s="61">
        <f t="shared" si="15"/>
        <v>100</v>
      </c>
    </row>
    <row r="190" spans="1:51" ht="25.5" customHeight="1" x14ac:dyDescent="0.25">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61" t="str">
        <f t="shared" si="14"/>
        <v/>
      </c>
      <c r="AY190" s="61">
        <f t="shared" si="15"/>
        <v>100</v>
      </c>
    </row>
    <row r="191" spans="1:51" ht="25.5" customHeight="1" x14ac:dyDescent="0.25">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61" t="str">
        <f t="shared" si="14"/>
        <v/>
      </c>
      <c r="AY191" s="61">
        <f t="shared" si="15"/>
        <v>100</v>
      </c>
    </row>
    <row r="192" spans="1:51" ht="25.5" customHeight="1" x14ac:dyDescent="0.25">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61" t="str">
        <f t="shared" si="14"/>
        <v/>
      </c>
      <c r="AY192" s="61">
        <f t="shared" si="15"/>
        <v>100</v>
      </c>
    </row>
    <row r="193" spans="1:51" ht="25.5" customHeight="1" x14ac:dyDescent="0.25">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61" t="str">
        <f t="shared" si="14"/>
        <v/>
      </c>
      <c r="AY193" s="61">
        <f t="shared" si="15"/>
        <v>100</v>
      </c>
    </row>
    <row r="194" spans="1:51" ht="25.5" customHeight="1" x14ac:dyDescent="0.25">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61" t="str">
        <f t="shared" ref="AX194:AX253" si="16">IFERROR(AV194/AD194*100000,"")</f>
        <v/>
      </c>
      <c r="AY194" s="61">
        <f t="shared" ref="AY194:AY253" si="17">IFERROR(100-AQ194,"")</f>
        <v>100</v>
      </c>
    </row>
    <row r="195" spans="1:51" ht="25.5" customHeight="1" x14ac:dyDescent="0.2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61" t="str">
        <f t="shared" si="16"/>
        <v/>
      </c>
      <c r="AY195" s="61">
        <f t="shared" si="17"/>
        <v>100</v>
      </c>
    </row>
    <row r="196" spans="1:51" ht="25.5" customHeight="1" x14ac:dyDescent="0.25">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61" t="str">
        <f t="shared" si="16"/>
        <v/>
      </c>
      <c r="AY196" s="61">
        <f t="shared" si="17"/>
        <v>100</v>
      </c>
    </row>
    <row r="197" spans="1:51" ht="25.5" customHeight="1" x14ac:dyDescent="0.25">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61" t="str">
        <f t="shared" si="16"/>
        <v/>
      </c>
      <c r="AY197" s="61">
        <f t="shared" si="17"/>
        <v>100</v>
      </c>
    </row>
    <row r="198" spans="1:51" ht="25.5" customHeight="1" x14ac:dyDescent="0.25">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61" t="str">
        <f t="shared" si="16"/>
        <v/>
      </c>
      <c r="AY198" s="61">
        <f t="shared" si="17"/>
        <v>100</v>
      </c>
    </row>
    <row r="199" spans="1:51" ht="25.5" customHeight="1" x14ac:dyDescent="0.25">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61" t="str">
        <f t="shared" si="16"/>
        <v/>
      </c>
      <c r="AY199" s="61">
        <f t="shared" si="17"/>
        <v>100</v>
      </c>
    </row>
    <row r="200" spans="1:51" ht="25.5" customHeight="1" x14ac:dyDescent="0.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61" t="str">
        <f t="shared" si="16"/>
        <v/>
      </c>
      <c r="AY200" s="61">
        <f t="shared" si="17"/>
        <v>100</v>
      </c>
    </row>
    <row r="201" spans="1:51" ht="25.5" customHeight="1" x14ac:dyDescent="0.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61" t="str">
        <f t="shared" si="16"/>
        <v/>
      </c>
      <c r="AY201" s="61">
        <f t="shared" si="17"/>
        <v>100</v>
      </c>
    </row>
    <row r="202" spans="1:51" ht="25.5" customHeight="1" x14ac:dyDescent="0.25">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16"/>
      <c r="AP202" s="16"/>
      <c r="AQ202" s="16"/>
      <c r="AR202" s="16"/>
      <c r="AS202" s="16"/>
      <c r="AT202" s="16"/>
      <c r="AU202" s="16"/>
      <c r="AV202" s="16"/>
      <c r="AW202" s="16"/>
      <c r="AX202" s="61" t="str">
        <f t="shared" si="16"/>
        <v/>
      </c>
      <c r="AY202" s="61">
        <f t="shared" si="17"/>
        <v>100</v>
      </c>
    </row>
    <row r="203" spans="1:51" ht="25.5" customHeight="1" x14ac:dyDescent="0.25">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16"/>
      <c r="AX203" s="61" t="str">
        <f t="shared" si="16"/>
        <v/>
      </c>
      <c r="AY203" s="61">
        <f t="shared" si="17"/>
        <v>100</v>
      </c>
    </row>
    <row r="204" spans="1:51" ht="25.5"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61" t="str">
        <f t="shared" si="16"/>
        <v/>
      </c>
      <c r="AY204" s="61">
        <f t="shared" si="17"/>
        <v>100</v>
      </c>
    </row>
    <row r="205" spans="1:51" ht="25.5" customHeight="1" x14ac:dyDescent="0.25">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16"/>
      <c r="AX205" s="61" t="str">
        <f t="shared" si="16"/>
        <v/>
      </c>
      <c r="AY205" s="61">
        <f t="shared" si="17"/>
        <v>100</v>
      </c>
    </row>
    <row r="206" spans="1:51" ht="25.5" customHeight="1" x14ac:dyDescent="0.25">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61" t="str">
        <f t="shared" si="16"/>
        <v/>
      </c>
      <c r="AY206" s="61">
        <f t="shared" si="17"/>
        <v>100</v>
      </c>
    </row>
    <row r="207" spans="1:51" ht="25.5" customHeight="1" x14ac:dyDescent="0.25">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16"/>
      <c r="AX207" s="61" t="str">
        <f t="shared" si="16"/>
        <v/>
      </c>
      <c r="AY207" s="61">
        <f t="shared" si="17"/>
        <v>100</v>
      </c>
    </row>
    <row r="208" spans="1:51" ht="25.5" customHeight="1" x14ac:dyDescent="0.25">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16"/>
      <c r="AX208" s="61" t="str">
        <f t="shared" si="16"/>
        <v/>
      </c>
      <c r="AY208" s="61">
        <f t="shared" si="17"/>
        <v>100</v>
      </c>
    </row>
    <row r="209" spans="1:51" ht="25.5" customHeight="1" x14ac:dyDescent="0.25">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16"/>
      <c r="AX209" s="61" t="str">
        <f t="shared" si="16"/>
        <v/>
      </c>
      <c r="AY209" s="61">
        <f t="shared" si="17"/>
        <v>100</v>
      </c>
    </row>
    <row r="210" spans="1:51" ht="25.5" customHeight="1" x14ac:dyDescent="0.25">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16"/>
      <c r="AX210" s="61" t="str">
        <f t="shared" si="16"/>
        <v/>
      </c>
      <c r="AY210" s="61">
        <f t="shared" si="17"/>
        <v>100</v>
      </c>
    </row>
    <row r="211" spans="1:51" ht="25.5" customHeight="1" x14ac:dyDescent="0.25">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61" t="str">
        <f t="shared" si="16"/>
        <v/>
      </c>
      <c r="AY211" s="61">
        <f t="shared" si="17"/>
        <v>100</v>
      </c>
    </row>
    <row r="212" spans="1:51" ht="25.5" customHeight="1" x14ac:dyDescent="0.25">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61" t="str">
        <f t="shared" si="16"/>
        <v/>
      </c>
      <c r="AY212" s="61">
        <f t="shared" si="17"/>
        <v>100</v>
      </c>
    </row>
    <row r="213" spans="1:51" ht="25.5" customHeight="1" x14ac:dyDescent="0.25">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16"/>
      <c r="AX213" s="61" t="str">
        <f t="shared" si="16"/>
        <v/>
      </c>
      <c r="AY213" s="61">
        <f t="shared" si="17"/>
        <v>100</v>
      </c>
    </row>
    <row r="214" spans="1:51" ht="25.5" customHeight="1" x14ac:dyDescent="0.25">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61" t="str">
        <f t="shared" si="16"/>
        <v/>
      </c>
      <c r="AY214" s="61">
        <f t="shared" si="17"/>
        <v>100</v>
      </c>
    </row>
    <row r="215" spans="1:51" ht="25.5" customHeight="1" x14ac:dyDescent="0.25">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16"/>
      <c r="AX215" s="61" t="str">
        <f t="shared" si="16"/>
        <v/>
      </c>
      <c r="AY215" s="61">
        <f t="shared" si="17"/>
        <v>100</v>
      </c>
    </row>
    <row r="216" spans="1:51" ht="25.5" customHeight="1" x14ac:dyDescent="0.25">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16"/>
      <c r="AP216" s="16"/>
      <c r="AQ216" s="16"/>
      <c r="AR216" s="16"/>
      <c r="AS216" s="16"/>
      <c r="AT216" s="16"/>
      <c r="AU216" s="16"/>
      <c r="AV216" s="16"/>
      <c r="AW216" s="16"/>
      <c r="AX216" s="61" t="str">
        <f t="shared" si="16"/>
        <v/>
      </c>
      <c r="AY216" s="61">
        <f t="shared" si="17"/>
        <v>100</v>
      </c>
    </row>
    <row r="217" spans="1:51" ht="25.5" customHeight="1" x14ac:dyDescent="0.25">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16"/>
      <c r="AP217" s="16"/>
      <c r="AQ217" s="16"/>
      <c r="AR217" s="16"/>
      <c r="AS217" s="16"/>
      <c r="AT217" s="16"/>
      <c r="AU217" s="16"/>
      <c r="AV217" s="16"/>
      <c r="AW217" s="16"/>
      <c r="AX217" s="61" t="str">
        <f t="shared" si="16"/>
        <v/>
      </c>
      <c r="AY217" s="61">
        <f t="shared" si="17"/>
        <v>100</v>
      </c>
    </row>
    <row r="218" spans="1:51" ht="25.5" customHeight="1" x14ac:dyDescent="0.25">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16"/>
      <c r="AX218" s="61" t="str">
        <f t="shared" si="16"/>
        <v/>
      </c>
      <c r="AY218" s="61">
        <f t="shared" si="17"/>
        <v>100</v>
      </c>
    </row>
    <row r="219" spans="1:51" ht="25.5" customHeight="1" x14ac:dyDescent="0.25">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16"/>
      <c r="AX219" s="61" t="str">
        <f t="shared" si="16"/>
        <v/>
      </c>
      <c r="AY219" s="61">
        <f t="shared" si="17"/>
        <v>100</v>
      </c>
    </row>
    <row r="220" spans="1:51" ht="25.5" customHeight="1" x14ac:dyDescent="0.25">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16"/>
      <c r="AX220" s="61" t="str">
        <f t="shared" si="16"/>
        <v/>
      </c>
      <c r="AY220" s="61">
        <f t="shared" si="17"/>
        <v>100</v>
      </c>
    </row>
    <row r="221" spans="1:51" ht="25.5"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16"/>
      <c r="AX221" s="61" t="str">
        <f t="shared" si="16"/>
        <v/>
      </c>
      <c r="AY221" s="61">
        <f t="shared" si="17"/>
        <v>100</v>
      </c>
    </row>
    <row r="222" spans="1:51" ht="25.5" customHeight="1" x14ac:dyDescent="0.25">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16"/>
      <c r="AP222" s="16"/>
      <c r="AQ222" s="16"/>
      <c r="AR222" s="16"/>
      <c r="AS222" s="16"/>
      <c r="AT222" s="16"/>
      <c r="AU222" s="16"/>
      <c r="AV222" s="16"/>
      <c r="AW222" s="16"/>
      <c r="AX222" s="61" t="str">
        <f t="shared" si="16"/>
        <v/>
      </c>
      <c r="AY222" s="61">
        <f t="shared" si="17"/>
        <v>100</v>
      </c>
    </row>
    <row r="223" spans="1:51" ht="25.5" customHeight="1" x14ac:dyDescent="0.25">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16"/>
      <c r="AX223" s="61" t="str">
        <f t="shared" si="16"/>
        <v/>
      </c>
      <c r="AY223" s="61">
        <f t="shared" si="17"/>
        <v>100</v>
      </c>
    </row>
    <row r="224" spans="1:51" ht="25.5" customHeight="1" x14ac:dyDescent="0.25">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16"/>
      <c r="AX224" s="61" t="str">
        <f t="shared" si="16"/>
        <v/>
      </c>
      <c r="AY224" s="61">
        <f t="shared" si="17"/>
        <v>100</v>
      </c>
    </row>
    <row r="225" spans="1:51" ht="25.5" customHeight="1" x14ac:dyDescent="0.25">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16"/>
      <c r="AX225" s="61" t="str">
        <f t="shared" si="16"/>
        <v/>
      </c>
      <c r="AY225" s="61">
        <f t="shared" si="17"/>
        <v>100</v>
      </c>
    </row>
    <row r="226" spans="1:51" ht="25.5" customHeight="1" x14ac:dyDescent="0.25">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16"/>
      <c r="AX226" s="61" t="str">
        <f t="shared" si="16"/>
        <v/>
      </c>
      <c r="AY226" s="61">
        <f t="shared" si="17"/>
        <v>100</v>
      </c>
    </row>
    <row r="227" spans="1:51" ht="25.5" customHeight="1" x14ac:dyDescent="0.25">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16"/>
      <c r="AX227" s="61" t="str">
        <f t="shared" si="16"/>
        <v/>
      </c>
      <c r="AY227" s="61">
        <f t="shared" si="17"/>
        <v>100</v>
      </c>
    </row>
    <row r="228" spans="1:51" ht="25.5" customHeight="1" x14ac:dyDescent="0.25">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16"/>
      <c r="AP228" s="16"/>
      <c r="AQ228" s="16"/>
      <c r="AR228" s="16"/>
      <c r="AS228" s="16"/>
      <c r="AT228" s="16"/>
      <c r="AU228" s="16"/>
      <c r="AV228" s="16"/>
      <c r="AW228" s="16"/>
      <c r="AX228" s="61" t="str">
        <f t="shared" si="16"/>
        <v/>
      </c>
      <c r="AY228" s="61">
        <f t="shared" si="17"/>
        <v>100</v>
      </c>
    </row>
    <row r="229" spans="1:51" ht="25.5" customHeight="1" x14ac:dyDescent="0.25">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61" t="str">
        <f t="shared" si="16"/>
        <v/>
      </c>
      <c r="AY229" s="61">
        <f t="shared" si="17"/>
        <v>100</v>
      </c>
    </row>
    <row r="230" spans="1:51" ht="25.5" customHeight="1" x14ac:dyDescent="0.25">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61" t="str">
        <f t="shared" si="16"/>
        <v/>
      </c>
      <c r="AY230" s="61">
        <f t="shared" si="17"/>
        <v>100</v>
      </c>
    </row>
    <row r="231" spans="1:51" ht="25.5" customHeight="1" x14ac:dyDescent="0.25">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16"/>
      <c r="AX231" s="61" t="str">
        <f t="shared" si="16"/>
        <v/>
      </c>
      <c r="AY231" s="61">
        <f t="shared" si="17"/>
        <v>100</v>
      </c>
    </row>
    <row r="232" spans="1:51" ht="25.5" customHeight="1" x14ac:dyDescent="0.25">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16"/>
      <c r="AX232" s="61" t="str">
        <f t="shared" si="16"/>
        <v/>
      </c>
      <c r="AY232" s="61">
        <f t="shared" si="17"/>
        <v>100</v>
      </c>
    </row>
    <row r="233" spans="1:51" ht="25.5" customHeight="1" x14ac:dyDescent="0.25">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61" t="str">
        <f t="shared" si="16"/>
        <v/>
      </c>
      <c r="AY233" s="61">
        <f t="shared" si="17"/>
        <v>100</v>
      </c>
    </row>
    <row r="234" spans="1:51" ht="25.5" customHeight="1" x14ac:dyDescent="0.25">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61" t="str">
        <f t="shared" si="16"/>
        <v/>
      </c>
      <c r="AY234" s="61">
        <f t="shared" si="17"/>
        <v>100</v>
      </c>
    </row>
    <row r="235" spans="1:51" ht="25.5" customHeight="1" x14ac:dyDescent="0.25">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16"/>
      <c r="AP235" s="16"/>
      <c r="AQ235" s="16"/>
      <c r="AR235" s="16"/>
      <c r="AS235" s="16"/>
      <c r="AT235" s="16"/>
      <c r="AU235" s="16"/>
      <c r="AV235" s="16"/>
      <c r="AW235" s="16"/>
      <c r="AX235" s="61" t="str">
        <f t="shared" si="16"/>
        <v/>
      </c>
      <c r="AY235" s="61">
        <f t="shared" si="17"/>
        <v>100</v>
      </c>
    </row>
    <row r="236" spans="1:51" ht="25.5" customHeight="1" x14ac:dyDescent="0.25">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61" t="str">
        <f t="shared" si="16"/>
        <v/>
      </c>
      <c r="AY236" s="61">
        <f t="shared" si="17"/>
        <v>100</v>
      </c>
    </row>
    <row r="237" spans="1:51" ht="25.5" customHeight="1" x14ac:dyDescent="0.25">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16"/>
      <c r="AX237" s="61" t="str">
        <f t="shared" si="16"/>
        <v/>
      </c>
      <c r="AY237" s="61">
        <f t="shared" si="17"/>
        <v>100</v>
      </c>
    </row>
    <row r="238" spans="1:51" ht="25.5"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16"/>
      <c r="AP238" s="16"/>
      <c r="AQ238" s="16"/>
      <c r="AR238" s="16"/>
      <c r="AS238" s="16"/>
      <c r="AT238" s="16"/>
      <c r="AU238" s="16"/>
      <c r="AV238" s="16"/>
      <c r="AW238" s="16"/>
      <c r="AX238" s="61" t="str">
        <f t="shared" si="16"/>
        <v/>
      </c>
      <c r="AY238" s="61">
        <f t="shared" si="17"/>
        <v>100</v>
      </c>
    </row>
    <row r="239" spans="1:51" ht="25.5" customHeight="1" x14ac:dyDescent="0.25">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61" t="str">
        <f t="shared" si="16"/>
        <v/>
      </c>
      <c r="AY239" s="61">
        <f t="shared" si="17"/>
        <v>100</v>
      </c>
    </row>
    <row r="240" spans="1:51" ht="25.5" customHeight="1" x14ac:dyDescent="0.25">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16"/>
      <c r="AX240" s="61" t="str">
        <f t="shared" si="16"/>
        <v/>
      </c>
      <c r="AY240" s="61">
        <f t="shared" si="17"/>
        <v>100</v>
      </c>
    </row>
    <row r="241" spans="1:51" ht="25.5" customHeight="1" x14ac:dyDescent="0.25">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16"/>
      <c r="AP241" s="16"/>
      <c r="AQ241" s="16"/>
      <c r="AR241" s="16"/>
      <c r="AS241" s="16"/>
      <c r="AT241" s="16"/>
      <c r="AU241" s="16"/>
      <c r="AV241" s="16"/>
      <c r="AW241" s="16"/>
      <c r="AX241" s="61" t="str">
        <f t="shared" si="16"/>
        <v/>
      </c>
      <c r="AY241" s="61">
        <f t="shared" si="17"/>
        <v>100</v>
      </c>
    </row>
    <row r="242" spans="1:51" ht="25.5" customHeight="1"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61" t="str">
        <f t="shared" si="16"/>
        <v/>
      </c>
      <c r="AY242" s="61">
        <f t="shared" si="17"/>
        <v>100</v>
      </c>
    </row>
    <row r="243" spans="1:51" ht="25.5" customHeight="1" x14ac:dyDescent="0.25">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16"/>
      <c r="AX243" s="61" t="str">
        <f t="shared" si="16"/>
        <v/>
      </c>
      <c r="AY243" s="61">
        <f t="shared" si="17"/>
        <v>100</v>
      </c>
    </row>
    <row r="244" spans="1:51" ht="25.5" customHeight="1" x14ac:dyDescent="0.25">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16"/>
      <c r="AX244" s="61" t="str">
        <f t="shared" si="16"/>
        <v/>
      </c>
      <c r="AY244" s="61">
        <f t="shared" si="17"/>
        <v>100</v>
      </c>
    </row>
    <row r="245" spans="1:51" ht="25.5" customHeight="1" x14ac:dyDescent="0.25">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16"/>
      <c r="AP245" s="16"/>
      <c r="AQ245" s="16"/>
      <c r="AR245" s="16"/>
      <c r="AS245" s="16"/>
      <c r="AT245" s="16"/>
      <c r="AU245" s="16"/>
      <c r="AV245" s="16"/>
      <c r="AW245" s="16"/>
      <c r="AX245" s="61" t="str">
        <f t="shared" si="16"/>
        <v/>
      </c>
      <c r="AY245" s="61">
        <f t="shared" si="17"/>
        <v>100</v>
      </c>
    </row>
    <row r="246" spans="1:51" ht="25.5" customHeight="1" x14ac:dyDescent="0.25">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16"/>
      <c r="AX246" s="61" t="str">
        <f t="shared" si="16"/>
        <v/>
      </c>
      <c r="AY246" s="61">
        <f t="shared" si="17"/>
        <v>100</v>
      </c>
    </row>
    <row r="247" spans="1:51" ht="25.5" customHeight="1" x14ac:dyDescent="0.25">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16"/>
      <c r="AX247" s="61" t="str">
        <f t="shared" si="16"/>
        <v/>
      </c>
      <c r="AY247" s="61">
        <f t="shared" si="17"/>
        <v>100</v>
      </c>
    </row>
    <row r="248" spans="1:51" ht="25.5" customHeight="1" x14ac:dyDescent="0.25">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16"/>
      <c r="AP248" s="16"/>
      <c r="AQ248" s="16"/>
      <c r="AR248" s="16"/>
      <c r="AS248" s="16"/>
      <c r="AT248" s="16"/>
      <c r="AU248" s="16"/>
      <c r="AV248" s="16"/>
      <c r="AW248" s="16"/>
      <c r="AX248" s="61" t="str">
        <f t="shared" si="16"/>
        <v/>
      </c>
      <c r="AY248" s="61">
        <f t="shared" si="17"/>
        <v>100</v>
      </c>
    </row>
    <row r="249" spans="1:51" ht="25.5" customHeight="1" x14ac:dyDescent="0.25">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61" t="str">
        <f t="shared" si="16"/>
        <v/>
      </c>
      <c r="AY249" s="61">
        <f t="shared" si="17"/>
        <v>100</v>
      </c>
    </row>
    <row r="250" spans="1:51" ht="25.5" customHeight="1" x14ac:dyDescent="0.25">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16"/>
      <c r="AX250" s="61" t="str">
        <f t="shared" si="16"/>
        <v/>
      </c>
      <c r="AY250" s="61">
        <f t="shared" si="17"/>
        <v>100</v>
      </c>
    </row>
    <row r="251" spans="1:51" ht="25.5" customHeight="1" x14ac:dyDescent="0.25">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16"/>
      <c r="AP251" s="16"/>
      <c r="AQ251" s="16"/>
      <c r="AR251" s="16"/>
      <c r="AS251" s="16"/>
      <c r="AT251" s="16"/>
      <c r="AU251" s="16"/>
      <c r="AV251" s="16"/>
      <c r="AW251" s="16"/>
      <c r="AX251" s="61" t="str">
        <f t="shared" si="16"/>
        <v/>
      </c>
      <c r="AY251" s="61">
        <f t="shared" si="17"/>
        <v>100</v>
      </c>
    </row>
    <row r="252" spans="1:51" ht="25.5" customHeight="1" x14ac:dyDescent="0.25">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61" t="str">
        <f t="shared" si="16"/>
        <v/>
      </c>
      <c r="AY252" s="61">
        <f t="shared" si="17"/>
        <v>100</v>
      </c>
    </row>
    <row r="253" spans="1:51" ht="25.5" customHeight="1" x14ac:dyDescent="0.25">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61" t="str">
        <f t="shared" si="16"/>
        <v/>
      </c>
      <c r="AY253" s="61">
        <f t="shared" si="17"/>
        <v>100</v>
      </c>
    </row>
  </sheetData>
  <mergeCells count="4">
    <mergeCell ref="A1:D1"/>
    <mergeCell ref="E1:L1"/>
    <mergeCell ref="A2:R2"/>
    <mergeCell ref="A95:C95"/>
  </mergeCells>
  <conditionalFormatting sqref="P9:Q90">
    <cfRule type="colorScale" priority="4">
      <colorScale>
        <cfvo type="min"/>
        <cfvo type="percentile" val="50"/>
        <cfvo type="max"/>
        <color rgb="FFF8696B"/>
        <color rgb="FFFFEB84"/>
        <color rgb="FF63BE7B"/>
      </colorScale>
    </cfRule>
  </conditionalFormatting>
  <conditionalFormatting sqref="R9:R12">
    <cfRule type="colorScale" priority="2">
      <colorScale>
        <cfvo type="min"/>
        <cfvo type="percentile" val="50"/>
        <cfvo type="max"/>
        <color rgb="FFF8696B"/>
        <color rgb="FFFFEB84"/>
        <color rgb="FF63BE7B"/>
      </colorScale>
    </cfRule>
  </conditionalFormatting>
  <conditionalFormatting sqref="R13:R90">
    <cfRule type="colorScale" priority="3">
      <colorScale>
        <cfvo type="min"/>
        <cfvo type="percentile" val="50"/>
        <cfvo type="max"/>
        <color rgb="FFF8696B"/>
        <color rgb="FFFFEB84"/>
        <color rgb="FF63BE7B"/>
      </colorScale>
    </cfRule>
  </conditionalFormatting>
  <hyperlinks>
    <hyperlink ref="A1" location="'SIM_Accueil'!A1" display="⌂  BACK TO HOME" xr:uid="{00000000-0004-0000-0300-000000000000}"/>
  </hyperlinks>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1F6E43"/>
  </sheetPr>
  <dimension ref="A1:L14"/>
  <sheetViews>
    <sheetView showGridLines="0" zoomScaleNormal="100" workbookViewId="0"/>
  </sheetViews>
  <sheetFormatPr baseColWidth="10" defaultColWidth="8.6328125" defaultRowHeight="12.5" x14ac:dyDescent="0.25"/>
  <cols>
    <col min="1" max="2" width="42" customWidth="1"/>
    <col min="3" max="3" width="11" customWidth="1"/>
    <col min="4" max="4" width="9" customWidth="1"/>
    <col min="5" max="5" width="42" customWidth="1"/>
    <col min="6" max="6" width="19" customWidth="1"/>
    <col min="7" max="7" width="14" customWidth="1"/>
    <col min="9" max="12" width="13" customWidth="1"/>
  </cols>
  <sheetData>
    <row r="1" spans="1:12" ht="27.75" customHeight="1" x14ac:dyDescent="0.25">
      <c r="A1" s="205" t="s">
        <v>32</v>
      </c>
      <c r="B1" s="205"/>
      <c r="C1" s="205"/>
      <c r="D1" s="205"/>
      <c r="E1" s="206" t="s">
        <v>468</v>
      </c>
      <c r="F1" s="206"/>
      <c r="G1" s="206"/>
      <c r="H1" s="206"/>
      <c r="I1" s="206"/>
      <c r="J1" s="206"/>
      <c r="K1" s="206"/>
      <c r="L1" s="206"/>
    </row>
    <row r="2" spans="1:12" ht="12.75" customHeight="1" x14ac:dyDescent="0.3">
      <c r="A2" s="16"/>
      <c r="B2" s="16"/>
      <c r="C2" s="16"/>
      <c r="D2" s="16"/>
      <c r="E2" s="74"/>
      <c r="F2" s="74"/>
      <c r="G2" s="74"/>
      <c r="H2" s="13"/>
      <c r="I2" s="13"/>
      <c r="J2" s="13"/>
      <c r="K2" s="13"/>
      <c r="L2" s="13"/>
    </row>
    <row r="3" spans="1:12" ht="33.75" customHeight="1" x14ac:dyDescent="0.25">
      <c r="A3" s="75" t="s">
        <v>469</v>
      </c>
      <c r="B3" s="75" t="s">
        <v>470</v>
      </c>
      <c r="C3" s="75" t="s">
        <v>342</v>
      </c>
      <c r="D3" s="75" t="s">
        <v>343</v>
      </c>
      <c r="E3" s="75" t="s">
        <v>471</v>
      </c>
      <c r="F3" s="75" t="s">
        <v>472</v>
      </c>
      <c r="G3" s="75" t="s">
        <v>473</v>
      </c>
      <c r="H3" s="76"/>
      <c r="I3" s="76"/>
      <c r="J3" s="76"/>
      <c r="K3" s="76"/>
      <c r="L3" s="76"/>
    </row>
    <row r="4" spans="1:12" ht="12.75" customHeight="1" x14ac:dyDescent="0.3">
      <c r="A4" s="77">
        <v>2016</v>
      </c>
      <c r="B4" s="78">
        <v>85</v>
      </c>
      <c r="C4" s="78">
        <v>71</v>
      </c>
      <c r="D4" s="78">
        <v>14</v>
      </c>
      <c r="E4" s="78">
        <v>1295854000</v>
      </c>
      <c r="F4" s="78">
        <v>536930000</v>
      </c>
      <c r="G4" s="78">
        <v>1832784000</v>
      </c>
      <c r="H4" s="13"/>
      <c r="I4" s="13"/>
      <c r="J4" s="13"/>
      <c r="K4" s="13"/>
      <c r="L4" s="13"/>
    </row>
    <row r="5" spans="1:12" ht="12.75" customHeight="1" x14ac:dyDescent="0.3">
      <c r="A5" s="79">
        <v>2017</v>
      </c>
      <c r="B5" s="80">
        <v>85</v>
      </c>
      <c r="C5" s="80">
        <v>71</v>
      </c>
      <c r="D5" s="80">
        <v>14</v>
      </c>
      <c r="E5" s="80">
        <v>1269170000</v>
      </c>
      <c r="F5" s="80">
        <v>507152000</v>
      </c>
      <c r="G5" s="80">
        <v>1776322000</v>
      </c>
      <c r="H5" s="13"/>
      <c r="I5" s="13"/>
      <c r="J5" s="13"/>
      <c r="K5" s="13"/>
      <c r="L5" s="13"/>
    </row>
    <row r="6" spans="1:12" ht="12.75" customHeight="1" x14ac:dyDescent="0.3">
      <c r="A6" s="77">
        <v>2018</v>
      </c>
      <c r="B6" s="78">
        <v>85</v>
      </c>
      <c r="C6" s="78">
        <v>71</v>
      </c>
      <c r="D6" s="78">
        <v>14</v>
      </c>
      <c r="E6" s="78">
        <v>1190274000</v>
      </c>
      <c r="F6" s="78">
        <v>492559000</v>
      </c>
      <c r="G6" s="78">
        <v>1682833000</v>
      </c>
      <c r="H6" s="13"/>
      <c r="I6" s="13"/>
      <c r="J6" s="13"/>
      <c r="K6" s="13"/>
      <c r="L6" s="13"/>
    </row>
    <row r="7" spans="1:12" ht="12.75" customHeight="1" x14ac:dyDescent="0.3">
      <c r="A7" s="81"/>
      <c r="B7" s="81"/>
      <c r="C7" s="81"/>
      <c r="D7" s="81"/>
      <c r="E7" s="81"/>
      <c r="F7" s="81"/>
      <c r="G7" s="81"/>
      <c r="H7" s="13"/>
      <c r="I7" s="13"/>
      <c r="J7" s="13"/>
      <c r="K7" s="13"/>
      <c r="L7" s="13"/>
    </row>
    <row r="8" spans="1:12" ht="12.75" customHeight="1" x14ac:dyDescent="0.3">
      <c r="A8" s="82" t="s">
        <v>474</v>
      </c>
      <c r="B8" s="82" t="s">
        <v>66</v>
      </c>
      <c r="C8" s="74"/>
      <c r="D8" s="74"/>
      <c r="E8" s="74"/>
      <c r="F8" s="74"/>
      <c r="G8" s="74"/>
      <c r="H8" s="13"/>
      <c r="I8" s="13"/>
      <c r="J8" s="13"/>
      <c r="K8" s="13"/>
      <c r="L8" s="13"/>
    </row>
    <row r="9" spans="1:12" ht="12.75" customHeight="1" x14ac:dyDescent="0.3">
      <c r="A9" s="83" t="s">
        <v>475</v>
      </c>
      <c r="B9" s="80">
        <v>85</v>
      </c>
      <c r="C9" s="81"/>
      <c r="D9" s="81"/>
      <c r="E9" s="81"/>
      <c r="F9" s="81"/>
      <c r="G9" s="81"/>
      <c r="H9" s="13"/>
      <c r="I9" s="13"/>
      <c r="J9" s="13"/>
      <c r="K9" s="13"/>
      <c r="L9" s="13"/>
    </row>
    <row r="10" spans="1:12" ht="12.75" customHeight="1" x14ac:dyDescent="0.3">
      <c r="A10" s="84" t="s">
        <v>476</v>
      </c>
      <c r="B10" s="78">
        <v>3</v>
      </c>
      <c r="C10" s="74"/>
      <c r="D10" s="74"/>
      <c r="E10" s="74"/>
      <c r="F10" s="74"/>
      <c r="G10" s="74"/>
      <c r="H10" s="13"/>
      <c r="I10" s="13"/>
      <c r="J10" s="13"/>
      <c r="K10" s="13"/>
      <c r="L10" s="13"/>
    </row>
    <row r="11" spans="1:12" ht="12.75" customHeight="1" x14ac:dyDescent="0.3">
      <c r="A11" s="83" t="s">
        <v>470</v>
      </c>
      <c r="B11" s="80">
        <v>255</v>
      </c>
      <c r="C11" s="81"/>
      <c r="D11" s="81"/>
      <c r="E11" s="81"/>
      <c r="F11" s="81"/>
      <c r="G11" s="81"/>
      <c r="H11" s="13"/>
      <c r="I11" s="13"/>
      <c r="J11" s="13"/>
      <c r="K11" s="13"/>
      <c r="L11" s="13"/>
    </row>
    <row r="12" spans="1:12" ht="103.5" customHeight="1" x14ac:dyDescent="0.3">
      <c r="A12" s="84" t="s">
        <v>477</v>
      </c>
      <c r="B12" s="84" t="s">
        <v>478</v>
      </c>
      <c r="C12" s="74"/>
      <c r="D12" s="74"/>
      <c r="E12" s="74"/>
      <c r="F12" s="74"/>
      <c r="G12" s="74"/>
      <c r="H12" s="13"/>
      <c r="I12" s="13"/>
      <c r="J12" s="13"/>
      <c r="K12" s="13"/>
      <c r="L12" s="13"/>
    </row>
    <row r="13" spans="1:12" ht="51.75" customHeight="1" x14ac:dyDescent="0.3">
      <c r="A13" s="85" t="s">
        <v>479</v>
      </c>
      <c r="B13" s="86" t="s">
        <v>480</v>
      </c>
      <c r="C13" s="23"/>
      <c r="D13" s="23"/>
      <c r="E13" s="23"/>
      <c r="F13" s="23"/>
      <c r="G13" s="23"/>
      <c r="H13" s="13"/>
      <c r="I13" s="13"/>
      <c r="J13" s="13"/>
      <c r="K13" s="13"/>
      <c r="L13" s="13"/>
    </row>
    <row r="14" spans="1:12" ht="117" customHeight="1" x14ac:dyDescent="0.3">
      <c r="A14" s="85" t="s">
        <v>481</v>
      </c>
      <c r="B14" s="86" t="s">
        <v>482</v>
      </c>
      <c r="C14" s="16"/>
      <c r="D14" s="16"/>
      <c r="E14" s="16"/>
      <c r="F14" s="16"/>
      <c r="G14" s="16"/>
      <c r="H14" s="13"/>
      <c r="I14" s="13"/>
      <c r="J14" s="13"/>
      <c r="K14" s="13"/>
      <c r="L14" s="13"/>
    </row>
  </sheetData>
  <mergeCells count="2">
    <mergeCell ref="A1:D1"/>
    <mergeCell ref="E1:L1"/>
  </mergeCells>
  <hyperlinks>
    <hyperlink ref="A1" location="'SIM_Accueil'!A1" display="⌂  BACK TO HOME" xr:uid="{00000000-0004-0000-0400-000000000000}"/>
  </hyperlink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595959"/>
  </sheetPr>
  <dimension ref="A1:L60"/>
  <sheetViews>
    <sheetView showGridLines="0" zoomScaleNormal="100" workbookViewId="0"/>
  </sheetViews>
  <sheetFormatPr baseColWidth="10" defaultColWidth="8.6328125" defaultRowHeight="12.5" x14ac:dyDescent="0.25"/>
  <cols>
    <col min="1" max="3" width="42" customWidth="1"/>
    <col min="4" max="4" width="38" customWidth="1"/>
    <col min="5" max="6" width="42" customWidth="1"/>
    <col min="7" max="12" width="13" customWidth="1"/>
  </cols>
  <sheetData>
    <row r="1" spans="1:12" ht="27.75" customHeight="1" x14ac:dyDescent="0.25">
      <c r="A1" s="205" t="s">
        <v>32</v>
      </c>
      <c r="B1" s="205"/>
      <c r="C1" s="205"/>
      <c r="D1" s="205"/>
      <c r="E1" s="206" t="s">
        <v>483</v>
      </c>
      <c r="F1" s="206"/>
      <c r="G1" s="206"/>
      <c r="H1" s="206"/>
      <c r="I1" s="206"/>
      <c r="J1" s="206"/>
      <c r="K1" s="206"/>
      <c r="L1" s="206"/>
    </row>
    <row r="2" spans="1:12" ht="27.75" customHeight="1" x14ac:dyDescent="0.3">
      <c r="A2" s="212" t="s">
        <v>484</v>
      </c>
      <c r="B2" s="212"/>
      <c r="C2" s="212"/>
      <c r="D2" s="212"/>
      <c r="E2" s="212"/>
      <c r="F2" s="212"/>
      <c r="G2" s="2"/>
      <c r="H2" s="2"/>
      <c r="I2" s="13"/>
      <c r="J2" s="13"/>
      <c r="K2" s="13"/>
      <c r="L2" s="13"/>
    </row>
    <row r="3" spans="1:12" ht="13.5" customHeight="1" x14ac:dyDescent="0.3">
      <c r="A3" s="87"/>
      <c r="B3" s="87"/>
      <c r="C3" s="87"/>
      <c r="D3" s="87"/>
      <c r="E3" s="2"/>
      <c r="F3" s="2"/>
      <c r="G3" s="2"/>
      <c r="H3" s="2"/>
      <c r="I3" s="76"/>
      <c r="J3" s="76"/>
      <c r="K3" s="76"/>
      <c r="L3" s="76"/>
    </row>
    <row r="4" spans="1:12" ht="19.5" customHeight="1" x14ac:dyDescent="0.3">
      <c r="A4" s="211" t="s">
        <v>485</v>
      </c>
      <c r="B4" s="211"/>
      <c r="C4" s="211"/>
      <c r="D4" s="211"/>
      <c r="E4" s="211"/>
      <c r="F4" s="211"/>
      <c r="G4" s="2"/>
      <c r="H4" s="2"/>
      <c r="I4" s="13"/>
      <c r="J4" s="13"/>
      <c r="K4" s="13"/>
      <c r="L4" s="13"/>
    </row>
    <row r="5" spans="1:12" ht="13.5" customHeight="1" x14ac:dyDescent="0.3">
      <c r="A5" s="88"/>
      <c r="B5" s="88"/>
      <c r="C5" s="88"/>
      <c r="D5" s="88"/>
      <c r="E5" s="2"/>
      <c r="F5" s="2"/>
      <c r="G5" s="2"/>
      <c r="H5" s="2"/>
      <c r="I5" s="13"/>
      <c r="J5" s="13"/>
      <c r="K5" s="13"/>
      <c r="L5" s="13"/>
    </row>
    <row r="6" spans="1:12" ht="25.5" customHeight="1" x14ac:dyDescent="0.3">
      <c r="A6" s="89" t="s">
        <v>486</v>
      </c>
      <c r="B6" s="89" t="s">
        <v>487</v>
      </c>
      <c r="C6" s="89" t="s">
        <v>488</v>
      </c>
      <c r="D6" s="89" t="s">
        <v>469</v>
      </c>
      <c r="E6" s="2"/>
      <c r="F6" s="2"/>
      <c r="G6" s="2"/>
      <c r="H6" s="2"/>
      <c r="I6" s="13"/>
      <c r="J6" s="13"/>
      <c r="K6" s="13"/>
      <c r="L6" s="13"/>
    </row>
    <row r="7" spans="1:12" ht="39.75" customHeight="1" x14ac:dyDescent="0.3">
      <c r="A7" s="90" t="s">
        <v>489</v>
      </c>
      <c r="B7" s="90" t="s">
        <v>490</v>
      </c>
      <c r="C7" s="90" t="s">
        <v>491</v>
      </c>
      <c r="D7" s="90" t="s">
        <v>366</v>
      </c>
      <c r="E7" s="2"/>
      <c r="F7" s="2"/>
      <c r="G7" s="2"/>
      <c r="H7" s="2"/>
      <c r="I7" s="13"/>
      <c r="J7" s="13"/>
      <c r="K7" s="13"/>
      <c r="L7" s="13"/>
    </row>
    <row r="8" spans="1:12" ht="39.75" customHeight="1" x14ac:dyDescent="0.3">
      <c r="A8" s="90" t="s">
        <v>492</v>
      </c>
      <c r="B8" s="90" t="s">
        <v>490</v>
      </c>
      <c r="C8" s="90" t="s">
        <v>493</v>
      </c>
      <c r="D8" s="90" t="s">
        <v>361</v>
      </c>
      <c r="E8" s="2"/>
      <c r="F8" s="2"/>
      <c r="G8" s="2"/>
      <c r="H8" s="2"/>
      <c r="I8" s="13"/>
      <c r="J8" s="13"/>
      <c r="K8" s="13"/>
      <c r="L8" s="13"/>
    </row>
    <row r="9" spans="1:12" ht="39.75" customHeight="1" x14ac:dyDescent="0.3">
      <c r="A9" s="90" t="s">
        <v>284</v>
      </c>
      <c r="B9" s="90" t="s">
        <v>494</v>
      </c>
      <c r="C9" s="90" t="s">
        <v>495</v>
      </c>
      <c r="D9" s="90" t="s">
        <v>496</v>
      </c>
      <c r="E9" s="2"/>
      <c r="F9" s="2"/>
      <c r="G9" s="2"/>
      <c r="H9" s="2"/>
      <c r="I9" s="13"/>
      <c r="J9" s="13"/>
      <c r="K9" s="13"/>
      <c r="L9" s="13"/>
    </row>
    <row r="10" spans="1:12" ht="39.75" customHeight="1" x14ac:dyDescent="0.3">
      <c r="A10" s="90" t="s">
        <v>497</v>
      </c>
      <c r="B10" s="90" t="s">
        <v>498</v>
      </c>
      <c r="C10" s="90" t="s">
        <v>499</v>
      </c>
      <c r="D10" s="90" t="s">
        <v>366</v>
      </c>
      <c r="E10" s="2"/>
      <c r="F10" s="2"/>
      <c r="G10" s="2"/>
      <c r="H10" s="2"/>
      <c r="I10" s="13"/>
      <c r="J10" s="13"/>
      <c r="K10" s="13"/>
      <c r="L10" s="13"/>
    </row>
    <row r="11" spans="1:12" ht="39.75" customHeight="1" x14ac:dyDescent="0.3">
      <c r="A11" s="90" t="s">
        <v>500</v>
      </c>
      <c r="B11" s="90" t="s">
        <v>501</v>
      </c>
      <c r="C11" s="90" t="s">
        <v>499</v>
      </c>
      <c r="D11" s="90" t="s">
        <v>366</v>
      </c>
      <c r="E11" s="2"/>
      <c r="F11" s="2"/>
      <c r="G11" s="2"/>
      <c r="H11" s="2"/>
      <c r="I11" s="13"/>
      <c r="J11" s="13"/>
      <c r="K11" s="13"/>
      <c r="L11" s="13"/>
    </row>
    <row r="12" spans="1:12" ht="39.75" customHeight="1" x14ac:dyDescent="0.3">
      <c r="A12" s="90" t="s">
        <v>502</v>
      </c>
      <c r="B12" s="90" t="s">
        <v>503</v>
      </c>
      <c r="C12" s="90" t="s">
        <v>493</v>
      </c>
      <c r="D12" s="90" t="s">
        <v>504</v>
      </c>
      <c r="E12" s="2"/>
      <c r="F12" s="2"/>
      <c r="G12" s="2"/>
      <c r="H12" s="2"/>
      <c r="I12" s="13"/>
      <c r="J12" s="13"/>
      <c r="K12" s="13"/>
      <c r="L12" s="13"/>
    </row>
    <row r="13" spans="1:12" ht="13.5" customHeight="1" x14ac:dyDescent="0.3">
      <c r="A13" s="88"/>
      <c r="B13" s="88"/>
      <c r="C13" s="88"/>
      <c r="D13" s="88"/>
      <c r="E13" s="2"/>
      <c r="F13" s="2"/>
      <c r="G13" s="2"/>
      <c r="H13" s="2"/>
      <c r="I13" s="13"/>
      <c r="J13" s="13"/>
      <c r="K13" s="13"/>
      <c r="L13" s="13"/>
    </row>
    <row r="14" spans="1:12" ht="19.5" customHeight="1" x14ac:dyDescent="0.3">
      <c r="A14" s="211" t="s">
        <v>505</v>
      </c>
      <c r="B14" s="211"/>
      <c r="C14" s="211"/>
      <c r="D14" s="211"/>
      <c r="E14" s="211"/>
      <c r="F14" s="211"/>
      <c r="G14" s="2"/>
      <c r="H14" s="2"/>
      <c r="I14" s="13"/>
      <c r="J14" s="13"/>
      <c r="K14" s="13"/>
      <c r="L14" s="13"/>
    </row>
    <row r="15" spans="1:12" ht="13.5" customHeight="1" x14ac:dyDescent="0.3">
      <c r="A15" s="88"/>
      <c r="B15" s="88"/>
      <c r="C15" s="88"/>
      <c r="D15" s="88"/>
      <c r="E15" s="2"/>
      <c r="F15" s="2"/>
      <c r="G15" s="2"/>
      <c r="H15" s="2"/>
      <c r="I15" s="13"/>
      <c r="J15" s="13"/>
      <c r="K15" s="13"/>
      <c r="L15" s="13"/>
    </row>
    <row r="16" spans="1:12" ht="25.5" customHeight="1" x14ac:dyDescent="0.3">
      <c r="A16" s="89" t="s">
        <v>506</v>
      </c>
      <c r="B16" s="89" t="s">
        <v>507</v>
      </c>
      <c r="C16" s="89" t="s">
        <v>508</v>
      </c>
      <c r="D16" s="89" t="s">
        <v>509</v>
      </c>
      <c r="E16" s="2"/>
      <c r="F16" s="2"/>
      <c r="G16" s="2"/>
      <c r="H16" s="2"/>
      <c r="I16" s="13"/>
      <c r="J16" s="13"/>
      <c r="K16" s="13"/>
      <c r="L16" s="13"/>
    </row>
    <row r="17" spans="1:12" ht="42" customHeight="1" x14ac:dyDescent="0.3">
      <c r="A17" s="90" t="s">
        <v>510</v>
      </c>
      <c r="B17" s="90" t="s">
        <v>511</v>
      </c>
      <c r="C17" s="90" t="s">
        <v>508</v>
      </c>
      <c r="D17" s="90" t="s">
        <v>512</v>
      </c>
      <c r="E17" s="2"/>
      <c r="F17" s="2"/>
      <c r="G17" s="2"/>
      <c r="H17" s="2"/>
      <c r="I17" s="13"/>
      <c r="J17" s="13"/>
      <c r="K17" s="13"/>
      <c r="L17" s="13"/>
    </row>
    <row r="18" spans="1:12" ht="42" customHeight="1" x14ac:dyDescent="0.3">
      <c r="A18" s="90" t="s">
        <v>68</v>
      </c>
      <c r="B18" s="90" t="s">
        <v>513</v>
      </c>
      <c r="C18" s="90" t="s">
        <v>514</v>
      </c>
      <c r="D18" s="90" t="s">
        <v>512</v>
      </c>
      <c r="E18" s="2"/>
      <c r="F18" s="2"/>
      <c r="G18" s="2"/>
      <c r="H18" s="2"/>
      <c r="I18" s="13"/>
      <c r="J18" s="13"/>
      <c r="K18" s="13"/>
      <c r="L18" s="13"/>
    </row>
    <row r="19" spans="1:12" ht="42" customHeight="1" x14ac:dyDescent="0.3">
      <c r="A19" s="91" t="s">
        <v>515</v>
      </c>
      <c r="B19" s="91" t="s">
        <v>516</v>
      </c>
      <c r="C19" s="91" t="s">
        <v>517</v>
      </c>
      <c r="D19" s="91" t="s">
        <v>512</v>
      </c>
      <c r="E19" s="2"/>
      <c r="F19" s="2"/>
      <c r="G19" s="2"/>
      <c r="H19" s="2"/>
      <c r="I19" s="13"/>
      <c r="J19" s="13"/>
      <c r="K19" s="13"/>
      <c r="L19" s="13"/>
    </row>
    <row r="20" spans="1:12" ht="42" customHeight="1" x14ac:dyDescent="0.3">
      <c r="A20" s="90" t="s">
        <v>518</v>
      </c>
      <c r="B20" s="90" t="s">
        <v>519</v>
      </c>
      <c r="C20" s="91" t="s">
        <v>520</v>
      </c>
      <c r="D20" s="91" t="s">
        <v>521</v>
      </c>
      <c r="E20" s="2"/>
      <c r="F20" s="2"/>
      <c r="G20" s="2"/>
      <c r="H20" s="2"/>
      <c r="I20" s="13"/>
      <c r="J20" s="13"/>
      <c r="K20" s="13"/>
      <c r="L20" s="13"/>
    </row>
    <row r="21" spans="1:12" ht="42" customHeight="1" x14ac:dyDescent="0.3">
      <c r="A21" s="90" t="s">
        <v>522</v>
      </c>
      <c r="B21" s="90" t="s">
        <v>523</v>
      </c>
      <c r="C21" s="91" t="s">
        <v>524</v>
      </c>
      <c r="D21" s="91" t="s">
        <v>525</v>
      </c>
      <c r="E21" s="2"/>
      <c r="F21" s="2"/>
      <c r="G21" s="2"/>
      <c r="H21" s="2"/>
      <c r="I21" s="13"/>
      <c r="J21" s="13"/>
      <c r="K21" s="13"/>
      <c r="L21" s="13"/>
    </row>
    <row r="22" spans="1:12" ht="42" customHeight="1" x14ac:dyDescent="0.3">
      <c r="A22" s="91" t="s">
        <v>526</v>
      </c>
      <c r="B22" s="91" t="s">
        <v>527</v>
      </c>
      <c r="C22" s="91" t="s">
        <v>528</v>
      </c>
      <c r="D22" s="91" t="s">
        <v>525</v>
      </c>
      <c r="E22" s="2"/>
      <c r="F22" s="2"/>
      <c r="G22" s="2"/>
      <c r="H22" s="2"/>
      <c r="I22" s="13"/>
      <c r="J22" s="13"/>
      <c r="K22" s="13"/>
      <c r="L22" s="13"/>
    </row>
    <row r="23" spans="1:12" ht="42" customHeight="1" x14ac:dyDescent="0.3">
      <c r="A23" s="90" t="s">
        <v>529</v>
      </c>
      <c r="B23" s="90" t="s">
        <v>530</v>
      </c>
      <c r="C23" s="91" t="s">
        <v>531</v>
      </c>
      <c r="D23" s="91" t="s">
        <v>532</v>
      </c>
      <c r="E23" s="2"/>
      <c r="F23" s="2"/>
      <c r="G23" s="2"/>
      <c r="H23" s="2"/>
      <c r="I23" s="13"/>
      <c r="J23" s="13"/>
      <c r="K23" s="13"/>
      <c r="L23" s="13"/>
    </row>
    <row r="24" spans="1:12" ht="13.5" customHeight="1" x14ac:dyDescent="0.3">
      <c r="A24" s="88"/>
      <c r="B24" s="88"/>
      <c r="C24" s="88"/>
      <c r="D24" s="88"/>
      <c r="E24" s="2"/>
      <c r="F24" s="2"/>
      <c r="G24" s="2"/>
      <c r="H24" s="2"/>
      <c r="I24" s="13"/>
      <c r="J24" s="13"/>
      <c r="K24" s="13"/>
      <c r="L24" s="13"/>
    </row>
    <row r="25" spans="1:12" ht="27.75" customHeight="1" x14ac:dyDescent="0.3">
      <c r="A25" s="210" t="s">
        <v>533</v>
      </c>
      <c r="B25" s="210"/>
      <c r="C25" s="210"/>
      <c r="D25" s="210"/>
      <c r="E25" s="210"/>
      <c r="F25" s="210"/>
      <c r="G25" s="2"/>
      <c r="H25" s="2"/>
      <c r="I25" s="13"/>
      <c r="J25" s="13"/>
      <c r="K25" s="13"/>
      <c r="L25" s="13"/>
    </row>
    <row r="26" spans="1:12" ht="13.5" customHeight="1" x14ac:dyDescent="0.3">
      <c r="A26" s="88"/>
      <c r="B26" s="88"/>
      <c r="C26" s="88"/>
      <c r="D26" s="88"/>
      <c r="E26" s="2"/>
      <c r="F26" s="2"/>
      <c r="G26" s="2"/>
      <c r="H26" s="2"/>
      <c r="I26" s="13"/>
      <c r="J26" s="13"/>
      <c r="K26" s="13"/>
      <c r="L26" s="13"/>
    </row>
    <row r="27" spans="1:12" ht="19.5" customHeight="1" x14ac:dyDescent="0.3">
      <c r="A27" s="211" t="s">
        <v>534</v>
      </c>
      <c r="B27" s="211"/>
      <c r="C27" s="211"/>
      <c r="D27" s="211"/>
      <c r="E27" s="211"/>
      <c r="F27" s="211"/>
      <c r="G27" s="2"/>
      <c r="H27" s="2"/>
      <c r="I27" s="13"/>
      <c r="J27" s="13"/>
      <c r="K27" s="13"/>
      <c r="L27" s="13"/>
    </row>
    <row r="28" spans="1:12" ht="13.5" customHeight="1" x14ac:dyDescent="0.3">
      <c r="A28" s="2"/>
      <c r="B28" s="2"/>
      <c r="C28" s="2"/>
      <c r="D28" s="2"/>
      <c r="E28" s="2"/>
      <c r="F28" s="2"/>
      <c r="G28" s="2"/>
      <c r="H28" s="2"/>
      <c r="I28" s="13"/>
      <c r="J28" s="13"/>
      <c r="K28" s="13"/>
      <c r="L28" s="13"/>
    </row>
    <row r="29" spans="1:12" ht="25.5" customHeight="1" x14ac:dyDescent="0.3">
      <c r="A29" s="89" t="s">
        <v>535</v>
      </c>
      <c r="B29" s="89" t="s">
        <v>366</v>
      </c>
      <c r="C29" s="89" t="s">
        <v>469</v>
      </c>
      <c r="D29" s="88"/>
      <c r="E29" s="2"/>
      <c r="F29" s="2"/>
      <c r="G29" s="2"/>
      <c r="H29" s="2"/>
      <c r="I29" s="13"/>
      <c r="J29" s="13"/>
      <c r="K29" s="13"/>
      <c r="L29" s="13"/>
    </row>
    <row r="30" spans="1:12" ht="25.5" customHeight="1" x14ac:dyDescent="0.3">
      <c r="A30" s="91" t="s">
        <v>512</v>
      </c>
      <c r="B30" s="91" t="s">
        <v>536</v>
      </c>
      <c r="C30" s="91" t="s">
        <v>368</v>
      </c>
      <c r="D30" s="2"/>
      <c r="E30" s="2"/>
      <c r="F30" s="2"/>
      <c r="G30" s="2"/>
      <c r="H30" s="2"/>
    </row>
    <row r="31" spans="1:12" ht="25.5" customHeight="1" x14ac:dyDescent="0.3">
      <c r="A31" s="92" t="s">
        <v>537</v>
      </c>
      <c r="B31" s="93" t="s">
        <v>538</v>
      </c>
      <c r="C31" s="93" t="s">
        <v>539</v>
      </c>
      <c r="D31" s="94"/>
      <c r="E31" s="2"/>
      <c r="F31" s="2"/>
      <c r="G31" s="2"/>
      <c r="H31" s="2"/>
    </row>
    <row r="32" spans="1:12" ht="25.5" customHeight="1" x14ac:dyDescent="0.3">
      <c r="A32" s="90" t="s">
        <v>540</v>
      </c>
      <c r="B32" s="90" t="s">
        <v>541</v>
      </c>
      <c r="C32" s="90" t="s">
        <v>542</v>
      </c>
      <c r="D32" s="88"/>
      <c r="E32" s="2"/>
      <c r="F32" s="2"/>
      <c r="G32" s="2"/>
      <c r="H32" s="2"/>
    </row>
    <row r="33" spans="1:8" ht="25.5" customHeight="1" x14ac:dyDescent="0.3">
      <c r="A33" s="90" t="s">
        <v>499</v>
      </c>
      <c r="B33" s="90" t="s">
        <v>543</v>
      </c>
      <c r="C33" s="90" t="s">
        <v>366</v>
      </c>
      <c r="D33" s="88"/>
      <c r="E33" s="2"/>
      <c r="F33" s="2"/>
      <c r="G33" s="2"/>
      <c r="H33" s="2"/>
    </row>
    <row r="34" spans="1:8" ht="25.5" customHeight="1" x14ac:dyDescent="0.3">
      <c r="A34" s="90" t="s">
        <v>495</v>
      </c>
      <c r="B34" s="90" t="s">
        <v>544</v>
      </c>
      <c r="C34" s="90" t="s">
        <v>496</v>
      </c>
      <c r="D34" s="88"/>
      <c r="E34" s="2"/>
      <c r="F34" s="2"/>
      <c r="G34" s="2"/>
      <c r="H34" s="2"/>
    </row>
    <row r="35" spans="1:8" ht="25.5" customHeight="1" x14ac:dyDescent="0.3">
      <c r="A35" s="90" t="s">
        <v>491</v>
      </c>
      <c r="B35" s="90" t="s">
        <v>544</v>
      </c>
      <c r="C35" s="90" t="s">
        <v>366</v>
      </c>
      <c r="D35" s="88"/>
      <c r="E35" s="2"/>
      <c r="F35" s="2"/>
      <c r="G35" s="2"/>
      <c r="H35" s="2"/>
    </row>
    <row r="36" spans="1:8" ht="25.5" customHeight="1" x14ac:dyDescent="0.3">
      <c r="A36" s="90" t="s">
        <v>545</v>
      </c>
      <c r="B36" s="90" t="s">
        <v>538</v>
      </c>
      <c r="C36" s="90" t="s">
        <v>504</v>
      </c>
      <c r="D36" s="88"/>
      <c r="E36" s="2"/>
      <c r="F36" s="2"/>
      <c r="G36" s="2"/>
      <c r="H36" s="2"/>
    </row>
    <row r="37" spans="1:8" ht="13.5" customHeight="1" x14ac:dyDescent="0.3">
      <c r="A37" s="88"/>
      <c r="B37" s="88"/>
      <c r="C37" s="88"/>
      <c r="D37" s="88"/>
      <c r="E37" s="2"/>
      <c r="F37" s="2"/>
      <c r="G37" s="2"/>
      <c r="H37" s="2"/>
    </row>
    <row r="38" spans="1:8" ht="13.5" customHeight="1" x14ac:dyDescent="0.3">
      <c r="A38" s="88" t="s">
        <v>546</v>
      </c>
      <c r="B38" s="88" t="s">
        <v>547</v>
      </c>
      <c r="C38" s="88" t="s">
        <v>548</v>
      </c>
      <c r="D38" s="88" t="s">
        <v>549</v>
      </c>
      <c r="E38" s="2"/>
      <c r="F38" s="2"/>
      <c r="G38" s="2"/>
      <c r="H38" s="2"/>
    </row>
    <row r="39" spans="1:8" ht="13.5" customHeight="1" x14ac:dyDescent="0.3">
      <c r="A39" s="88"/>
      <c r="B39" s="88"/>
      <c r="C39" s="88"/>
      <c r="D39" s="88"/>
      <c r="E39" s="2"/>
      <c r="F39" s="2"/>
      <c r="G39" s="2"/>
      <c r="H39" s="2"/>
    </row>
    <row r="40" spans="1:8" ht="13.5" customHeight="1" x14ac:dyDescent="0.3">
      <c r="A40" s="88" t="s">
        <v>550</v>
      </c>
      <c r="B40" s="88" t="s">
        <v>538</v>
      </c>
      <c r="C40" s="88" t="s">
        <v>551</v>
      </c>
      <c r="D40" s="88"/>
      <c r="E40" s="2"/>
      <c r="F40" s="2"/>
      <c r="G40" s="2"/>
      <c r="H40" s="2"/>
    </row>
    <row r="41" spans="1:8" ht="13.5" customHeight="1" x14ac:dyDescent="0.3">
      <c r="A41" s="88" t="s">
        <v>552</v>
      </c>
      <c r="B41" s="88" t="s">
        <v>538</v>
      </c>
      <c r="C41" s="88" t="s">
        <v>553</v>
      </c>
      <c r="D41" s="88"/>
      <c r="E41" s="2"/>
      <c r="F41" s="2"/>
      <c r="G41" s="2"/>
      <c r="H41" s="2"/>
    </row>
    <row r="42" spans="1:8" ht="13.5" customHeight="1" x14ac:dyDescent="0.3">
      <c r="A42" s="88"/>
      <c r="B42" s="88"/>
      <c r="C42" s="88"/>
      <c r="D42" s="88"/>
      <c r="E42" s="2"/>
      <c r="F42" s="2"/>
      <c r="G42" s="2"/>
      <c r="H42" s="2"/>
    </row>
    <row r="43" spans="1:8" ht="12" customHeight="1" x14ac:dyDescent="0.3">
      <c r="A43" s="2"/>
      <c r="B43" s="2"/>
      <c r="C43" s="2"/>
      <c r="D43" s="2"/>
      <c r="E43" s="2"/>
      <c r="F43" s="2"/>
      <c r="G43" s="2"/>
      <c r="H43" s="2"/>
    </row>
    <row r="44" spans="1:8" ht="12" customHeight="1" x14ac:dyDescent="0.3">
      <c r="A44" s="2"/>
      <c r="B44" s="2"/>
      <c r="C44" s="2"/>
      <c r="D44" s="2"/>
      <c r="E44" s="2"/>
      <c r="F44" s="2"/>
      <c r="G44" s="2"/>
      <c r="H44" s="2"/>
    </row>
    <row r="45" spans="1:8" ht="12" customHeight="1" x14ac:dyDescent="0.3">
      <c r="A45" s="2"/>
      <c r="B45" s="2"/>
      <c r="C45" s="2"/>
      <c r="D45" s="2"/>
      <c r="E45" s="2"/>
      <c r="F45" s="2"/>
      <c r="G45" s="2"/>
      <c r="H45" s="2"/>
    </row>
    <row r="46" spans="1:8" ht="12" customHeight="1" x14ac:dyDescent="0.3">
      <c r="A46" s="2"/>
      <c r="B46" s="2"/>
      <c r="C46" s="2"/>
      <c r="D46" s="2"/>
      <c r="E46" s="2"/>
      <c r="F46" s="2"/>
      <c r="G46" s="2"/>
      <c r="H46" s="2"/>
    </row>
    <row r="47" spans="1:8" ht="12" customHeight="1" x14ac:dyDescent="0.3">
      <c r="A47" s="2"/>
      <c r="B47" s="2"/>
      <c r="C47" s="2"/>
      <c r="D47" s="2"/>
      <c r="E47" s="2"/>
      <c r="F47" s="2"/>
      <c r="G47" s="2"/>
      <c r="H47" s="2"/>
    </row>
    <row r="48" spans="1:8" ht="12" customHeight="1" x14ac:dyDescent="0.3">
      <c r="A48" s="2"/>
      <c r="B48" s="2"/>
      <c r="C48" s="2"/>
      <c r="D48" s="2"/>
      <c r="E48" s="2"/>
      <c r="F48" s="2"/>
      <c r="G48" s="2"/>
      <c r="H48" s="2"/>
    </row>
    <row r="49" spans="1:8" ht="12" customHeight="1" x14ac:dyDescent="0.3">
      <c r="A49" s="2"/>
      <c r="B49" s="2"/>
      <c r="C49" s="2"/>
      <c r="D49" s="2"/>
      <c r="E49" s="2"/>
      <c r="F49" s="2"/>
      <c r="G49" s="2"/>
      <c r="H49" s="2"/>
    </row>
    <row r="50" spans="1:8" ht="12" customHeight="1" x14ac:dyDescent="0.3">
      <c r="A50" s="2"/>
      <c r="B50" s="2"/>
      <c r="C50" s="2"/>
      <c r="D50" s="2"/>
      <c r="E50" s="2"/>
      <c r="F50" s="2"/>
      <c r="G50" s="2"/>
      <c r="H50" s="2"/>
    </row>
    <row r="51" spans="1:8" ht="12" customHeight="1" x14ac:dyDescent="0.3">
      <c r="A51" s="2"/>
      <c r="B51" s="2"/>
      <c r="C51" s="2"/>
      <c r="D51" s="2"/>
      <c r="E51" s="2"/>
      <c r="F51" s="2"/>
      <c r="G51" s="2"/>
      <c r="H51" s="2"/>
    </row>
    <row r="52" spans="1:8" ht="12" customHeight="1" x14ac:dyDescent="0.3">
      <c r="A52" s="2"/>
      <c r="B52" s="2"/>
      <c r="C52" s="2"/>
      <c r="D52" s="2"/>
      <c r="E52" s="2"/>
      <c r="F52" s="2"/>
      <c r="G52" s="2"/>
      <c r="H52" s="2"/>
    </row>
    <row r="53" spans="1:8" ht="12" customHeight="1" x14ac:dyDescent="0.3">
      <c r="A53" s="2"/>
      <c r="B53" s="2"/>
      <c r="C53" s="2"/>
      <c r="D53" s="2"/>
      <c r="E53" s="2"/>
      <c r="F53" s="2"/>
      <c r="G53" s="2"/>
      <c r="H53" s="2"/>
    </row>
    <row r="54" spans="1:8" ht="12" customHeight="1" x14ac:dyDescent="0.3">
      <c r="A54" s="2"/>
      <c r="B54" s="2"/>
      <c r="C54" s="2"/>
      <c r="D54" s="2"/>
      <c r="E54" s="2"/>
      <c r="F54" s="2"/>
      <c r="G54" s="2"/>
      <c r="H54" s="2"/>
    </row>
    <row r="55" spans="1:8" ht="12" customHeight="1" x14ac:dyDescent="0.3">
      <c r="A55" s="2"/>
      <c r="B55" s="2"/>
      <c r="C55" s="2"/>
      <c r="D55" s="2"/>
      <c r="E55" s="2"/>
      <c r="F55" s="2"/>
      <c r="G55" s="2"/>
      <c r="H55" s="2"/>
    </row>
    <row r="56" spans="1:8" ht="12" customHeight="1" x14ac:dyDescent="0.3">
      <c r="A56" s="2"/>
      <c r="B56" s="2"/>
      <c r="C56" s="2"/>
      <c r="D56" s="2"/>
      <c r="E56" s="2"/>
      <c r="F56" s="2"/>
      <c r="G56" s="2"/>
      <c r="H56" s="2"/>
    </row>
    <row r="57" spans="1:8" ht="12" customHeight="1" x14ac:dyDescent="0.3">
      <c r="A57" s="2"/>
      <c r="B57" s="2"/>
      <c r="C57" s="2"/>
      <c r="D57" s="2"/>
      <c r="E57" s="2"/>
      <c r="F57" s="2"/>
      <c r="G57" s="2"/>
      <c r="H57" s="2"/>
    </row>
    <row r="58" spans="1:8" ht="12" customHeight="1" x14ac:dyDescent="0.3">
      <c r="A58" s="2"/>
      <c r="B58" s="2"/>
      <c r="C58" s="2"/>
      <c r="D58" s="2"/>
      <c r="E58" s="2"/>
      <c r="F58" s="2"/>
      <c r="G58" s="2"/>
      <c r="H58" s="2"/>
    </row>
    <row r="59" spans="1:8" ht="12" customHeight="1" x14ac:dyDescent="0.3">
      <c r="A59" s="2"/>
      <c r="B59" s="2"/>
      <c r="C59" s="2"/>
      <c r="D59" s="2"/>
      <c r="E59" s="2"/>
      <c r="F59" s="2"/>
      <c r="G59" s="2"/>
      <c r="H59" s="2"/>
    </row>
    <row r="60" spans="1:8" ht="12" customHeight="1" x14ac:dyDescent="0.3">
      <c r="A60" s="2"/>
      <c r="B60" s="2"/>
      <c r="C60" s="2"/>
      <c r="D60" s="2"/>
      <c r="E60" s="2"/>
      <c r="F60" s="2"/>
      <c r="G60" s="2"/>
      <c r="H60" s="2"/>
    </row>
  </sheetData>
  <mergeCells count="7">
    <mergeCell ref="A25:F25"/>
    <mergeCell ref="A27:F27"/>
    <mergeCell ref="A1:D1"/>
    <mergeCell ref="E1:L1"/>
    <mergeCell ref="A2:F2"/>
    <mergeCell ref="A4:F4"/>
    <mergeCell ref="A14:F14"/>
  </mergeCells>
  <hyperlinks>
    <hyperlink ref="A1" location="'SIM_Accueil'!A1" display="⌂  BACK TO HOME" xr:uid="{00000000-0004-0000-0500-000000000000}"/>
  </hyperlinks>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F7F7F"/>
  </sheetPr>
  <dimension ref="A1:L50"/>
  <sheetViews>
    <sheetView showGridLines="0" zoomScaleNormal="100" workbookViewId="0"/>
  </sheetViews>
  <sheetFormatPr baseColWidth="10" defaultColWidth="8.6328125" defaultRowHeight="12.5" x14ac:dyDescent="0.25"/>
  <cols>
    <col min="1" max="1" width="18" customWidth="1"/>
    <col min="2" max="2" width="22" style="12" customWidth="1"/>
    <col min="3" max="3" width="20" customWidth="1"/>
    <col min="4" max="4" width="42" style="95" customWidth="1"/>
    <col min="5" max="5" width="50.08984375" style="95" customWidth="1"/>
    <col min="6" max="6" width="23" customWidth="1"/>
    <col min="7" max="12" width="13" customWidth="1"/>
  </cols>
  <sheetData>
    <row r="1" spans="1:12" ht="27.75" customHeight="1" x14ac:dyDescent="0.25">
      <c r="A1" s="205" t="s">
        <v>32</v>
      </c>
      <c r="B1" s="205"/>
      <c r="C1" s="205"/>
      <c r="D1" s="205"/>
      <c r="E1" s="206" t="s">
        <v>554</v>
      </c>
      <c r="F1" s="206"/>
      <c r="G1" s="206"/>
      <c r="H1" s="206"/>
      <c r="I1" s="206"/>
      <c r="J1" s="206"/>
      <c r="K1" s="206"/>
      <c r="L1" s="206"/>
    </row>
    <row r="2" spans="1:12" ht="7.5" customHeight="1" x14ac:dyDescent="0.3">
      <c r="A2" s="16"/>
      <c r="B2" s="15"/>
      <c r="C2" s="15"/>
      <c r="D2" s="74"/>
      <c r="E2" s="74"/>
      <c r="F2" s="13"/>
      <c r="G2" s="13"/>
      <c r="H2" s="13"/>
      <c r="I2" s="13"/>
      <c r="J2" s="13"/>
      <c r="K2" s="13"/>
      <c r="L2" s="13"/>
    </row>
    <row r="3" spans="1:12" ht="33.75" customHeight="1" x14ac:dyDescent="0.25">
      <c r="A3" s="75" t="s">
        <v>357</v>
      </c>
      <c r="B3" s="96" t="s">
        <v>104</v>
      </c>
      <c r="C3" s="75" t="s">
        <v>555</v>
      </c>
      <c r="D3" s="75" t="s">
        <v>556</v>
      </c>
      <c r="E3" s="75" t="s">
        <v>557</v>
      </c>
      <c r="F3" s="76"/>
      <c r="G3" s="76"/>
      <c r="H3" s="76"/>
      <c r="I3" s="76"/>
      <c r="J3" s="76"/>
      <c r="K3" s="76"/>
      <c r="L3" s="76"/>
    </row>
    <row r="4" spans="1:12" ht="41.25" customHeight="1" x14ac:dyDescent="0.3">
      <c r="A4" s="97" t="s">
        <v>376</v>
      </c>
      <c r="B4" s="98">
        <v>73189</v>
      </c>
      <c r="C4" s="99" t="s">
        <v>558</v>
      </c>
      <c r="D4" s="97" t="s">
        <v>559</v>
      </c>
      <c r="E4" s="97" t="s">
        <v>560</v>
      </c>
      <c r="F4" s="13"/>
      <c r="G4" s="13"/>
      <c r="H4" s="13"/>
      <c r="I4" s="13"/>
      <c r="J4" s="13"/>
      <c r="K4" s="13"/>
      <c r="L4" s="13"/>
    </row>
    <row r="5" spans="1:12" ht="41.25" customHeight="1" x14ac:dyDescent="0.3">
      <c r="A5" s="83" t="s">
        <v>390</v>
      </c>
      <c r="B5" s="100">
        <v>203502</v>
      </c>
      <c r="C5" s="101" t="s">
        <v>558</v>
      </c>
      <c r="D5" s="83" t="s">
        <v>559</v>
      </c>
      <c r="E5" s="83" t="s">
        <v>560</v>
      </c>
      <c r="F5" s="13"/>
      <c r="G5" s="13"/>
      <c r="H5" s="13"/>
      <c r="I5" s="13"/>
      <c r="J5" s="13"/>
      <c r="K5" s="13"/>
      <c r="L5" s="13"/>
    </row>
    <row r="6" spans="1:12" ht="41.25" customHeight="1" x14ac:dyDescent="0.3">
      <c r="A6" s="97" t="s">
        <v>394</v>
      </c>
      <c r="B6" s="98">
        <v>95110</v>
      </c>
      <c r="C6" s="99" t="s">
        <v>558</v>
      </c>
      <c r="D6" s="97" t="s">
        <v>559</v>
      </c>
      <c r="E6" s="97" t="s">
        <v>560</v>
      </c>
      <c r="F6" s="13"/>
      <c r="G6" s="13"/>
      <c r="H6" s="13"/>
      <c r="I6" s="13"/>
      <c r="J6" s="13"/>
      <c r="K6" s="13"/>
      <c r="L6" s="13"/>
    </row>
    <row r="7" spans="1:12" ht="41.25" customHeight="1" x14ac:dyDescent="0.3">
      <c r="A7" s="83" t="s">
        <v>402</v>
      </c>
      <c r="B7" s="100">
        <v>169739</v>
      </c>
      <c r="C7" s="101" t="s">
        <v>558</v>
      </c>
      <c r="D7" s="83" t="s">
        <v>559</v>
      </c>
      <c r="E7" s="83" t="s">
        <v>560</v>
      </c>
      <c r="F7" s="13"/>
      <c r="G7" s="13"/>
      <c r="H7" s="13"/>
      <c r="I7" s="13"/>
      <c r="J7" s="13"/>
      <c r="K7" s="13"/>
      <c r="L7" s="13"/>
    </row>
    <row r="8" spans="1:12" ht="41.25" customHeight="1" x14ac:dyDescent="0.3">
      <c r="A8" s="97" t="s">
        <v>407</v>
      </c>
      <c r="B8" s="98">
        <v>190293</v>
      </c>
      <c r="C8" s="99" t="s">
        <v>558</v>
      </c>
      <c r="D8" s="97" t="s">
        <v>559</v>
      </c>
      <c r="E8" s="97" t="s">
        <v>560</v>
      </c>
      <c r="F8" s="13"/>
      <c r="G8" s="13"/>
      <c r="H8" s="13"/>
      <c r="I8" s="13"/>
      <c r="J8" s="13"/>
      <c r="K8" s="13"/>
      <c r="L8" s="13"/>
    </row>
    <row r="9" spans="1:12" ht="41.25" customHeight="1" x14ac:dyDescent="0.3">
      <c r="A9" s="83" t="s">
        <v>413</v>
      </c>
      <c r="B9" s="100">
        <v>59423</v>
      </c>
      <c r="C9" s="101" t="s">
        <v>558</v>
      </c>
      <c r="D9" s="83" t="s">
        <v>559</v>
      </c>
      <c r="E9" s="83" t="s">
        <v>560</v>
      </c>
      <c r="F9" s="13"/>
      <c r="G9" s="13"/>
      <c r="H9" s="13"/>
      <c r="I9" s="13"/>
      <c r="J9" s="13"/>
      <c r="K9" s="13"/>
      <c r="L9" s="13"/>
    </row>
    <row r="10" spans="1:12" ht="41.25" customHeight="1" x14ac:dyDescent="0.3">
      <c r="A10" s="97" t="s">
        <v>417</v>
      </c>
      <c r="B10" s="98">
        <v>155501</v>
      </c>
      <c r="C10" s="99" t="s">
        <v>558</v>
      </c>
      <c r="D10" s="97" t="s">
        <v>559</v>
      </c>
      <c r="E10" s="97" t="s">
        <v>560</v>
      </c>
      <c r="F10" s="13"/>
      <c r="G10" s="13"/>
      <c r="H10" s="13"/>
      <c r="I10" s="13"/>
      <c r="J10" s="13"/>
      <c r="K10" s="13"/>
      <c r="L10" s="13"/>
    </row>
    <row r="11" spans="1:12" ht="41.25" customHeight="1" x14ac:dyDescent="0.3">
      <c r="A11" s="83" t="s">
        <v>421</v>
      </c>
      <c r="B11" s="100">
        <v>97480</v>
      </c>
      <c r="C11" s="101" t="s">
        <v>558</v>
      </c>
      <c r="D11" s="83" t="s">
        <v>559</v>
      </c>
      <c r="E11" s="83" t="s">
        <v>560</v>
      </c>
      <c r="F11" s="13"/>
      <c r="G11" s="13"/>
      <c r="H11" s="13"/>
      <c r="I11" s="13"/>
      <c r="J11" s="13"/>
      <c r="K11" s="13"/>
      <c r="L11" s="13"/>
    </row>
    <row r="12" spans="1:12" ht="41.25" customHeight="1" x14ac:dyDescent="0.3">
      <c r="A12" s="97" t="s">
        <v>430</v>
      </c>
      <c r="B12" s="98">
        <v>133963</v>
      </c>
      <c r="C12" s="99" t="s">
        <v>558</v>
      </c>
      <c r="D12" s="97" t="s">
        <v>559</v>
      </c>
      <c r="E12" s="97" t="s">
        <v>560</v>
      </c>
      <c r="F12" s="13"/>
      <c r="G12" s="13"/>
      <c r="H12" s="13"/>
      <c r="I12" s="13"/>
      <c r="J12" s="13"/>
      <c r="K12" s="13"/>
      <c r="L12" s="13"/>
    </row>
    <row r="13" spans="1:12" ht="41.25" customHeight="1" x14ac:dyDescent="0.3">
      <c r="A13" s="83" t="s">
        <v>435</v>
      </c>
      <c r="B13" s="100">
        <v>89545</v>
      </c>
      <c r="C13" s="101" t="s">
        <v>558</v>
      </c>
      <c r="D13" s="83" t="s">
        <v>559</v>
      </c>
      <c r="E13" s="83" t="s">
        <v>560</v>
      </c>
      <c r="F13" s="13"/>
      <c r="G13" s="13"/>
      <c r="H13" s="13"/>
      <c r="I13" s="13"/>
      <c r="J13" s="13"/>
      <c r="K13" s="13"/>
      <c r="L13" s="13"/>
    </row>
    <row r="14" spans="1:12" ht="41.25" customHeight="1" x14ac:dyDescent="0.3">
      <c r="A14" s="97" t="s">
        <v>441</v>
      </c>
      <c r="B14" s="98">
        <v>178218</v>
      </c>
      <c r="C14" s="99" t="s">
        <v>558</v>
      </c>
      <c r="D14" s="97" t="s">
        <v>559</v>
      </c>
      <c r="E14" s="97" t="s">
        <v>560</v>
      </c>
      <c r="F14" s="13"/>
      <c r="G14" s="13"/>
      <c r="H14" s="13"/>
      <c r="I14" s="13"/>
      <c r="J14" s="13"/>
      <c r="K14" s="13"/>
      <c r="L14" s="13"/>
    </row>
    <row r="15" spans="1:12" ht="41.25" customHeight="1" x14ac:dyDescent="0.3">
      <c r="A15" s="83" t="s">
        <v>444</v>
      </c>
      <c r="B15" s="100">
        <v>71159</v>
      </c>
      <c r="C15" s="101" t="s">
        <v>558</v>
      </c>
      <c r="D15" s="83" t="s">
        <v>559</v>
      </c>
      <c r="E15" s="83" t="s">
        <v>560</v>
      </c>
      <c r="F15" s="13"/>
      <c r="G15" s="13"/>
      <c r="H15" s="13"/>
      <c r="I15" s="13"/>
      <c r="J15" s="13"/>
      <c r="K15" s="13"/>
      <c r="L15" s="13"/>
    </row>
    <row r="16" spans="1:12" ht="41.25" customHeight="1" x14ac:dyDescent="0.3">
      <c r="A16" s="62" t="s">
        <v>452</v>
      </c>
      <c r="B16" s="102">
        <v>153373</v>
      </c>
      <c r="C16" s="103" t="s">
        <v>558</v>
      </c>
      <c r="D16" s="84" t="s">
        <v>559</v>
      </c>
      <c r="E16" s="84" t="s">
        <v>560</v>
      </c>
      <c r="F16" s="13"/>
      <c r="G16" s="13"/>
      <c r="H16" s="13"/>
      <c r="I16" s="13"/>
      <c r="J16" s="13"/>
      <c r="K16" s="13"/>
      <c r="L16" s="13"/>
    </row>
    <row r="17" spans="1:12" ht="41.25" customHeight="1" x14ac:dyDescent="0.3">
      <c r="A17" s="55" t="s">
        <v>461</v>
      </c>
      <c r="B17" s="104">
        <v>69419</v>
      </c>
      <c r="C17" s="105" t="s">
        <v>558</v>
      </c>
      <c r="D17" s="83" t="s">
        <v>559</v>
      </c>
      <c r="E17" s="83" t="s">
        <v>560</v>
      </c>
      <c r="F17" s="13"/>
      <c r="G17" s="13"/>
      <c r="H17" s="13"/>
      <c r="I17" s="13"/>
      <c r="J17" s="13"/>
      <c r="K17" s="13"/>
      <c r="L17" s="13"/>
    </row>
    <row r="18" spans="1:12" ht="27.75" customHeight="1" x14ac:dyDescent="0.3">
      <c r="A18" s="16"/>
      <c r="B18" s="15"/>
      <c r="C18" s="15"/>
      <c r="D18" s="74"/>
      <c r="E18" s="74"/>
      <c r="F18" s="13"/>
      <c r="G18" s="13"/>
      <c r="H18" s="13"/>
      <c r="I18" s="13"/>
      <c r="J18" s="13"/>
      <c r="K18" s="13"/>
      <c r="L18" s="13"/>
    </row>
    <row r="19" spans="1:12" ht="27.75" customHeight="1" x14ac:dyDescent="0.3">
      <c r="A19" s="16"/>
      <c r="B19" s="15"/>
      <c r="C19" s="15"/>
      <c r="D19" s="74"/>
      <c r="E19" s="74"/>
      <c r="F19" s="13"/>
      <c r="G19" s="13"/>
      <c r="H19" s="13"/>
      <c r="I19" s="13"/>
      <c r="J19" s="13"/>
      <c r="K19" s="13"/>
      <c r="L19" s="13"/>
    </row>
    <row r="20" spans="1:12" ht="27.75" customHeight="1" x14ac:dyDescent="0.3">
      <c r="A20" s="16"/>
      <c r="B20" s="15"/>
      <c r="C20" s="15"/>
      <c r="D20" s="74"/>
      <c r="E20" s="74"/>
      <c r="F20" s="13"/>
      <c r="G20" s="13"/>
      <c r="H20" s="13"/>
      <c r="I20" s="13"/>
      <c r="J20" s="13"/>
      <c r="K20" s="13"/>
      <c r="L20" s="13"/>
    </row>
    <row r="21" spans="1:12" ht="12.75" customHeight="1" x14ac:dyDescent="0.3">
      <c r="A21" s="16"/>
      <c r="B21" s="15"/>
      <c r="C21" s="15"/>
      <c r="D21" s="74"/>
      <c r="E21" s="74"/>
      <c r="F21" s="13"/>
      <c r="G21" s="13"/>
      <c r="H21" s="13"/>
      <c r="I21" s="13"/>
      <c r="J21" s="13"/>
      <c r="K21" s="13"/>
      <c r="L21" s="13"/>
    </row>
    <row r="22" spans="1:12" ht="12.75" customHeight="1" x14ac:dyDescent="0.3">
      <c r="A22" s="16"/>
      <c r="B22" s="15"/>
      <c r="C22" s="15"/>
      <c r="D22" s="74"/>
      <c r="E22" s="74"/>
      <c r="F22" s="13"/>
      <c r="G22" s="13"/>
      <c r="H22" s="13"/>
      <c r="I22" s="13"/>
      <c r="J22" s="13"/>
      <c r="K22" s="13"/>
      <c r="L22" s="13"/>
    </row>
    <row r="23" spans="1:12" ht="12.75" customHeight="1" x14ac:dyDescent="0.3">
      <c r="A23" s="16"/>
      <c r="B23" s="15"/>
      <c r="C23" s="15"/>
      <c r="D23" s="74"/>
      <c r="E23" s="74"/>
      <c r="F23" s="13"/>
      <c r="G23" s="13"/>
      <c r="H23" s="13"/>
      <c r="I23" s="13"/>
      <c r="J23" s="13"/>
      <c r="K23" s="13"/>
      <c r="L23" s="13"/>
    </row>
    <row r="24" spans="1:12" ht="12.75" customHeight="1" x14ac:dyDescent="0.3">
      <c r="A24" s="16"/>
      <c r="B24" s="15"/>
      <c r="C24" s="15"/>
      <c r="D24" s="74"/>
      <c r="E24" s="74"/>
      <c r="F24" s="13"/>
      <c r="G24" s="13"/>
      <c r="H24" s="13"/>
      <c r="I24" s="13"/>
      <c r="J24" s="13"/>
      <c r="K24" s="13"/>
      <c r="L24" s="13"/>
    </row>
    <row r="25" spans="1:12" ht="12.75" customHeight="1" x14ac:dyDescent="0.3">
      <c r="A25" s="16"/>
      <c r="B25" s="15"/>
      <c r="C25" s="15"/>
      <c r="D25" s="74"/>
      <c r="E25" s="74"/>
      <c r="F25" s="13"/>
      <c r="G25" s="13"/>
      <c r="H25" s="13"/>
      <c r="I25" s="13"/>
      <c r="J25" s="13"/>
      <c r="K25" s="13"/>
      <c r="L25" s="13"/>
    </row>
    <row r="26" spans="1:12" ht="12.75" customHeight="1" x14ac:dyDescent="0.3">
      <c r="A26" s="16"/>
      <c r="B26" s="15"/>
      <c r="C26" s="15"/>
      <c r="D26" s="74"/>
      <c r="E26" s="74"/>
      <c r="F26" s="13"/>
      <c r="G26" s="13"/>
      <c r="H26" s="13"/>
      <c r="I26" s="13"/>
      <c r="J26" s="13"/>
      <c r="K26" s="13"/>
      <c r="L26" s="13"/>
    </row>
    <row r="27" spans="1:12" ht="12.75" customHeight="1" x14ac:dyDescent="0.3">
      <c r="A27" s="16"/>
      <c r="B27" s="15"/>
      <c r="C27" s="15"/>
      <c r="D27" s="74"/>
      <c r="E27" s="74"/>
      <c r="F27" s="13"/>
      <c r="G27" s="13"/>
      <c r="H27" s="13"/>
      <c r="I27" s="13"/>
      <c r="J27" s="13"/>
      <c r="K27" s="13"/>
      <c r="L27" s="13"/>
    </row>
    <row r="28" spans="1:12" ht="12.75" customHeight="1" x14ac:dyDescent="0.3">
      <c r="A28" s="16"/>
      <c r="B28" s="15"/>
      <c r="C28" s="15"/>
      <c r="D28" s="74"/>
      <c r="E28" s="74"/>
      <c r="F28" s="13"/>
      <c r="G28" s="13"/>
      <c r="H28" s="13"/>
      <c r="I28" s="13"/>
      <c r="J28" s="13"/>
      <c r="K28" s="13"/>
      <c r="L28" s="13"/>
    </row>
    <row r="29" spans="1:12" ht="12.75" customHeight="1" x14ac:dyDescent="0.3">
      <c r="A29" s="16"/>
      <c r="B29" s="15"/>
      <c r="C29" s="15"/>
      <c r="D29" s="74"/>
      <c r="E29" s="74"/>
      <c r="F29" s="13"/>
      <c r="G29" s="13"/>
      <c r="H29" s="13"/>
      <c r="I29" s="13"/>
      <c r="J29" s="13"/>
      <c r="K29" s="13"/>
      <c r="L29" s="13"/>
    </row>
    <row r="30" spans="1:12" ht="12.75" customHeight="1" x14ac:dyDescent="0.3">
      <c r="A30" s="16"/>
      <c r="B30" s="15"/>
      <c r="C30" s="15"/>
      <c r="D30" s="74"/>
      <c r="E30" s="74"/>
      <c r="F30" s="13"/>
      <c r="G30" s="13"/>
      <c r="H30" s="13"/>
      <c r="I30" s="13"/>
      <c r="J30" s="13"/>
      <c r="K30" s="13"/>
      <c r="L30" s="13"/>
    </row>
    <row r="31" spans="1:12" ht="12.75" customHeight="1" x14ac:dyDescent="0.3">
      <c r="A31" s="16"/>
      <c r="B31" s="15"/>
      <c r="C31" s="15"/>
      <c r="D31" s="74"/>
      <c r="E31" s="74"/>
      <c r="F31" s="13"/>
      <c r="G31" s="13"/>
      <c r="H31" s="13"/>
      <c r="I31" s="13"/>
      <c r="J31" s="13"/>
      <c r="K31" s="13"/>
      <c r="L31" s="13"/>
    </row>
    <row r="32" spans="1:12" ht="12.75" customHeight="1" x14ac:dyDescent="0.3">
      <c r="A32" s="16"/>
      <c r="B32" s="15"/>
      <c r="C32" s="15"/>
      <c r="D32" s="74"/>
      <c r="E32" s="74"/>
      <c r="F32" s="13"/>
      <c r="G32" s="13"/>
      <c r="H32" s="13"/>
      <c r="I32" s="13"/>
      <c r="J32" s="13"/>
      <c r="K32" s="13"/>
      <c r="L32" s="13"/>
    </row>
    <row r="33" spans="1:12" ht="12.75" customHeight="1" x14ac:dyDescent="0.3">
      <c r="A33" s="16"/>
      <c r="B33" s="15"/>
      <c r="C33" s="15"/>
      <c r="D33" s="74"/>
      <c r="E33" s="74"/>
      <c r="F33" s="13"/>
      <c r="G33" s="13"/>
      <c r="H33" s="13"/>
      <c r="I33" s="13"/>
      <c r="J33" s="13"/>
      <c r="K33" s="13"/>
      <c r="L33" s="13"/>
    </row>
    <row r="34" spans="1:12" ht="12.75" customHeight="1" x14ac:dyDescent="0.3">
      <c r="A34" s="16"/>
      <c r="B34" s="15"/>
      <c r="C34" s="15"/>
      <c r="D34" s="74"/>
      <c r="E34" s="74"/>
      <c r="F34" s="13"/>
      <c r="G34" s="13"/>
      <c r="H34" s="13"/>
      <c r="I34" s="13"/>
      <c r="J34" s="13"/>
      <c r="K34" s="13"/>
      <c r="L34" s="13"/>
    </row>
    <row r="35" spans="1:12" ht="12.75" customHeight="1" x14ac:dyDescent="0.3">
      <c r="A35" s="16"/>
      <c r="B35" s="15"/>
      <c r="C35" s="15"/>
      <c r="D35" s="74"/>
      <c r="E35" s="74"/>
      <c r="F35" s="13"/>
      <c r="G35" s="13"/>
      <c r="H35" s="13"/>
      <c r="I35" s="13"/>
      <c r="J35" s="13"/>
      <c r="K35" s="13"/>
      <c r="L35" s="13"/>
    </row>
    <row r="36" spans="1:12" ht="12.75" customHeight="1" x14ac:dyDescent="0.3">
      <c r="A36" s="16"/>
      <c r="B36" s="15"/>
      <c r="C36" s="15"/>
      <c r="D36" s="74"/>
      <c r="E36" s="74"/>
      <c r="F36" s="13"/>
      <c r="G36" s="13"/>
      <c r="H36" s="13"/>
      <c r="I36" s="13"/>
      <c r="J36" s="13"/>
      <c r="K36" s="13"/>
      <c r="L36" s="13"/>
    </row>
    <row r="37" spans="1:12" ht="12.75" customHeight="1" x14ac:dyDescent="0.3">
      <c r="A37" s="16"/>
      <c r="B37" s="15"/>
      <c r="C37" s="15"/>
      <c r="D37" s="74"/>
      <c r="E37" s="74"/>
      <c r="F37" s="13"/>
      <c r="G37" s="13"/>
      <c r="H37" s="13"/>
      <c r="I37" s="13"/>
      <c r="J37" s="13"/>
      <c r="K37" s="13"/>
      <c r="L37" s="13"/>
    </row>
    <row r="38" spans="1:12" ht="12.75" customHeight="1" x14ac:dyDescent="0.3">
      <c r="A38" s="16"/>
      <c r="B38" s="15"/>
      <c r="C38" s="15"/>
      <c r="D38" s="74"/>
      <c r="E38" s="74"/>
      <c r="F38" s="13"/>
      <c r="G38" s="13"/>
      <c r="H38" s="13"/>
      <c r="I38" s="13"/>
      <c r="J38" s="13"/>
      <c r="K38" s="13"/>
      <c r="L38" s="13"/>
    </row>
    <row r="39" spans="1:12" ht="12.75" customHeight="1" x14ac:dyDescent="0.3">
      <c r="A39" s="16"/>
      <c r="B39" s="15"/>
      <c r="C39" s="15"/>
      <c r="D39" s="74"/>
      <c r="E39" s="74"/>
      <c r="F39" s="13"/>
      <c r="G39" s="13"/>
      <c r="H39" s="13"/>
      <c r="I39" s="13"/>
      <c r="J39" s="13"/>
      <c r="K39" s="13"/>
      <c r="L39" s="13"/>
    </row>
    <row r="40" spans="1:12" ht="12.75" customHeight="1" x14ac:dyDescent="0.3">
      <c r="A40" s="16"/>
      <c r="B40" s="15"/>
      <c r="C40" s="15"/>
      <c r="D40" s="74"/>
      <c r="E40" s="74"/>
      <c r="F40" s="13"/>
      <c r="G40" s="13"/>
      <c r="H40" s="13"/>
      <c r="I40" s="13"/>
      <c r="J40" s="13"/>
      <c r="K40" s="13"/>
      <c r="L40" s="13"/>
    </row>
    <row r="41" spans="1:12" ht="12.75" customHeight="1" x14ac:dyDescent="0.3">
      <c r="A41" s="16"/>
      <c r="B41" s="15"/>
      <c r="C41" s="15"/>
      <c r="D41" s="74"/>
      <c r="E41" s="74"/>
      <c r="F41" s="13"/>
      <c r="G41" s="13"/>
      <c r="H41" s="13"/>
      <c r="I41" s="13"/>
      <c r="J41" s="13"/>
      <c r="K41" s="13"/>
      <c r="L41" s="13"/>
    </row>
    <row r="42" spans="1:12" ht="12.75" customHeight="1" x14ac:dyDescent="0.3">
      <c r="A42" s="16"/>
      <c r="B42" s="15"/>
      <c r="C42" s="15"/>
      <c r="D42" s="74"/>
      <c r="E42" s="74"/>
      <c r="F42" s="13"/>
      <c r="G42" s="13"/>
      <c r="H42" s="13"/>
      <c r="I42" s="13"/>
      <c r="J42" s="13"/>
      <c r="K42" s="13"/>
      <c r="L42" s="13"/>
    </row>
    <row r="43" spans="1:12" ht="12.75" customHeight="1" x14ac:dyDescent="0.3">
      <c r="A43" s="16"/>
      <c r="B43" s="15"/>
      <c r="C43" s="15"/>
      <c r="D43" s="74"/>
      <c r="E43" s="74"/>
      <c r="F43" s="13"/>
      <c r="G43" s="13"/>
      <c r="H43" s="13"/>
      <c r="I43" s="13"/>
      <c r="J43" s="13"/>
      <c r="K43" s="13"/>
      <c r="L43" s="13"/>
    </row>
    <row r="44" spans="1:12" ht="12.75" customHeight="1" x14ac:dyDescent="0.3">
      <c r="A44" s="16"/>
      <c r="B44" s="15"/>
      <c r="C44" s="15"/>
      <c r="D44" s="74"/>
      <c r="E44" s="74"/>
      <c r="F44" s="13"/>
      <c r="G44" s="13"/>
      <c r="H44" s="13"/>
      <c r="I44" s="13"/>
      <c r="J44" s="13"/>
      <c r="K44" s="13"/>
      <c r="L44" s="13"/>
    </row>
    <row r="45" spans="1:12" ht="12.75" customHeight="1" x14ac:dyDescent="0.3">
      <c r="A45" s="16"/>
      <c r="B45" s="15"/>
      <c r="C45" s="15"/>
      <c r="D45" s="74"/>
      <c r="E45" s="74"/>
      <c r="F45" s="13"/>
      <c r="G45" s="13"/>
      <c r="H45" s="13"/>
      <c r="I45" s="13"/>
      <c r="J45" s="13"/>
      <c r="K45" s="13"/>
      <c r="L45" s="13"/>
    </row>
    <row r="46" spans="1:12" ht="12.75" customHeight="1" x14ac:dyDescent="0.3">
      <c r="A46" s="16"/>
      <c r="B46" s="15"/>
      <c r="C46" s="15"/>
      <c r="D46" s="74"/>
      <c r="E46" s="74"/>
      <c r="F46" s="13"/>
      <c r="G46" s="13"/>
      <c r="H46" s="13"/>
      <c r="I46" s="13"/>
      <c r="J46" s="13"/>
      <c r="K46" s="13"/>
      <c r="L46" s="13"/>
    </row>
    <row r="47" spans="1:12" ht="12.75" customHeight="1" x14ac:dyDescent="0.3">
      <c r="A47" s="16"/>
      <c r="B47" s="15"/>
      <c r="C47" s="15"/>
      <c r="D47" s="74"/>
      <c r="E47" s="74"/>
      <c r="F47" s="13"/>
      <c r="G47" s="13"/>
      <c r="H47" s="13"/>
      <c r="I47" s="13"/>
      <c r="J47" s="13"/>
      <c r="K47" s="13"/>
      <c r="L47" s="13"/>
    </row>
    <row r="48" spans="1:12" ht="12.75" customHeight="1" x14ac:dyDescent="0.3">
      <c r="A48" s="16"/>
      <c r="B48" s="15"/>
      <c r="C48" s="15"/>
      <c r="D48" s="74"/>
      <c r="E48" s="74"/>
      <c r="F48" s="13"/>
      <c r="G48" s="13"/>
      <c r="H48" s="13"/>
      <c r="I48" s="13"/>
      <c r="J48" s="13"/>
      <c r="K48" s="13"/>
      <c r="L48" s="13"/>
    </row>
    <row r="49" spans="1:12" ht="12.75" customHeight="1" x14ac:dyDescent="0.3">
      <c r="A49" s="16"/>
      <c r="B49" s="15"/>
      <c r="C49" s="15"/>
      <c r="D49" s="74"/>
      <c r="E49" s="74"/>
      <c r="F49" s="13"/>
      <c r="G49" s="13"/>
      <c r="H49" s="13"/>
      <c r="I49" s="13"/>
      <c r="J49" s="13"/>
      <c r="K49" s="13"/>
      <c r="L49" s="13"/>
    </row>
    <row r="50" spans="1:12" ht="12.75" customHeight="1" x14ac:dyDescent="0.3">
      <c r="A50" s="16"/>
      <c r="B50" s="15"/>
      <c r="C50" s="15"/>
      <c r="D50" s="74"/>
      <c r="E50" s="74"/>
      <c r="F50" s="13"/>
      <c r="G50" s="13"/>
      <c r="H50" s="13"/>
      <c r="I50" s="13"/>
      <c r="J50" s="13"/>
      <c r="K50" s="13"/>
      <c r="L50" s="13"/>
    </row>
  </sheetData>
  <mergeCells count="2">
    <mergeCell ref="A1:D1"/>
    <mergeCell ref="E1:L1"/>
  </mergeCells>
  <hyperlinks>
    <hyperlink ref="A1" location="'SIM_Accueil'!A1" display="⌂  BACK TO HOME" xr:uid="{00000000-0004-0000-0600-000000000000}"/>
  </hyperlinks>
  <pageMargins left="0.7" right="0.7" top="0.75" bottom="0.75"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2F5597"/>
  </sheetPr>
  <dimension ref="A1:L36"/>
  <sheetViews>
    <sheetView showGridLines="0" zoomScaleNormal="100" workbookViewId="0"/>
  </sheetViews>
  <sheetFormatPr baseColWidth="10" defaultColWidth="8.6328125" defaultRowHeight="12.5" x14ac:dyDescent="0.25"/>
  <cols>
    <col min="1" max="1" width="38" customWidth="1"/>
    <col min="2" max="2" width="21" customWidth="1"/>
    <col min="3" max="3" width="24" customWidth="1"/>
    <col min="4" max="4" width="13" customWidth="1"/>
    <col min="5" max="5" width="25" customWidth="1"/>
    <col min="6" max="6" width="12" customWidth="1"/>
    <col min="7" max="7" width="13" customWidth="1"/>
    <col min="8" max="8" width="11" customWidth="1"/>
    <col min="9" max="12" width="13" customWidth="1"/>
  </cols>
  <sheetData>
    <row r="1" spans="1:12" ht="27.75" customHeight="1" x14ac:dyDescent="0.25">
      <c r="A1" s="205" t="s">
        <v>32</v>
      </c>
      <c r="B1" s="205"/>
      <c r="C1" s="205"/>
      <c r="D1" s="205"/>
      <c r="E1" s="206" t="s">
        <v>561</v>
      </c>
      <c r="F1" s="206"/>
      <c r="G1" s="206"/>
      <c r="H1" s="206"/>
      <c r="I1" s="206"/>
      <c r="J1" s="206"/>
      <c r="K1" s="206"/>
      <c r="L1" s="206"/>
    </row>
    <row r="2" spans="1:12" ht="12.75" customHeight="1" x14ac:dyDescent="0.3">
      <c r="A2" s="16"/>
      <c r="B2" s="16"/>
      <c r="C2" s="16"/>
      <c r="D2" s="16"/>
      <c r="E2" s="16"/>
      <c r="F2" s="16"/>
      <c r="G2" s="16"/>
      <c r="H2" s="16"/>
      <c r="I2" s="13"/>
      <c r="J2" s="13"/>
      <c r="K2" s="13"/>
      <c r="L2" s="13"/>
    </row>
    <row r="3" spans="1:12" s="26" customFormat="1" ht="12.75" customHeight="1" x14ac:dyDescent="0.3">
      <c r="A3" s="106" t="s">
        <v>506</v>
      </c>
      <c r="B3" s="106" t="s">
        <v>66</v>
      </c>
      <c r="C3" s="107"/>
      <c r="D3" s="107"/>
      <c r="E3" s="107"/>
      <c r="F3" s="107"/>
      <c r="G3" s="107"/>
      <c r="H3" s="107"/>
      <c r="I3" s="13"/>
      <c r="J3" s="13"/>
      <c r="K3" s="13"/>
      <c r="L3" s="13"/>
    </row>
    <row r="4" spans="1:12" ht="12.75" customHeight="1" x14ac:dyDescent="0.3">
      <c r="A4" s="29" t="s">
        <v>51</v>
      </c>
      <c r="B4" s="108" t="s">
        <v>61</v>
      </c>
      <c r="C4" s="16"/>
      <c r="D4" s="16"/>
      <c r="E4" s="16"/>
      <c r="F4" s="16"/>
      <c r="G4" s="16"/>
      <c r="H4" s="16"/>
      <c r="I4" s="13"/>
      <c r="J4" s="13"/>
      <c r="K4" s="13"/>
      <c r="L4" s="13"/>
    </row>
    <row r="5" spans="1:12" ht="12.75" customHeight="1" x14ac:dyDescent="0.3">
      <c r="A5" s="29" t="s">
        <v>67</v>
      </c>
      <c r="B5" s="109">
        <f>INDEX($B$16:$H$18,MATCH($B$4,$A$16:$A$18,0),1)</f>
        <v>3.2000000000000001E-2</v>
      </c>
      <c r="C5" s="16"/>
      <c r="D5" s="16"/>
      <c r="E5" s="16"/>
      <c r="F5" s="16"/>
      <c r="G5" s="16"/>
      <c r="H5" s="16"/>
      <c r="I5" s="13"/>
      <c r="J5" s="13"/>
      <c r="K5" s="13"/>
      <c r="L5" s="13"/>
    </row>
    <row r="6" spans="1:12" ht="12.75" customHeight="1" x14ac:dyDescent="0.3">
      <c r="A6" s="29" t="s">
        <v>68</v>
      </c>
      <c r="B6" s="109">
        <f>INDEX($B$16:$H$18,MATCH($B$4,$A$16:$A$18,0),2)</f>
        <v>0.03</v>
      </c>
      <c r="C6" s="16"/>
      <c r="D6" s="16"/>
      <c r="E6" s="16"/>
      <c r="F6" s="16"/>
      <c r="G6" s="16"/>
      <c r="H6" s="16"/>
      <c r="I6" s="13"/>
      <c r="J6" s="13"/>
      <c r="K6" s="13"/>
      <c r="L6" s="13"/>
    </row>
    <row r="7" spans="1:12" ht="12.75" customHeight="1" x14ac:dyDescent="0.3">
      <c r="A7" s="29" t="s">
        <v>562</v>
      </c>
      <c r="B7" s="110">
        <f>INDEX($B$16:$H$18,MATCH($B$4,$A$16:$A$18,0),3)</f>
        <v>-0.83</v>
      </c>
      <c r="C7" s="16"/>
      <c r="D7" s="16"/>
      <c r="E7" s="16"/>
      <c r="F7" s="16"/>
      <c r="G7" s="16"/>
      <c r="H7" s="16"/>
      <c r="I7" s="13"/>
      <c r="J7" s="13"/>
      <c r="K7" s="13"/>
      <c r="L7" s="13"/>
    </row>
    <row r="8" spans="1:12" ht="12.75" customHeight="1" x14ac:dyDescent="0.3">
      <c r="A8" s="29" t="s">
        <v>563</v>
      </c>
      <c r="B8" s="109">
        <f>INDEX($B$16:$H$18,MATCH($B$4,$A$16:$A$18,0),4)</f>
        <v>-0.06</v>
      </c>
      <c r="C8" s="16"/>
      <c r="D8" s="16"/>
      <c r="E8" s="16"/>
      <c r="F8" s="16"/>
      <c r="G8" s="16"/>
      <c r="H8" s="16"/>
      <c r="I8" s="13"/>
      <c r="J8" s="13"/>
      <c r="K8" s="13"/>
      <c r="L8" s="13"/>
    </row>
    <row r="9" spans="1:12" ht="12.75" customHeight="1" x14ac:dyDescent="0.3">
      <c r="A9" s="29" t="s">
        <v>564</v>
      </c>
      <c r="B9" s="109">
        <f>INDEX($B$16:$H$18,MATCH($B$4,$A$16:$A$18,0),5)</f>
        <v>-0.1</v>
      </c>
      <c r="C9" s="16"/>
      <c r="D9" s="16"/>
      <c r="E9" s="16"/>
      <c r="F9" s="16"/>
      <c r="G9" s="16"/>
      <c r="H9" s="16"/>
      <c r="I9" s="13"/>
      <c r="J9" s="13"/>
      <c r="K9" s="13"/>
      <c r="L9" s="13"/>
    </row>
    <row r="10" spans="1:12" ht="25.5" customHeight="1" x14ac:dyDescent="0.3">
      <c r="A10" s="29" t="s">
        <v>565</v>
      </c>
      <c r="B10" s="110">
        <f>INDEX($B$16:$H$18,MATCH($B$4,$A$16:$A$18,0),6)</f>
        <v>2</v>
      </c>
      <c r="C10" s="16"/>
      <c r="D10" s="16"/>
      <c r="E10" s="16"/>
      <c r="F10" s="16"/>
      <c r="G10" s="16"/>
      <c r="H10" s="16"/>
      <c r="I10" s="13"/>
      <c r="J10" s="13"/>
      <c r="K10" s="13"/>
      <c r="L10" s="13"/>
    </row>
    <row r="11" spans="1:12" ht="12.75" customHeight="1" x14ac:dyDescent="0.3">
      <c r="A11" s="29" t="s">
        <v>566</v>
      </c>
      <c r="B11" s="109">
        <f>INDEX($B$16:$H$18,MATCH($B$4,$A$16:$A$18,0),7)</f>
        <v>0.03</v>
      </c>
      <c r="C11" s="16"/>
      <c r="D11" s="16"/>
      <c r="E11" s="16"/>
      <c r="F11" s="16"/>
      <c r="G11" s="16"/>
      <c r="H11" s="16"/>
      <c r="I11" s="13"/>
      <c r="J11" s="13"/>
      <c r="K11" s="13"/>
      <c r="L11" s="13"/>
    </row>
    <row r="12" spans="1:12" ht="12.75" customHeight="1" x14ac:dyDescent="0.3">
      <c r="A12" s="29" t="s">
        <v>69</v>
      </c>
      <c r="B12" s="111">
        <v>0.2</v>
      </c>
      <c r="C12" s="16"/>
      <c r="D12" s="16"/>
      <c r="E12" s="16"/>
      <c r="F12" s="16"/>
      <c r="G12" s="16"/>
      <c r="H12" s="16"/>
      <c r="I12" s="13"/>
      <c r="J12" s="13"/>
      <c r="K12" s="13"/>
      <c r="L12" s="13"/>
    </row>
    <row r="13" spans="1:12" ht="12.75" customHeight="1" x14ac:dyDescent="0.3">
      <c r="A13" s="16"/>
      <c r="B13" s="16"/>
      <c r="C13" s="16"/>
      <c r="D13" s="16"/>
      <c r="E13" s="16"/>
      <c r="F13" s="16"/>
      <c r="G13" s="16"/>
      <c r="H13" s="16"/>
      <c r="I13" s="13"/>
      <c r="J13" s="13"/>
      <c r="K13" s="13"/>
      <c r="L13" s="13"/>
    </row>
    <row r="14" spans="1:12" ht="12.75" customHeight="1" x14ac:dyDescent="0.3">
      <c r="A14" s="16"/>
      <c r="B14" s="16"/>
      <c r="C14" s="16"/>
      <c r="D14" s="16"/>
      <c r="E14" s="16"/>
      <c r="F14" s="16"/>
      <c r="G14" s="16"/>
      <c r="H14" s="16"/>
      <c r="I14" s="13"/>
      <c r="J14" s="13"/>
      <c r="K14" s="13"/>
      <c r="L14" s="13"/>
    </row>
    <row r="15" spans="1:12" s="26" customFormat="1" ht="12.75" customHeight="1" x14ac:dyDescent="0.3">
      <c r="A15" s="106" t="s">
        <v>51</v>
      </c>
      <c r="B15" s="106" t="s">
        <v>52</v>
      </c>
      <c r="C15" s="106" t="s">
        <v>53</v>
      </c>
      <c r="D15" s="106" t="s">
        <v>567</v>
      </c>
      <c r="E15" s="106" t="s">
        <v>55</v>
      </c>
      <c r="F15" s="106" t="s">
        <v>56</v>
      </c>
      <c r="G15" s="106" t="s">
        <v>568</v>
      </c>
      <c r="H15" s="106" t="s">
        <v>58</v>
      </c>
      <c r="I15" s="13"/>
      <c r="J15" s="13"/>
      <c r="K15" s="13"/>
      <c r="L15" s="13"/>
    </row>
    <row r="16" spans="1:12" ht="12.75" customHeight="1" x14ac:dyDescent="0.3">
      <c r="A16" s="40" t="s">
        <v>59</v>
      </c>
      <c r="B16" s="112">
        <v>1.2999999999999999E-2</v>
      </c>
      <c r="C16" s="112">
        <v>2.7E-2</v>
      </c>
      <c r="D16" s="113">
        <v>0</v>
      </c>
      <c r="E16" s="112">
        <v>-1.4999999999999999E-2</v>
      </c>
      <c r="F16" s="112">
        <v>-0.02</v>
      </c>
      <c r="G16" s="113">
        <v>0.5</v>
      </c>
      <c r="H16" s="112">
        <v>5.0000000000000001E-3</v>
      </c>
      <c r="I16" s="13"/>
      <c r="J16" s="13"/>
      <c r="K16" s="13"/>
      <c r="L16" s="13"/>
    </row>
    <row r="17" spans="1:12" ht="12.75" customHeight="1" x14ac:dyDescent="0.3">
      <c r="A17" s="40" t="s">
        <v>60</v>
      </c>
      <c r="B17" s="112">
        <v>2.1999999999999999E-2</v>
      </c>
      <c r="C17" s="112">
        <v>2.9000000000000001E-2</v>
      </c>
      <c r="D17" s="113">
        <v>-0.4</v>
      </c>
      <c r="E17" s="112">
        <v>-3.5000000000000003E-2</v>
      </c>
      <c r="F17" s="112">
        <v>-0.05</v>
      </c>
      <c r="G17" s="113">
        <v>1</v>
      </c>
      <c r="H17" s="112">
        <v>1.4999999999999999E-2</v>
      </c>
      <c r="I17" s="13"/>
      <c r="J17" s="13"/>
      <c r="K17" s="13"/>
      <c r="L17" s="13"/>
    </row>
    <row r="18" spans="1:12" ht="12.75" customHeight="1" x14ac:dyDescent="0.3">
      <c r="A18" s="40" t="s">
        <v>61</v>
      </c>
      <c r="B18" s="112">
        <v>3.2000000000000001E-2</v>
      </c>
      <c r="C18" s="112">
        <v>0.03</v>
      </c>
      <c r="D18" s="113">
        <v>-0.83</v>
      </c>
      <c r="E18" s="112">
        <v>-0.06</v>
      </c>
      <c r="F18" s="112">
        <v>-0.1</v>
      </c>
      <c r="G18" s="113">
        <v>2</v>
      </c>
      <c r="H18" s="112">
        <v>0.03</v>
      </c>
      <c r="I18" s="13"/>
      <c r="J18" s="13"/>
      <c r="K18" s="13"/>
      <c r="L18" s="13"/>
    </row>
    <row r="19" spans="1:12" ht="12.75" customHeight="1" x14ac:dyDescent="0.3">
      <c r="A19" s="16" t="s">
        <v>569</v>
      </c>
      <c r="B19" s="16"/>
      <c r="C19" s="16"/>
      <c r="D19" s="16"/>
      <c r="E19" s="16"/>
      <c r="F19" s="16"/>
      <c r="G19" s="16"/>
      <c r="H19" s="16"/>
      <c r="I19" s="13"/>
      <c r="J19" s="13"/>
      <c r="K19" s="13"/>
      <c r="L19" s="13"/>
    </row>
    <row r="20" spans="1:12" ht="12.75" customHeight="1" x14ac:dyDescent="0.3">
      <c r="A20" s="16" t="s">
        <v>570</v>
      </c>
      <c r="B20" s="16"/>
      <c r="C20" s="16"/>
      <c r="D20" s="16"/>
      <c r="E20" s="16"/>
      <c r="F20" s="16"/>
      <c r="G20" s="16"/>
      <c r="H20" s="16"/>
      <c r="I20" s="13"/>
      <c r="J20" s="13"/>
      <c r="K20" s="13"/>
      <c r="L20" s="13"/>
    </row>
    <row r="21" spans="1:12" s="26" customFormat="1" ht="12.75" customHeight="1" x14ac:dyDescent="0.3">
      <c r="A21" s="106" t="s">
        <v>469</v>
      </c>
      <c r="B21" s="106" t="s">
        <v>322</v>
      </c>
      <c r="C21" s="106" t="s">
        <v>260</v>
      </c>
      <c r="D21" s="106" t="s">
        <v>119</v>
      </c>
      <c r="E21" s="106" t="s">
        <v>571</v>
      </c>
      <c r="F21" s="106" t="s">
        <v>572</v>
      </c>
      <c r="G21" s="107"/>
      <c r="H21" s="107"/>
      <c r="I21" s="13"/>
      <c r="J21" s="13"/>
      <c r="K21" s="13"/>
      <c r="L21" s="13"/>
    </row>
    <row r="22" spans="1:12" ht="12.75" customHeight="1" x14ac:dyDescent="0.3">
      <c r="A22" s="114">
        <v>2016</v>
      </c>
      <c r="B22" s="40" t="s">
        <v>573</v>
      </c>
      <c r="C22" s="115">
        <v>1295854000</v>
      </c>
      <c r="D22" s="116">
        <v>0</v>
      </c>
      <c r="E22" s="116">
        <v>0</v>
      </c>
      <c r="F22" s="116">
        <v>0</v>
      </c>
      <c r="G22" s="16"/>
      <c r="H22" s="16"/>
      <c r="I22" s="13"/>
      <c r="J22" s="13"/>
      <c r="K22" s="13"/>
      <c r="L22" s="13"/>
    </row>
    <row r="23" spans="1:12" ht="12.75" customHeight="1" x14ac:dyDescent="0.3">
      <c r="A23" s="114">
        <v>2017</v>
      </c>
      <c r="B23" s="40" t="s">
        <v>573</v>
      </c>
      <c r="C23" s="115">
        <v>1269170000</v>
      </c>
      <c r="D23" s="116">
        <v>0</v>
      </c>
      <c r="E23" s="116">
        <v>0</v>
      </c>
      <c r="F23" s="116">
        <v>0</v>
      </c>
      <c r="G23" s="16"/>
      <c r="H23" s="16"/>
      <c r="I23" s="13"/>
      <c r="J23" s="13"/>
      <c r="K23" s="13"/>
      <c r="L23" s="13"/>
    </row>
    <row r="24" spans="1:12" ht="12.75" customHeight="1" x14ac:dyDescent="0.3">
      <c r="A24" s="114">
        <v>2018</v>
      </c>
      <c r="B24" s="40" t="s">
        <v>573</v>
      </c>
      <c r="C24" s="115">
        <v>1190274000</v>
      </c>
      <c r="D24" s="116">
        <v>0</v>
      </c>
      <c r="E24" s="116">
        <v>0</v>
      </c>
      <c r="F24" s="116">
        <v>0</v>
      </c>
      <c r="G24" s="16"/>
      <c r="H24" s="16"/>
      <c r="I24" s="13"/>
      <c r="J24" s="13"/>
      <c r="K24" s="13"/>
      <c r="L24" s="13"/>
    </row>
    <row r="25" spans="1:12" ht="12.75" customHeight="1" x14ac:dyDescent="0.3">
      <c r="A25" s="114">
        <v>2019</v>
      </c>
      <c r="B25" s="40" t="s">
        <v>574</v>
      </c>
      <c r="C25" s="117">
        <f t="shared" ref="C25:C33" si="0">C24*(1+$B$5)</f>
        <v>1228362768</v>
      </c>
      <c r="D25" s="116">
        <v>0</v>
      </c>
      <c r="E25" s="116">
        <v>0</v>
      </c>
      <c r="F25" s="116">
        <v>0</v>
      </c>
      <c r="G25" s="16"/>
      <c r="H25" s="16"/>
      <c r="I25" s="13"/>
      <c r="J25" s="13"/>
      <c r="K25" s="13"/>
      <c r="L25" s="13"/>
    </row>
    <row r="26" spans="1:12" ht="12.75" customHeight="1" x14ac:dyDescent="0.3">
      <c r="A26" s="114">
        <v>2020</v>
      </c>
      <c r="B26" s="40" t="s">
        <v>574</v>
      </c>
      <c r="C26" s="117">
        <f t="shared" si="0"/>
        <v>1267670376.576</v>
      </c>
      <c r="D26" s="116">
        <v>0</v>
      </c>
      <c r="E26" s="116">
        <v>0</v>
      </c>
      <c r="F26" s="116">
        <v>0</v>
      </c>
      <c r="G26" s="16"/>
      <c r="H26" s="16"/>
      <c r="I26" s="13"/>
      <c r="J26" s="13"/>
      <c r="K26" s="13"/>
      <c r="L26" s="13"/>
    </row>
    <row r="27" spans="1:12" ht="12.75" customHeight="1" x14ac:dyDescent="0.3">
      <c r="A27" s="114">
        <v>2021</v>
      </c>
      <c r="B27" s="40" t="s">
        <v>574</v>
      </c>
      <c r="C27" s="117">
        <f t="shared" si="0"/>
        <v>1308235828.6264319</v>
      </c>
      <c r="D27" s="116">
        <v>0</v>
      </c>
      <c r="E27" s="116">
        <v>0</v>
      </c>
      <c r="F27" s="116">
        <v>0</v>
      </c>
      <c r="G27" s="16"/>
      <c r="H27" s="16"/>
      <c r="I27" s="13"/>
      <c r="J27" s="13"/>
      <c r="K27" s="13"/>
      <c r="L27" s="13"/>
    </row>
    <row r="28" spans="1:12" ht="12.75" customHeight="1" x14ac:dyDescent="0.3">
      <c r="A28" s="114">
        <v>2022</v>
      </c>
      <c r="B28" s="40" t="s">
        <v>574</v>
      </c>
      <c r="C28" s="117">
        <f t="shared" si="0"/>
        <v>1350099375.1424778</v>
      </c>
      <c r="D28" s="116">
        <v>0</v>
      </c>
      <c r="E28" s="116">
        <v>0</v>
      </c>
      <c r="F28" s="116">
        <v>0</v>
      </c>
      <c r="G28" s="16"/>
      <c r="H28" s="16"/>
      <c r="I28" s="13"/>
      <c r="J28" s="13"/>
      <c r="K28" s="13"/>
      <c r="L28" s="13"/>
    </row>
    <row r="29" spans="1:12" ht="12.75" customHeight="1" x14ac:dyDescent="0.3">
      <c r="A29" s="114">
        <v>2023</v>
      </c>
      <c r="B29" s="40" t="s">
        <v>574</v>
      </c>
      <c r="C29" s="117">
        <f t="shared" si="0"/>
        <v>1393302555.147037</v>
      </c>
      <c r="D29" s="116">
        <v>0</v>
      </c>
      <c r="E29" s="116">
        <v>0</v>
      </c>
      <c r="F29" s="116">
        <v>0</v>
      </c>
      <c r="G29" s="16"/>
      <c r="H29" s="16"/>
      <c r="I29" s="13"/>
      <c r="J29" s="13"/>
      <c r="K29" s="13"/>
      <c r="L29" s="13"/>
    </row>
    <row r="30" spans="1:12" ht="12.75" customHeight="1" x14ac:dyDescent="0.3">
      <c r="A30" s="114">
        <v>2024</v>
      </c>
      <c r="B30" s="40" t="s">
        <v>574</v>
      </c>
      <c r="C30" s="117">
        <f t="shared" si="0"/>
        <v>1437888236.9117422</v>
      </c>
      <c r="D30" s="116">
        <v>0</v>
      </c>
      <c r="E30" s="116">
        <v>0</v>
      </c>
      <c r="F30" s="116">
        <v>0</v>
      </c>
      <c r="G30" s="16"/>
      <c r="H30" s="16"/>
      <c r="I30" s="13"/>
      <c r="J30" s="13"/>
      <c r="K30" s="13"/>
      <c r="L30" s="13"/>
    </row>
    <row r="31" spans="1:12" ht="12.75" customHeight="1" x14ac:dyDescent="0.3">
      <c r="A31" s="114">
        <v>2025</v>
      </c>
      <c r="B31" s="40" t="s">
        <v>574</v>
      </c>
      <c r="C31" s="117">
        <f t="shared" si="0"/>
        <v>1483900660.492918</v>
      </c>
      <c r="D31" s="116">
        <v>0</v>
      </c>
      <c r="E31" s="116">
        <v>0</v>
      </c>
      <c r="F31" s="116">
        <v>0</v>
      </c>
      <c r="G31" s="16"/>
      <c r="H31" s="16"/>
      <c r="I31" s="13"/>
      <c r="J31" s="13"/>
      <c r="K31" s="13"/>
      <c r="L31" s="13"/>
    </row>
    <row r="32" spans="1:12" ht="12.75" customHeight="1" x14ac:dyDescent="0.3">
      <c r="A32" s="114">
        <v>2026</v>
      </c>
      <c r="B32" s="40" t="s">
        <v>574</v>
      </c>
      <c r="C32" s="117">
        <f t="shared" si="0"/>
        <v>1531385481.6286914</v>
      </c>
      <c r="D32" s="116">
        <v>0.5</v>
      </c>
      <c r="E32" s="116">
        <v>0.05</v>
      </c>
      <c r="F32" s="116">
        <v>0.15</v>
      </c>
      <c r="G32" s="16"/>
      <c r="H32" s="16"/>
      <c r="I32" s="13"/>
      <c r="J32" s="13"/>
      <c r="K32" s="13"/>
      <c r="L32" s="13"/>
    </row>
    <row r="33" spans="1:12" ht="12.75" customHeight="1" x14ac:dyDescent="0.3">
      <c r="A33" s="114">
        <v>2027</v>
      </c>
      <c r="B33" s="40" t="s">
        <v>574</v>
      </c>
      <c r="C33" s="117">
        <f t="shared" si="0"/>
        <v>1580389817.0408096</v>
      </c>
      <c r="D33" s="116">
        <v>0.75</v>
      </c>
      <c r="E33" s="116">
        <v>0.05</v>
      </c>
      <c r="F33" s="116">
        <v>0.15</v>
      </c>
      <c r="G33" s="16"/>
      <c r="H33" s="16"/>
      <c r="I33" s="13"/>
      <c r="J33" s="13"/>
      <c r="K33" s="13"/>
      <c r="L33" s="13"/>
    </row>
    <row r="34" spans="1:12" ht="12" customHeight="1" x14ac:dyDescent="0.25">
      <c r="A34" s="114">
        <v>2028</v>
      </c>
      <c r="B34" s="118" t="s">
        <v>574</v>
      </c>
      <c r="C34" s="119">
        <f>SIM_Parametres!C33*(1+SIM_Parametres!$B$5)</f>
        <v>1630962291.1861155</v>
      </c>
      <c r="D34" s="116">
        <v>1</v>
      </c>
      <c r="E34" s="116">
        <v>0</v>
      </c>
      <c r="F34" s="116">
        <v>0</v>
      </c>
      <c r="G34" s="3"/>
      <c r="H34" s="3"/>
    </row>
    <row r="35" spans="1:12" ht="12" customHeight="1" x14ac:dyDescent="0.25">
      <c r="A35" s="114">
        <v>2029</v>
      </c>
      <c r="B35" s="118" t="s">
        <v>574</v>
      </c>
      <c r="C35" s="119">
        <f>SIM_Parametres!C34*(1+SIM_Parametres!$B$5)</f>
        <v>1683153084.5040712</v>
      </c>
      <c r="D35" s="116">
        <v>1</v>
      </c>
      <c r="E35" s="116">
        <v>0</v>
      </c>
      <c r="F35" s="116">
        <v>0</v>
      </c>
      <c r="G35" s="3"/>
      <c r="H35" s="3"/>
    </row>
    <row r="36" spans="1:12" ht="12" customHeight="1" x14ac:dyDescent="0.25">
      <c r="A36" s="114">
        <v>2030</v>
      </c>
      <c r="B36" s="118" t="s">
        <v>574</v>
      </c>
      <c r="C36" s="119">
        <f>SIM_Parametres!C35*(1+SIM_Parametres!$B$5)</f>
        <v>1737013983.2082016</v>
      </c>
      <c r="D36" s="116">
        <v>1</v>
      </c>
      <c r="E36" s="116">
        <v>0</v>
      </c>
      <c r="F36" s="116">
        <v>0</v>
      </c>
      <c r="G36" s="3"/>
      <c r="H36" s="3"/>
    </row>
  </sheetData>
  <mergeCells count="2">
    <mergeCell ref="A1:D1"/>
    <mergeCell ref="E1:L1"/>
  </mergeCells>
  <dataValidations count="1">
    <dataValidation type="list" sqref="B4" xr:uid="{00000000-0002-0000-0700-000000000000}">
      <formula1>"Conservative,Central,2050 Transformation"</formula1>
      <formula2>0</formula2>
    </dataValidation>
  </dataValidations>
  <hyperlinks>
    <hyperlink ref="A1" location="'SIM_Accueil'!A1" display="⌂  BACK TO HOME" xr:uid="{00000000-0004-0000-0700-000000000000}"/>
  </hyperlinks>
  <pageMargins left="0.7" right="0.7" top="0.75" bottom="0.75" header="0.511811023622047" footer="0.511811023622047"/>
  <pageSetup paperSize="9" orientation="portrait" horizontalDpi="300" verticalDpi="300"/>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2F5597"/>
  </sheetPr>
  <dimension ref="A1:N74"/>
  <sheetViews>
    <sheetView showGridLines="0" zoomScaleNormal="100" workbookViewId="0"/>
  </sheetViews>
  <sheetFormatPr baseColWidth="10" defaultColWidth="8.6328125" defaultRowHeight="12.5" x14ac:dyDescent="0.25"/>
  <cols>
    <col min="1" max="1" width="33" style="11" customWidth="1"/>
    <col min="2" max="2" width="13" style="12" customWidth="1"/>
    <col min="3" max="3" width="20" customWidth="1"/>
    <col min="4" max="4" width="25" customWidth="1"/>
    <col min="5" max="5" width="42" customWidth="1"/>
    <col min="6" max="6" width="20" customWidth="1"/>
    <col min="7" max="7" width="21" customWidth="1"/>
    <col min="8" max="8" width="26" customWidth="1"/>
    <col min="9" max="9" width="27" customWidth="1"/>
    <col min="10" max="10" width="18" style="12" customWidth="1"/>
    <col min="11" max="11" width="14" style="12" customWidth="1"/>
    <col min="12" max="12" width="21" customWidth="1"/>
    <col min="13" max="14" width="42" customWidth="1"/>
  </cols>
  <sheetData>
    <row r="1" spans="1:14" ht="27.75" customHeight="1" x14ac:dyDescent="0.25">
      <c r="A1" s="205" t="s">
        <v>32</v>
      </c>
      <c r="B1" s="205"/>
      <c r="C1" s="205"/>
      <c r="D1" s="205"/>
      <c r="E1" s="206" t="s">
        <v>575</v>
      </c>
      <c r="F1" s="206"/>
      <c r="G1" s="206"/>
      <c r="H1" s="206"/>
      <c r="I1" s="206"/>
      <c r="J1" s="206"/>
      <c r="K1" s="206"/>
      <c r="L1" s="206"/>
      <c r="M1" s="43"/>
      <c r="N1" s="43"/>
    </row>
    <row r="2" spans="1:14" ht="12.75" customHeight="1" x14ac:dyDescent="0.25">
      <c r="A2" s="14"/>
      <c r="B2" s="15"/>
      <c r="C2" s="16"/>
      <c r="D2" s="16"/>
      <c r="E2" s="16"/>
      <c r="F2" s="16"/>
      <c r="G2" s="16"/>
      <c r="H2" s="16"/>
      <c r="I2" s="16"/>
      <c r="J2" s="15"/>
      <c r="K2" s="15"/>
      <c r="L2" s="15"/>
      <c r="M2" s="16"/>
      <c r="N2" s="16"/>
    </row>
    <row r="3" spans="1:14" ht="33.75" customHeight="1" x14ac:dyDescent="0.25">
      <c r="A3" s="75" t="s">
        <v>576</v>
      </c>
      <c r="B3" s="75" t="s">
        <v>357</v>
      </c>
      <c r="C3" s="75" t="s">
        <v>48</v>
      </c>
      <c r="D3" s="75" t="s">
        <v>577</v>
      </c>
      <c r="E3" s="75" t="s">
        <v>578</v>
      </c>
      <c r="F3" s="75" t="s">
        <v>579</v>
      </c>
      <c r="G3" s="75" t="s">
        <v>580</v>
      </c>
      <c r="H3" s="75" t="s">
        <v>581</v>
      </c>
      <c r="I3" s="75" t="s">
        <v>582</v>
      </c>
      <c r="J3" s="75" t="s">
        <v>101</v>
      </c>
      <c r="K3" s="75" t="s">
        <v>583</v>
      </c>
      <c r="L3" s="75" t="s">
        <v>584</v>
      </c>
      <c r="M3" s="75" t="s">
        <v>585</v>
      </c>
      <c r="N3" s="75" t="s">
        <v>586</v>
      </c>
    </row>
    <row r="4" spans="1:14" ht="39" customHeight="1" x14ac:dyDescent="0.25">
      <c r="A4" s="62" t="s">
        <v>587</v>
      </c>
      <c r="B4" s="103" t="s">
        <v>376</v>
      </c>
      <c r="C4" s="62" t="s">
        <v>379</v>
      </c>
      <c r="D4" s="120">
        <v>453963</v>
      </c>
      <c r="E4" s="120">
        <v>13</v>
      </c>
      <c r="F4" s="121">
        <v>9.3000000000000007</v>
      </c>
      <c r="G4" s="121">
        <v>40</v>
      </c>
      <c r="H4" s="121">
        <v>10.4</v>
      </c>
      <c r="I4" s="121">
        <v>98.9</v>
      </c>
      <c r="J4" s="102">
        <v>73189</v>
      </c>
      <c r="K4" s="103" t="s">
        <v>357</v>
      </c>
      <c r="L4" s="102">
        <v>10</v>
      </c>
      <c r="M4" s="84" t="s">
        <v>588</v>
      </c>
      <c r="N4" s="84" t="s">
        <v>589</v>
      </c>
    </row>
    <row r="5" spans="1:14" ht="39" customHeight="1" x14ac:dyDescent="0.25">
      <c r="A5" s="55" t="s">
        <v>590</v>
      </c>
      <c r="B5" s="105" t="s">
        <v>376</v>
      </c>
      <c r="C5" s="55" t="s">
        <v>381</v>
      </c>
      <c r="D5" s="122">
        <v>237940</v>
      </c>
      <c r="E5" s="122">
        <v>10</v>
      </c>
      <c r="F5" s="123">
        <v>9.3000000000000007</v>
      </c>
      <c r="G5" s="123">
        <v>40</v>
      </c>
      <c r="H5" s="123">
        <v>10.4</v>
      </c>
      <c r="I5" s="123">
        <v>98.9</v>
      </c>
      <c r="J5" s="104">
        <v>73189</v>
      </c>
      <c r="K5" s="105" t="s">
        <v>357</v>
      </c>
      <c r="L5" s="104">
        <v>10</v>
      </c>
      <c r="M5" s="83" t="s">
        <v>588</v>
      </c>
      <c r="N5" s="83" t="s">
        <v>589</v>
      </c>
    </row>
    <row r="6" spans="1:14" ht="39" customHeight="1" x14ac:dyDescent="0.25">
      <c r="A6" s="62" t="s">
        <v>591</v>
      </c>
      <c r="B6" s="103" t="s">
        <v>376</v>
      </c>
      <c r="C6" s="62" t="s">
        <v>382</v>
      </c>
      <c r="D6" s="120">
        <v>181346</v>
      </c>
      <c r="E6" s="120">
        <v>169</v>
      </c>
      <c r="F6" s="121">
        <v>9.3000000000000007</v>
      </c>
      <c r="G6" s="121">
        <v>40</v>
      </c>
      <c r="H6" s="121">
        <v>10.4</v>
      </c>
      <c r="I6" s="121">
        <v>98.9</v>
      </c>
      <c r="J6" s="102">
        <v>73189</v>
      </c>
      <c r="K6" s="103" t="s">
        <v>357</v>
      </c>
      <c r="L6" s="102">
        <v>10</v>
      </c>
      <c r="M6" s="84" t="s">
        <v>588</v>
      </c>
      <c r="N6" s="84" t="s">
        <v>589</v>
      </c>
    </row>
    <row r="7" spans="1:14" ht="39" customHeight="1" x14ac:dyDescent="0.25">
      <c r="A7" s="55" t="s">
        <v>592</v>
      </c>
      <c r="B7" s="105" t="s">
        <v>376</v>
      </c>
      <c r="C7" s="55" t="s">
        <v>383</v>
      </c>
      <c r="D7" s="122">
        <v>459664</v>
      </c>
      <c r="E7" s="122">
        <v>13</v>
      </c>
      <c r="F7" s="123">
        <v>9.3000000000000007</v>
      </c>
      <c r="G7" s="123">
        <v>40</v>
      </c>
      <c r="H7" s="123">
        <v>10.4</v>
      </c>
      <c r="I7" s="123">
        <v>98.9</v>
      </c>
      <c r="J7" s="104">
        <v>73189</v>
      </c>
      <c r="K7" s="105" t="s">
        <v>357</v>
      </c>
      <c r="L7" s="104">
        <v>10</v>
      </c>
      <c r="M7" s="83" t="s">
        <v>588</v>
      </c>
      <c r="N7" s="83" t="s">
        <v>589</v>
      </c>
    </row>
    <row r="8" spans="1:14" ht="39" customHeight="1" x14ac:dyDescent="0.25">
      <c r="A8" s="62" t="s">
        <v>593</v>
      </c>
      <c r="B8" s="103" t="s">
        <v>376</v>
      </c>
      <c r="C8" s="62" t="s">
        <v>384</v>
      </c>
      <c r="D8" s="120">
        <v>325978</v>
      </c>
      <c r="E8" s="120">
        <v>34</v>
      </c>
      <c r="F8" s="121">
        <v>9.3000000000000007</v>
      </c>
      <c r="G8" s="121">
        <v>40</v>
      </c>
      <c r="H8" s="121">
        <v>10.4</v>
      </c>
      <c r="I8" s="121">
        <v>98.9</v>
      </c>
      <c r="J8" s="102">
        <v>73189</v>
      </c>
      <c r="K8" s="103" t="s">
        <v>357</v>
      </c>
      <c r="L8" s="102">
        <v>10</v>
      </c>
      <c r="M8" s="84" t="s">
        <v>588</v>
      </c>
      <c r="N8" s="84" t="s">
        <v>589</v>
      </c>
    </row>
    <row r="9" spans="1:14" ht="39" customHeight="1" x14ac:dyDescent="0.25">
      <c r="A9" s="55" t="s">
        <v>594</v>
      </c>
      <c r="B9" s="105" t="s">
        <v>376</v>
      </c>
      <c r="C9" s="55" t="s">
        <v>385</v>
      </c>
      <c r="D9" s="122">
        <v>478267</v>
      </c>
      <c r="E9" s="122">
        <v>28</v>
      </c>
      <c r="F9" s="123">
        <v>9.3000000000000007</v>
      </c>
      <c r="G9" s="123">
        <v>40</v>
      </c>
      <c r="H9" s="123">
        <v>10.4</v>
      </c>
      <c r="I9" s="123">
        <v>98.9</v>
      </c>
      <c r="J9" s="104">
        <v>73189</v>
      </c>
      <c r="K9" s="105" t="s">
        <v>357</v>
      </c>
      <c r="L9" s="104">
        <v>10</v>
      </c>
      <c r="M9" s="83" t="s">
        <v>588</v>
      </c>
      <c r="N9" s="83" t="s">
        <v>589</v>
      </c>
    </row>
    <row r="10" spans="1:14" ht="39" customHeight="1" x14ac:dyDescent="0.25">
      <c r="A10" s="62" t="s">
        <v>595</v>
      </c>
      <c r="B10" s="103" t="s">
        <v>376</v>
      </c>
      <c r="C10" s="62" t="s">
        <v>386</v>
      </c>
      <c r="D10" s="120">
        <v>611468</v>
      </c>
      <c r="E10" s="120">
        <v>22</v>
      </c>
      <c r="F10" s="121">
        <v>9.3000000000000007</v>
      </c>
      <c r="G10" s="121">
        <v>40</v>
      </c>
      <c r="H10" s="121">
        <v>10.4</v>
      </c>
      <c r="I10" s="121">
        <v>98.9</v>
      </c>
      <c r="J10" s="102">
        <v>73189</v>
      </c>
      <c r="K10" s="103" t="s">
        <v>357</v>
      </c>
      <c r="L10" s="102">
        <v>10</v>
      </c>
      <c r="M10" s="84" t="s">
        <v>588</v>
      </c>
      <c r="N10" s="84" t="s">
        <v>589</v>
      </c>
    </row>
    <row r="11" spans="1:14" ht="39" customHeight="1" x14ac:dyDescent="0.25">
      <c r="A11" s="55" t="s">
        <v>596</v>
      </c>
      <c r="B11" s="105" t="s">
        <v>376</v>
      </c>
      <c r="C11" s="55" t="s">
        <v>387</v>
      </c>
      <c r="D11" s="122">
        <v>294651</v>
      </c>
      <c r="E11" s="122">
        <v>34</v>
      </c>
      <c r="F11" s="123">
        <v>9.3000000000000007</v>
      </c>
      <c r="G11" s="123">
        <v>40</v>
      </c>
      <c r="H11" s="123">
        <v>10.4</v>
      </c>
      <c r="I11" s="123">
        <v>98.9</v>
      </c>
      <c r="J11" s="104">
        <v>73189</v>
      </c>
      <c r="K11" s="105" t="s">
        <v>357</v>
      </c>
      <c r="L11" s="104">
        <v>10</v>
      </c>
      <c r="M11" s="83" t="s">
        <v>588</v>
      </c>
      <c r="N11" s="83" t="s">
        <v>589</v>
      </c>
    </row>
    <row r="12" spans="1:14" ht="39" customHeight="1" x14ac:dyDescent="0.25">
      <c r="A12" s="62" t="s">
        <v>597</v>
      </c>
      <c r="B12" s="103" t="s">
        <v>376</v>
      </c>
      <c r="C12" s="62" t="s">
        <v>388</v>
      </c>
      <c r="D12" s="120">
        <v>458290</v>
      </c>
      <c r="E12" s="120">
        <v>18</v>
      </c>
      <c r="F12" s="121">
        <v>9.3000000000000007</v>
      </c>
      <c r="G12" s="121">
        <v>40</v>
      </c>
      <c r="H12" s="121">
        <v>10.4</v>
      </c>
      <c r="I12" s="121">
        <v>98.9</v>
      </c>
      <c r="J12" s="102">
        <v>73189</v>
      </c>
      <c r="K12" s="103" t="s">
        <v>357</v>
      </c>
      <c r="L12" s="102">
        <v>10</v>
      </c>
      <c r="M12" s="84" t="s">
        <v>588</v>
      </c>
      <c r="N12" s="84" t="s">
        <v>589</v>
      </c>
    </row>
    <row r="13" spans="1:14" ht="39" customHeight="1" x14ac:dyDescent="0.25">
      <c r="A13" s="55" t="s">
        <v>598</v>
      </c>
      <c r="B13" s="105" t="s">
        <v>376</v>
      </c>
      <c r="C13" s="55" t="s">
        <v>389</v>
      </c>
      <c r="D13" s="122">
        <v>502859</v>
      </c>
      <c r="E13" s="122">
        <v>203</v>
      </c>
      <c r="F13" s="123">
        <v>9.3000000000000007</v>
      </c>
      <c r="G13" s="123">
        <v>40</v>
      </c>
      <c r="H13" s="123">
        <v>10.4</v>
      </c>
      <c r="I13" s="123">
        <v>98.9</v>
      </c>
      <c r="J13" s="104">
        <v>73189</v>
      </c>
      <c r="K13" s="105" t="s">
        <v>357</v>
      </c>
      <c r="L13" s="104">
        <v>10</v>
      </c>
      <c r="M13" s="83" t="s">
        <v>588</v>
      </c>
      <c r="N13" s="83" t="s">
        <v>589</v>
      </c>
    </row>
    <row r="14" spans="1:14" ht="39" customHeight="1" x14ac:dyDescent="0.25">
      <c r="A14" s="62" t="s">
        <v>599</v>
      </c>
      <c r="B14" s="103" t="s">
        <v>390</v>
      </c>
      <c r="C14" s="62" t="s">
        <v>392</v>
      </c>
      <c r="D14" s="120">
        <v>868049</v>
      </c>
      <c r="E14" s="120">
        <v>1335</v>
      </c>
      <c r="F14" s="121">
        <v>37.4</v>
      </c>
      <c r="G14" s="121">
        <v>40</v>
      </c>
      <c r="H14" s="121">
        <v>17.5</v>
      </c>
      <c r="I14" s="121">
        <v>94.2</v>
      </c>
      <c r="J14" s="102">
        <v>203502</v>
      </c>
      <c r="K14" s="103" t="s">
        <v>357</v>
      </c>
      <c r="L14" s="102">
        <v>3</v>
      </c>
      <c r="M14" s="84" t="s">
        <v>588</v>
      </c>
      <c r="N14" s="84" t="s">
        <v>600</v>
      </c>
    </row>
    <row r="15" spans="1:14" ht="39" customHeight="1" x14ac:dyDescent="0.25">
      <c r="A15" s="55" t="s">
        <v>601</v>
      </c>
      <c r="B15" s="105" t="s">
        <v>390</v>
      </c>
      <c r="C15" s="55" t="s">
        <v>390</v>
      </c>
      <c r="D15" s="122">
        <v>777435</v>
      </c>
      <c r="E15" s="122">
        <v>1292</v>
      </c>
      <c r="F15" s="123">
        <v>37.4</v>
      </c>
      <c r="G15" s="123">
        <v>40</v>
      </c>
      <c r="H15" s="123">
        <v>17.5</v>
      </c>
      <c r="I15" s="123">
        <v>94.2</v>
      </c>
      <c r="J15" s="104">
        <v>203502</v>
      </c>
      <c r="K15" s="105" t="s">
        <v>357</v>
      </c>
      <c r="L15" s="104">
        <v>3</v>
      </c>
      <c r="M15" s="83" t="s">
        <v>588</v>
      </c>
      <c r="N15" s="83" t="s">
        <v>600</v>
      </c>
    </row>
    <row r="16" spans="1:14" ht="39" customHeight="1" x14ac:dyDescent="0.25">
      <c r="A16" s="62" t="s">
        <v>602</v>
      </c>
      <c r="B16" s="103" t="s">
        <v>390</v>
      </c>
      <c r="C16" s="62" t="s">
        <v>393</v>
      </c>
      <c r="D16" s="120">
        <v>434849</v>
      </c>
      <c r="E16" s="120">
        <v>1729</v>
      </c>
      <c r="F16" s="121">
        <v>37.4</v>
      </c>
      <c r="G16" s="121">
        <v>40</v>
      </c>
      <c r="H16" s="121">
        <v>17.5</v>
      </c>
      <c r="I16" s="121">
        <v>94.2</v>
      </c>
      <c r="J16" s="102">
        <v>203502</v>
      </c>
      <c r="K16" s="103" t="s">
        <v>357</v>
      </c>
      <c r="L16" s="102">
        <v>3</v>
      </c>
      <c r="M16" s="84" t="s">
        <v>588</v>
      </c>
      <c r="N16" s="84" t="s">
        <v>600</v>
      </c>
    </row>
    <row r="17" spans="1:14" ht="39" customHeight="1" x14ac:dyDescent="0.25">
      <c r="A17" s="55" t="s">
        <v>603</v>
      </c>
      <c r="B17" s="105" t="s">
        <v>394</v>
      </c>
      <c r="C17" s="55" t="s">
        <v>396</v>
      </c>
      <c r="D17" s="122">
        <v>96362</v>
      </c>
      <c r="E17" s="122">
        <v>978</v>
      </c>
      <c r="F17" s="123">
        <v>46.5</v>
      </c>
      <c r="G17" s="123">
        <v>40</v>
      </c>
      <c r="H17" s="123">
        <v>15.9</v>
      </c>
      <c r="I17" s="123">
        <v>91.5</v>
      </c>
      <c r="J17" s="104">
        <v>95110</v>
      </c>
      <c r="K17" s="105" t="s">
        <v>357</v>
      </c>
      <c r="L17" s="104">
        <v>7</v>
      </c>
      <c r="M17" s="83" t="s">
        <v>588</v>
      </c>
      <c r="N17" s="83" t="s">
        <v>604</v>
      </c>
    </row>
    <row r="18" spans="1:14" ht="39" customHeight="1" x14ac:dyDescent="0.25">
      <c r="A18" s="62" t="s">
        <v>605</v>
      </c>
      <c r="B18" s="103" t="s">
        <v>394</v>
      </c>
      <c r="C18" s="62" t="s">
        <v>394</v>
      </c>
      <c r="D18" s="120">
        <v>235554</v>
      </c>
      <c r="E18" s="120">
        <v>1155</v>
      </c>
      <c r="F18" s="121">
        <v>46.5</v>
      </c>
      <c r="G18" s="121">
        <v>40</v>
      </c>
      <c r="H18" s="121">
        <v>15.9</v>
      </c>
      <c r="I18" s="121">
        <v>91.5</v>
      </c>
      <c r="J18" s="102">
        <v>95110</v>
      </c>
      <c r="K18" s="103" t="s">
        <v>357</v>
      </c>
      <c r="L18" s="102">
        <v>7</v>
      </c>
      <c r="M18" s="84" t="s">
        <v>588</v>
      </c>
      <c r="N18" s="84" t="s">
        <v>604</v>
      </c>
    </row>
    <row r="19" spans="1:14" ht="39" customHeight="1" x14ac:dyDescent="0.25">
      <c r="A19" s="55" t="s">
        <v>606</v>
      </c>
      <c r="B19" s="105" t="s">
        <v>394</v>
      </c>
      <c r="C19" s="55" t="s">
        <v>397</v>
      </c>
      <c r="D19" s="122">
        <v>64359</v>
      </c>
      <c r="E19" s="122">
        <v>733</v>
      </c>
      <c r="F19" s="123">
        <v>46.5</v>
      </c>
      <c r="G19" s="123">
        <v>40</v>
      </c>
      <c r="H19" s="123">
        <v>15.9</v>
      </c>
      <c r="I19" s="123">
        <v>91.5</v>
      </c>
      <c r="J19" s="104">
        <v>95110</v>
      </c>
      <c r="K19" s="105" t="s">
        <v>357</v>
      </c>
      <c r="L19" s="104">
        <v>7</v>
      </c>
      <c r="M19" s="83" t="s">
        <v>588</v>
      </c>
      <c r="N19" s="83" t="s">
        <v>604</v>
      </c>
    </row>
    <row r="20" spans="1:14" ht="39" customHeight="1" x14ac:dyDescent="0.25">
      <c r="A20" s="62" t="s">
        <v>607</v>
      </c>
      <c r="B20" s="103" t="s">
        <v>394</v>
      </c>
      <c r="C20" s="62" t="s">
        <v>398</v>
      </c>
      <c r="D20" s="120">
        <v>121511</v>
      </c>
      <c r="E20" s="120">
        <v>1476</v>
      </c>
      <c r="F20" s="121">
        <v>46.5</v>
      </c>
      <c r="G20" s="121">
        <v>40</v>
      </c>
      <c r="H20" s="121">
        <v>15.9</v>
      </c>
      <c r="I20" s="121">
        <v>91.5</v>
      </c>
      <c r="J20" s="102">
        <v>95110</v>
      </c>
      <c r="K20" s="103" t="s">
        <v>357</v>
      </c>
      <c r="L20" s="102">
        <v>7</v>
      </c>
      <c r="M20" s="84" t="s">
        <v>588</v>
      </c>
      <c r="N20" s="84" t="s">
        <v>604</v>
      </c>
    </row>
    <row r="21" spans="1:14" ht="39" customHeight="1" x14ac:dyDescent="0.25">
      <c r="A21" s="55" t="s">
        <v>608</v>
      </c>
      <c r="B21" s="105" t="s">
        <v>394</v>
      </c>
      <c r="C21" s="55" t="s">
        <v>399</v>
      </c>
      <c r="D21" s="122">
        <v>98745</v>
      </c>
      <c r="E21" s="122">
        <v>406</v>
      </c>
      <c r="F21" s="123">
        <v>46.5</v>
      </c>
      <c r="G21" s="123">
        <v>40</v>
      </c>
      <c r="H21" s="123">
        <v>15.9</v>
      </c>
      <c r="I21" s="123">
        <v>91.5</v>
      </c>
      <c r="J21" s="104">
        <v>95110</v>
      </c>
      <c r="K21" s="105" t="s">
        <v>357</v>
      </c>
      <c r="L21" s="104">
        <v>7</v>
      </c>
      <c r="M21" s="83" t="s">
        <v>588</v>
      </c>
      <c r="N21" s="83" t="s">
        <v>604</v>
      </c>
    </row>
    <row r="22" spans="1:14" ht="39" customHeight="1" x14ac:dyDescent="0.25">
      <c r="A22" s="62" t="s">
        <v>609</v>
      </c>
      <c r="B22" s="103" t="s">
        <v>394</v>
      </c>
      <c r="C22" s="62" t="s">
        <v>400</v>
      </c>
      <c r="D22" s="120">
        <v>103771</v>
      </c>
      <c r="E22" s="120">
        <v>866</v>
      </c>
      <c r="F22" s="121">
        <v>46.5</v>
      </c>
      <c r="G22" s="121">
        <v>40</v>
      </c>
      <c r="H22" s="121">
        <v>15.9</v>
      </c>
      <c r="I22" s="121">
        <v>91.5</v>
      </c>
      <c r="J22" s="102">
        <v>95110</v>
      </c>
      <c r="K22" s="103" t="s">
        <v>357</v>
      </c>
      <c r="L22" s="102">
        <v>7</v>
      </c>
      <c r="M22" s="84" t="s">
        <v>588</v>
      </c>
      <c r="N22" s="84" t="s">
        <v>604</v>
      </c>
    </row>
    <row r="23" spans="1:14" ht="39" customHeight="1" x14ac:dyDescent="0.25">
      <c r="A23" s="55" t="s">
        <v>610</v>
      </c>
      <c r="B23" s="105" t="s">
        <v>394</v>
      </c>
      <c r="C23" s="55" t="s">
        <v>401</v>
      </c>
      <c r="D23" s="122">
        <v>186616</v>
      </c>
      <c r="E23" s="122">
        <v>1459</v>
      </c>
      <c r="F23" s="123">
        <v>46.5</v>
      </c>
      <c r="G23" s="123">
        <v>40</v>
      </c>
      <c r="H23" s="123">
        <v>15.9</v>
      </c>
      <c r="I23" s="123">
        <v>91.5</v>
      </c>
      <c r="J23" s="104">
        <v>95110</v>
      </c>
      <c r="K23" s="105" t="s">
        <v>357</v>
      </c>
      <c r="L23" s="104">
        <v>7</v>
      </c>
      <c r="M23" s="83" t="s">
        <v>588</v>
      </c>
      <c r="N23" s="83" t="s">
        <v>604</v>
      </c>
    </row>
    <row r="24" spans="1:14" ht="39" customHeight="1" x14ac:dyDescent="0.25">
      <c r="A24" s="62" t="s">
        <v>611</v>
      </c>
      <c r="B24" s="103" t="s">
        <v>402</v>
      </c>
      <c r="C24" s="62" t="s">
        <v>404</v>
      </c>
      <c r="D24" s="120">
        <v>146452</v>
      </c>
      <c r="E24" s="120">
        <v>1150</v>
      </c>
      <c r="F24" s="121">
        <v>58.2</v>
      </c>
      <c r="G24" s="121">
        <v>40</v>
      </c>
      <c r="H24" s="121">
        <v>28.4</v>
      </c>
      <c r="I24" s="121">
        <v>85.4</v>
      </c>
      <c r="J24" s="102">
        <v>169739</v>
      </c>
      <c r="K24" s="103" t="s">
        <v>357</v>
      </c>
      <c r="L24" s="102">
        <v>4</v>
      </c>
      <c r="M24" s="84" t="s">
        <v>588</v>
      </c>
      <c r="N24" s="84" t="s">
        <v>612</v>
      </c>
    </row>
    <row r="25" spans="1:14" ht="39" customHeight="1" x14ac:dyDescent="0.25">
      <c r="A25" s="55" t="s">
        <v>613</v>
      </c>
      <c r="B25" s="105" t="s">
        <v>402</v>
      </c>
      <c r="C25" s="55" t="s">
        <v>402</v>
      </c>
      <c r="D25" s="122">
        <v>300496</v>
      </c>
      <c r="E25" s="122">
        <v>2609</v>
      </c>
      <c r="F25" s="123">
        <v>58.2</v>
      </c>
      <c r="G25" s="123">
        <v>40</v>
      </c>
      <c r="H25" s="123">
        <v>28.4</v>
      </c>
      <c r="I25" s="123">
        <v>85.4</v>
      </c>
      <c r="J25" s="104">
        <v>169739</v>
      </c>
      <c r="K25" s="105" t="s">
        <v>357</v>
      </c>
      <c r="L25" s="104">
        <v>4</v>
      </c>
      <c r="M25" s="83" t="s">
        <v>588</v>
      </c>
      <c r="N25" s="83" t="s">
        <v>612</v>
      </c>
    </row>
    <row r="26" spans="1:14" ht="39" customHeight="1" x14ac:dyDescent="0.25">
      <c r="A26" s="62" t="s">
        <v>614</v>
      </c>
      <c r="B26" s="103" t="s">
        <v>402</v>
      </c>
      <c r="C26" s="62" t="s">
        <v>405</v>
      </c>
      <c r="D26" s="120">
        <v>236484</v>
      </c>
      <c r="E26" s="120">
        <v>4537</v>
      </c>
      <c r="F26" s="121">
        <v>58.2</v>
      </c>
      <c r="G26" s="121">
        <v>40</v>
      </c>
      <c r="H26" s="121">
        <v>28.4</v>
      </c>
      <c r="I26" s="121">
        <v>85.4</v>
      </c>
      <c r="J26" s="102">
        <v>169739</v>
      </c>
      <c r="K26" s="103" t="s">
        <v>357</v>
      </c>
      <c r="L26" s="102">
        <v>4</v>
      </c>
      <c r="M26" s="84" t="s">
        <v>588</v>
      </c>
      <c r="N26" s="84" t="s">
        <v>612</v>
      </c>
    </row>
    <row r="27" spans="1:14" ht="39" customHeight="1" x14ac:dyDescent="0.25">
      <c r="A27" s="55" t="s">
        <v>615</v>
      </c>
      <c r="B27" s="105" t="s">
        <v>402</v>
      </c>
      <c r="C27" s="55" t="s">
        <v>406</v>
      </c>
      <c r="D27" s="122">
        <v>136973</v>
      </c>
      <c r="E27" s="122">
        <v>2765</v>
      </c>
      <c r="F27" s="123">
        <v>58.2</v>
      </c>
      <c r="G27" s="123">
        <v>40</v>
      </c>
      <c r="H27" s="123">
        <v>28.4</v>
      </c>
      <c r="I27" s="123">
        <v>85.4</v>
      </c>
      <c r="J27" s="104">
        <v>169739</v>
      </c>
      <c r="K27" s="105" t="s">
        <v>357</v>
      </c>
      <c r="L27" s="104">
        <v>4</v>
      </c>
      <c r="M27" s="83" t="s">
        <v>588</v>
      </c>
      <c r="N27" s="83" t="s">
        <v>612</v>
      </c>
    </row>
    <row r="28" spans="1:14" ht="39" customHeight="1" x14ac:dyDescent="0.25">
      <c r="A28" s="62" t="s">
        <v>616</v>
      </c>
      <c r="B28" s="103" t="s">
        <v>407</v>
      </c>
      <c r="C28" s="62" t="s">
        <v>409</v>
      </c>
      <c r="D28" s="120">
        <v>160237</v>
      </c>
      <c r="E28" s="120">
        <v>1066</v>
      </c>
      <c r="F28" s="121">
        <v>49.6</v>
      </c>
      <c r="G28" s="121">
        <v>40</v>
      </c>
      <c r="H28" s="121">
        <v>14.6</v>
      </c>
      <c r="I28" s="121">
        <v>93.1</v>
      </c>
      <c r="J28" s="102">
        <v>190293</v>
      </c>
      <c r="K28" s="103" t="s">
        <v>357</v>
      </c>
      <c r="L28" s="102">
        <v>4</v>
      </c>
      <c r="M28" s="84" t="s">
        <v>588</v>
      </c>
      <c r="N28" s="84" t="s">
        <v>617</v>
      </c>
    </row>
    <row r="29" spans="1:14" ht="39" customHeight="1" x14ac:dyDescent="0.25">
      <c r="A29" s="55" t="s">
        <v>618</v>
      </c>
      <c r="B29" s="105" t="s">
        <v>407</v>
      </c>
      <c r="C29" s="55" t="s">
        <v>410</v>
      </c>
      <c r="D29" s="122">
        <v>435586</v>
      </c>
      <c r="E29" s="122">
        <v>535</v>
      </c>
      <c r="F29" s="123">
        <v>49.6</v>
      </c>
      <c r="G29" s="123">
        <v>40</v>
      </c>
      <c r="H29" s="123">
        <v>14.6</v>
      </c>
      <c r="I29" s="123">
        <v>93.1</v>
      </c>
      <c r="J29" s="104">
        <v>190293</v>
      </c>
      <c r="K29" s="105" t="s">
        <v>357</v>
      </c>
      <c r="L29" s="104">
        <v>4</v>
      </c>
      <c r="M29" s="83" t="s">
        <v>588</v>
      </c>
      <c r="N29" s="83" t="s">
        <v>617</v>
      </c>
    </row>
    <row r="30" spans="1:14" ht="39" customHeight="1" x14ac:dyDescent="0.25">
      <c r="A30" s="62" t="s">
        <v>619</v>
      </c>
      <c r="B30" s="103" t="s">
        <v>407</v>
      </c>
      <c r="C30" s="62" t="s">
        <v>411</v>
      </c>
      <c r="D30" s="120">
        <v>244356</v>
      </c>
      <c r="E30" s="120">
        <v>1359</v>
      </c>
      <c r="F30" s="121">
        <v>49.6</v>
      </c>
      <c r="G30" s="121">
        <v>40</v>
      </c>
      <c r="H30" s="121">
        <v>14.6</v>
      </c>
      <c r="I30" s="121">
        <v>93.1</v>
      </c>
      <c r="J30" s="102">
        <v>190293</v>
      </c>
      <c r="K30" s="103" t="s">
        <v>357</v>
      </c>
      <c r="L30" s="102">
        <v>4</v>
      </c>
      <c r="M30" s="84" t="s">
        <v>588</v>
      </c>
      <c r="N30" s="84" t="s">
        <v>617</v>
      </c>
    </row>
    <row r="31" spans="1:14" ht="39" customHeight="1" x14ac:dyDescent="0.25">
      <c r="A31" s="55" t="s">
        <v>620</v>
      </c>
      <c r="B31" s="105" t="s">
        <v>407</v>
      </c>
      <c r="C31" s="55" t="s">
        <v>412</v>
      </c>
      <c r="D31" s="122">
        <v>496541</v>
      </c>
      <c r="E31" s="122">
        <v>2302</v>
      </c>
      <c r="F31" s="123">
        <v>49.6</v>
      </c>
      <c r="G31" s="123">
        <v>40</v>
      </c>
      <c r="H31" s="123">
        <v>14.6</v>
      </c>
      <c r="I31" s="123">
        <v>93.1</v>
      </c>
      <c r="J31" s="104">
        <v>190293</v>
      </c>
      <c r="K31" s="105" t="s">
        <v>357</v>
      </c>
      <c r="L31" s="104">
        <v>4</v>
      </c>
      <c r="M31" s="83" t="s">
        <v>588</v>
      </c>
      <c r="N31" s="83" t="s">
        <v>617</v>
      </c>
    </row>
    <row r="32" spans="1:14" ht="39" customHeight="1" x14ac:dyDescent="0.25">
      <c r="A32" s="62" t="s">
        <v>621</v>
      </c>
      <c r="B32" s="103" t="s">
        <v>413</v>
      </c>
      <c r="C32" s="62" t="s">
        <v>413</v>
      </c>
      <c r="D32" s="120">
        <v>127179</v>
      </c>
      <c r="E32" s="120">
        <v>7061</v>
      </c>
      <c r="F32" s="121">
        <v>65.7</v>
      </c>
      <c r="G32" s="121">
        <v>40</v>
      </c>
      <c r="H32" s="121">
        <v>21.3</v>
      </c>
      <c r="I32" s="121">
        <v>87.6</v>
      </c>
      <c r="J32" s="102">
        <v>59423</v>
      </c>
      <c r="K32" s="103" t="s">
        <v>357</v>
      </c>
      <c r="L32" s="102">
        <v>3</v>
      </c>
      <c r="M32" s="84" t="s">
        <v>588</v>
      </c>
      <c r="N32" s="84" t="s">
        <v>622</v>
      </c>
    </row>
    <row r="33" spans="1:14" ht="39" customHeight="1" x14ac:dyDescent="0.25">
      <c r="A33" s="55" t="s">
        <v>623</v>
      </c>
      <c r="B33" s="105" t="s">
        <v>413</v>
      </c>
      <c r="C33" s="55" t="s">
        <v>415</v>
      </c>
      <c r="D33" s="122">
        <v>35812</v>
      </c>
      <c r="E33" s="122">
        <v>1931</v>
      </c>
      <c r="F33" s="123">
        <v>65.7</v>
      </c>
      <c r="G33" s="123">
        <v>40</v>
      </c>
      <c r="H33" s="123">
        <v>21.3</v>
      </c>
      <c r="I33" s="123">
        <v>87.6</v>
      </c>
      <c r="J33" s="104">
        <v>59423</v>
      </c>
      <c r="K33" s="105" t="s">
        <v>357</v>
      </c>
      <c r="L33" s="104">
        <v>3</v>
      </c>
      <c r="M33" s="83" t="s">
        <v>588</v>
      </c>
      <c r="N33" s="83" t="s">
        <v>622</v>
      </c>
    </row>
    <row r="34" spans="1:14" ht="39" customHeight="1" x14ac:dyDescent="0.25">
      <c r="A34" s="62" t="s">
        <v>624</v>
      </c>
      <c r="B34" s="103" t="s">
        <v>413</v>
      </c>
      <c r="C34" s="62" t="s">
        <v>416</v>
      </c>
      <c r="D34" s="120">
        <v>82156</v>
      </c>
      <c r="E34" s="120">
        <v>7918</v>
      </c>
      <c r="F34" s="121">
        <v>65.7</v>
      </c>
      <c r="G34" s="121">
        <v>40</v>
      </c>
      <c r="H34" s="121">
        <v>21.3</v>
      </c>
      <c r="I34" s="121">
        <v>87.6</v>
      </c>
      <c r="J34" s="102">
        <v>59423</v>
      </c>
      <c r="K34" s="103" t="s">
        <v>357</v>
      </c>
      <c r="L34" s="102">
        <v>3</v>
      </c>
      <c r="M34" s="84" t="s">
        <v>588</v>
      </c>
      <c r="N34" s="84" t="s">
        <v>622</v>
      </c>
    </row>
    <row r="35" spans="1:14" ht="39" customHeight="1" x14ac:dyDescent="0.25">
      <c r="A35" s="55" t="s">
        <v>625</v>
      </c>
      <c r="B35" s="105" t="s">
        <v>417</v>
      </c>
      <c r="C35" s="55" t="s">
        <v>417</v>
      </c>
      <c r="D35" s="122">
        <v>339691</v>
      </c>
      <c r="E35" s="122">
        <v>3571</v>
      </c>
      <c r="F35" s="123">
        <v>62.5</v>
      </c>
      <c r="G35" s="123">
        <v>40</v>
      </c>
      <c r="H35" s="123">
        <v>17.899999999999999</v>
      </c>
      <c r="I35" s="123">
        <v>88.5</v>
      </c>
      <c r="J35" s="104">
        <v>155501</v>
      </c>
      <c r="K35" s="105" t="s">
        <v>357</v>
      </c>
      <c r="L35" s="104">
        <v>3</v>
      </c>
      <c r="M35" s="83" t="s">
        <v>588</v>
      </c>
      <c r="N35" s="83" t="s">
        <v>626</v>
      </c>
    </row>
    <row r="36" spans="1:14" ht="39" customHeight="1" x14ac:dyDescent="0.25">
      <c r="A36" s="62" t="s">
        <v>627</v>
      </c>
      <c r="B36" s="103" t="s">
        <v>417</v>
      </c>
      <c r="C36" s="62" t="s">
        <v>419</v>
      </c>
      <c r="D36" s="120">
        <v>190684</v>
      </c>
      <c r="E36" s="120">
        <v>4702</v>
      </c>
      <c r="F36" s="121">
        <v>62.5</v>
      </c>
      <c r="G36" s="121">
        <v>40</v>
      </c>
      <c r="H36" s="121">
        <v>17.899999999999999</v>
      </c>
      <c r="I36" s="121">
        <v>88.5</v>
      </c>
      <c r="J36" s="102">
        <v>155501</v>
      </c>
      <c r="K36" s="103" t="s">
        <v>357</v>
      </c>
      <c r="L36" s="102">
        <v>3</v>
      </c>
      <c r="M36" s="84" t="s">
        <v>588</v>
      </c>
      <c r="N36" s="84" t="s">
        <v>626</v>
      </c>
    </row>
    <row r="37" spans="1:14" ht="39" customHeight="1" x14ac:dyDescent="0.25">
      <c r="A37" s="55" t="s">
        <v>628</v>
      </c>
      <c r="B37" s="105" t="s">
        <v>417</v>
      </c>
      <c r="C37" s="55" t="s">
        <v>420</v>
      </c>
      <c r="D37" s="122">
        <v>384423</v>
      </c>
      <c r="E37" s="122">
        <v>5498</v>
      </c>
      <c r="F37" s="123">
        <v>62.5</v>
      </c>
      <c r="G37" s="123">
        <v>40</v>
      </c>
      <c r="H37" s="123">
        <v>17.899999999999999</v>
      </c>
      <c r="I37" s="123">
        <v>88.5</v>
      </c>
      <c r="J37" s="104">
        <v>155501</v>
      </c>
      <c r="K37" s="105" t="s">
        <v>357</v>
      </c>
      <c r="L37" s="104">
        <v>3</v>
      </c>
      <c r="M37" s="83" t="s">
        <v>588</v>
      </c>
      <c r="N37" s="83" t="s">
        <v>626</v>
      </c>
    </row>
    <row r="38" spans="1:14" ht="39" customHeight="1" x14ac:dyDescent="0.25">
      <c r="A38" s="62" t="s">
        <v>629</v>
      </c>
      <c r="B38" s="103" t="s">
        <v>421</v>
      </c>
      <c r="C38" s="62" t="s">
        <v>423</v>
      </c>
      <c r="D38" s="120">
        <v>81713</v>
      </c>
      <c r="E38" s="120">
        <v>822</v>
      </c>
      <c r="F38" s="121">
        <v>47</v>
      </c>
      <c r="G38" s="121">
        <v>40</v>
      </c>
      <c r="H38" s="121">
        <v>18</v>
      </c>
      <c r="I38" s="121">
        <v>93.8</v>
      </c>
      <c r="J38" s="102">
        <v>97480</v>
      </c>
      <c r="K38" s="103" t="s">
        <v>357</v>
      </c>
      <c r="L38" s="102">
        <v>8</v>
      </c>
      <c r="M38" s="84" t="s">
        <v>588</v>
      </c>
      <c r="N38" s="84" t="s">
        <v>630</v>
      </c>
    </row>
    <row r="39" spans="1:14" ht="39" customHeight="1" x14ac:dyDescent="0.25">
      <c r="A39" s="55" t="s">
        <v>631</v>
      </c>
      <c r="B39" s="105" t="s">
        <v>421</v>
      </c>
      <c r="C39" s="55" t="s">
        <v>424</v>
      </c>
      <c r="D39" s="122">
        <v>169768</v>
      </c>
      <c r="E39" s="122">
        <v>6832</v>
      </c>
      <c r="F39" s="123">
        <v>47</v>
      </c>
      <c r="G39" s="123">
        <v>40</v>
      </c>
      <c r="H39" s="123">
        <v>18</v>
      </c>
      <c r="I39" s="123">
        <v>93.8</v>
      </c>
      <c r="J39" s="104">
        <v>97480</v>
      </c>
      <c r="K39" s="105" t="s">
        <v>357</v>
      </c>
      <c r="L39" s="104">
        <v>8</v>
      </c>
      <c r="M39" s="83" t="s">
        <v>588</v>
      </c>
      <c r="N39" s="83" t="s">
        <v>630</v>
      </c>
    </row>
    <row r="40" spans="1:14" ht="39" customHeight="1" x14ac:dyDescent="0.25">
      <c r="A40" s="62" t="s">
        <v>632</v>
      </c>
      <c r="B40" s="103" t="s">
        <v>421</v>
      </c>
      <c r="C40" s="62" t="s">
        <v>425</v>
      </c>
      <c r="D40" s="120">
        <v>106738</v>
      </c>
      <c r="E40" s="120">
        <v>1601</v>
      </c>
      <c r="F40" s="121">
        <v>47</v>
      </c>
      <c r="G40" s="121">
        <v>40</v>
      </c>
      <c r="H40" s="121">
        <v>18</v>
      </c>
      <c r="I40" s="121">
        <v>93.8</v>
      </c>
      <c r="J40" s="102">
        <v>97480</v>
      </c>
      <c r="K40" s="103" t="s">
        <v>357</v>
      </c>
      <c r="L40" s="102">
        <v>8</v>
      </c>
      <c r="M40" s="84" t="s">
        <v>588</v>
      </c>
      <c r="N40" s="84" t="s">
        <v>630</v>
      </c>
    </row>
    <row r="41" spans="1:14" ht="39" customHeight="1" x14ac:dyDescent="0.25">
      <c r="A41" s="55" t="s">
        <v>633</v>
      </c>
      <c r="B41" s="105" t="s">
        <v>421</v>
      </c>
      <c r="C41" s="55" t="s">
        <v>426</v>
      </c>
      <c r="D41" s="122">
        <v>226947</v>
      </c>
      <c r="E41" s="122">
        <v>2260</v>
      </c>
      <c r="F41" s="123">
        <v>47</v>
      </c>
      <c r="G41" s="123">
        <v>40</v>
      </c>
      <c r="H41" s="123">
        <v>18</v>
      </c>
      <c r="I41" s="123">
        <v>93.8</v>
      </c>
      <c r="J41" s="104">
        <v>97480</v>
      </c>
      <c r="K41" s="105" t="s">
        <v>357</v>
      </c>
      <c r="L41" s="104">
        <v>8</v>
      </c>
      <c r="M41" s="83" t="s">
        <v>588</v>
      </c>
      <c r="N41" s="83" t="s">
        <v>630</v>
      </c>
    </row>
    <row r="42" spans="1:14" ht="39" customHeight="1" x14ac:dyDescent="0.25">
      <c r="A42" s="62" t="s">
        <v>634</v>
      </c>
      <c r="B42" s="103" t="s">
        <v>421</v>
      </c>
      <c r="C42" s="62" t="s">
        <v>427</v>
      </c>
      <c r="D42" s="120">
        <v>97436</v>
      </c>
      <c r="E42" s="120">
        <v>2889</v>
      </c>
      <c r="F42" s="121">
        <v>47</v>
      </c>
      <c r="G42" s="121">
        <v>40</v>
      </c>
      <c r="H42" s="121">
        <v>18</v>
      </c>
      <c r="I42" s="121">
        <v>93.8</v>
      </c>
      <c r="J42" s="102">
        <v>97480</v>
      </c>
      <c r="K42" s="103" t="s">
        <v>357</v>
      </c>
      <c r="L42" s="102">
        <v>8</v>
      </c>
      <c r="M42" s="84" t="s">
        <v>588</v>
      </c>
      <c r="N42" s="84" t="s">
        <v>630</v>
      </c>
    </row>
    <row r="43" spans="1:14" ht="39" customHeight="1" x14ac:dyDescent="0.25">
      <c r="A43" s="55" t="s">
        <v>635</v>
      </c>
      <c r="B43" s="105" t="s">
        <v>421</v>
      </c>
      <c r="C43" s="55" t="s">
        <v>428</v>
      </c>
      <c r="D43" s="122">
        <v>141782</v>
      </c>
      <c r="E43" s="122">
        <v>8907</v>
      </c>
      <c r="F43" s="123">
        <v>47</v>
      </c>
      <c r="G43" s="123">
        <v>40</v>
      </c>
      <c r="H43" s="123">
        <v>18</v>
      </c>
      <c r="I43" s="123">
        <v>93.8</v>
      </c>
      <c r="J43" s="104">
        <v>97480</v>
      </c>
      <c r="K43" s="105" t="s">
        <v>357</v>
      </c>
      <c r="L43" s="104">
        <v>8</v>
      </c>
      <c r="M43" s="83" t="s">
        <v>588</v>
      </c>
      <c r="N43" s="83" t="s">
        <v>630</v>
      </c>
    </row>
    <row r="44" spans="1:14" ht="39" customHeight="1" x14ac:dyDescent="0.25">
      <c r="A44" s="62" t="s">
        <v>636</v>
      </c>
      <c r="B44" s="103" t="s">
        <v>421</v>
      </c>
      <c r="C44" s="62" t="s">
        <v>421</v>
      </c>
      <c r="D44" s="120">
        <v>209180</v>
      </c>
      <c r="E44" s="120">
        <v>759</v>
      </c>
      <c r="F44" s="121">
        <v>47</v>
      </c>
      <c r="G44" s="121">
        <v>40</v>
      </c>
      <c r="H44" s="121">
        <v>18</v>
      </c>
      <c r="I44" s="121">
        <v>93.8</v>
      </c>
      <c r="J44" s="102">
        <v>97480</v>
      </c>
      <c r="K44" s="103" t="s">
        <v>357</v>
      </c>
      <c r="L44" s="102">
        <v>8</v>
      </c>
      <c r="M44" s="84" t="s">
        <v>588</v>
      </c>
      <c r="N44" s="84" t="s">
        <v>630</v>
      </c>
    </row>
    <row r="45" spans="1:14" ht="39" customHeight="1" x14ac:dyDescent="0.25">
      <c r="A45" s="55" t="s">
        <v>637</v>
      </c>
      <c r="B45" s="105" t="s">
        <v>421</v>
      </c>
      <c r="C45" s="55" t="s">
        <v>429</v>
      </c>
      <c r="D45" s="122">
        <v>92344</v>
      </c>
      <c r="E45" s="122">
        <v>1185</v>
      </c>
      <c r="F45" s="123">
        <v>47</v>
      </c>
      <c r="G45" s="123">
        <v>40</v>
      </c>
      <c r="H45" s="123">
        <v>18</v>
      </c>
      <c r="I45" s="123">
        <v>93.8</v>
      </c>
      <c r="J45" s="104">
        <v>97480</v>
      </c>
      <c r="K45" s="105" t="s">
        <v>357</v>
      </c>
      <c r="L45" s="104">
        <v>8</v>
      </c>
      <c r="M45" s="83" t="s">
        <v>588</v>
      </c>
      <c r="N45" s="83" t="s">
        <v>630</v>
      </c>
    </row>
    <row r="46" spans="1:14" ht="39" customHeight="1" x14ac:dyDescent="0.25">
      <c r="A46" s="62" t="s">
        <v>638</v>
      </c>
      <c r="B46" s="103" t="s">
        <v>430</v>
      </c>
      <c r="C46" s="62" t="s">
        <v>432</v>
      </c>
      <c r="D46" s="120">
        <v>352743</v>
      </c>
      <c r="E46" s="120">
        <v>8704</v>
      </c>
      <c r="F46" s="121">
        <v>44.7</v>
      </c>
      <c r="G46" s="121">
        <v>40</v>
      </c>
      <c r="H46" s="121">
        <v>25.3</v>
      </c>
      <c r="I46" s="121">
        <v>81.7</v>
      </c>
      <c r="J46" s="102">
        <v>133963</v>
      </c>
      <c r="K46" s="103" t="s">
        <v>357</v>
      </c>
      <c r="L46" s="102">
        <v>4</v>
      </c>
      <c r="M46" s="84" t="s">
        <v>588</v>
      </c>
      <c r="N46" s="84" t="s">
        <v>639</v>
      </c>
    </row>
    <row r="47" spans="1:14" ht="39" customHeight="1" x14ac:dyDescent="0.25">
      <c r="A47" s="55" t="s">
        <v>640</v>
      </c>
      <c r="B47" s="105" t="s">
        <v>430</v>
      </c>
      <c r="C47" s="55" t="s">
        <v>430</v>
      </c>
      <c r="D47" s="122">
        <v>286154</v>
      </c>
      <c r="E47" s="122">
        <v>3957</v>
      </c>
      <c r="F47" s="123">
        <v>44.7</v>
      </c>
      <c r="G47" s="123">
        <v>40</v>
      </c>
      <c r="H47" s="123">
        <v>25.3</v>
      </c>
      <c r="I47" s="123">
        <v>81.7</v>
      </c>
      <c r="J47" s="104">
        <v>133963</v>
      </c>
      <c r="K47" s="105" t="s">
        <v>357</v>
      </c>
      <c r="L47" s="104">
        <v>4</v>
      </c>
      <c r="M47" s="83" t="s">
        <v>588</v>
      </c>
      <c r="N47" s="83" t="s">
        <v>639</v>
      </c>
    </row>
    <row r="48" spans="1:14" ht="39" customHeight="1" x14ac:dyDescent="0.25">
      <c r="A48" s="62" t="s">
        <v>641</v>
      </c>
      <c r="B48" s="103" t="s">
        <v>430</v>
      </c>
      <c r="C48" s="62" t="s">
        <v>433</v>
      </c>
      <c r="D48" s="120">
        <v>75857</v>
      </c>
      <c r="E48" s="120">
        <v>14444</v>
      </c>
      <c r="F48" s="121">
        <v>44.7</v>
      </c>
      <c r="G48" s="121">
        <v>40</v>
      </c>
      <c r="H48" s="121">
        <v>25.3</v>
      </c>
      <c r="I48" s="121">
        <v>81.7</v>
      </c>
      <c r="J48" s="102">
        <v>133963</v>
      </c>
      <c r="K48" s="103" t="s">
        <v>357</v>
      </c>
      <c r="L48" s="102">
        <v>4</v>
      </c>
      <c r="M48" s="84" t="s">
        <v>588</v>
      </c>
      <c r="N48" s="84" t="s">
        <v>639</v>
      </c>
    </row>
    <row r="49" spans="1:14" ht="39" customHeight="1" x14ac:dyDescent="0.25">
      <c r="A49" s="55" t="s">
        <v>642</v>
      </c>
      <c r="B49" s="105" t="s">
        <v>430</v>
      </c>
      <c r="C49" s="55" t="s">
        <v>434</v>
      </c>
      <c r="D49" s="122">
        <v>116876</v>
      </c>
      <c r="E49" s="122">
        <v>1898</v>
      </c>
      <c r="F49" s="123">
        <v>44.7</v>
      </c>
      <c r="G49" s="123">
        <v>40</v>
      </c>
      <c r="H49" s="123">
        <v>25.3</v>
      </c>
      <c r="I49" s="123">
        <v>81.7</v>
      </c>
      <c r="J49" s="104">
        <v>133963</v>
      </c>
      <c r="K49" s="105" t="s">
        <v>357</v>
      </c>
      <c r="L49" s="104">
        <v>4</v>
      </c>
      <c r="M49" s="83" t="s">
        <v>588</v>
      </c>
      <c r="N49" s="83" t="s">
        <v>639</v>
      </c>
    </row>
    <row r="50" spans="1:14" ht="39" customHeight="1" x14ac:dyDescent="0.25">
      <c r="A50" s="62" t="s">
        <v>643</v>
      </c>
      <c r="B50" s="103" t="s">
        <v>435</v>
      </c>
      <c r="C50" s="62" t="s">
        <v>437</v>
      </c>
      <c r="D50" s="120">
        <v>98350</v>
      </c>
      <c r="E50" s="120">
        <v>2448</v>
      </c>
      <c r="F50" s="121">
        <v>37.299999999999997</v>
      </c>
      <c r="G50" s="121">
        <v>40</v>
      </c>
      <c r="H50" s="121">
        <v>22.9</v>
      </c>
      <c r="I50" s="121">
        <v>85.9</v>
      </c>
      <c r="J50" s="102">
        <v>89545</v>
      </c>
      <c r="K50" s="103" t="s">
        <v>357</v>
      </c>
      <c r="L50" s="102">
        <v>5</v>
      </c>
      <c r="M50" s="84" t="s">
        <v>588</v>
      </c>
      <c r="N50" s="84" t="s">
        <v>644</v>
      </c>
    </row>
    <row r="51" spans="1:14" ht="39" customHeight="1" x14ac:dyDescent="0.25">
      <c r="A51" s="55" t="s">
        <v>645</v>
      </c>
      <c r="B51" s="105" t="s">
        <v>435</v>
      </c>
      <c r="C51" s="55" t="s">
        <v>438</v>
      </c>
      <c r="D51" s="122">
        <v>185476</v>
      </c>
      <c r="E51" s="122">
        <v>6989</v>
      </c>
      <c r="F51" s="123">
        <v>37.299999999999997</v>
      </c>
      <c r="G51" s="123">
        <v>40</v>
      </c>
      <c r="H51" s="123">
        <v>22.9</v>
      </c>
      <c r="I51" s="123">
        <v>85.9</v>
      </c>
      <c r="J51" s="104">
        <v>89545</v>
      </c>
      <c r="K51" s="105" t="s">
        <v>357</v>
      </c>
      <c r="L51" s="104">
        <v>5</v>
      </c>
      <c r="M51" s="83" t="s">
        <v>588</v>
      </c>
      <c r="N51" s="83" t="s">
        <v>644</v>
      </c>
    </row>
    <row r="52" spans="1:14" ht="39" customHeight="1" x14ac:dyDescent="0.25">
      <c r="A52" s="62" t="s">
        <v>646</v>
      </c>
      <c r="B52" s="103" t="s">
        <v>435</v>
      </c>
      <c r="C52" s="62" t="s">
        <v>439</v>
      </c>
      <c r="D52" s="120">
        <v>304991</v>
      </c>
      <c r="E52" s="120">
        <v>5859</v>
      </c>
      <c r="F52" s="121">
        <v>37.299999999999997</v>
      </c>
      <c r="G52" s="121">
        <v>40</v>
      </c>
      <c r="H52" s="121">
        <v>22.9</v>
      </c>
      <c r="I52" s="121">
        <v>85.9</v>
      </c>
      <c r="J52" s="102">
        <v>89545</v>
      </c>
      <c r="K52" s="103" t="s">
        <v>357</v>
      </c>
      <c r="L52" s="102">
        <v>5</v>
      </c>
      <c r="M52" s="84" t="s">
        <v>588</v>
      </c>
      <c r="N52" s="84" t="s">
        <v>644</v>
      </c>
    </row>
    <row r="53" spans="1:14" ht="39" customHeight="1" x14ac:dyDescent="0.25">
      <c r="A53" s="55" t="s">
        <v>647</v>
      </c>
      <c r="B53" s="105" t="s">
        <v>435</v>
      </c>
      <c r="C53" s="55" t="s">
        <v>440</v>
      </c>
      <c r="D53" s="122">
        <v>221389</v>
      </c>
      <c r="E53" s="122">
        <v>3143</v>
      </c>
      <c r="F53" s="123">
        <v>37.299999999999997</v>
      </c>
      <c r="G53" s="123">
        <v>40</v>
      </c>
      <c r="H53" s="123">
        <v>22.9</v>
      </c>
      <c r="I53" s="123">
        <v>85.9</v>
      </c>
      <c r="J53" s="104">
        <v>89545</v>
      </c>
      <c r="K53" s="105" t="s">
        <v>357</v>
      </c>
      <c r="L53" s="104">
        <v>5</v>
      </c>
      <c r="M53" s="83" t="s">
        <v>588</v>
      </c>
      <c r="N53" s="83" t="s">
        <v>644</v>
      </c>
    </row>
    <row r="54" spans="1:14" ht="39" customHeight="1" x14ac:dyDescent="0.25">
      <c r="A54" s="62" t="s">
        <v>648</v>
      </c>
      <c r="B54" s="103" t="s">
        <v>435</v>
      </c>
      <c r="C54" s="62" t="s">
        <v>435</v>
      </c>
      <c r="D54" s="120">
        <v>392235</v>
      </c>
      <c r="E54" s="120">
        <v>802</v>
      </c>
      <c r="F54" s="121">
        <v>37.299999999999997</v>
      </c>
      <c r="G54" s="121">
        <v>40</v>
      </c>
      <c r="H54" s="121">
        <v>22.9</v>
      </c>
      <c r="I54" s="121">
        <v>85.9</v>
      </c>
      <c r="J54" s="102">
        <v>89545</v>
      </c>
      <c r="K54" s="103" t="s">
        <v>357</v>
      </c>
      <c r="L54" s="102">
        <v>5</v>
      </c>
      <c r="M54" s="84" t="s">
        <v>588</v>
      </c>
      <c r="N54" s="84" t="s">
        <v>644</v>
      </c>
    </row>
    <row r="55" spans="1:14" ht="39" customHeight="1" x14ac:dyDescent="0.25">
      <c r="A55" s="55" t="s">
        <v>649</v>
      </c>
      <c r="B55" s="105" t="s">
        <v>441</v>
      </c>
      <c r="C55" s="55" t="s">
        <v>443</v>
      </c>
      <c r="D55" s="122">
        <v>288918</v>
      </c>
      <c r="E55" s="122">
        <v>2865</v>
      </c>
      <c r="F55" s="123">
        <v>64.400000000000006</v>
      </c>
      <c r="G55" s="123">
        <v>40</v>
      </c>
      <c r="H55" s="123">
        <v>24.5</v>
      </c>
      <c r="I55" s="123">
        <v>81.599999999999994</v>
      </c>
      <c r="J55" s="104">
        <v>178218</v>
      </c>
      <c r="K55" s="105" t="s">
        <v>357</v>
      </c>
      <c r="L55" s="104">
        <v>2</v>
      </c>
      <c r="M55" s="83" t="s">
        <v>588</v>
      </c>
      <c r="N55" s="83" t="s">
        <v>650</v>
      </c>
    </row>
    <row r="56" spans="1:14" ht="39" customHeight="1" x14ac:dyDescent="0.25">
      <c r="A56" s="62" t="s">
        <v>651</v>
      </c>
      <c r="B56" s="103" t="s">
        <v>441</v>
      </c>
      <c r="C56" s="62" t="s">
        <v>441</v>
      </c>
      <c r="D56" s="120">
        <v>300348</v>
      </c>
      <c r="E56" s="120">
        <v>2749</v>
      </c>
      <c r="F56" s="121">
        <v>64.400000000000006</v>
      </c>
      <c r="G56" s="121">
        <v>40</v>
      </c>
      <c r="H56" s="121">
        <v>24.5</v>
      </c>
      <c r="I56" s="121">
        <v>81.599999999999994</v>
      </c>
      <c r="J56" s="102">
        <v>178218</v>
      </c>
      <c r="K56" s="103" t="s">
        <v>357</v>
      </c>
      <c r="L56" s="102">
        <v>2</v>
      </c>
      <c r="M56" s="84" t="s">
        <v>588</v>
      </c>
      <c r="N56" s="84" t="s">
        <v>650</v>
      </c>
    </row>
    <row r="57" spans="1:14" ht="39" customHeight="1" x14ac:dyDescent="0.25">
      <c r="A57" s="55" t="s">
        <v>652</v>
      </c>
      <c r="B57" s="105" t="s">
        <v>444</v>
      </c>
      <c r="C57" s="55" t="s">
        <v>446</v>
      </c>
      <c r="D57" s="122">
        <v>151417</v>
      </c>
      <c r="E57" s="122">
        <v>1360</v>
      </c>
      <c r="F57" s="123">
        <v>62.8</v>
      </c>
      <c r="G57" s="123">
        <v>40</v>
      </c>
      <c r="H57" s="123">
        <v>23.5</v>
      </c>
      <c r="I57" s="123">
        <v>85.6</v>
      </c>
      <c r="J57" s="104">
        <v>71159</v>
      </c>
      <c r="K57" s="105" t="s">
        <v>357</v>
      </c>
      <c r="L57" s="104">
        <v>6</v>
      </c>
      <c r="M57" s="83" t="s">
        <v>588</v>
      </c>
      <c r="N57" s="83" t="s">
        <v>653</v>
      </c>
    </row>
    <row r="58" spans="1:14" ht="39" customHeight="1" x14ac:dyDescent="0.25">
      <c r="A58" s="62" t="s">
        <v>654</v>
      </c>
      <c r="B58" s="103" t="s">
        <v>444</v>
      </c>
      <c r="C58" s="62" t="s">
        <v>447</v>
      </c>
      <c r="D58" s="120">
        <v>74253</v>
      </c>
      <c r="E58" s="120">
        <v>6089</v>
      </c>
      <c r="F58" s="121">
        <v>62.8</v>
      </c>
      <c r="G58" s="121">
        <v>40</v>
      </c>
      <c r="H58" s="121">
        <v>23.5</v>
      </c>
      <c r="I58" s="121">
        <v>85.6</v>
      </c>
      <c r="J58" s="102">
        <v>71159</v>
      </c>
      <c r="K58" s="103" t="s">
        <v>357</v>
      </c>
      <c r="L58" s="102">
        <v>6</v>
      </c>
      <c r="M58" s="84" t="s">
        <v>588</v>
      </c>
      <c r="N58" s="84" t="s">
        <v>653</v>
      </c>
    </row>
    <row r="59" spans="1:14" ht="39" customHeight="1" x14ac:dyDescent="0.25">
      <c r="A59" s="55" t="s">
        <v>655</v>
      </c>
      <c r="B59" s="105" t="s">
        <v>444</v>
      </c>
      <c r="C59" s="55" t="s">
        <v>448</v>
      </c>
      <c r="D59" s="122">
        <v>130805</v>
      </c>
      <c r="E59" s="122">
        <v>9596</v>
      </c>
      <c r="F59" s="123">
        <v>62.8</v>
      </c>
      <c r="G59" s="123">
        <v>40</v>
      </c>
      <c r="H59" s="123">
        <v>23.5</v>
      </c>
      <c r="I59" s="123">
        <v>85.6</v>
      </c>
      <c r="J59" s="104">
        <v>71159</v>
      </c>
      <c r="K59" s="105" t="s">
        <v>357</v>
      </c>
      <c r="L59" s="104">
        <v>6</v>
      </c>
      <c r="M59" s="83" t="s">
        <v>588</v>
      </c>
      <c r="N59" s="83" t="s">
        <v>653</v>
      </c>
    </row>
    <row r="60" spans="1:14" ht="39" customHeight="1" x14ac:dyDescent="0.25">
      <c r="A60" s="62" t="s">
        <v>656</v>
      </c>
      <c r="B60" s="103" t="s">
        <v>444</v>
      </c>
      <c r="C60" s="62" t="s">
        <v>449</v>
      </c>
      <c r="D60" s="120">
        <v>96530</v>
      </c>
      <c r="E60" s="120">
        <v>5363</v>
      </c>
      <c r="F60" s="121">
        <v>62.8</v>
      </c>
      <c r="G60" s="121">
        <v>40</v>
      </c>
      <c r="H60" s="121">
        <v>23.5</v>
      </c>
      <c r="I60" s="121">
        <v>85.6</v>
      </c>
      <c r="J60" s="102">
        <v>71159</v>
      </c>
      <c r="K60" s="103" t="s">
        <v>357</v>
      </c>
      <c r="L60" s="102">
        <v>6</v>
      </c>
      <c r="M60" s="84" t="s">
        <v>588</v>
      </c>
      <c r="N60" s="84" t="s">
        <v>653</v>
      </c>
    </row>
    <row r="61" spans="1:14" ht="39" customHeight="1" x14ac:dyDescent="0.25">
      <c r="A61" s="55" t="s">
        <v>657</v>
      </c>
      <c r="B61" s="105" t="s">
        <v>444</v>
      </c>
      <c r="C61" s="55" t="s">
        <v>450</v>
      </c>
      <c r="D61" s="122">
        <v>122660</v>
      </c>
      <c r="E61" s="122">
        <v>2477</v>
      </c>
      <c r="F61" s="123">
        <v>62.8</v>
      </c>
      <c r="G61" s="123">
        <v>40</v>
      </c>
      <c r="H61" s="123">
        <v>23.5</v>
      </c>
      <c r="I61" s="123">
        <v>85.6</v>
      </c>
      <c r="J61" s="104">
        <v>71159</v>
      </c>
      <c r="K61" s="105" t="s">
        <v>357</v>
      </c>
      <c r="L61" s="104">
        <v>6</v>
      </c>
      <c r="M61" s="83" t="s">
        <v>588</v>
      </c>
      <c r="N61" s="83" t="s">
        <v>653</v>
      </c>
    </row>
    <row r="62" spans="1:14" ht="39" customHeight="1" x14ac:dyDescent="0.25">
      <c r="A62" s="62" t="s">
        <v>658</v>
      </c>
      <c r="B62" s="103" t="s">
        <v>444</v>
      </c>
      <c r="C62" s="62" t="s">
        <v>451</v>
      </c>
      <c r="D62" s="120">
        <v>411487</v>
      </c>
      <c r="E62" s="120">
        <v>11599</v>
      </c>
      <c r="F62" s="121">
        <v>62.8</v>
      </c>
      <c r="G62" s="121">
        <v>40</v>
      </c>
      <c r="H62" s="121">
        <v>23.5</v>
      </c>
      <c r="I62" s="121">
        <v>85.6</v>
      </c>
      <c r="J62" s="102">
        <v>71159</v>
      </c>
      <c r="K62" s="103" t="s">
        <v>357</v>
      </c>
      <c r="L62" s="102">
        <v>6</v>
      </c>
      <c r="M62" s="84" t="s">
        <v>588</v>
      </c>
      <c r="N62" s="84" t="s">
        <v>653</v>
      </c>
    </row>
    <row r="63" spans="1:14" ht="39" customHeight="1" x14ac:dyDescent="0.25">
      <c r="A63" s="55" t="s">
        <v>659</v>
      </c>
      <c r="B63" s="105" t="s">
        <v>452</v>
      </c>
      <c r="C63" s="55" t="s">
        <v>454</v>
      </c>
      <c r="D63" s="122">
        <v>122068</v>
      </c>
      <c r="E63" s="122">
        <v>393</v>
      </c>
      <c r="F63" s="123">
        <v>29.9</v>
      </c>
      <c r="G63" s="123">
        <v>40</v>
      </c>
      <c r="H63" s="123">
        <v>15.9</v>
      </c>
      <c r="I63" s="123">
        <v>97.3</v>
      </c>
      <c r="J63" s="104">
        <v>153373</v>
      </c>
      <c r="K63" s="105" t="s">
        <v>357</v>
      </c>
      <c r="L63" s="104">
        <v>8</v>
      </c>
      <c r="M63" s="83" t="s">
        <v>588</v>
      </c>
      <c r="N63" s="83" t="s">
        <v>660</v>
      </c>
    </row>
    <row r="64" spans="1:14" ht="39" customHeight="1" x14ac:dyDescent="0.25">
      <c r="A64" s="62" t="s">
        <v>661</v>
      </c>
      <c r="B64" s="103" t="s">
        <v>452</v>
      </c>
      <c r="C64" s="62" t="s">
        <v>455</v>
      </c>
      <c r="D64" s="120">
        <v>211568</v>
      </c>
      <c r="E64" s="120">
        <v>537</v>
      </c>
      <c r="F64" s="121">
        <v>29.9</v>
      </c>
      <c r="G64" s="121">
        <v>40</v>
      </c>
      <c r="H64" s="121">
        <v>15.9</v>
      </c>
      <c r="I64" s="121">
        <v>97.3</v>
      </c>
      <c r="J64" s="102">
        <v>153373</v>
      </c>
      <c r="K64" s="103" t="s">
        <v>357</v>
      </c>
      <c r="L64" s="102">
        <v>8</v>
      </c>
      <c r="M64" s="84" t="s">
        <v>588</v>
      </c>
      <c r="N64" s="84" t="s">
        <v>660</v>
      </c>
    </row>
    <row r="65" spans="1:14" ht="39" customHeight="1" x14ac:dyDescent="0.25">
      <c r="A65" s="55" t="s">
        <v>662</v>
      </c>
      <c r="B65" s="105" t="s">
        <v>452</v>
      </c>
      <c r="C65" s="55" t="s">
        <v>456</v>
      </c>
      <c r="D65" s="122">
        <v>550870</v>
      </c>
      <c r="E65" s="122">
        <v>487</v>
      </c>
      <c r="F65" s="123">
        <v>29.9</v>
      </c>
      <c r="G65" s="123">
        <v>40</v>
      </c>
      <c r="H65" s="123">
        <v>15.9</v>
      </c>
      <c r="I65" s="123">
        <v>97.3</v>
      </c>
      <c r="J65" s="104">
        <v>153373</v>
      </c>
      <c r="K65" s="105" t="s">
        <v>357</v>
      </c>
      <c r="L65" s="104">
        <v>8</v>
      </c>
      <c r="M65" s="83" t="s">
        <v>588</v>
      </c>
      <c r="N65" s="83" t="s">
        <v>660</v>
      </c>
    </row>
    <row r="66" spans="1:14" ht="39" customHeight="1" x14ac:dyDescent="0.25">
      <c r="A66" s="62" t="s">
        <v>663</v>
      </c>
      <c r="B66" s="103" t="s">
        <v>452</v>
      </c>
      <c r="C66" s="62" t="s">
        <v>457</v>
      </c>
      <c r="D66" s="120">
        <v>110415</v>
      </c>
      <c r="E66" s="120">
        <v>230</v>
      </c>
      <c r="F66" s="121">
        <v>29.9</v>
      </c>
      <c r="G66" s="121">
        <v>40</v>
      </c>
      <c r="H66" s="121">
        <v>15.9</v>
      </c>
      <c r="I66" s="121">
        <v>97.3</v>
      </c>
      <c r="J66" s="102">
        <v>153373</v>
      </c>
      <c r="K66" s="103" t="s">
        <v>357</v>
      </c>
      <c r="L66" s="102">
        <v>8</v>
      </c>
      <c r="M66" s="84" t="s">
        <v>588</v>
      </c>
      <c r="N66" s="84" t="s">
        <v>660</v>
      </c>
    </row>
    <row r="67" spans="1:14" ht="39" customHeight="1" x14ac:dyDescent="0.25">
      <c r="A67" s="55" t="s">
        <v>664</v>
      </c>
      <c r="B67" s="105" t="s">
        <v>452</v>
      </c>
      <c r="C67" s="55" t="s">
        <v>458</v>
      </c>
      <c r="D67" s="122">
        <v>182948</v>
      </c>
      <c r="E67" s="122">
        <v>557</v>
      </c>
      <c r="F67" s="123">
        <v>29.9</v>
      </c>
      <c r="G67" s="123">
        <v>40</v>
      </c>
      <c r="H67" s="123">
        <v>15.9</v>
      </c>
      <c r="I67" s="123">
        <v>97.3</v>
      </c>
      <c r="J67" s="104">
        <v>153373</v>
      </c>
      <c r="K67" s="105" t="s">
        <v>357</v>
      </c>
      <c r="L67" s="104">
        <v>8</v>
      </c>
      <c r="M67" s="83" t="s">
        <v>588</v>
      </c>
      <c r="N67" s="83" t="s">
        <v>660</v>
      </c>
    </row>
    <row r="68" spans="1:14" ht="39" customHeight="1" x14ac:dyDescent="0.25">
      <c r="A68" s="62" t="s">
        <v>665</v>
      </c>
      <c r="B68" s="103" t="s">
        <v>452</v>
      </c>
      <c r="C68" s="62" t="s">
        <v>459</v>
      </c>
      <c r="D68" s="120">
        <v>232380</v>
      </c>
      <c r="E68" s="120">
        <v>793</v>
      </c>
      <c r="F68" s="121">
        <v>29.9</v>
      </c>
      <c r="G68" s="121">
        <v>40</v>
      </c>
      <c r="H68" s="121">
        <v>15.9</v>
      </c>
      <c r="I68" s="121">
        <v>97.3</v>
      </c>
      <c r="J68" s="102">
        <v>153373</v>
      </c>
      <c r="K68" s="103" t="s">
        <v>357</v>
      </c>
      <c r="L68" s="102">
        <v>8</v>
      </c>
      <c r="M68" s="84" t="s">
        <v>588</v>
      </c>
      <c r="N68" s="84" t="s">
        <v>660</v>
      </c>
    </row>
    <row r="69" spans="1:14" ht="39" customHeight="1" x14ac:dyDescent="0.25">
      <c r="A69" s="55" t="s">
        <v>666</v>
      </c>
      <c r="B69" s="105" t="s">
        <v>452</v>
      </c>
      <c r="C69" s="55" t="s">
        <v>452</v>
      </c>
      <c r="D69" s="122">
        <v>619593</v>
      </c>
      <c r="E69" s="122">
        <v>503</v>
      </c>
      <c r="F69" s="123">
        <v>29.9</v>
      </c>
      <c r="G69" s="123">
        <v>40</v>
      </c>
      <c r="H69" s="123">
        <v>15.9</v>
      </c>
      <c r="I69" s="123">
        <v>97.3</v>
      </c>
      <c r="J69" s="104">
        <v>153373</v>
      </c>
      <c r="K69" s="105" t="s">
        <v>357</v>
      </c>
      <c r="L69" s="104">
        <v>8</v>
      </c>
      <c r="M69" s="83" t="s">
        <v>588</v>
      </c>
      <c r="N69" s="83" t="s">
        <v>660</v>
      </c>
    </row>
    <row r="70" spans="1:14" ht="39" customHeight="1" x14ac:dyDescent="0.25">
      <c r="A70" s="62" t="s">
        <v>667</v>
      </c>
      <c r="B70" s="103" t="s">
        <v>452</v>
      </c>
      <c r="C70" s="62" t="s">
        <v>460</v>
      </c>
      <c r="D70" s="120">
        <v>433835</v>
      </c>
      <c r="E70" s="120">
        <v>1739</v>
      </c>
      <c r="F70" s="121">
        <v>29.9</v>
      </c>
      <c r="G70" s="121">
        <v>40</v>
      </c>
      <c r="H70" s="121">
        <v>15.9</v>
      </c>
      <c r="I70" s="121">
        <v>97.3</v>
      </c>
      <c r="J70" s="102">
        <v>153373</v>
      </c>
      <c r="K70" s="103" t="s">
        <v>357</v>
      </c>
      <c r="L70" s="102">
        <v>8</v>
      </c>
      <c r="M70" s="84" t="s">
        <v>588</v>
      </c>
      <c r="N70" s="84" t="s">
        <v>660</v>
      </c>
    </row>
    <row r="71" spans="1:14" ht="39" customHeight="1" x14ac:dyDescent="0.25">
      <c r="A71" s="55" t="s">
        <v>668</v>
      </c>
      <c r="B71" s="105" t="s">
        <v>461</v>
      </c>
      <c r="C71" s="55" t="s">
        <v>463</v>
      </c>
      <c r="D71" s="122">
        <v>159678</v>
      </c>
      <c r="E71" s="122">
        <v>2537</v>
      </c>
      <c r="F71" s="123">
        <v>48.3</v>
      </c>
      <c r="G71" s="123">
        <v>40</v>
      </c>
      <c r="H71" s="123">
        <v>10.3</v>
      </c>
      <c r="I71" s="123">
        <v>96.3</v>
      </c>
      <c r="J71" s="104">
        <v>69419</v>
      </c>
      <c r="K71" s="105" t="s">
        <v>357</v>
      </c>
      <c r="L71" s="104">
        <v>4</v>
      </c>
      <c r="M71" s="83" t="s">
        <v>588</v>
      </c>
      <c r="N71" s="83" t="s">
        <v>669</v>
      </c>
    </row>
    <row r="72" spans="1:14" ht="39" customHeight="1" x14ac:dyDescent="0.25">
      <c r="A72" s="62" t="s">
        <v>670</v>
      </c>
      <c r="B72" s="103" t="s">
        <v>461</v>
      </c>
      <c r="C72" s="62" t="s">
        <v>464</v>
      </c>
      <c r="D72" s="120">
        <v>97519</v>
      </c>
      <c r="E72" s="120">
        <v>1893</v>
      </c>
      <c r="F72" s="121">
        <v>48.3</v>
      </c>
      <c r="G72" s="121">
        <v>40</v>
      </c>
      <c r="H72" s="121">
        <v>10.3</v>
      </c>
      <c r="I72" s="121">
        <v>96.3</v>
      </c>
      <c r="J72" s="102">
        <v>69419</v>
      </c>
      <c r="K72" s="103" t="s">
        <v>357</v>
      </c>
      <c r="L72" s="102">
        <v>4</v>
      </c>
      <c r="M72" s="84" t="s">
        <v>588</v>
      </c>
      <c r="N72" s="84" t="s">
        <v>669</v>
      </c>
    </row>
    <row r="73" spans="1:14" ht="39" customHeight="1" x14ac:dyDescent="0.25">
      <c r="A73" s="55" t="s">
        <v>671</v>
      </c>
      <c r="B73" s="105" t="s">
        <v>461</v>
      </c>
      <c r="C73" s="55" t="s">
        <v>465</v>
      </c>
      <c r="D73" s="122">
        <v>58723</v>
      </c>
      <c r="E73" s="122">
        <v>877</v>
      </c>
      <c r="F73" s="123">
        <v>48.3</v>
      </c>
      <c r="G73" s="123">
        <v>40</v>
      </c>
      <c r="H73" s="123">
        <v>10.3</v>
      </c>
      <c r="I73" s="123">
        <v>96.3</v>
      </c>
      <c r="J73" s="104">
        <v>69419</v>
      </c>
      <c r="K73" s="105" t="s">
        <v>357</v>
      </c>
      <c r="L73" s="104">
        <v>4</v>
      </c>
      <c r="M73" s="83" t="s">
        <v>588</v>
      </c>
      <c r="N73" s="83" t="s">
        <v>669</v>
      </c>
    </row>
    <row r="74" spans="1:14" ht="39" customHeight="1" x14ac:dyDescent="0.25">
      <c r="A74" s="62" t="s">
        <v>672</v>
      </c>
      <c r="B74" s="103" t="s">
        <v>461</v>
      </c>
      <c r="C74" s="62" t="s">
        <v>461</v>
      </c>
      <c r="D74" s="120">
        <v>301647</v>
      </c>
      <c r="E74" s="120">
        <v>1136</v>
      </c>
      <c r="F74" s="121">
        <v>48.3</v>
      </c>
      <c r="G74" s="121">
        <v>40</v>
      </c>
      <c r="H74" s="121">
        <v>10.3</v>
      </c>
      <c r="I74" s="121">
        <v>96.3</v>
      </c>
      <c r="J74" s="102">
        <v>69419</v>
      </c>
      <c r="K74" s="103" t="s">
        <v>357</v>
      </c>
      <c r="L74" s="102">
        <v>4</v>
      </c>
      <c r="M74" s="84" t="s">
        <v>588</v>
      </c>
      <c r="N74" s="84" t="s">
        <v>669</v>
      </c>
    </row>
  </sheetData>
  <mergeCells count="2">
    <mergeCell ref="A1:D1"/>
    <mergeCell ref="E1:L1"/>
  </mergeCells>
  <hyperlinks>
    <hyperlink ref="A1" location="'SIM_Accueil'!A1" display="⌂  BACK TO HOME" xr:uid="{00000000-0004-0000-0800-000000000000}"/>
  </hyperlinks>
  <pageMargins left="0.7" right="0.7" top="0.75" bottom="0.75" header="0.511811023622047" footer="0.511811023622047"/>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1F6E43"/>
  </sheetPr>
  <dimension ref="A1:AK1068"/>
  <sheetViews>
    <sheetView showGridLines="0" zoomScaleNormal="100" workbookViewId="0"/>
  </sheetViews>
  <sheetFormatPr baseColWidth="10" defaultColWidth="8.6328125" defaultRowHeight="12.5" x14ac:dyDescent="0.25"/>
  <cols>
    <col min="1" max="1" width="33" customWidth="1"/>
    <col min="2" max="2" width="13" customWidth="1"/>
    <col min="3" max="3" width="20" customWidth="1"/>
    <col min="4" max="4" width="9" customWidth="1"/>
    <col min="5" max="5" width="42" customWidth="1"/>
    <col min="6" max="6" width="24" customWidth="1"/>
    <col min="7" max="9" width="18" customWidth="1"/>
    <col min="10" max="10" width="19" customWidth="1"/>
    <col min="11" max="11" width="20" customWidth="1"/>
    <col min="12" max="14" width="18" customWidth="1"/>
    <col min="15" max="15" width="16" customWidth="1"/>
    <col min="16" max="28" width="18" customWidth="1"/>
    <col min="29" max="30" width="24" customWidth="1"/>
    <col min="31" max="31" width="18" customWidth="1"/>
    <col min="32" max="36" width="24" customWidth="1"/>
    <col min="37" max="37" width="18" customWidth="1"/>
  </cols>
  <sheetData>
    <row r="1" spans="1:37" ht="27.75" customHeight="1" x14ac:dyDescent="0.25">
      <c r="A1" s="205" t="s">
        <v>32</v>
      </c>
      <c r="B1" s="205"/>
      <c r="C1" s="205"/>
      <c r="D1" s="205"/>
      <c r="E1" s="206" t="s">
        <v>673</v>
      </c>
      <c r="F1" s="206"/>
      <c r="G1" s="206"/>
      <c r="H1" s="206"/>
      <c r="I1" s="206"/>
      <c r="J1" s="206"/>
      <c r="K1" s="206"/>
      <c r="L1" s="206"/>
      <c r="M1" s="43"/>
      <c r="N1" s="43"/>
      <c r="O1" s="43"/>
      <c r="P1" s="43"/>
      <c r="Q1" s="43"/>
      <c r="R1" s="43"/>
      <c r="S1" s="43"/>
      <c r="T1" s="43"/>
      <c r="U1" s="43"/>
      <c r="V1" s="43"/>
      <c r="W1" s="43"/>
      <c r="X1" s="43"/>
      <c r="Y1" s="43"/>
      <c r="Z1" s="43"/>
      <c r="AA1" s="43"/>
      <c r="AB1" s="43"/>
      <c r="AC1" s="43"/>
      <c r="AD1" s="43"/>
      <c r="AE1" s="43"/>
      <c r="AF1" s="43"/>
      <c r="AG1" s="43"/>
      <c r="AH1" s="43"/>
      <c r="AI1" s="43"/>
      <c r="AJ1" s="43"/>
      <c r="AK1" s="43"/>
    </row>
    <row r="2" spans="1:37" ht="12.75" customHeight="1" x14ac:dyDescent="0.25">
      <c r="A2" s="16"/>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6"/>
    </row>
    <row r="3" spans="1:37" ht="33.75" customHeight="1" x14ac:dyDescent="0.25">
      <c r="A3" s="75" t="s">
        <v>576</v>
      </c>
      <c r="B3" s="75" t="s">
        <v>357</v>
      </c>
      <c r="C3" s="75" t="s">
        <v>48</v>
      </c>
      <c r="D3" s="75" t="s">
        <v>469</v>
      </c>
      <c r="E3" s="75" t="s">
        <v>322</v>
      </c>
      <c r="F3" s="75" t="s">
        <v>52</v>
      </c>
      <c r="G3" s="75" t="s">
        <v>53</v>
      </c>
      <c r="H3" s="75" t="s">
        <v>284</v>
      </c>
      <c r="I3" s="75" t="s">
        <v>55</v>
      </c>
      <c r="J3" s="75" t="s">
        <v>56</v>
      </c>
      <c r="K3" s="75" t="s">
        <v>331</v>
      </c>
      <c r="L3" s="75" t="s">
        <v>83</v>
      </c>
      <c r="M3" s="75" t="s">
        <v>92</v>
      </c>
      <c r="N3" s="75" t="s">
        <v>101</v>
      </c>
      <c r="O3" s="75" t="s">
        <v>110</v>
      </c>
      <c r="P3" s="75" t="s">
        <v>119</v>
      </c>
      <c r="Q3" s="75" t="s">
        <v>128</v>
      </c>
      <c r="R3" s="75" t="s">
        <v>134</v>
      </c>
      <c r="S3" s="75" t="s">
        <v>140</v>
      </c>
      <c r="T3" s="75" t="s">
        <v>148</v>
      </c>
      <c r="U3" s="75" t="s">
        <v>155</v>
      </c>
      <c r="V3" s="75" t="s">
        <v>162</v>
      </c>
      <c r="W3" s="75" t="s">
        <v>168</v>
      </c>
      <c r="X3" s="75" t="s">
        <v>174</v>
      </c>
      <c r="Y3" s="75" t="s">
        <v>179</v>
      </c>
      <c r="Z3" s="75" t="s">
        <v>185</v>
      </c>
      <c r="AA3" s="75" t="s">
        <v>190</v>
      </c>
      <c r="AB3" s="75" t="s">
        <v>196</v>
      </c>
      <c r="AC3" s="75" t="s">
        <v>202</v>
      </c>
      <c r="AD3" s="75" t="s">
        <v>208</v>
      </c>
      <c r="AE3" s="75" t="s">
        <v>215</v>
      </c>
      <c r="AF3" s="75" t="s">
        <v>223</v>
      </c>
      <c r="AG3" s="75" t="s">
        <v>231</v>
      </c>
      <c r="AH3" s="75" t="s">
        <v>238</v>
      </c>
      <c r="AI3" s="75" t="s">
        <v>245</v>
      </c>
      <c r="AJ3" s="75" t="s">
        <v>252</v>
      </c>
      <c r="AK3" s="75" t="s">
        <v>674</v>
      </c>
    </row>
    <row r="4" spans="1:37" ht="12.75" customHeight="1" x14ac:dyDescent="0.25">
      <c r="A4" s="62" t="s">
        <v>587</v>
      </c>
      <c r="B4" s="62" t="s">
        <v>376</v>
      </c>
      <c r="C4" s="62" t="s">
        <v>379</v>
      </c>
      <c r="D4" s="124">
        <v>2016</v>
      </c>
      <c r="E4" s="62" t="s">
        <v>675</v>
      </c>
      <c r="F4" s="64">
        <f>SIM_Parametres!$C$22</f>
        <v>1295854000</v>
      </c>
      <c r="G4" s="125">
        <f>SIM_Districts!D4*(1+SIM_Parametres!$B$6)^(2016-2023)</f>
        <v>369113.46176396293</v>
      </c>
      <c r="H4" s="125">
        <f>MAX(0,MIN(100,SIM_Districts!F4+(2016-2022)*SIM_Parametres!$B$7))</f>
        <v>14.280000000000001</v>
      </c>
      <c r="I4" s="125">
        <f>SIM_Districts!G4*(1+SIM_Parametres!$B$8)^(2016-2023)</f>
        <v>61.682933008349103</v>
      </c>
      <c r="J4" s="125">
        <f>SIM_Districts!H4*(1+SIM_Parametres!$B$9)^(2016-2023)</f>
        <v>21.743816445391968</v>
      </c>
      <c r="K4" s="125">
        <f>MAX(0,MIN(100,SIM_Districts!I4+(2016-2023)*SIM_Parametres!$B$10))</f>
        <v>84.9</v>
      </c>
      <c r="L4" s="125">
        <f>SIM_Districts!E4</f>
        <v>13</v>
      </c>
      <c r="M4" s="61">
        <f t="shared" ref="M4:M67" si="0">IFERROR(G4/L4,0)</f>
        <v>28393.343212612534</v>
      </c>
      <c r="N4" s="125">
        <f>SIM_Districts!J4</f>
        <v>73189</v>
      </c>
      <c r="O4" s="63">
        <v>20800000</v>
      </c>
      <c r="P4" s="126">
        <f>SIM_Parametres!$D$22</f>
        <v>0</v>
      </c>
      <c r="Q4" s="126">
        <f>SIM_Parametres!$B$12</f>
        <v>0.2</v>
      </c>
      <c r="R4" s="66">
        <f t="shared" ref="R4:R35" si="1">IFERROR(G4/SUM($G$4:$G$74),1/71)</f>
        <v>2.5044316606264858E-2</v>
      </c>
      <c r="S4" s="66">
        <f t="shared" ref="S4:S35" si="2">IF(MAX($H$4:$H$74)=MIN($H$4:$H$74),1,(H4-MIN($H$4:$H$74))/(MAX($H$4:$H$74)-MIN($H$4:$H$74)))</f>
        <v>0</v>
      </c>
      <c r="T4" s="66">
        <f t="shared" ref="T4:T35" si="3">(IF(MAX($I$4:$I$74)=MIN($I$4:$I$74),1,(I4-MIN($I$4:$I$74))/(MAX($I$4:$I$74)-MIN($I$4:$I$74)))+IF(MAX($J$4:$J$74)=MIN($J$4:$J$74),1,(J4-MIN($J$4:$J$74))/(MAX($J$4:$J$74)-MIN($J$4:$J$74))))/2</f>
        <v>0.50276243093922657</v>
      </c>
      <c r="U4" s="66">
        <f t="shared" ref="U4:U35" si="4">(IF(MAX($L$4:$L$74)=MIN($L$4:$L$74),1,(L4-MIN($L$4:$L$74))/(MAX($L$4:$L$74)-MIN($L$4:$L$74)))+IF(MAX($M$4:$M$74)=MIN($M$4:$M$74),1,(MAX($M$4:$M$74)-M4)/(MAX($M$4:$M$74)-MIN($M$4:$M$74))))/2</f>
        <v>6.3061112543855696E-3</v>
      </c>
      <c r="V4" s="66">
        <f t="shared" ref="V4:V35" si="5">IF(MAX($N$4:$N$74)=MIN($N$4:$N$74),1,(N4-MIN($N$4:$N$74))/(MAX($N$4:$N$74)-MIN($N$4:$N$74)))</f>
        <v>9.5544805280436421E-2</v>
      </c>
      <c r="W4" s="66">
        <f t="shared" ref="W4:W35" si="6">IFERROR(S4/SUM($S$4:$S$74),1/71)</f>
        <v>0</v>
      </c>
      <c r="X4" s="66">
        <f t="shared" ref="X4:X35" si="7">IFERROR(T4/SUM($T$4:$T$74),1/71)</f>
        <v>9.9491608812113941E-3</v>
      </c>
      <c r="Y4" s="66">
        <f t="shared" ref="Y4:Y35" si="8">IFERROR(U4/SUM($U$4:$U$74),1/71)</f>
        <v>1.6111931042605721E-4</v>
      </c>
      <c r="Z4" s="66">
        <f t="shared" ref="Z4:Z35" si="9">IFERROR(V4/SUM($V$4:$V$74),1/71)</f>
        <v>3.506814418545408E-3</v>
      </c>
      <c r="AA4" s="66">
        <f t="shared" ref="AA4:AA67" si="10">0.6*R4+0.15*W4+0.15*X4+0.05*Y4+0.05*Z4</f>
        <v>1.6702360782389195E-2</v>
      </c>
      <c r="AB4" s="66">
        <f t="shared" ref="AB4:AB67" si="11">IFERROR(O4/F4,1/71)</f>
        <v>1.605119095206713E-2</v>
      </c>
      <c r="AC4" s="67">
        <f t="shared" ref="AC4:AC67" si="12">F4*(Q4/71+(1-Q4)*AA4)</f>
        <v>20965349.781188212</v>
      </c>
      <c r="AD4" s="67">
        <f t="shared" ref="AD4:AD67" si="13">O4</f>
        <v>20800000</v>
      </c>
      <c r="AE4" s="66">
        <f>0</f>
        <v>0</v>
      </c>
      <c r="AF4" s="67">
        <f t="shared" ref="AF4:AF67" si="14">O4</f>
        <v>20800000</v>
      </c>
      <c r="AG4" s="67">
        <f>1</f>
        <v>1</v>
      </c>
      <c r="AH4" s="67">
        <f t="shared" ref="AH4:AH67" si="15">O4</f>
        <v>20800000</v>
      </c>
      <c r="AI4" s="67">
        <f t="shared" ref="AI4:AI67" si="16">IFERROR(AH4/G4,0)</f>
        <v>56.351236556365372</v>
      </c>
      <c r="AJ4" s="67">
        <f t="shared" ref="AJ4:AJ67" si="17">AH4-F4*AB4</f>
        <v>0</v>
      </c>
      <c r="AK4" s="127">
        <v>0</v>
      </c>
    </row>
    <row r="5" spans="1:37" ht="12.75" customHeight="1" x14ac:dyDescent="0.25">
      <c r="A5" s="55" t="s">
        <v>590</v>
      </c>
      <c r="B5" s="55" t="s">
        <v>376</v>
      </c>
      <c r="C5" s="55" t="s">
        <v>381</v>
      </c>
      <c r="D5" s="128">
        <v>2016</v>
      </c>
      <c r="E5" s="55" t="s">
        <v>675</v>
      </c>
      <c r="F5" s="57">
        <f>SIM_Parametres!$C$22</f>
        <v>1295854000</v>
      </c>
      <c r="G5" s="129">
        <f>SIM_Districts!D5*(1+SIM_Parametres!$B$6)^(2016-2023)</f>
        <v>193466.9942090376</v>
      </c>
      <c r="H5" s="129">
        <f>MAX(0,MIN(100,SIM_Districts!F5+(2016-2022)*SIM_Parametres!$B$7))</f>
        <v>14.280000000000001</v>
      </c>
      <c r="I5" s="129">
        <f>SIM_Districts!G5*(1+SIM_Parametres!$B$8)^(2016-2023)</f>
        <v>61.682933008349103</v>
      </c>
      <c r="J5" s="129">
        <f>SIM_Districts!H5*(1+SIM_Parametres!$B$9)^(2016-2023)</f>
        <v>21.743816445391968</v>
      </c>
      <c r="K5" s="129">
        <f>MAX(0,MIN(100,SIM_Districts!I5+(2016-2023)*SIM_Parametres!$B$10))</f>
        <v>84.9</v>
      </c>
      <c r="L5" s="129">
        <f>SIM_Districts!E5</f>
        <v>10</v>
      </c>
      <c r="M5" s="68">
        <f t="shared" si="0"/>
        <v>19346.699420903758</v>
      </c>
      <c r="N5" s="129">
        <f>SIM_Districts!J5</f>
        <v>73189</v>
      </c>
      <c r="O5" s="56">
        <v>22476000</v>
      </c>
      <c r="P5" s="130">
        <f>SIM_Parametres!$D$22</f>
        <v>0</v>
      </c>
      <c r="Q5" s="130">
        <f>SIM_Parametres!$B$12</f>
        <v>0.2</v>
      </c>
      <c r="R5" s="59">
        <f t="shared" si="1"/>
        <v>1.3126718902850365E-2</v>
      </c>
      <c r="S5" s="59">
        <f t="shared" si="2"/>
        <v>0</v>
      </c>
      <c r="T5" s="59">
        <f t="shared" si="3"/>
        <v>0.50276243093922657</v>
      </c>
      <c r="U5" s="59">
        <f t="shared" si="4"/>
        <v>0.16355896203869918</v>
      </c>
      <c r="V5" s="59">
        <f t="shared" si="5"/>
        <v>9.5544805280436421E-2</v>
      </c>
      <c r="W5" s="59">
        <f t="shared" si="6"/>
        <v>0</v>
      </c>
      <c r="X5" s="59">
        <f t="shared" si="7"/>
        <v>9.9491608812113941E-3</v>
      </c>
      <c r="Y5" s="59">
        <f t="shared" si="8"/>
        <v>4.1788839610703184E-3</v>
      </c>
      <c r="Z5" s="59">
        <f t="shared" si="9"/>
        <v>3.506814418545408E-3</v>
      </c>
      <c r="AA5" s="59">
        <f t="shared" si="10"/>
        <v>9.7526903928727132E-3</v>
      </c>
      <c r="AB5" s="59">
        <f t="shared" si="11"/>
        <v>1.7344546530704847E-2</v>
      </c>
      <c r="AC5" s="60">
        <f t="shared" si="12"/>
        <v>13760743.24283902</v>
      </c>
      <c r="AD5" s="60">
        <f t="shared" si="13"/>
        <v>22476000</v>
      </c>
      <c r="AE5" s="59">
        <f>0</f>
        <v>0</v>
      </c>
      <c r="AF5" s="60">
        <f t="shared" si="14"/>
        <v>22476000</v>
      </c>
      <c r="AG5" s="60">
        <f>1</f>
        <v>1</v>
      </c>
      <c r="AH5" s="60">
        <f t="shared" si="15"/>
        <v>22476000</v>
      </c>
      <c r="AI5" s="60">
        <f t="shared" si="16"/>
        <v>116.174855002477</v>
      </c>
      <c r="AJ5" s="60">
        <f t="shared" si="17"/>
        <v>0</v>
      </c>
      <c r="AK5" s="71"/>
    </row>
    <row r="6" spans="1:37" ht="12.75" customHeight="1" x14ac:dyDescent="0.25">
      <c r="A6" s="62" t="s">
        <v>591</v>
      </c>
      <c r="B6" s="62" t="s">
        <v>376</v>
      </c>
      <c r="C6" s="62" t="s">
        <v>382</v>
      </c>
      <c r="D6" s="124">
        <v>2016</v>
      </c>
      <c r="E6" s="62" t="s">
        <v>675</v>
      </c>
      <c r="F6" s="64">
        <f>SIM_Parametres!$C$22</f>
        <v>1295854000</v>
      </c>
      <c r="G6" s="125">
        <f>SIM_Districts!D6*(1+SIM_Parametres!$B$6)^(2016-2023)</f>
        <v>147450.89321607183</v>
      </c>
      <c r="H6" s="125">
        <f>MAX(0,MIN(100,SIM_Districts!F6+(2016-2022)*SIM_Parametres!$B$7))</f>
        <v>14.280000000000001</v>
      </c>
      <c r="I6" s="125">
        <f>SIM_Districts!G6*(1+SIM_Parametres!$B$8)^(2016-2023)</f>
        <v>61.682933008349103</v>
      </c>
      <c r="J6" s="125">
        <f>SIM_Districts!H6*(1+SIM_Parametres!$B$9)^(2016-2023)</f>
        <v>21.743816445391968</v>
      </c>
      <c r="K6" s="125">
        <f>MAX(0,MIN(100,SIM_Districts!I6+(2016-2023)*SIM_Parametres!$B$10))</f>
        <v>84.9</v>
      </c>
      <c r="L6" s="125">
        <f>SIM_Districts!E6</f>
        <v>169</v>
      </c>
      <c r="M6" s="61">
        <f t="shared" si="0"/>
        <v>872.49049240279192</v>
      </c>
      <c r="N6" s="125">
        <f>SIM_Districts!J6</f>
        <v>73189</v>
      </c>
      <c r="O6" s="63">
        <v>16100000</v>
      </c>
      <c r="P6" s="126">
        <f>SIM_Parametres!$D$22</f>
        <v>0</v>
      </c>
      <c r="Q6" s="126">
        <f>SIM_Parametres!$B$12</f>
        <v>0.2</v>
      </c>
      <c r="R6" s="66">
        <f t="shared" si="1"/>
        <v>1.0004530411684887E-2</v>
      </c>
      <c r="S6" s="66">
        <f t="shared" si="2"/>
        <v>0</v>
      </c>
      <c r="T6" s="66">
        <f t="shared" si="3"/>
        <v>0.50276243093922657</v>
      </c>
      <c r="U6" s="66">
        <f t="shared" si="4"/>
        <v>0.49040605765544515</v>
      </c>
      <c r="V6" s="66">
        <f t="shared" si="5"/>
        <v>9.5544805280436421E-2</v>
      </c>
      <c r="W6" s="66">
        <f t="shared" si="6"/>
        <v>0</v>
      </c>
      <c r="X6" s="66">
        <f t="shared" si="7"/>
        <v>9.9491608812113941E-3</v>
      </c>
      <c r="Y6" s="66">
        <f t="shared" si="8"/>
        <v>1.2529732294725465E-2</v>
      </c>
      <c r="Z6" s="66">
        <f t="shared" si="9"/>
        <v>3.506814418545408E-3</v>
      </c>
      <c r="AA6" s="66">
        <f t="shared" si="10"/>
        <v>8.2969197148561845E-3</v>
      </c>
      <c r="AB6" s="66">
        <f t="shared" si="11"/>
        <v>1.2424239150398116E-2</v>
      </c>
      <c r="AC6" s="67">
        <f t="shared" si="12"/>
        <v>12251570.237886677</v>
      </c>
      <c r="AD6" s="67">
        <f t="shared" si="13"/>
        <v>16100000</v>
      </c>
      <c r="AE6" s="66">
        <f>0</f>
        <v>0</v>
      </c>
      <c r="AF6" s="67">
        <f t="shared" si="14"/>
        <v>16100000</v>
      </c>
      <c r="AG6" s="67">
        <f>1</f>
        <v>1</v>
      </c>
      <c r="AH6" s="67">
        <f t="shared" si="15"/>
        <v>16100000</v>
      </c>
      <c r="AI6" s="67">
        <f t="shared" si="16"/>
        <v>109.18889434197835</v>
      </c>
      <c r="AJ6" s="67">
        <f t="shared" si="17"/>
        <v>0</v>
      </c>
      <c r="AK6" s="131"/>
    </row>
    <row r="7" spans="1:37" ht="12.75" customHeight="1" x14ac:dyDescent="0.25">
      <c r="A7" s="55" t="s">
        <v>592</v>
      </c>
      <c r="B7" s="55" t="s">
        <v>376</v>
      </c>
      <c r="C7" s="55" t="s">
        <v>383</v>
      </c>
      <c r="D7" s="128">
        <v>2016</v>
      </c>
      <c r="E7" s="55" t="s">
        <v>675</v>
      </c>
      <c r="F7" s="57">
        <f>SIM_Parametres!$C$22</f>
        <v>1295854000</v>
      </c>
      <c r="G7" s="129">
        <f>SIM_Districts!D7*(1+SIM_Parametres!$B$6)^(2016-2023)</f>
        <v>373748.89647013135</v>
      </c>
      <c r="H7" s="129">
        <f>MAX(0,MIN(100,SIM_Districts!F7+(2016-2022)*SIM_Parametres!$B$7))</f>
        <v>14.280000000000001</v>
      </c>
      <c r="I7" s="129">
        <f>SIM_Districts!G7*(1+SIM_Parametres!$B$8)^(2016-2023)</f>
        <v>61.682933008349103</v>
      </c>
      <c r="J7" s="129">
        <f>SIM_Districts!H7*(1+SIM_Parametres!$B$9)^(2016-2023)</f>
        <v>21.743816445391968</v>
      </c>
      <c r="K7" s="129">
        <f>MAX(0,MIN(100,SIM_Districts!I7+(2016-2023)*SIM_Parametres!$B$10))</f>
        <v>84.9</v>
      </c>
      <c r="L7" s="129">
        <f>SIM_Districts!E7</f>
        <v>13</v>
      </c>
      <c r="M7" s="68">
        <f t="shared" si="0"/>
        <v>28749.915113087027</v>
      </c>
      <c r="N7" s="129">
        <f>SIM_Districts!J7</f>
        <v>73189</v>
      </c>
      <c r="O7" s="56">
        <v>22130000</v>
      </c>
      <c r="P7" s="130">
        <f>SIM_Parametres!$D$22</f>
        <v>0</v>
      </c>
      <c r="Q7" s="130">
        <f>SIM_Parametres!$B$12</f>
        <v>0.2</v>
      </c>
      <c r="R7" s="59">
        <f t="shared" si="1"/>
        <v>2.5358830452045934E-2</v>
      </c>
      <c r="S7" s="59">
        <f t="shared" si="2"/>
        <v>0</v>
      </c>
      <c r="T7" s="59">
        <f t="shared" si="3"/>
        <v>0.50276243093922657</v>
      </c>
      <c r="U7" s="59">
        <f t="shared" si="4"/>
        <v>1.0392129693778578E-4</v>
      </c>
      <c r="V7" s="59">
        <f t="shared" si="5"/>
        <v>9.5544805280436421E-2</v>
      </c>
      <c r="W7" s="59">
        <f t="shared" si="6"/>
        <v>0</v>
      </c>
      <c r="X7" s="59">
        <f t="shared" si="7"/>
        <v>9.9491608812113941E-3</v>
      </c>
      <c r="Y7" s="59">
        <f t="shared" si="8"/>
        <v>2.6551589443578546E-6</v>
      </c>
      <c r="Z7" s="59">
        <f t="shared" si="9"/>
        <v>3.506814418545408E-3</v>
      </c>
      <c r="AA7" s="59">
        <f t="shared" si="10"/>
        <v>1.6883145882283755E-2</v>
      </c>
      <c r="AB7" s="59">
        <f t="shared" si="11"/>
        <v>1.7077541142752194E-2</v>
      </c>
      <c r="AC7" s="60">
        <f t="shared" si="12"/>
        <v>21152766.657059226</v>
      </c>
      <c r="AD7" s="60">
        <f t="shared" si="13"/>
        <v>22130000</v>
      </c>
      <c r="AE7" s="59">
        <f>0</f>
        <v>0</v>
      </c>
      <c r="AF7" s="60">
        <f t="shared" si="14"/>
        <v>22130000</v>
      </c>
      <c r="AG7" s="60">
        <f>1</f>
        <v>1</v>
      </c>
      <c r="AH7" s="60">
        <f t="shared" si="15"/>
        <v>22130000</v>
      </c>
      <c r="AI7" s="60">
        <f t="shared" si="16"/>
        <v>59.210877166478937</v>
      </c>
      <c r="AJ7" s="60">
        <f t="shared" si="17"/>
        <v>0</v>
      </c>
      <c r="AK7" s="71"/>
    </row>
    <row r="8" spans="1:37" ht="12.75" customHeight="1" x14ac:dyDescent="0.25">
      <c r="A8" s="62" t="s">
        <v>593</v>
      </c>
      <c r="B8" s="62" t="s">
        <v>376</v>
      </c>
      <c r="C8" s="62" t="s">
        <v>384</v>
      </c>
      <c r="D8" s="124">
        <v>2016</v>
      </c>
      <c r="E8" s="62" t="s">
        <v>675</v>
      </c>
      <c r="F8" s="64">
        <f>SIM_Parametres!$C$22</f>
        <v>1295854000</v>
      </c>
      <c r="G8" s="125">
        <f>SIM_Districts!D8*(1+SIM_Parametres!$B$6)^(2016-2023)</f>
        <v>265049.94468468375</v>
      </c>
      <c r="H8" s="125">
        <f>MAX(0,MIN(100,SIM_Districts!F8+(2016-2022)*SIM_Parametres!$B$7))</f>
        <v>14.280000000000001</v>
      </c>
      <c r="I8" s="125">
        <f>SIM_Districts!G8*(1+SIM_Parametres!$B$8)^(2016-2023)</f>
        <v>61.682933008349103</v>
      </c>
      <c r="J8" s="125">
        <f>SIM_Districts!H8*(1+SIM_Parametres!$B$9)^(2016-2023)</f>
        <v>21.743816445391968</v>
      </c>
      <c r="K8" s="125">
        <f>MAX(0,MIN(100,SIM_Districts!I8+(2016-2023)*SIM_Parametres!$B$10))</f>
        <v>84.9</v>
      </c>
      <c r="L8" s="125">
        <f>SIM_Districts!E8</f>
        <v>34</v>
      </c>
      <c r="M8" s="61">
        <f t="shared" si="0"/>
        <v>7795.5866083730516</v>
      </c>
      <c r="N8" s="125">
        <f>SIM_Districts!J8</f>
        <v>73189</v>
      </c>
      <c r="O8" s="63">
        <v>17508000</v>
      </c>
      <c r="P8" s="126">
        <f>SIM_Parametres!$D$22</f>
        <v>0</v>
      </c>
      <c r="Q8" s="126">
        <f>SIM_Parametres!$B$12</f>
        <v>0.2</v>
      </c>
      <c r="R8" s="66">
        <f t="shared" si="1"/>
        <v>1.7983615930542807E-2</v>
      </c>
      <c r="S8" s="66">
        <f t="shared" si="2"/>
        <v>0</v>
      </c>
      <c r="T8" s="66">
        <f t="shared" si="3"/>
        <v>0.50276243093922657</v>
      </c>
      <c r="U8" s="66">
        <f t="shared" si="4"/>
        <v>0.36530968637307903</v>
      </c>
      <c r="V8" s="66">
        <f t="shared" si="5"/>
        <v>9.5544805280436421E-2</v>
      </c>
      <c r="W8" s="66">
        <f t="shared" si="6"/>
        <v>0</v>
      </c>
      <c r="X8" s="66">
        <f t="shared" si="7"/>
        <v>9.9491608812113941E-3</v>
      </c>
      <c r="Y8" s="66">
        <f t="shared" si="8"/>
        <v>9.333556352888123E-3</v>
      </c>
      <c r="Z8" s="66">
        <f t="shared" si="9"/>
        <v>3.506814418545408E-3</v>
      </c>
      <c r="AA8" s="66">
        <f t="shared" si="10"/>
        <v>1.292456222907907E-2</v>
      </c>
      <c r="AB8" s="66">
        <f t="shared" si="11"/>
        <v>1.3510781307153429E-2</v>
      </c>
      <c r="AC8" s="67">
        <f t="shared" si="12"/>
        <v>17048969.487987302</v>
      </c>
      <c r="AD8" s="67">
        <f t="shared" si="13"/>
        <v>17508000</v>
      </c>
      <c r="AE8" s="66">
        <f>0</f>
        <v>0</v>
      </c>
      <c r="AF8" s="67">
        <f t="shared" si="14"/>
        <v>17508000</v>
      </c>
      <c r="AG8" s="67">
        <f>1</f>
        <v>1</v>
      </c>
      <c r="AH8" s="67">
        <f t="shared" si="15"/>
        <v>17508000</v>
      </c>
      <c r="AI8" s="67">
        <f t="shared" si="16"/>
        <v>66.055475019352912</v>
      </c>
      <c r="AJ8" s="67">
        <f t="shared" si="17"/>
        <v>0</v>
      </c>
      <c r="AK8" s="131"/>
    </row>
    <row r="9" spans="1:37" ht="12.75" customHeight="1" x14ac:dyDescent="0.25">
      <c r="A9" s="55" t="s">
        <v>594</v>
      </c>
      <c r="B9" s="55" t="s">
        <v>376</v>
      </c>
      <c r="C9" s="55" t="s">
        <v>385</v>
      </c>
      <c r="D9" s="128">
        <v>2016</v>
      </c>
      <c r="E9" s="55" t="s">
        <v>675</v>
      </c>
      <c r="F9" s="57">
        <f>SIM_Parametres!$C$22</f>
        <v>1295854000</v>
      </c>
      <c r="G9" s="129">
        <f>SIM_Districts!D9*(1+SIM_Parametres!$B$6)^(2016-2023)</f>
        <v>388874.8378556518</v>
      </c>
      <c r="H9" s="129">
        <f>MAX(0,MIN(100,SIM_Districts!F9+(2016-2022)*SIM_Parametres!$B$7))</f>
        <v>14.280000000000001</v>
      </c>
      <c r="I9" s="129">
        <f>SIM_Districts!G9*(1+SIM_Parametres!$B$8)^(2016-2023)</f>
        <v>61.682933008349103</v>
      </c>
      <c r="J9" s="129">
        <f>SIM_Districts!H9*(1+SIM_Parametres!$B$9)^(2016-2023)</f>
        <v>21.743816445391968</v>
      </c>
      <c r="K9" s="129">
        <f>MAX(0,MIN(100,SIM_Districts!I9+(2016-2023)*SIM_Parametres!$B$10))</f>
        <v>84.9</v>
      </c>
      <c r="L9" s="129">
        <f>SIM_Districts!E9</f>
        <v>28</v>
      </c>
      <c r="M9" s="68">
        <f t="shared" si="0"/>
        <v>13888.387066273279</v>
      </c>
      <c r="N9" s="129">
        <f>SIM_Districts!J9</f>
        <v>73189</v>
      </c>
      <c r="O9" s="56">
        <v>17000000</v>
      </c>
      <c r="P9" s="130">
        <f>SIM_Parametres!$D$22</f>
        <v>0</v>
      </c>
      <c r="Q9" s="130">
        <f>SIM_Parametres!$B$12</f>
        <v>0.2</v>
      </c>
      <c r="R9" s="59">
        <f t="shared" si="1"/>
        <v>2.6385124272966024E-2</v>
      </c>
      <c r="S9" s="59">
        <f t="shared" si="2"/>
        <v>0</v>
      </c>
      <c r="T9" s="59">
        <f t="shared" si="3"/>
        <v>0.50276243093922657</v>
      </c>
      <c r="U9" s="59">
        <f t="shared" si="4"/>
        <v>0.25912404305391834</v>
      </c>
      <c r="V9" s="59">
        <f t="shared" si="5"/>
        <v>9.5544805280436421E-2</v>
      </c>
      <c r="W9" s="59">
        <f t="shared" si="6"/>
        <v>0</v>
      </c>
      <c r="X9" s="59">
        <f t="shared" si="7"/>
        <v>9.9491608812113941E-3</v>
      </c>
      <c r="Y9" s="59">
        <f t="shared" si="8"/>
        <v>6.6205440163499222E-3</v>
      </c>
      <c r="Z9" s="59">
        <f t="shared" si="9"/>
        <v>3.506814418545408E-3</v>
      </c>
      <c r="AA9" s="59">
        <f t="shared" si="10"/>
        <v>1.7829816617706086E-2</v>
      </c>
      <c r="AB9" s="59">
        <f t="shared" si="11"/>
        <v>1.3118761835824097E-2</v>
      </c>
      <c r="AC9" s="60">
        <f t="shared" si="12"/>
        <v>22134164.304403201</v>
      </c>
      <c r="AD9" s="60">
        <f t="shared" si="13"/>
        <v>17000000</v>
      </c>
      <c r="AE9" s="59">
        <f>0</f>
        <v>0</v>
      </c>
      <c r="AF9" s="60">
        <f t="shared" si="14"/>
        <v>17000000</v>
      </c>
      <c r="AG9" s="60">
        <f>1</f>
        <v>1</v>
      </c>
      <c r="AH9" s="60">
        <f t="shared" si="15"/>
        <v>17000000</v>
      </c>
      <c r="AI9" s="60">
        <f t="shared" si="16"/>
        <v>43.715865222193436</v>
      </c>
      <c r="AJ9" s="60">
        <f t="shared" si="17"/>
        <v>0</v>
      </c>
      <c r="AK9" s="71"/>
    </row>
    <row r="10" spans="1:37" ht="12.75" customHeight="1" x14ac:dyDescent="0.25">
      <c r="A10" s="62" t="s">
        <v>595</v>
      </c>
      <c r="B10" s="62" t="s">
        <v>376</v>
      </c>
      <c r="C10" s="62" t="s">
        <v>386</v>
      </c>
      <c r="D10" s="124">
        <v>2016</v>
      </c>
      <c r="E10" s="62" t="s">
        <v>675</v>
      </c>
      <c r="F10" s="64">
        <f>SIM_Parametres!$C$22</f>
        <v>1295854000</v>
      </c>
      <c r="G10" s="125">
        <f>SIM_Districts!D10*(1+SIM_Parametres!$B$6)^(2016-2023)</f>
        <v>497179.44025809783</v>
      </c>
      <c r="H10" s="125">
        <f>MAX(0,MIN(100,SIM_Districts!F10+(2016-2022)*SIM_Parametres!$B$7))</f>
        <v>14.280000000000001</v>
      </c>
      <c r="I10" s="125">
        <f>SIM_Districts!G10*(1+SIM_Parametres!$B$8)^(2016-2023)</f>
        <v>61.682933008349103</v>
      </c>
      <c r="J10" s="125">
        <f>SIM_Districts!H10*(1+SIM_Parametres!$B$9)^(2016-2023)</f>
        <v>21.743816445391968</v>
      </c>
      <c r="K10" s="125">
        <f>MAX(0,MIN(100,SIM_Districts!I10+(2016-2023)*SIM_Parametres!$B$10))</f>
        <v>84.9</v>
      </c>
      <c r="L10" s="125">
        <f>SIM_Districts!E10</f>
        <v>22</v>
      </c>
      <c r="M10" s="61">
        <f t="shared" si="0"/>
        <v>22599.065466277174</v>
      </c>
      <c r="N10" s="125">
        <f>SIM_Districts!J10</f>
        <v>73189</v>
      </c>
      <c r="O10" s="63">
        <v>24800000</v>
      </c>
      <c r="P10" s="126">
        <f>SIM_Parametres!$D$22</f>
        <v>0</v>
      </c>
      <c r="Q10" s="126">
        <f>SIM_Parametres!$B$12</f>
        <v>0.2</v>
      </c>
      <c r="R10" s="66">
        <f t="shared" si="1"/>
        <v>3.37335822227793E-2</v>
      </c>
      <c r="S10" s="66">
        <f t="shared" si="2"/>
        <v>0</v>
      </c>
      <c r="T10" s="66">
        <f t="shared" si="3"/>
        <v>0.50276243093922657</v>
      </c>
      <c r="U10" s="66">
        <f t="shared" si="4"/>
        <v>0.10740318997556662</v>
      </c>
      <c r="V10" s="66">
        <f t="shared" si="5"/>
        <v>9.5544805280436421E-2</v>
      </c>
      <c r="W10" s="66">
        <f t="shared" si="6"/>
        <v>0</v>
      </c>
      <c r="X10" s="66">
        <f t="shared" si="7"/>
        <v>9.9491608812113941E-3</v>
      </c>
      <c r="Y10" s="66">
        <f t="shared" si="8"/>
        <v>2.7441202998738064E-3</v>
      </c>
      <c r="Z10" s="66">
        <f t="shared" si="9"/>
        <v>3.506814418545408E-3</v>
      </c>
      <c r="AA10" s="66">
        <f t="shared" si="10"/>
        <v>2.2045070201770246E-2</v>
      </c>
      <c r="AB10" s="66">
        <f t="shared" si="11"/>
        <v>1.9137958442849271E-2</v>
      </c>
      <c r="AC10" s="67">
        <f t="shared" si="12"/>
        <v>26504046.878742304</v>
      </c>
      <c r="AD10" s="67">
        <f t="shared" si="13"/>
        <v>24800000</v>
      </c>
      <c r="AE10" s="66">
        <f>0</f>
        <v>0</v>
      </c>
      <c r="AF10" s="67">
        <f t="shared" si="14"/>
        <v>24800000</v>
      </c>
      <c r="AG10" s="67">
        <f>1</f>
        <v>1</v>
      </c>
      <c r="AH10" s="67">
        <f t="shared" si="15"/>
        <v>24800000</v>
      </c>
      <c r="AI10" s="67">
        <f t="shared" si="16"/>
        <v>49.881386863313821</v>
      </c>
      <c r="AJ10" s="67">
        <f t="shared" si="17"/>
        <v>0</v>
      </c>
      <c r="AK10" s="131"/>
    </row>
    <row r="11" spans="1:37" ht="12.75" customHeight="1" x14ac:dyDescent="0.25">
      <c r="A11" s="55" t="s">
        <v>596</v>
      </c>
      <c r="B11" s="55" t="s">
        <v>376</v>
      </c>
      <c r="C11" s="55" t="s">
        <v>387</v>
      </c>
      <c r="D11" s="128">
        <v>2016</v>
      </c>
      <c r="E11" s="55" t="s">
        <v>675</v>
      </c>
      <c r="F11" s="57">
        <f>SIM_Parametres!$C$22</f>
        <v>1295854000</v>
      </c>
      <c r="G11" s="129">
        <f>SIM_Districts!D11*(1+SIM_Parametres!$B$6)^(2016-2023)</f>
        <v>239578.22690883055</v>
      </c>
      <c r="H11" s="129">
        <f>MAX(0,MIN(100,SIM_Districts!F11+(2016-2022)*SIM_Parametres!$B$7))</f>
        <v>14.280000000000001</v>
      </c>
      <c r="I11" s="129">
        <f>SIM_Districts!G11*(1+SIM_Parametres!$B$8)^(2016-2023)</f>
        <v>61.682933008349103</v>
      </c>
      <c r="J11" s="129">
        <f>SIM_Districts!H11*(1+SIM_Parametres!$B$9)^(2016-2023)</f>
        <v>21.743816445391968</v>
      </c>
      <c r="K11" s="129">
        <f>MAX(0,MIN(100,SIM_Districts!I11+(2016-2023)*SIM_Parametres!$B$10))</f>
        <v>84.9</v>
      </c>
      <c r="L11" s="129">
        <f>SIM_Districts!E11</f>
        <v>34</v>
      </c>
      <c r="M11" s="68">
        <f t="shared" si="0"/>
        <v>7046.4184384950158</v>
      </c>
      <c r="N11" s="129">
        <f>SIM_Districts!J11</f>
        <v>73189</v>
      </c>
      <c r="O11" s="56">
        <v>17080000</v>
      </c>
      <c r="P11" s="130">
        <f>SIM_Parametres!$D$22</f>
        <v>0</v>
      </c>
      <c r="Q11" s="130">
        <f>SIM_Parametres!$B$12</f>
        <v>0.2</v>
      </c>
      <c r="R11" s="59">
        <f t="shared" si="1"/>
        <v>1.6255362072134835E-2</v>
      </c>
      <c r="S11" s="59">
        <f t="shared" si="2"/>
        <v>0</v>
      </c>
      <c r="T11" s="59">
        <f t="shared" si="3"/>
        <v>0.50276243093922657</v>
      </c>
      <c r="U11" s="59">
        <f t="shared" si="4"/>
        <v>0.37834067197086158</v>
      </c>
      <c r="V11" s="59">
        <f t="shared" si="5"/>
        <v>9.5544805280436421E-2</v>
      </c>
      <c r="W11" s="59">
        <f t="shared" si="6"/>
        <v>0</v>
      </c>
      <c r="X11" s="59">
        <f t="shared" si="7"/>
        <v>9.9491608812113941E-3</v>
      </c>
      <c r="Y11" s="59">
        <f t="shared" si="8"/>
        <v>9.6664942490006407E-3</v>
      </c>
      <c r="Z11" s="59">
        <f t="shared" si="9"/>
        <v>3.506814418545408E-3</v>
      </c>
      <c r="AA11" s="59">
        <f t="shared" si="10"/>
        <v>1.1904256808839912E-2</v>
      </c>
      <c r="AB11" s="59">
        <f t="shared" si="11"/>
        <v>1.3180497185639741E-2</v>
      </c>
      <c r="AC11" s="60">
        <f t="shared" si="12"/>
        <v>15991235.999956427</v>
      </c>
      <c r="AD11" s="60">
        <f t="shared" si="13"/>
        <v>17080000</v>
      </c>
      <c r="AE11" s="59">
        <f>0</f>
        <v>0</v>
      </c>
      <c r="AF11" s="60">
        <f t="shared" si="14"/>
        <v>17080000</v>
      </c>
      <c r="AG11" s="60">
        <f>1</f>
        <v>1</v>
      </c>
      <c r="AH11" s="60">
        <f t="shared" si="15"/>
        <v>17080000</v>
      </c>
      <c r="AI11" s="60">
        <f t="shared" si="16"/>
        <v>71.291954283056143</v>
      </c>
      <c r="AJ11" s="60">
        <f t="shared" si="17"/>
        <v>0</v>
      </c>
      <c r="AK11" s="71"/>
    </row>
    <row r="12" spans="1:37" ht="12.75" customHeight="1" x14ac:dyDescent="0.25">
      <c r="A12" s="62" t="s">
        <v>597</v>
      </c>
      <c r="B12" s="62" t="s">
        <v>376</v>
      </c>
      <c r="C12" s="62" t="s">
        <v>388</v>
      </c>
      <c r="D12" s="124">
        <v>2016</v>
      </c>
      <c r="E12" s="62" t="s">
        <v>675</v>
      </c>
      <c r="F12" s="64">
        <f>SIM_Parametres!$C$22</f>
        <v>1295854000</v>
      </c>
      <c r="G12" s="125">
        <f>SIM_Districts!D12*(1+SIM_Parametres!$B$6)^(2016-2023)</f>
        <v>372631.70873354562</v>
      </c>
      <c r="H12" s="125">
        <f>MAX(0,MIN(100,SIM_Districts!F12+(2016-2022)*SIM_Parametres!$B$7))</f>
        <v>14.280000000000001</v>
      </c>
      <c r="I12" s="125">
        <f>SIM_Districts!G12*(1+SIM_Parametres!$B$8)^(2016-2023)</f>
        <v>61.682933008349103</v>
      </c>
      <c r="J12" s="125">
        <f>SIM_Districts!H12*(1+SIM_Parametres!$B$9)^(2016-2023)</f>
        <v>21.743816445391968</v>
      </c>
      <c r="K12" s="125">
        <f>MAX(0,MIN(100,SIM_Districts!I12+(2016-2023)*SIM_Parametres!$B$10))</f>
        <v>84.9</v>
      </c>
      <c r="L12" s="125">
        <f>SIM_Districts!E12</f>
        <v>18</v>
      </c>
      <c r="M12" s="61">
        <f t="shared" si="0"/>
        <v>20701.76159630809</v>
      </c>
      <c r="N12" s="125">
        <f>SIM_Districts!J12</f>
        <v>73189</v>
      </c>
      <c r="O12" s="63">
        <v>24000000</v>
      </c>
      <c r="P12" s="126">
        <f>SIM_Parametres!$D$22</f>
        <v>0</v>
      </c>
      <c r="Q12" s="126">
        <f>SIM_Parametres!$B$12</f>
        <v>0.2</v>
      </c>
      <c r="R12" s="66">
        <f t="shared" si="1"/>
        <v>2.5283029360289543E-2</v>
      </c>
      <c r="S12" s="66">
        <f t="shared" si="2"/>
        <v>0</v>
      </c>
      <c r="T12" s="66">
        <f t="shared" si="3"/>
        <v>0.50276243093922657</v>
      </c>
      <c r="U12" s="66">
        <f t="shared" si="4"/>
        <v>0.14026621640536643</v>
      </c>
      <c r="V12" s="66">
        <f t="shared" si="5"/>
        <v>9.5544805280436421E-2</v>
      </c>
      <c r="W12" s="66">
        <f t="shared" si="6"/>
        <v>0</v>
      </c>
      <c r="X12" s="66">
        <f t="shared" si="7"/>
        <v>9.9491608812113941E-3</v>
      </c>
      <c r="Y12" s="66">
        <f t="shared" si="8"/>
        <v>3.5837610774132663E-3</v>
      </c>
      <c r="Z12" s="66">
        <f t="shared" si="9"/>
        <v>3.506814418545408E-3</v>
      </c>
      <c r="AA12" s="66">
        <f t="shared" si="10"/>
        <v>1.7016720523153363E-2</v>
      </c>
      <c r="AB12" s="66">
        <f t="shared" si="11"/>
        <v>1.8520604944692844E-2</v>
      </c>
      <c r="AC12" s="67">
        <f t="shared" si="12"/>
        <v>21291241.243194785</v>
      </c>
      <c r="AD12" s="67">
        <f t="shared" si="13"/>
        <v>24000000</v>
      </c>
      <c r="AE12" s="66">
        <f>0</f>
        <v>0</v>
      </c>
      <c r="AF12" s="67">
        <f t="shared" si="14"/>
        <v>24000000</v>
      </c>
      <c r="AG12" s="67">
        <f>1</f>
        <v>1</v>
      </c>
      <c r="AH12" s="67">
        <f t="shared" si="15"/>
        <v>24000000</v>
      </c>
      <c r="AI12" s="67">
        <f t="shared" si="16"/>
        <v>64.406757228385686</v>
      </c>
      <c r="AJ12" s="67">
        <f t="shared" si="17"/>
        <v>0</v>
      </c>
      <c r="AK12" s="131"/>
    </row>
    <row r="13" spans="1:37" ht="12.75" customHeight="1" x14ac:dyDescent="0.25">
      <c r="A13" s="55" t="s">
        <v>598</v>
      </c>
      <c r="B13" s="55" t="s">
        <v>376</v>
      </c>
      <c r="C13" s="55" t="s">
        <v>389</v>
      </c>
      <c r="D13" s="128">
        <v>2016</v>
      </c>
      <c r="E13" s="55" t="s">
        <v>675</v>
      </c>
      <c r="F13" s="57">
        <f>SIM_Parametres!$C$22</f>
        <v>1295854000</v>
      </c>
      <c r="G13" s="129">
        <f>SIM_Districts!D13*(1+SIM_Parametres!$B$6)^(2016-2023)</f>
        <v>408870.38430260756</v>
      </c>
      <c r="H13" s="129">
        <f>MAX(0,MIN(100,SIM_Districts!F13+(2016-2022)*SIM_Parametres!$B$7))</f>
        <v>14.280000000000001</v>
      </c>
      <c r="I13" s="129">
        <f>SIM_Districts!G13*(1+SIM_Parametres!$B$8)^(2016-2023)</f>
        <v>61.682933008349103</v>
      </c>
      <c r="J13" s="129">
        <f>SIM_Districts!H13*(1+SIM_Parametres!$B$9)^(2016-2023)</f>
        <v>21.743816445391968</v>
      </c>
      <c r="K13" s="129">
        <f>MAX(0,MIN(100,SIM_Districts!I13+(2016-2023)*SIM_Parametres!$B$10))</f>
        <v>84.9</v>
      </c>
      <c r="L13" s="129">
        <f>SIM_Districts!E13</f>
        <v>203</v>
      </c>
      <c r="M13" s="68">
        <f t="shared" si="0"/>
        <v>2014.1398241507761</v>
      </c>
      <c r="N13" s="129">
        <f>SIM_Districts!J13</f>
        <v>73189</v>
      </c>
      <c r="O13" s="56">
        <v>27350000</v>
      </c>
      <c r="P13" s="130">
        <f>SIM_Parametres!$D$22</f>
        <v>0</v>
      </c>
      <c r="Q13" s="130">
        <f>SIM_Parametres!$B$12</f>
        <v>0.2</v>
      </c>
      <c r="R13" s="59">
        <f t="shared" si="1"/>
        <v>2.7741820378113943E-2</v>
      </c>
      <c r="S13" s="59">
        <f t="shared" si="2"/>
        <v>0</v>
      </c>
      <c r="T13" s="59">
        <f t="shared" si="3"/>
        <v>0.50276243093922657</v>
      </c>
      <c r="U13" s="59">
        <f t="shared" si="4"/>
        <v>0.47172605328939682</v>
      </c>
      <c r="V13" s="59">
        <f t="shared" si="5"/>
        <v>9.5544805280436421E-2</v>
      </c>
      <c r="W13" s="59">
        <f t="shared" si="6"/>
        <v>0</v>
      </c>
      <c r="X13" s="59">
        <f t="shared" si="7"/>
        <v>9.9491608812113941E-3</v>
      </c>
      <c r="Y13" s="59">
        <f t="shared" si="8"/>
        <v>1.2052463610301233E-2</v>
      </c>
      <c r="Z13" s="59">
        <f t="shared" si="9"/>
        <v>3.506814418545408E-3</v>
      </c>
      <c r="AA13" s="59">
        <f t="shared" si="10"/>
        <v>1.8915430260492402E-2</v>
      </c>
      <c r="AB13" s="59">
        <f t="shared" si="11"/>
        <v>2.1105772718222886E-2</v>
      </c>
      <c r="AC13" s="60">
        <f t="shared" si="12"/>
        <v>23259601.729570575</v>
      </c>
      <c r="AD13" s="60">
        <f t="shared" si="13"/>
        <v>27350000</v>
      </c>
      <c r="AE13" s="59">
        <f>0</f>
        <v>0</v>
      </c>
      <c r="AF13" s="60">
        <f t="shared" si="14"/>
        <v>27350000</v>
      </c>
      <c r="AG13" s="60">
        <f>1</f>
        <v>1</v>
      </c>
      <c r="AH13" s="60">
        <f t="shared" si="15"/>
        <v>27350000</v>
      </c>
      <c r="AI13" s="60">
        <f t="shared" si="16"/>
        <v>66.891614188808774</v>
      </c>
      <c r="AJ13" s="60">
        <f t="shared" si="17"/>
        <v>0</v>
      </c>
      <c r="AK13" s="71"/>
    </row>
    <row r="14" spans="1:37" ht="12.75" customHeight="1" x14ac:dyDescent="0.25">
      <c r="A14" s="62" t="s">
        <v>599</v>
      </c>
      <c r="B14" s="62" t="s">
        <v>390</v>
      </c>
      <c r="C14" s="62" t="s">
        <v>392</v>
      </c>
      <c r="D14" s="124">
        <v>2016</v>
      </c>
      <c r="E14" s="62" t="s">
        <v>675</v>
      </c>
      <c r="F14" s="64">
        <f>SIM_Parametres!$C$22</f>
        <v>1295854000</v>
      </c>
      <c r="G14" s="125">
        <f>SIM_Districts!D14*(1+SIM_Parametres!$B$6)^(2016-2023)</f>
        <v>705803.27333008696</v>
      </c>
      <c r="H14" s="125">
        <f>MAX(0,MIN(100,SIM_Districts!F14+(2016-2022)*SIM_Parametres!$B$7))</f>
        <v>42.379999999999995</v>
      </c>
      <c r="I14" s="125">
        <f>SIM_Districts!G14*(1+SIM_Parametres!$B$8)^(2016-2023)</f>
        <v>61.682933008349103</v>
      </c>
      <c r="J14" s="125">
        <f>SIM_Districts!H14*(1+SIM_Parametres!$B$9)^(2016-2023)</f>
        <v>36.588152672534562</v>
      </c>
      <c r="K14" s="125">
        <f>MAX(0,MIN(100,SIM_Districts!I14+(2016-2023)*SIM_Parametres!$B$10))</f>
        <v>80.2</v>
      </c>
      <c r="L14" s="125">
        <f>SIM_Districts!E14</f>
        <v>1335</v>
      </c>
      <c r="M14" s="61">
        <f t="shared" si="0"/>
        <v>528.69159050942847</v>
      </c>
      <c r="N14" s="125">
        <f>SIM_Districts!J14</f>
        <v>203502</v>
      </c>
      <c r="O14" s="63">
        <v>16950000</v>
      </c>
      <c r="P14" s="126">
        <f>SIM_Parametres!$D$22</f>
        <v>0</v>
      </c>
      <c r="Q14" s="126">
        <f>SIM_Parametres!$B$12</f>
        <v>0.2</v>
      </c>
      <c r="R14" s="66">
        <f t="shared" si="1"/>
        <v>4.7888691337733699E-2</v>
      </c>
      <c r="S14" s="66">
        <f t="shared" si="2"/>
        <v>0.49822695035460979</v>
      </c>
      <c r="T14" s="66">
        <f t="shared" si="3"/>
        <v>0.69889502762430944</v>
      </c>
      <c r="U14" s="66">
        <f t="shared" si="4"/>
        <v>0.53677681892865114</v>
      </c>
      <c r="V14" s="66">
        <f t="shared" si="5"/>
        <v>1</v>
      </c>
      <c r="W14" s="66">
        <f t="shared" si="6"/>
        <v>1.1879095328683151E-2</v>
      </c>
      <c r="X14" s="66">
        <f t="shared" si="7"/>
        <v>1.3830426939266388E-2</v>
      </c>
      <c r="Y14" s="66">
        <f t="shared" si="8"/>
        <v>1.3714491773092488E-2</v>
      </c>
      <c r="Z14" s="66">
        <f t="shared" si="9"/>
        <v>3.6703349891733537E-2</v>
      </c>
      <c r="AA14" s="66">
        <f t="shared" si="10"/>
        <v>3.5110535226073949E-2</v>
      </c>
      <c r="AB14" s="66">
        <f t="shared" si="11"/>
        <v>1.3080177242189321E-2</v>
      </c>
      <c r="AC14" s="67">
        <f t="shared" si="12"/>
        <v>40048794.969625548</v>
      </c>
      <c r="AD14" s="67">
        <f t="shared" si="13"/>
        <v>16950000</v>
      </c>
      <c r="AE14" s="66">
        <f>0</f>
        <v>0</v>
      </c>
      <c r="AF14" s="67">
        <f t="shared" si="14"/>
        <v>16950000</v>
      </c>
      <c r="AG14" s="67">
        <f>1</f>
        <v>1</v>
      </c>
      <c r="AH14" s="67">
        <f t="shared" si="15"/>
        <v>16950000</v>
      </c>
      <c r="AI14" s="67">
        <f t="shared" si="16"/>
        <v>24.015190408550144</v>
      </c>
      <c r="AJ14" s="67">
        <f t="shared" si="17"/>
        <v>0</v>
      </c>
      <c r="AK14" s="131"/>
    </row>
    <row r="15" spans="1:37" ht="12.75" customHeight="1" x14ac:dyDescent="0.25">
      <c r="A15" s="55" t="s">
        <v>601</v>
      </c>
      <c r="B15" s="55" t="s">
        <v>390</v>
      </c>
      <c r="C15" s="55" t="s">
        <v>390</v>
      </c>
      <c r="D15" s="128">
        <v>2016</v>
      </c>
      <c r="E15" s="55" t="s">
        <v>675</v>
      </c>
      <c r="F15" s="57">
        <f>SIM_Parametres!$C$22</f>
        <v>1295854000</v>
      </c>
      <c r="G15" s="129">
        <f>SIM_Districts!D15*(1+SIM_Parametres!$B$6)^(2016-2023)</f>
        <v>632125.79912122025</v>
      </c>
      <c r="H15" s="129">
        <f>MAX(0,MIN(100,SIM_Districts!F15+(2016-2022)*SIM_Parametres!$B$7))</f>
        <v>42.379999999999995</v>
      </c>
      <c r="I15" s="129">
        <f>SIM_Districts!G15*(1+SIM_Parametres!$B$8)^(2016-2023)</f>
        <v>61.682933008349103</v>
      </c>
      <c r="J15" s="129">
        <f>SIM_Districts!H15*(1+SIM_Parametres!$B$9)^(2016-2023)</f>
        <v>36.588152672534562</v>
      </c>
      <c r="K15" s="129">
        <f>MAX(0,MIN(100,SIM_Districts!I15+(2016-2023)*SIM_Parametres!$B$10))</f>
        <v>80.2</v>
      </c>
      <c r="L15" s="129">
        <f>SIM_Districts!E15</f>
        <v>1292</v>
      </c>
      <c r="M15" s="68">
        <f t="shared" si="0"/>
        <v>489.26145442818904</v>
      </c>
      <c r="N15" s="129">
        <f>SIM_Districts!J15</f>
        <v>203502</v>
      </c>
      <c r="O15" s="56">
        <v>17950000</v>
      </c>
      <c r="P15" s="130">
        <f>SIM_Parametres!$D$22</f>
        <v>0</v>
      </c>
      <c r="Q15" s="130">
        <f>SIM_Parametres!$B$12</f>
        <v>0.2</v>
      </c>
      <c r="R15" s="59">
        <f t="shared" si="1"/>
        <v>4.2889681055045273E-2</v>
      </c>
      <c r="S15" s="59">
        <f t="shared" si="2"/>
        <v>0.49822695035460979</v>
      </c>
      <c r="T15" s="59">
        <f t="shared" si="3"/>
        <v>0.69889502762430944</v>
      </c>
      <c r="U15" s="59">
        <f t="shared" si="4"/>
        <v>0.53597312572887268</v>
      </c>
      <c r="V15" s="59">
        <f t="shared" si="5"/>
        <v>1</v>
      </c>
      <c r="W15" s="59">
        <f t="shared" si="6"/>
        <v>1.1879095328683151E-2</v>
      </c>
      <c r="X15" s="59">
        <f t="shared" si="7"/>
        <v>1.3830426939266388E-2</v>
      </c>
      <c r="Y15" s="59">
        <f t="shared" si="8"/>
        <v>1.3693957645336279E-2</v>
      </c>
      <c r="Z15" s="59">
        <f t="shared" si="9"/>
        <v>3.6703349891733537E-2</v>
      </c>
      <c r="AA15" s="59">
        <f t="shared" si="10"/>
        <v>3.2110102350073083E-2</v>
      </c>
      <c r="AB15" s="59">
        <f t="shared" si="11"/>
        <v>1.3851869114884856E-2</v>
      </c>
      <c r="AC15" s="60">
        <f t="shared" si="12"/>
        <v>36938296.614347763</v>
      </c>
      <c r="AD15" s="60">
        <f t="shared" si="13"/>
        <v>17950000</v>
      </c>
      <c r="AE15" s="59">
        <f>0</f>
        <v>0</v>
      </c>
      <c r="AF15" s="60">
        <f t="shared" si="14"/>
        <v>17950000</v>
      </c>
      <c r="AG15" s="60">
        <f>1</f>
        <v>1</v>
      </c>
      <c r="AH15" s="60">
        <f t="shared" si="15"/>
        <v>17950000</v>
      </c>
      <c r="AI15" s="60">
        <f t="shared" si="16"/>
        <v>28.396246482826751</v>
      </c>
      <c r="AJ15" s="60">
        <f t="shared" si="17"/>
        <v>0</v>
      </c>
      <c r="AK15" s="71"/>
    </row>
    <row r="16" spans="1:37" ht="12.75" customHeight="1" x14ac:dyDescent="0.25">
      <c r="A16" s="62" t="s">
        <v>602</v>
      </c>
      <c r="B16" s="62" t="s">
        <v>390</v>
      </c>
      <c r="C16" s="62" t="s">
        <v>393</v>
      </c>
      <c r="D16" s="124">
        <v>2016</v>
      </c>
      <c r="E16" s="62" t="s">
        <v>675</v>
      </c>
      <c r="F16" s="64">
        <f>SIM_Parametres!$C$22</f>
        <v>1295854000</v>
      </c>
      <c r="G16" s="125">
        <f>SIM_Districts!D16*(1+SIM_Parametres!$B$6)^(2016-2023)</f>
        <v>353572.03061614605</v>
      </c>
      <c r="H16" s="125">
        <f>MAX(0,MIN(100,SIM_Districts!F16+(2016-2022)*SIM_Parametres!$B$7))</f>
        <v>42.379999999999995</v>
      </c>
      <c r="I16" s="125">
        <f>SIM_Districts!G16*(1+SIM_Parametres!$B$8)^(2016-2023)</f>
        <v>61.682933008349103</v>
      </c>
      <c r="J16" s="125">
        <f>SIM_Districts!H16*(1+SIM_Parametres!$B$9)^(2016-2023)</f>
        <v>36.588152672534562</v>
      </c>
      <c r="K16" s="125">
        <f>MAX(0,MIN(100,SIM_Districts!I16+(2016-2023)*SIM_Parametres!$B$10))</f>
        <v>80.2</v>
      </c>
      <c r="L16" s="125">
        <f>SIM_Districts!E16</f>
        <v>1729</v>
      </c>
      <c r="M16" s="61">
        <f t="shared" si="0"/>
        <v>204.49510157093468</v>
      </c>
      <c r="N16" s="125">
        <f>SIM_Districts!J16</f>
        <v>203502</v>
      </c>
      <c r="O16" s="63">
        <v>15450000</v>
      </c>
      <c r="P16" s="126">
        <f>SIM_Parametres!$D$22</f>
        <v>0</v>
      </c>
      <c r="Q16" s="126">
        <f>SIM_Parametres!$B$12</f>
        <v>0.2</v>
      </c>
      <c r="R16" s="66">
        <f t="shared" si="1"/>
        <v>2.3989831840739589E-2</v>
      </c>
      <c r="S16" s="66">
        <f t="shared" si="2"/>
        <v>0.49822695035460979</v>
      </c>
      <c r="T16" s="66">
        <f t="shared" si="3"/>
        <v>0.69889502762430944</v>
      </c>
      <c r="U16" s="66">
        <f t="shared" si="4"/>
        <v>0.55606420327741424</v>
      </c>
      <c r="V16" s="66">
        <f t="shared" si="5"/>
        <v>1</v>
      </c>
      <c r="W16" s="66">
        <f t="shared" si="6"/>
        <v>1.1879095328683151E-2</v>
      </c>
      <c r="X16" s="66">
        <f t="shared" si="7"/>
        <v>1.3830426939266388E-2</v>
      </c>
      <c r="Y16" s="66">
        <f t="shared" si="8"/>
        <v>1.4207278839612111E-2</v>
      </c>
      <c r="Z16" s="66">
        <f t="shared" si="9"/>
        <v>3.6703349891733537E-2</v>
      </c>
      <c r="AA16" s="66">
        <f t="shared" si="10"/>
        <v>2.0795858881203465E-2</v>
      </c>
      <c r="AB16" s="66">
        <f t="shared" si="11"/>
        <v>1.1922639433146018E-2</v>
      </c>
      <c r="AC16" s="67">
        <f t="shared" si="12"/>
        <v>25209010.489460908</v>
      </c>
      <c r="AD16" s="67">
        <f t="shared" si="13"/>
        <v>15450000</v>
      </c>
      <c r="AE16" s="66">
        <f>0</f>
        <v>0</v>
      </c>
      <c r="AF16" s="67">
        <f t="shared" si="14"/>
        <v>15450000</v>
      </c>
      <c r="AG16" s="67">
        <f>1</f>
        <v>1</v>
      </c>
      <c r="AH16" s="67">
        <f t="shared" si="15"/>
        <v>15450000</v>
      </c>
      <c r="AI16" s="67">
        <f t="shared" si="16"/>
        <v>43.696895291961674</v>
      </c>
      <c r="AJ16" s="67">
        <f t="shared" si="17"/>
        <v>0</v>
      </c>
      <c r="AK16" s="131"/>
    </row>
    <row r="17" spans="1:37" ht="12.75" customHeight="1" x14ac:dyDescent="0.25">
      <c r="A17" s="55" t="s">
        <v>603</v>
      </c>
      <c r="B17" s="55" t="s">
        <v>394</v>
      </c>
      <c r="C17" s="55" t="s">
        <v>396</v>
      </c>
      <c r="D17" s="128">
        <v>2016</v>
      </c>
      <c r="E17" s="55" t="s">
        <v>675</v>
      </c>
      <c r="F17" s="57">
        <f>SIM_Parametres!$C$22</f>
        <v>1295854000</v>
      </c>
      <c r="G17" s="129">
        <f>SIM_Districts!D17*(1+SIM_Parametres!$B$6)^(2016-2023)</f>
        <v>78351.12421606826</v>
      </c>
      <c r="H17" s="129">
        <f>MAX(0,MIN(100,SIM_Districts!F17+(2016-2022)*SIM_Parametres!$B$7))</f>
        <v>51.48</v>
      </c>
      <c r="I17" s="129">
        <f>SIM_Districts!G17*(1+SIM_Parametres!$B$8)^(2016-2023)</f>
        <v>61.682933008349103</v>
      </c>
      <c r="J17" s="129">
        <f>SIM_Districts!H17*(1+SIM_Parametres!$B$9)^(2016-2023)</f>
        <v>33.242950142474257</v>
      </c>
      <c r="K17" s="129">
        <f>MAX(0,MIN(100,SIM_Districts!I17+(2016-2023)*SIM_Parametres!$B$10))</f>
        <v>77.5</v>
      </c>
      <c r="L17" s="129">
        <f>SIM_Districts!E17</f>
        <v>978</v>
      </c>
      <c r="M17" s="68">
        <f t="shared" si="0"/>
        <v>80.113623942810079</v>
      </c>
      <c r="N17" s="129">
        <f>SIM_Districts!J17</f>
        <v>95110</v>
      </c>
      <c r="O17" s="56">
        <v>15800000</v>
      </c>
      <c r="P17" s="130">
        <f>SIM_Parametres!$D$22</f>
        <v>0</v>
      </c>
      <c r="Q17" s="130">
        <f>SIM_Parametres!$B$12</f>
        <v>0.2</v>
      </c>
      <c r="R17" s="59">
        <f t="shared" si="1"/>
        <v>5.3161170333549078E-3</v>
      </c>
      <c r="S17" s="59">
        <f t="shared" si="2"/>
        <v>0.65957446808510622</v>
      </c>
      <c r="T17" s="59">
        <f t="shared" si="3"/>
        <v>0.65469613259668513</v>
      </c>
      <c r="U17" s="59">
        <f t="shared" si="4"/>
        <v>0.53221272247018292</v>
      </c>
      <c r="V17" s="59">
        <f t="shared" si="5"/>
        <v>0.24769050312675686</v>
      </c>
      <c r="W17" s="59">
        <f t="shared" si="6"/>
        <v>1.5726062143310078E-2</v>
      </c>
      <c r="X17" s="59">
        <f t="shared" si="7"/>
        <v>1.2955775433225826E-2</v>
      </c>
      <c r="Y17" s="59">
        <f t="shared" si="8"/>
        <v>1.3597880434592077E-2</v>
      </c>
      <c r="Z17" s="59">
        <f t="shared" si="9"/>
        <v>9.0910712011208778E-3</v>
      </c>
      <c r="AA17" s="59">
        <f t="shared" si="10"/>
        <v>8.6263934382789769E-3</v>
      </c>
      <c r="AB17" s="59">
        <f t="shared" si="11"/>
        <v>1.2192731588589455E-2</v>
      </c>
      <c r="AC17" s="60">
        <f t="shared" si="12"/>
        <v>12593130.111800531</v>
      </c>
      <c r="AD17" s="60">
        <f t="shared" si="13"/>
        <v>15800000</v>
      </c>
      <c r="AE17" s="59">
        <f>0</f>
        <v>0</v>
      </c>
      <c r="AF17" s="60">
        <f t="shared" si="14"/>
        <v>15800000</v>
      </c>
      <c r="AG17" s="60">
        <f>1</f>
        <v>1</v>
      </c>
      <c r="AH17" s="60">
        <f t="shared" si="15"/>
        <v>15800000</v>
      </c>
      <c r="AI17" s="60">
        <f t="shared" si="16"/>
        <v>201.65632794787308</v>
      </c>
      <c r="AJ17" s="60">
        <f t="shared" si="17"/>
        <v>0</v>
      </c>
      <c r="AK17" s="71"/>
    </row>
    <row r="18" spans="1:37" ht="12.75" customHeight="1" x14ac:dyDescent="0.25">
      <c r="A18" s="62" t="s">
        <v>605</v>
      </c>
      <c r="B18" s="62" t="s">
        <v>394</v>
      </c>
      <c r="C18" s="62" t="s">
        <v>394</v>
      </c>
      <c r="D18" s="124">
        <v>2016</v>
      </c>
      <c r="E18" s="62" t="s">
        <v>675</v>
      </c>
      <c r="F18" s="64">
        <f>SIM_Parametres!$C$22</f>
        <v>1295854000</v>
      </c>
      <c r="G18" s="125">
        <f>SIM_Districts!D18*(1+SIM_Parametres!$B$6)^(2016-2023)</f>
        <v>191526.95786297237</v>
      </c>
      <c r="H18" s="125">
        <f>MAX(0,MIN(100,SIM_Districts!F18+(2016-2022)*SIM_Parametres!$B$7))</f>
        <v>51.48</v>
      </c>
      <c r="I18" s="125">
        <f>SIM_Districts!G18*(1+SIM_Parametres!$B$8)^(2016-2023)</f>
        <v>61.682933008349103</v>
      </c>
      <c r="J18" s="125">
        <f>SIM_Districts!H18*(1+SIM_Parametres!$B$9)^(2016-2023)</f>
        <v>33.242950142474257</v>
      </c>
      <c r="K18" s="125">
        <f>MAX(0,MIN(100,SIM_Districts!I18+(2016-2023)*SIM_Parametres!$B$10))</f>
        <v>77.5</v>
      </c>
      <c r="L18" s="125">
        <f>SIM_Districts!E18</f>
        <v>1155</v>
      </c>
      <c r="M18" s="61">
        <f t="shared" si="0"/>
        <v>165.82420594196742</v>
      </c>
      <c r="N18" s="125">
        <f>SIM_Districts!J18</f>
        <v>95110</v>
      </c>
      <c r="O18" s="63">
        <v>17400000</v>
      </c>
      <c r="P18" s="126">
        <f>SIM_Parametres!$D$22</f>
        <v>0</v>
      </c>
      <c r="Q18" s="126">
        <f>SIM_Parametres!$B$12</f>
        <v>0.2</v>
      </c>
      <c r="R18" s="66">
        <f t="shared" si="1"/>
        <v>1.2995087603774123E-2</v>
      </c>
      <c r="S18" s="66">
        <f t="shared" si="2"/>
        <v>0.65957446808510622</v>
      </c>
      <c r="T18" s="66">
        <f t="shared" si="3"/>
        <v>0.65469613259668513</v>
      </c>
      <c r="U18" s="66">
        <f t="shared" si="4"/>
        <v>0.53685323433738241</v>
      </c>
      <c r="V18" s="66">
        <f t="shared" si="5"/>
        <v>0.24769050312675686</v>
      </c>
      <c r="W18" s="66">
        <f t="shared" si="6"/>
        <v>1.5726062143310078E-2</v>
      </c>
      <c r="X18" s="66">
        <f t="shared" si="7"/>
        <v>1.2955775433225826E-2</v>
      </c>
      <c r="Y18" s="66">
        <f t="shared" si="8"/>
        <v>1.3716444164584495E-2</v>
      </c>
      <c r="Z18" s="66">
        <f t="shared" si="9"/>
        <v>9.0910712011208778E-3</v>
      </c>
      <c r="AA18" s="66">
        <f t="shared" si="10"/>
        <v>1.3239703967030126E-2</v>
      </c>
      <c r="AB18" s="66">
        <f t="shared" si="11"/>
        <v>1.3427438584902312E-2</v>
      </c>
      <c r="AC18" s="67">
        <f t="shared" si="12"/>
        <v>17375671.633339964</v>
      </c>
      <c r="AD18" s="67">
        <f t="shared" si="13"/>
        <v>17400000</v>
      </c>
      <c r="AE18" s="66">
        <f>0</f>
        <v>0</v>
      </c>
      <c r="AF18" s="67">
        <f t="shared" si="14"/>
        <v>17400000</v>
      </c>
      <c r="AG18" s="67">
        <f>1</f>
        <v>1</v>
      </c>
      <c r="AH18" s="67">
        <f t="shared" si="15"/>
        <v>17400000</v>
      </c>
      <c r="AI18" s="67">
        <f t="shared" si="16"/>
        <v>90.848829815637757</v>
      </c>
      <c r="AJ18" s="67">
        <f t="shared" si="17"/>
        <v>0</v>
      </c>
      <c r="AK18" s="131"/>
    </row>
    <row r="19" spans="1:37" ht="12.75" customHeight="1" x14ac:dyDescent="0.25">
      <c r="A19" s="55" t="s">
        <v>606</v>
      </c>
      <c r="B19" s="55" t="s">
        <v>394</v>
      </c>
      <c r="C19" s="55" t="s">
        <v>397</v>
      </c>
      <c r="D19" s="128">
        <v>2016</v>
      </c>
      <c r="E19" s="55" t="s">
        <v>675</v>
      </c>
      <c r="F19" s="57">
        <f>SIM_Parametres!$C$22</f>
        <v>1295854000</v>
      </c>
      <c r="G19" s="129">
        <f>SIM_Districts!D19*(1+SIM_Parametres!$B$6)^(2016-2023)</f>
        <v>52329.756578546905</v>
      </c>
      <c r="H19" s="129">
        <f>MAX(0,MIN(100,SIM_Districts!F19+(2016-2022)*SIM_Parametres!$B$7))</f>
        <v>51.48</v>
      </c>
      <c r="I19" s="129">
        <f>SIM_Districts!G19*(1+SIM_Parametres!$B$8)^(2016-2023)</f>
        <v>61.682933008349103</v>
      </c>
      <c r="J19" s="129">
        <f>SIM_Districts!H19*(1+SIM_Parametres!$B$9)^(2016-2023)</f>
        <v>33.242950142474257</v>
      </c>
      <c r="K19" s="129">
        <f>MAX(0,MIN(100,SIM_Districts!I19+(2016-2023)*SIM_Parametres!$B$10))</f>
        <v>77.5</v>
      </c>
      <c r="L19" s="129">
        <f>SIM_Districts!E19</f>
        <v>733</v>
      </c>
      <c r="M19" s="68">
        <f t="shared" si="0"/>
        <v>71.391209520527838</v>
      </c>
      <c r="N19" s="129">
        <f>SIM_Districts!J19</f>
        <v>95110</v>
      </c>
      <c r="O19" s="56">
        <v>16500000</v>
      </c>
      <c r="P19" s="130">
        <f>SIM_Parametres!$D$22</f>
        <v>0</v>
      </c>
      <c r="Q19" s="130">
        <f>SIM_Parametres!$B$12</f>
        <v>0.2</v>
      </c>
      <c r="R19" s="59">
        <f t="shared" si="1"/>
        <v>3.5505694791483004E-3</v>
      </c>
      <c r="S19" s="59">
        <f t="shared" si="2"/>
        <v>0.65957446808510622</v>
      </c>
      <c r="T19" s="59">
        <f t="shared" si="3"/>
        <v>0.65469613259668513</v>
      </c>
      <c r="U19" s="59">
        <f t="shared" si="4"/>
        <v>0.52387753369973955</v>
      </c>
      <c r="V19" s="59">
        <f t="shared" si="5"/>
        <v>0.24769050312675686</v>
      </c>
      <c r="W19" s="59">
        <f t="shared" si="6"/>
        <v>1.5726062143310078E-2</v>
      </c>
      <c r="X19" s="59">
        <f t="shared" si="7"/>
        <v>1.2955775433225826E-2</v>
      </c>
      <c r="Y19" s="59">
        <f t="shared" si="8"/>
        <v>1.3384918783141526E-2</v>
      </c>
      <c r="Z19" s="59">
        <f t="shared" si="9"/>
        <v>9.0910712011208778E-3</v>
      </c>
      <c r="AA19" s="59">
        <f t="shared" si="10"/>
        <v>7.5564168231824855E-3</v>
      </c>
      <c r="AB19" s="59">
        <f t="shared" si="11"/>
        <v>1.2732915899476329E-2</v>
      </c>
      <c r="AC19" s="60">
        <f t="shared" si="12"/>
        <v>11483903.330537133</v>
      </c>
      <c r="AD19" s="60">
        <f t="shared" si="13"/>
        <v>16500000</v>
      </c>
      <c r="AE19" s="59">
        <f>0</f>
        <v>0</v>
      </c>
      <c r="AF19" s="60">
        <f t="shared" si="14"/>
        <v>16500000</v>
      </c>
      <c r="AG19" s="60">
        <f>1</f>
        <v>1</v>
      </c>
      <c r="AH19" s="60">
        <f t="shared" si="15"/>
        <v>16500000</v>
      </c>
      <c r="AI19" s="60">
        <f t="shared" si="16"/>
        <v>315.30817414052973</v>
      </c>
      <c r="AJ19" s="60">
        <f t="shared" si="17"/>
        <v>0</v>
      </c>
      <c r="AK19" s="71"/>
    </row>
    <row r="20" spans="1:37" ht="12.75" customHeight="1" x14ac:dyDescent="0.25">
      <c r="A20" s="62" t="s">
        <v>607</v>
      </c>
      <c r="B20" s="62" t="s">
        <v>394</v>
      </c>
      <c r="C20" s="62" t="s">
        <v>398</v>
      </c>
      <c r="D20" s="124">
        <v>2016</v>
      </c>
      <c r="E20" s="62" t="s">
        <v>675</v>
      </c>
      <c r="F20" s="64">
        <f>SIM_Parametres!$C$22</f>
        <v>1295854000</v>
      </c>
      <c r="G20" s="125">
        <f>SIM_Districts!D20*(1+SIM_Parametres!$B$6)^(2016-2023)</f>
        <v>98799.562634842267</v>
      </c>
      <c r="H20" s="125">
        <f>MAX(0,MIN(100,SIM_Districts!F20+(2016-2022)*SIM_Parametres!$B$7))</f>
        <v>51.48</v>
      </c>
      <c r="I20" s="125">
        <f>SIM_Districts!G20*(1+SIM_Parametres!$B$8)^(2016-2023)</f>
        <v>61.682933008349103</v>
      </c>
      <c r="J20" s="125">
        <f>SIM_Districts!H20*(1+SIM_Parametres!$B$9)^(2016-2023)</f>
        <v>33.242950142474257</v>
      </c>
      <c r="K20" s="125">
        <f>MAX(0,MIN(100,SIM_Districts!I20+(2016-2023)*SIM_Parametres!$B$10))</f>
        <v>77.5</v>
      </c>
      <c r="L20" s="125">
        <f>SIM_Districts!E20</f>
        <v>1476</v>
      </c>
      <c r="M20" s="61">
        <f t="shared" si="0"/>
        <v>66.937373058836229</v>
      </c>
      <c r="N20" s="125">
        <f>SIM_Districts!J20</f>
        <v>95110</v>
      </c>
      <c r="O20" s="63">
        <v>17230000</v>
      </c>
      <c r="P20" s="126">
        <f>SIM_Parametres!$D$22</f>
        <v>0</v>
      </c>
      <c r="Q20" s="126">
        <f>SIM_Parametres!$B$12</f>
        <v>0.2</v>
      </c>
      <c r="R20" s="66">
        <f t="shared" si="1"/>
        <v>6.7035418198043654E-3</v>
      </c>
      <c r="S20" s="66">
        <f t="shared" si="2"/>
        <v>0.65957446808510622</v>
      </c>
      <c r="T20" s="66">
        <f t="shared" si="3"/>
        <v>0.65469613259668513</v>
      </c>
      <c r="U20" s="66">
        <f t="shared" si="4"/>
        <v>0.54969284466862123</v>
      </c>
      <c r="V20" s="66">
        <f t="shared" si="5"/>
        <v>0.24769050312675686</v>
      </c>
      <c r="W20" s="66">
        <f t="shared" si="6"/>
        <v>1.5726062143310078E-2</v>
      </c>
      <c r="X20" s="66">
        <f t="shared" si="7"/>
        <v>1.2955775433225826E-2</v>
      </c>
      <c r="Y20" s="66">
        <f t="shared" si="8"/>
        <v>1.4044492478237349E-2</v>
      </c>
      <c r="Z20" s="66">
        <f t="shared" si="9"/>
        <v>9.0910712011208778E-3</v>
      </c>
      <c r="AA20" s="66">
        <f t="shared" si="10"/>
        <v>9.4811789123309155E-3</v>
      </c>
      <c r="AB20" s="66">
        <f t="shared" si="11"/>
        <v>1.3296250966544071E-2</v>
      </c>
      <c r="AC20" s="67">
        <f t="shared" si="12"/>
        <v>13479271.852354214</v>
      </c>
      <c r="AD20" s="67">
        <f t="shared" si="13"/>
        <v>17230000</v>
      </c>
      <c r="AE20" s="66">
        <f>0</f>
        <v>0</v>
      </c>
      <c r="AF20" s="67">
        <f t="shared" si="14"/>
        <v>17230000</v>
      </c>
      <c r="AG20" s="67">
        <f>1</f>
        <v>1</v>
      </c>
      <c r="AH20" s="67">
        <f t="shared" si="15"/>
        <v>17230000</v>
      </c>
      <c r="AI20" s="67">
        <f t="shared" si="16"/>
        <v>174.39348455095018</v>
      </c>
      <c r="AJ20" s="67">
        <f t="shared" si="17"/>
        <v>0</v>
      </c>
      <c r="AK20" s="131"/>
    </row>
    <row r="21" spans="1:37" ht="12.75" customHeight="1" x14ac:dyDescent="0.25">
      <c r="A21" s="55" t="s">
        <v>608</v>
      </c>
      <c r="B21" s="55" t="s">
        <v>394</v>
      </c>
      <c r="C21" s="55" t="s">
        <v>399</v>
      </c>
      <c r="D21" s="128">
        <v>2016</v>
      </c>
      <c r="E21" s="55" t="s">
        <v>675</v>
      </c>
      <c r="F21" s="57">
        <f>SIM_Parametres!$C$22</f>
        <v>1295854000</v>
      </c>
      <c r="G21" s="129">
        <f>SIM_Districts!D21*(1+SIM_Parametres!$B$6)^(2016-2023)</f>
        <v>80288.721287599474</v>
      </c>
      <c r="H21" s="129">
        <f>MAX(0,MIN(100,SIM_Districts!F21+(2016-2022)*SIM_Parametres!$B$7))</f>
        <v>51.48</v>
      </c>
      <c r="I21" s="129">
        <f>SIM_Districts!G21*(1+SIM_Parametres!$B$8)^(2016-2023)</f>
        <v>61.682933008349103</v>
      </c>
      <c r="J21" s="129">
        <f>SIM_Districts!H21*(1+SIM_Parametres!$B$9)^(2016-2023)</f>
        <v>33.242950142474257</v>
      </c>
      <c r="K21" s="129">
        <f>MAX(0,MIN(100,SIM_Districts!I21+(2016-2023)*SIM_Parametres!$B$10))</f>
        <v>77.5</v>
      </c>
      <c r="L21" s="129">
        <f>SIM_Districts!E21</f>
        <v>406</v>
      </c>
      <c r="M21" s="68">
        <f t="shared" si="0"/>
        <v>197.75547115172284</v>
      </c>
      <c r="N21" s="129">
        <f>SIM_Districts!J21</f>
        <v>95110</v>
      </c>
      <c r="O21" s="56">
        <v>13900000</v>
      </c>
      <c r="P21" s="130">
        <f>SIM_Parametres!$D$22</f>
        <v>0</v>
      </c>
      <c r="Q21" s="130">
        <f>SIM_Parametres!$B$12</f>
        <v>0.2</v>
      </c>
      <c r="R21" s="59">
        <f t="shared" si="1"/>
        <v>5.4475828278639964E-3</v>
      </c>
      <c r="S21" s="59">
        <f t="shared" si="2"/>
        <v>0.65957446808510622</v>
      </c>
      <c r="T21" s="59">
        <f t="shared" si="3"/>
        <v>0.65469613259668513</v>
      </c>
      <c r="U21" s="59">
        <f t="shared" si="4"/>
        <v>0.51035214004959606</v>
      </c>
      <c r="V21" s="59">
        <f t="shared" si="5"/>
        <v>0.24769050312675686</v>
      </c>
      <c r="W21" s="59">
        <f t="shared" si="6"/>
        <v>1.5726062143310078E-2</v>
      </c>
      <c r="X21" s="59">
        <f t="shared" si="7"/>
        <v>1.2955775433225826E-2</v>
      </c>
      <c r="Y21" s="59">
        <f t="shared" si="8"/>
        <v>1.3039348904932262E-2</v>
      </c>
      <c r="Z21" s="59">
        <f t="shared" si="9"/>
        <v>9.0910712011208778E-3</v>
      </c>
      <c r="AA21" s="59">
        <f t="shared" si="10"/>
        <v>8.6773463385014394E-3</v>
      </c>
      <c r="AB21" s="59">
        <f t="shared" si="11"/>
        <v>1.0726517030467939E-2</v>
      </c>
      <c r="AC21" s="60">
        <f t="shared" si="12"/>
        <v>12645952.127452435</v>
      </c>
      <c r="AD21" s="60">
        <f t="shared" si="13"/>
        <v>13900000</v>
      </c>
      <c r="AE21" s="59">
        <f>0</f>
        <v>0</v>
      </c>
      <c r="AF21" s="60">
        <f t="shared" si="14"/>
        <v>13900000</v>
      </c>
      <c r="AG21" s="60">
        <f>1</f>
        <v>1</v>
      </c>
      <c r="AH21" s="60">
        <f t="shared" si="15"/>
        <v>13900000</v>
      </c>
      <c r="AI21" s="60">
        <f t="shared" si="16"/>
        <v>173.12518840858465</v>
      </c>
      <c r="AJ21" s="60">
        <f t="shared" si="17"/>
        <v>0</v>
      </c>
      <c r="AK21" s="71"/>
    </row>
    <row r="22" spans="1:37" ht="12.75" customHeight="1" x14ac:dyDescent="0.25">
      <c r="A22" s="62" t="s">
        <v>609</v>
      </c>
      <c r="B22" s="62" t="s">
        <v>394</v>
      </c>
      <c r="C22" s="62" t="s">
        <v>400</v>
      </c>
      <c r="D22" s="124">
        <v>2016</v>
      </c>
      <c r="E22" s="62" t="s">
        <v>675</v>
      </c>
      <c r="F22" s="64">
        <f>SIM_Parametres!$C$22</f>
        <v>1295854000</v>
      </c>
      <c r="G22" s="125">
        <f>SIM_Districts!D22*(1+SIM_Parametres!$B$6)^(2016-2023)</f>
        <v>84375.319223611164</v>
      </c>
      <c r="H22" s="125">
        <f>MAX(0,MIN(100,SIM_Districts!F22+(2016-2022)*SIM_Parametres!$B$7))</f>
        <v>51.48</v>
      </c>
      <c r="I22" s="125">
        <f>SIM_Districts!G22*(1+SIM_Parametres!$B$8)^(2016-2023)</f>
        <v>61.682933008349103</v>
      </c>
      <c r="J22" s="125">
        <f>SIM_Districts!H22*(1+SIM_Parametres!$B$9)^(2016-2023)</f>
        <v>33.242950142474257</v>
      </c>
      <c r="K22" s="125">
        <f>MAX(0,MIN(100,SIM_Districts!I22+(2016-2023)*SIM_Parametres!$B$10))</f>
        <v>77.5</v>
      </c>
      <c r="L22" s="125">
        <f>SIM_Districts!E22</f>
        <v>866</v>
      </c>
      <c r="M22" s="61">
        <f t="shared" si="0"/>
        <v>97.43108455382351</v>
      </c>
      <c r="N22" s="125">
        <f>SIM_Districts!J22</f>
        <v>95110</v>
      </c>
      <c r="O22" s="63">
        <v>16200000</v>
      </c>
      <c r="P22" s="126">
        <f>SIM_Parametres!$D$22</f>
        <v>0</v>
      </c>
      <c r="Q22" s="126">
        <f>SIM_Parametres!$B$12</f>
        <v>0.2</v>
      </c>
      <c r="R22" s="66">
        <f t="shared" si="1"/>
        <v>5.7248581460354929E-3</v>
      </c>
      <c r="S22" s="66">
        <f t="shared" si="2"/>
        <v>0.65957446808510622</v>
      </c>
      <c r="T22" s="66">
        <f t="shared" si="3"/>
        <v>0.65469613259668513</v>
      </c>
      <c r="U22" s="66">
        <f t="shared" si="4"/>
        <v>0.52803177519419775</v>
      </c>
      <c r="V22" s="66">
        <f t="shared" si="5"/>
        <v>0.24769050312675686</v>
      </c>
      <c r="W22" s="66">
        <f t="shared" si="6"/>
        <v>1.5726062143310078E-2</v>
      </c>
      <c r="X22" s="66">
        <f t="shared" si="7"/>
        <v>1.2955775433225826E-2</v>
      </c>
      <c r="Y22" s="66">
        <f t="shared" si="8"/>
        <v>1.3491058446387229E-2</v>
      </c>
      <c r="Z22" s="66">
        <f t="shared" si="9"/>
        <v>9.0910712011208778E-3</v>
      </c>
      <c r="AA22" s="66">
        <f t="shared" si="10"/>
        <v>8.8662970064770866E-3</v>
      </c>
      <c r="AB22" s="66">
        <f t="shared" si="11"/>
        <v>1.250140833766767E-2</v>
      </c>
      <c r="AC22" s="67">
        <f t="shared" si="12"/>
        <v>12841834.110571567</v>
      </c>
      <c r="AD22" s="67">
        <f t="shared" si="13"/>
        <v>16200000</v>
      </c>
      <c r="AE22" s="66">
        <f>0</f>
        <v>0</v>
      </c>
      <c r="AF22" s="67">
        <f t="shared" si="14"/>
        <v>16200000</v>
      </c>
      <c r="AG22" s="67">
        <f>1</f>
        <v>1</v>
      </c>
      <c r="AH22" s="67">
        <f t="shared" si="15"/>
        <v>16200000</v>
      </c>
      <c r="AI22" s="67">
        <f t="shared" si="16"/>
        <v>191.99927359168643</v>
      </c>
      <c r="AJ22" s="67">
        <f t="shared" si="17"/>
        <v>0</v>
      </c>
      <c r="AK22" s="131"/>
    </row>
    <row r="23" spans="1:37" ht="12.75" customHeight="1" x14ac:dyDescent="0.25">
      <c r="A23" s="55" t="s">
        <v>610</v>
      </c>
      <c r="B23" s="55" t="s">
        <v>394</v>
      </c>
      <c r="C23" s="55" t="s">
        <v>401</v>
      </c>
      <c r="D23" s="128">
        <v>2016</v>
      </c>
      <c r="E23" s="55" t="s">
        <v>675</v>
      </c>
      <c r="F23" s="57">
        <f>SIM_Parametres!$C$22</f>
        <v>1295854000</v>
      </c>
      <c r="G23" s="129">
        <f>SIM_Districts!D23*(1+SIM_Parametres!$B$6)^(2016-2023)</f>
        <v>151735.88548085131</v>
      </c>
      <c r="H23" s="129">
        <f>MAX(0,MIN(100,SIM_Districts!F23+(2016-2022)*SIM_Parametres!$B$7))</f>
        <v>51.48</v>
      </c>
      <c r="I23" s="129">
        <f>SIM_Districts!G23*(1+SIM_Parametres!$B$8)^(2016-2023)</f>
        <v>61.682933008349103</v>
      </c>
      <c r="J23" s="129">
        <f>SIM_Districts!H23*(1+SIM_Parametres!$B$9)^(2016-2023)</f>
        <v>33.242950142474257</v>
      </c>
      <c r="K23" s="129">
        <f>MAX(0,MIN(100,SIM_Districts!I23+(2016-2023)*SIM_Parametres!$B$10))</f>
        <v>77.5</v>
      </c>
      <c r="L23" s="129">
        <f>SIM_Districts!E23</f>
        <v>1459</v>
      </c>
      <c r="M23" s="68">
        <f t="shared" si="0"/>
        <v>103.9999215084656</v>
      </c>
      <c r="N23" s="129">
        <f>SIM_Districts!J23</f>
        <v>95110</v>
      </c>
      <c r="O23" s="56">
        <v>17800000</v>
      </c>
      <c r="P23" s="130">
        <f>SIM_Parametres!$D$22</f>
        <v>0</v>
      </c>
      <c r="Q23" s="130">
        <f>SIM_Parametres!$B$12</f>
        <v>0.2</v>
      </c>
      <c r="R23" s="59">
        <f t="shared" si="1"/>
        <v>1.0295266767984885E-2</v>
      </c>
      <c r="S23" s="59">
        <f t="shared" si="2"/>
        <v>0.65957446808510622</v>
      </c>
      <c r="T23" s="59">
        <f t="shared" si="3"/>
        <v>0.65469613259668513</v>
      </c>
      <c r="U23" s="59">
        <f t="shared" si="4"/>
        <v>0.54845929360496004</v>
      </c>
      <c r="V23" s="59">
        <f t="shared" si="5"/>
        <v>0.24769050312675686</v>
      </c>
      <c r="W23" s="59">
        <f t="shared" si="6"/>
        <v>1.5726062143310078E-2</v>
      </c>
      <c r="X23" s="59">
        <f t="shared" si="7"/>
        <v>1.2955775433225826E-2</v>
      </c>
      <c r="Y23" s="59">
        <f t="shared" si="8"/>
        <v>1.4012975606946155E-2</v>
      </c>
      <c r="Z23" s="59">
        <f t="shared" si="9"/>
        <v>9.0910712011208778E-3</v>
      </c>
      <c r="AA23" s="59">
        <f t="shared" si="10"/>
        <v>1.1634638037674666E-2</v>
      </c>
      <c r="AB23" s="59">
        <f t="shared" si="11"/>
        <v>1.3736115333980526E-2</v>
      </c>
      <c r="AC23" s="60">
        <f t="shared" si="12"/>
        <v>15711726.749484772</v>
      </c>
      <c r="AD23" s="60">
        <f t="shared" si="13"/>
        <v>17800000</v>
      </c>
      <c r="AE23" s="59">
        <f>0</f>
        <v>0</v>
      </c>
      <c r="AF23" s="60">
        <f t="shared" si="14"/>
        <v>17800000</v>
      </c>
      <c r="AG23" s="60">
        <f>1</f>
        <v>1</v>
      </c>
      <c r="AH23" s="60">
        <f t="shared" si="15"/>
        <v>17800000</v>
      </c>
      <c r="AI23" s="60">
        <f t="shared" si="16"/>
        <v>117.30909892272197</v>
      </c>
      <c r="AJ23" s="60">
        <f t="shared" si="17"/>
        <v>0</v>
      </c>
      <c r="AK23" s="71"/>
    </row>
    <row r="24" spans="1:37" ht="12.75" customHeight="1" x14ac:dyDescent="0.25">
      <c r="A24" s="62" t="s">
        <v>611</v>
      </c>
      <c r="B24" s="62" t="s">
        <v>402</v>
      </c>
      <c r="C24" s="62" t="s">
        <v>404</v>
      </c>
      <c r="D24" s="124">
        <v>2016</v>
      </c>
      <c r="E24" s="62" t="s">
        <v>675</v>
      </c>
      <c r="F24" s="64">
        <f>SIM_Parametres!$C$22</f>
        <v>1295854000</v>
      </c>
      <c r="G24" s="125">
        <f>SIM_Districts!D24*(1+SIM_Parametres!$B$6)^(2016-2023)</f>
        <v>119078.87801925685</v>
      </c>
      <c r="H24" s="125">
        <f>MAX(0,MIN(100,SIM_Districts!F24+(2016-2022)*SIM_Parametres!$B$7))</f>
        <v>63.18</v>
      </c>
      <c r="I24" s="125">
        <f>SIM_Districts!G24*(1+SIM_Parametres!$B$8)^(2016-2023)</f>
        <v>61.682933008349103</v>
      </c>
      <c r="J24" s="125">
        <f>SIM_Districts!H24*(1+SIM_Parametres!$B$9)^(2016-2023)</f>
        <v>59.377344908570365</v>
      </c>
      <c r="K24" s="125">
        <f>MAX(0,MIN(100,SIM_Districts!I24+(2016-2023)*SIM_Parametres!$B$10))</f>
        <v>71.400000000000006</v>
      </c>
      <c r="L24" s="125">
        <f>SIM_Districts!E24</f>
        <v>1150</v>
      </c>
      <c r="M24" s="61">
        <f t="shared" si="0"/>
        <v>103.5468504515277</v>
      </c>
      <c r="N24" s="125">
        <f>SIM_Districts!J24</f>
        <v>169739</v>
      </c>
      <c r="O24" s="63">
        <v>14320000</v>
      </c>
      <c r="P24" s="126">
        <f>SIM_Parametres!$D$22</f>
        <v>0</v>
      </c>
      <c r="Q24" s="126">
        <f>SIM_Parametres!$B$12</f>
        <v>0.2</v>
      </c>
      <c r="R24" s="66">
        <f t="shared" si="1"/>
        <v>8.0794916229311661E-3</v>
      </c>
      <c r="S24" s="66">
        <f t="shared" si="2"/>
        <v>0.86702127659574457</v>
      </c>
      <c r="T24" s="66">
        <f t="shared" si="3"/>
        <v>1</v>
      </c>
      <c r="U24" s="66">
        <f t="shared" si="4"/>
        <v>0.53776328071078594</v>
      </c>
      <c r="V24" s="66">
        <f t="shared" si="5"/>
        <v>0.76566328194948607</v>
      </c>
      <c r="W24" s="66">
        <f t="shared" si="6"/>
        <v>2.0672162333544703E-2</v>
      </c>
      <c r="X24" s="66">
        <f t="shared" si="7"/>
        <v>1.9788990324167716E-2</v>
      </c>
      <c r="Y24" s="66">
        <f t="shared" si="8"/>
        <v>1.3739695585027883E-2</v>
      </c>
      <c r="Z24" s="66">
        <f t="shared" si="9"/>
        <v>2.8102407336645013E-2</v>
      </c>
      <c r="AA24" s="66">
        <f t="shared" si="10"/>
        <v>1.3008973018499209E-2</v>
      </c>
      <c r="AB24" s="66">
        <f t="shared" si="11"/>
        <v>1.1050627617000063E-2</v>
      </c>
      <c r="AC24" s="67">
        <f t="shared" si="12"/>
        <v>17136476.735277899</v>
      </c>
      <c r="AD24" s="67">
        <f t="shared" si="13"/>
        <v>14320000</v>
      </c>
      <c r="AE24" s="66">
        <f>0</f>
        <v>0</v>
      </c>
      <c r="AF24" s="67">
        <f t="shared" si="14"/>
        <v>14320000</v>
      </c>
      <c r="AG24" s="67">
        <f>1</f>
        <v>1</v>
      </c>
      <c r="AH24" s="67">
        <f t="shared" si="15"/>
        <v>14320000</v>
      </c>
      <c r="AI24" s="67">
        <f t="shared" si="16"/>
        <v>120.25642362606271</v>
      </c>
      <c r="AJ24" s="67">
        <f t="shared" si="17"/>
        <v>0</v>
      </c>
      <c r="AK24" s="131"/>
    </row>
    <row r="25" spans="1:37" ht="12.75" customHeight="1" x14ac:dyDescent="0.25">
      <c r="A25" s="55" t="s">
        <v>613</v>
      </c>
      <c r="B25" s="55" t="s">
        <v>402</v>
      </c>
      <c r="C25" s="55" t="s">
        <v>402</v>
      </c>
      <c r="D25" s="128">
        <v>2016</v>
      </c>
      <c r="E25" s="55" t="s">
        <v>675</v>
      </c>
      <c r="F25" s="57">
        <f>SIM_Parametres!$C$22</f>
        <v>1295854000</v>
      </c>
      <c r="G25" s="129">
        <f>SIM_Districts!D25*(1+SIM_Parametres!$B$6)^(2016-2023)</f>
        <v>244330.74679263245</v>
      </c>
      <c r="H25" s="129">
        <f>MAX(0,MIN(100,SIM_Districts!F25+(2016-2022)*SIM_Parametres!$B$7))</f>
        <v>63.18</v>
      </c>
      <c r="I25" s="129">
        <f>SIM_Districts!G25*(1+SIM_Parametres!$B$8)^(2016-2023)</f>
        <v>61.682933008349103</v>
      </c>
      <c r="J25" s="129">
        <f>SIM_Districts!H25*(1+SIM_Parametres!$B$9)^(2016-2023)</f>
        <v>59.377344908570365</v>
      </c>
      <c r="K25" s="129">
        <f>MAX(0,MIN(100,SIM_Districts!I25+(2016-2023)*SIM_Parametres!$B$10))</f>
        <v>71.400000000000006</v>
      </c>
      <c r="L25" s="129">
        <f>SIM_Districts!E25</f>
        <v>2609</v>
      </c>
      <c r="M25" s="68">
        <f t="shared" si="0"/>
        <v>93.649193864558242</v>
      </c>
      <c r="N25" s="129">
        <f>SIM_Districts!J25</f>
        <v>169739</v>
      </c>
      <c r="O25" s="56">
        <v>16300000</v>
      </c>
      <c r="P25" s="130">
        <f>SIM_Parametres!$D$22</f>
        <v>0</v>
      </c>
      <c r="Q25" s="130">
        <f>SIM_Parametres!$B$12</f>
        <v>0.2</v>
      </c>
      <c r="R25" s="59">
        <f t="shared" si="1"/>
        <v>1.6577820137139293E-2</v>
      </c>
      <c r="S25" s="59">
        <f t="shared" si="2"/>
        <v>0.86702127659574457</v>
      </c>
      <c r="T25" s="59">
        <f t="shared" si="3"/>
        <v>1</v>
      </c>
      <c r="U25" s="59">
        <f t="shared" si="4"/>
        <v>0.58847583069176324</v>
      </c>
      <c r="V25" s="59">
        <f t="shared" si="5"/>
        <v>0.76566328194948607</v>
      </c>
      <c r="W25" s="59">
        <f t="shared" si="6"/>
        <v>2.0672162333544703E-2</v>
      </c>
      <c r="X25" s="59">
        <f t="shared" si="7"/>
        <v>1.9788990324167716E-2</v>
      </c>
      <c r="Y25" s="59">
        <f t="shared" si="8"/>
        <v>1.5035386503452401E-2</v>
      </c>
      <c r="Z25" s="59">
        <f t="shared" si="9"/>
        <v>2.8102407336645013E-2</v>
      </c>
      <c r="AA25" s="59">
        <f t="shared" si="10"/>
        <v>1.817275467294531E-2</v>
      </c>
      <c r="AB25" s="59">
        <f t="shared" si="11"/>
        <v>1.2578577524937223E-2</v>
      </c>
      <c r="AC25" s="60">
        <f t="shared" si="12"/>
        <v>22489682.424910378</v>
      </c>
      <c r="AD25" s="60">
        <f t="shared" si="13"/>
        <v>16300000</v>
      </c>
      <c r="AE25" s="59">
        <f>0</f>
        <v>0</v>
      </c>
      <c r="AF25" s="60">
        <f t="shared" si="14"/>
        <v>16300000</v>
      </c>
      <c r="AG25" s="60">
        <f>1</f>
        <v>1</v>
      </c>
      <c r="AH25" s="60">
        <f t="shared" si="15"/>
        <v>16300000</v>
      </c>
      <c r="AI25" s="60">
        <f t="shared" si="16"/>
        <v>66.712848112538538</v>
      </c>
      <c r="AJ25" s="60">
        <f t="shared" si="17"/>
        <v>0</v>
      </c>
      <c r="AK25" s="71"/>
    </row>
    <row r="26" spans="1:37" ht="12.75" customHeight="1" x14ac:dyDescent="0.25">
      <c r="A26" s="62" t="s">
        <v>614</v>
      </c>
      <c r="B26" s="62" t="s">
        <v>402</v>
      </c>
      <c r="C26" s="62" t="s">
        <v>405</v>
      </c>
      <c r="D26" s="124">
        <v>2016</v>
      </c>
      <c r="E26" s="62" t="s">
        <v>675</v>
      </c>
      <c r="F26" s="64">
        <f>SIM_Parametres!$C$22</f>
        <v>1295854000</v>
      </c>
      <c r="G26" s="125">
        <f>SIM_Districts!D26*(1+SIM_Parametres!$B$6)^(2016-2023)</f>
        <v>192283.13296852168</v>
      </c>
      <c r="H26" s="125">
        <f>MAX(0,MIN(100,SIM_Districts!F26+(2016-2022)*SIM_Parametres!$B$7))</f>
        <v>63.18</v>
      </c>
      <c r="I26" s="125">
        <f>SIM_Districts!G26*(1+SIM_Parametres!$B$8)^(2016-2023)</f>
        <v>61.682933008349103</v>
      </c>
      <c r="J26" s="125">
        <f>SIM_Districts!H26*(1+SIM_Parametres!$B$9)^(2016-2023)</f>
        <v>59.377344908570365</v>
      </c>
      <c r="K26" s="125">
        <f>MAX(0,MIN(100,SIM_Districts!I26+(2016-2023)*SIM_Parametres!$B$10))</f>
        <v>71.400000000000006</v>
      </c>
      <c r="L26" s="125">
        <f>SIM_Districts!E26</f>
        <v>4537</v>
      </c>
      <c r="M26" s="61">
        <f t="shared" si="0"/>
        <v>42.381118132801781</v>
      </c>
      <c r="N26" s="125">
        <f>SIM_Districts!J26</f>
        <v>169739</v>
      </c>
      <c r="O26" s="63">
        <v>23600000</v>
      </c>
      <c r="P26" s="126">
        <f>SIM_Parametres!$D$22</f>
        <v>0</v>
      </c>
      <c r="Q26" s="126">
        <f>SIM_Parametres!$B$12</f>
        <v>0.2</v>
      </c>
      <c r="R26" s="66">
        <f t="shared" si="1"/>
        <v>1.3046394019591769E-2</v>
      </c>
      <c r="S26" s="66">
        <f t="shared" si="2"/>
        <v>0.86702127659574457</v>
      </c>
      <c r="T26" s="66">
        <f t="shared" si="3"/>
        <v>1</v>
      </c>
      <c r="U26" s="66">
        <f t="shared" si="4"/>
        <v>0.65615433798264988</v>
      </c>
      <c r="V26" s="66">
        <f t="shared" si="5"/>
        <v>0.76566328194948607</v>
      </c>
      <c r="W26" s="66">
        <f t="shared" si="6"/>
        <v>2.0672162333544703E-2</v>
      </c>
      <c r="X26" s="66">
        <f t="shared" si="7"/>
        <v>1.9788990324167716E-2</v>
      </c>
      <c r="Y26" s="66">
        <f t="shared" si="8"/>
        <v>1.6764552702001334E-2</v>
      </c>
      <c r="Z26" s="66">
        <f t="shared" si="9"/>
        <v>2.8102407336645013E-2</v>
      </c>
      <c r="AA26" s="66">
        <f t="shared" si="10"/>
        <v>1.6140357312344242E-2</v>
      </c>
      <c r="AB26" s="66">
        <f t="shared" si="11"/>
        <v>1.8211928195614631E-2</v>
      </c>
      <c r="AC26" s="67">
        <f t="shared" si="12"/>
        <v>20382730.225450907</v>
      </c>
      <c r="AD26" s="67">
        <f t="shared" si="13"/>
        <v>23600000</v>
      </c>
      <c r="AE26" s="66">
        <f>0</f>
        <v>0</v>
      </c>
      <c r="AF26" s="67">
        <f t="shared" si="14"/>
        <v>23600000</v>
      </c>
      <c r="AG26" s="67">
        <f>1</f>
        <v>1</v>
      </c>
      <c r="AH26" s="67">
        <f t="shared" si="15"/>
        <v>23600000</v>
      </c>
      <c r="AI26" s="67">
        <f t="shared" si="16"/>
        <v>122.73567439669038</v>
      </c>
      <c r="AJ26" s="67">
        <f t="shared" si="17"/>
        <v>0</v>
      </c>
      <c r="AK26" s="131"/>
    </row>
    <row r="27" spans="1:37" ht="12.75" customHeight="1" x14ac:dyDescent="0.25">
      <c r="A27" s="55" t="s">
        <v>615</v>
      </c>
      <c r="B27" s="55" t="s">
        <v>402</v>
      </c>
      <c r="C27" s="55" t="s">
        <v>406</v>
      </c>
      <c r="D27" s="128">
        <v>2016</v>
      </c>
      <c r="E27" s="55" t="s">
        <v>675</v>
      </c>
      <c r="F27" s="57">
        <f>SIM_Parametres!$C$22</f>
        <v>1295854000</v>
      </c>
      <c r="G27" s="129">
        <f>SIM_Districts!D27*(1+SIM_Parametres!$B$6)^(2016-2023)</f>
        <v>111371.58358323319</v>
      </c>
      <c r="H27" s="129">
        <f>MAX(0,MIN(100,SIM_Districts!F27+(2016-2022)*SIM_Parametres!$B$7))</f>
        <v>63.18</v>
      </c>
      <c r="I27" s="129">
        <f>SIM_Districts!G27*(1+SIM_Parametres!$B$8)^(2016-2023)</f>
        <v>61.682933008349103</v>
      </c>
      <c r="J27" s="129">
        <f>SIM_Districts!H27*(1+SIM_Parametres!$B$9)^(2016-2023)</f>
        <v>59.377344908570365</v>
      </c>
      <c r="K27" s="129">
        <f>MAX(0,MIN(100,SIM_Districts!I27+(2016-2023)*SIM_Parametres!$B$10))</f>
        <v>71.400000000000006</v>
      </c>
      <c r="L27" s="129">
        <f>SIM_Districts!E27</f>
        <v>2765</v>
      </c>
      <c r="M27" s="68">
        <f t="shared" si="0"/>
        <v>40.279053737154861</v>
      </c>
      <c r="N27" s="129">
        <f>SIM_Districts!J27</f>
        <v>169739</v>
      </c>
      <c r="O27" s="56">
        <v>16400000</v>
      </c>
      <c r="P27" s="130">
        <f>SIM_Parametres!$D$22</f>
        <v>0</v>
      </c>
      <c r="Q27" s="130">
        <f>SIM_Parametres!$B$12</f>
        <v>0.2</v>
      </c>
      <c r="R27" s="59">
        <f t="shared" si="1"/>
        <v>7.5565523589145285E-3</v>
      </c>
      <c r="S27" s="59">
        <f t="shared" si="2"/>
        <v>0.86702127659574457</v>
      </c>
      <c r="T27" s="59">
        <f t="shared" si="3"/>
        <v>1</v>
      </c>
      <c r="U27" s="59">
        <f t="shared" si="4"/>
        <v>0.59480805510502444</v>
      </c>
      <c r="V27" s="59">
        <f t="shared" si="5"/>
        <v>0.76566328194948607</v>
      </c>
      <c r="W27" s="59">
        <f t="shared" si="6"/>
        <v>2.0672162333544703E-2</v>
      </c>
      <c r="X27" s="59">
        <f t="shared" si="7"/>
        <v>1.9788990324167716E-2</v>
      </c>
      <c r="Y27" s="59">
        <f t="shared" si="8"/>
        <v>1.5197172997501038E-2</v>
      </c>
      <c r="Z27" s="59">
        <f t="shared" si="9"/>
        <v>2.8102407336645013E-2</v>
      </c>
      <c r="AA27" s="59">
        <f t="shared" si="10"/>
        <v>1.2768083330712884E-2</v>
      </c>
      <c r="AB27" s="59">
        <f t="shared" si="11"/>
        <v>1.2655746712206777E-2</v>
      </c>
      <c r="AC27" s="60">
        <f t="shared" si="12"/>
        <v>16886750.442896567</v>
      </c>
      <c r="AD27" s="60">
        <f t="shared" si="13"/>
        <v>16400000</v>
      </c>
      <c r="AE27" s="59">
        <f>0</f>
        <v>0</v>
      </c>
      <c r="AF27" s="60">
        <f t="shared" si="14"/>
        <v>16400000</v>
      </c>
      <c r="AG27" s="60">
        <f>1</f>
        <v>1</v>
      </c>
      <c r="AH27" s="60">
        <f t="shared" si="15"/>
        <v>16400000</v>
      </c>
      <c r="AI27" s="60">
        <f t="shared" si="16"/>
        <v>147.2547976095133</v>
      </c>
      <c r="AJ27" s="60">
        <f t="shared" si="17"/>
        <v>0</v>
      </c>
      <c r="AK27" s="71"/>
    </row>
    <row r="28" spans="1:37" ht="12.75" customHeight="1" x14ac:dyDescent="0.25">
      <c r="A28" s="62" t="s">
        <v>616</v>
      </c>
      <c r="B28" s="62" t="s">
        <v>407</v>
      </c>
      <c r="C28" s="62" t="s">
        <v>409</v>
      </c>
      <c r="D28" s="124">
        <v>2016</v>
      </c>
      <c r="E28" s="62" t="s">
        <v>675</v>
      </c>
      <c r="F28" s="64">
        <f>SIM_Parametres!$C$22</f>
        <v>1295854000</v>
      </c>
      <c r="G28" s="125">
        <f>SIM_Districts!D28*(1+SIM_Parametres!$B$6)^(2016-2023)</f>
        <v>130287.34450312499</v>
      </c>
      <c r="H28" s="125">
        <f>MAX(0,MIN(100,SIM_Districts!F28+(2016-2022)*SIM_Parametres!$B$7))</f>
        <v>54.58</v>
      </c>
      <c r="I28" s="125">
        <f>SIM_Districts!G28*(1+SIM_Parametres!$B$8)^(2016-2023)</f>
        <v>61.682933008349103</v>
      </c>
      <c r="J28" s="125">
        <f>SIM_Districts!H28*(1+SIM_Parametres!$B$9)^(2016-2023)</f>
        <v>30.524973086800259</v>
      </c>
      <c r="K28" s="125">
        <f>MAX(0,MIN(100,SIM_Districts!I28+(2016-2023)*SIM_Parametres!$B$10))</f>
        <v>79.099999999999994</v>
      </c>
      <c r="L28" s="125">
        <f>SIM_Districts!E28</f>
        <v>1066</v>
      </c>
      <c r="M28" s="61">
        <f t="shared" si="0"/>
        <v>122.2207734550891</v>
      </c>
      <c r="N28" s="125">
        <f>SIM_Districts!J28</f>
        <v>190293</v>
      </c>
      <c r="O28" s="63">
        <v>15250000</v>
      </c>
      <c r="P28" s="126">
        <f>SIM_Parametres!$D$22</f>
        <v>0</v>
      </c>
      <c r="Q28" s="126">
        <f>SIM_Parametres!$B$12</f>
        <v>0.2</v>
      </c>
      <c r="R28" s="66">
        <f t="shared" si="1"/>
        <v>8.8399851090024129E-3</v>
      </c>
      <c r="S28" s="66">
        <f t="shared" si="2"/>
        <v>0.71453900709219842</v>
      </c>
      <c r="T28" s="66">
        <f t="shared" si="3"/>
        <v>0.61878453038674031</v>
      </c>
      <c r="U28" s="66">
        <f t="shared" si="4"/>
        <v>0.53452867131516979</v>
      </c>
      <c r="V28" s="66">
        <f t="shared" si="5"/>
        <v>0.90832112938040932</v>
      </c>
      <c r="W28" s="66">
        <f t="shared" si="6"/>
        <v>1.7036567321919254E-2</v>
      </c>
      <c r="X28" s="66">
        <f t="shared" si="7"/>
        <v>1.2245121084567868E-2</v>
      </c>
      <c r="Y28" s="66">
        <f t="shared" si="8"/>
        <v>1.3657052254725572E-2</v>
      </c>
      <c r="Z28" s="66">
        <f t="shared" si="9"/>
        <v>3.333842822570373E-2</v>
      </c>
      <c r="AA28" s="66">
        <f t="shared" si="10"/>
        <v>1.204601835039598E-2</v>
      </c>
      <c r="AB28" s="66">
        <f t="shared" si="11"/>
        <v>1.1768301058606911E-2</v>
      </c>
      <c r="AC28" s="67">
        <f t="shared" si="12"/>
        <v>16138197.808493705</v>
      </c>
      <c r="AD28" s="67">
        <f t="shared" si="13"/>
        <v>15250000</v>
      </c>
      <c r="AE28" s="66">
        <f>0</f>
        <v>0</v>
      </c>
      <c r="AF28" s="67">
        <f t="shared" si="14"/>
        <v>15250000</v>
      </c>
      <c r="AG28" s="67">
        <f>1</f>
        <v>1</v>
      </c>
      <c r="AH28" s="67">
        <f t="shared" si="15"/>
        <v>15250000</v>
      </c>
      <c r="AI28" s="67">
        <f t="shared" si="16"/>
        <v>117.04897400556217</v>
      </c>
      <c r="AJ28" s="67">
        <f t="shared" si="17"/>
        <v>0</v>
      </c>
      <c r="AK28" s="131"/>
    </row>
    <row r="29" spans="1:37" ht="12.75" customHeight="1" x14ac:dyDescent="0.25">
      <c r="A29" s="55" t="s">
        <v>618</v>
      </c>
      <c r="B29" s="55" t="s">
        <v>407</v>
      </c>
      <c r="C29" s="55" t="s">
        <v>410</v>
      </c>
      <c r="D29" s="128">
        <v>2016</v>
      </c>
      <c r="E29" s="55" t="s">
        <v>675</v>
      </c>
      <c r="F29" s="57">
        <f>SIM_Parametres!$C$22</f>
        <v>1295854000</v>
      </c>
      <c r="G29" s="129">
        <f>SIM_Districts!D29*(1+SIM_Parametres!$B$6)^(2016-2023)</f>
        <v>354171.27906000608</v>
      </c>
      <c r="H29" s="129">
        <f>MAX(0,MIN(100,SIM_Districts!F29+(2016-2022)*SIM_Parametres!$B$7))</f>
        <v>54.58</v>
      </c>
      <c r="I29" s="129">
        <f>SIM_Districts!G29*(1+SIM_Parametres!$B$8)^(2016-2023)</f>
        <v>61.682933008349103</v>
      </c>
      <c r="J29" s="129">
        <f>SIM_Districts!H29*(1+SIM_Parametres!$B$9)^(2016-2023)</f>
        <v>30.524973086800259</v>
      </c>
      <c r="K29" s="129">
        <f>MAX(0,MIN(100,SIM_Districts!I29+(2016-2023)*SIM_Parametres!$B$10))</f>
        <v>79.099999999999994</v>
      </c>
      <c r="L29" s="129">
        <f>SIM_Districts!E29</f>
        <v>535</v>
      </c>
      <c r="M29" s="68">
        <f t="shared" si="0"/>
        <v>662.00239076636649</v>
      </c>
      <c r="N29" s="129">
        <f>SIM_Districts!J29</f>
        <v>190293</v>
      </c>
      <c r="O29" s="56">
        <v>17500000</v>
      </c>
      <c r="P29" s="130">
        <f>SIM_Parametres!$D$22</f>
        <v>0</v>
      </c>
      <c r="Q29" s="130">
        <f>SIM_Parametres!$B$12</f>
        <v>0.2</v>
      </c>
      <c r="R29" s="59">
        <f t="shared" si="1"/>
        <v>2.4030490796070347E-2</v>
      </c>
      <c r="S29" s="59">
        <f t="shared" si="2"/>
        <v>0.71453900709219842</v>
      </c>
      <c r="T29" s="59">
        <f t="shared" si="3"/>
        <v>0.61878453038674031</v>
      </c>
      <c r="U29" s="59">
        <f t="shared" si="4"/>
        <v>0.50674567312414043</v>
      </c>
      <c r="V29" s="59">
        <f t="shared" si="5"/>
        <v>0.90832112938040932</v>
      </c>
      <c r="W29" s="59">
        <f t="shared" si="6"/>
        <v>1.7036567321919254E-2</v>
      </c>
      <c r="X29" s="59">
        <f t="shared" si="7"/>
        <v>1.2245121084567868E-2</v>
      </c>
      <c r="Y29" s="59">
        <f t="shared" si="8"/>
        <v>1.2947204722778849E-2</v>
      </c>
      <c r="Z29" s="59">
        <f t="shared" si="9"/>
        <v>3.333842822570373E-2</v>
      </c>
      <c r="AA29" s="59">
        <f t="shared" si="10"/>
        <v>2.1124829386039407E-2</v>
      </c>
      <c r="AB29" s="59">
        <f t="shared" si="11"/>
        <v>1.3504607772171865E-2</v>
      </c>
      <c r="AC29" s="60">
        <f t="shared" si="12"/>
        <v>25550048.685119849</v>
      </c>
      <c r="AD29" s="60">
        <f t="shared" si="13"/>
        <v>17500000</v>
      </c>
      <c r="AE29" s="59">
        <f>0</f>
        <v>0</v>
      </c>
      <c r="AF29" s="60">
        <f t="shared" si="14"/>
        <v>17500000</v>
      </c>
      <c r="AG29" s="60">
        <f>1</f>
        <v>1</v>
      </c>
      <c r="AH29" s="60">
        <f t="shared" si="15"/>
        <v>17500000</v>
      </c>
      <c r="AI29" s="60">
        <f t="shared" si="16"/>
        <v>49.411121213572578</v>
      </c>
      <c r="AJ29" s="60">
        <f t="shared" si="17"/>
        <v>0</v>
      </c>
      <c r="AK29" s="71"/>
    </row>
    <row r="30" spans="1:37" ht="12.75" customHeight="1" x14ac:dyDescent="0.25">
      <c r="A30" s="62" t="s">
        <v>619</v>
      </c>
      <c r="B30" s="62" t="s">
        <v>407</v>
      </c>
      <c r="C30" s="62" t="s">
        <v>411</v>
      </c>
      <c r="D30" s="124">
        <v>2016</v>
      </c>
      <c r="E30" s="62" t="s">
        <v>675</v>
      </c>
      <c r="F30" s="64">
        <f>SIM_Parametres!$C$22</f>
        <v>1295854000</v>
      </c>
      <c r="G30" s="125">
        <f>SIM_Districts!D30*(1+SIM_Parametres!$B$6)^(2016-2023)</f>
        <v>198683.78934581656</v>
      </c>
      <c r="H30" s="125">
        <f>MAX(0,MIN(100,SIM_Districts!F30+(2016-2022)*SIM_Parametres!$B$7))</f>
        <v>54.58</v>
      </c>
      <c r="I30" s="125">
        <f>SIM_Districts!G30*(1+SIM_Parametres!$B$8)^(2016-2023)</f>
        <v>61.682933008349103</v>
      </c>
      <c r="J30" s="125">
        <f>SIM_Districts!H30*(1+SIM_Parametres!$B$9)^(2016-2023)</f>
        <v>30.524973086800259</v>
      </c>
      <c r="K30" s="125">
        <f>MAX(0,MIN(100,SIM_Districts!I30+(2016-2023)*SIM_Parametres!$B$10))</f>
        <v>79.099999999999994</v>
      </c>
      <c r="L30" s="125">
        <f>SIM_Districts!E30</f>
        <v>1359</v>
      </c>
      <c r="M30" s="61">
        <f t="shared" si="0"/>
        <v>146.19852048993124</v>
      </c>
      <c r="N30" s="125">
        <f>SIM_Districts!J30</f>
        <v>190293</v>
      </c>
      <c r="O30" s="63">
        <v>16500000</v>
      </c>
      <c r="P30" s="126">
        <f>SIM_Parametres!$D$22</f>
        <v>0</v>
      </c>
      <c r="Q30" s="126">
        <f>SIM_Parametres!$B$12</f>
        <v>0.2</v>
      </c>
      <c r="R30" s="66">
        <f t="shared" si="1"/>
        <v>1.3480678003803075E-2</v>
      </c>
      <c r="S30" s="66">
        <f t="shared" si="2"/>
        <v>0.71453900709219842</v>
      </c>
      <c r="T30" s="66">
        <f t="shared" si="3"/>
        <v>0.61878453038674031</v>
      </c>
      <c r="U30" s="66">
        <f t="shared" si="4"/>
        <v>0.54426125050867202</v>
      </c>
      <c r="V30" s="66">
        <f t="shared" si="5"/>
        <v>0.90832112938040932</v>
      </c>
      <c r="W30" s="66">
        <f t="shared" si="6"/>
        <v>1.7036567321919254E-2</v>
      </c>
      <c r="X30" s="66">
        <f t="shared" si="7"/>
        <v>1.2245121084567868E-2</v>
      </c>
      <c r="Y30" s="66">
        <f t="shared" si="8"/>
        <v>1.3905716825499443E-2</v>
      </c>
      <c r="Z30" s="66">
        <f t="shared" si="9"/>
        <v>3.333842822570373E-2</v>
      </c>
      <c r="AA30" s="66">
        <f t="shared" si="10"/>
        <v>1.4842867315815071E-2</v>
      </c>
      <c r="AB30" s="66">
        <f t="shared" si="11"/>
        <v>1.2732915899476329E-2</v>
      </c>
      <c r="AC30" s="67">
        <f t="shared" si="12"/>
        <v>19037644.143881056</v>
      </c>
      <c r="AD30" s="67">
        <f t="shared" si="13"/>
        <v>16500000</v>
      </c>
      <c r="AE30" s="66">
        <f>0</f>
        <v>0</v>
      </c>
      <c r="AF30" s="67">
        <f t="shared" si="14"/>
        <v>16500000</v>
      </c>
      <c r="AG30" s="67">
        <f>1</f>
        <v>1</v>
      </c>
      <c r="AH30" s="67">
        <f t="shared" si="15"/>
        <v>16500000</v>
      </c>
      <c r="AI30" s="67">
        <f t="shared" si="16"/>
        <v>83.046533661994602</v>
      </c>
      <c r="AJ30" s="67">
        <f t="shared" si="17"/>
        <v>0</v>
      </c>
      <c r="AK30" s="131"/>
    </row>
    <row r="31" spans="1:37" ht="12.75" customHeight="1" x14ac:dyDescent="0.25">
      <c r="A31" s="55" t="s">
        <v>620</v>
      </c>
      <c r="B31" s="55" t="s">
        <v>407</v>
      </c>
      <c r="C31" s="55" t="s">
        <v>412</v>
      </c>
      <c r="D31" s="128">
        <v>2016</v>
      </c>
      <c r="E31" s="55" t="s">
        <v>675</v>
      </c>
      <c r="F31" s="57">
        <f>SIM_Parametres!$C$22</f>
        <v>1295854000</v>
      </c>
      <c r="G31" s="129">
        <f>SIM_Districts!D31*(1+SIM_Parametres!$B$6)^(2016-2023)</f>
        <v>403733.27213394025</v>
      </c>
      <c r="H31" s="129">
        <f>MAX(0,MIN(100,SIM_Districts!F31+(2016-2022)*SIM_Parametres!$B$7))</f>
        <v>54.58</v>
      </c>
      <c r="I31" s="129">
        <f>SIM_Districts!G31*(1+SIM_Parametres!$B$8)^(2016-2023)</f>
        <v>61.682933008349103</v>
      </c>
      <c r="J31" s="129">
        <f>SIM_Districts!H31*(1+SIM_Parametres!$B$9)^(2016-2023)</f>
        <v>30.524973086800259</v>
      </c>
      <c r="K31" s="129">
        <f>MAX(0,MIN(100,SIM_Districts!I31+(2016-2023)*SIM_Parametres!$B$10))</f>
        <v>79.099999999999994</v>
      </c>
      <c r="L31" s="129">
        <f>SIM_Districts!E31</f>
        <v>2302</v>
      </c>
      <c r="M31" s="68">
        <f t="shared" si="0"/>
        <v>175.38369771239803</v>
      </c>
      <c r="N31" s="129">
        <f>SIM_Districts!J31</f>
        <v>190293</v>
      </c>
      <c r="O31" s="56">
        <v>21960000</v>
      </c>
      <c r="P31" s="130">
        <f>SIM_Parametres!$D$22</f>
        <v>0</v>
      </c>
      <c r="Q31" s="130">
        <f>SIM_Parametres!$B$12</f>
        <v>0.2</v>
      </c>
      <c r="R31" s="59">
        <f t="shared" si="1"/>
        <v>2.7393267759688252E-2</v>
      </c>
      <c r="S31" s="59">
        <f t="shared" si="2"/>
        <v>0.71453900709219842</v>
      </c>
      <c r="T31" s="59">
        <f t="shared" si="3"/>
        <v>0.61878453038674031</v>
      </c>
      <c r="U31" s="59">
        <f t="shared" si="4"/>
        <v>0.5764195329812869</v>
      </c>
      <c r="V31" s="59">
        <f t="shared" si="5"/>
        <v>0.90832112938040932</v>
      </c>
      <c r="W31" s="59">
        <f t="shared" si="6"/>
        <v>1.7036567321919254E-2</v>
      </c>
      <c r="X31" s="59">
        <f t="shared" si="7"/>
        <v>1.2245121084567868E-2</v>
      </c>
      <c r="Y31" s="59">
        <f t="shared" si="8"/>
        <v>1.4727351599683094E-2</v>
      </c>
      <c r="Z31" s="59">
        <f t="shared" si="9"/>
        <v>3.333842822570373E-2</v>
      </c>
      <c r="AA31" s="59">
        <f t="shared" si="10"/>
        <v>2.3231502908055361E-2</v>
      </c>
      <c r="AB31" s="59">
        <f t="shared" si="11"/>
        <v>1.6946353524393953E-2</v>
      </c>
      <c r="AC31" s="60">
        <f t="shared" si="12"/>
        <v>27734001.733278617</v>
      </c>
      <c r="AD31" s="60">
        <f t="shared" si="13"/>
        <v>21960000</v>
      </c>
      <c r="AE31" s="59">
        <f>0</f>
        <v>0</v>
      </c>
      <c r="AF31" s="60">
        <f t="shared" si="14"/>
        <v>21960000</v>
      </c>
      <c r="AG31" s="60">
        <f>1</f>
        <v>1</v>
      </c>
      <c r="AH31" s="60">
        <f t="shared" si="15"/>
        <v>21960000</v>
      </c>
      <c r="AI31" s="60">
        <f t="shared" si="16"/>
        <v>54.392346422007734</v>
      </c>
      <c r="AJ31" s="60">
        <f t="shared" si="17"/>
        <v>0</v>
      </c>
      <c r="AK31" s="71"/>
    </row>
    <row r="32" spans="1:37" ht="12.75" customHeight="1" x14ac:dyDescent="0.25">
      <c r="A32" s="62" t="s">
        <v>621</v>
      </c>
      <c r="B32" s="62" t="s">
        <v>413</v>
      </c>
      <c r="C32" s="62" t="s">
        <v>413</v>
      </c>
      <c r="D32" s="124">
        <v>2016</v>
      </c>
      <c r="E32" s="62" t="s">
        <v>675</v>
      </c>
      <c r="F32" s="64">
        <f>SIM_Parametres!$C$22</f>
        <v>1295854000</v>
      </c>
      <c r="G32" s="125">
        <f>SIM_Districts!D32*(1+SIM_Parametres!$B$6)^(2016-2023)</f>
        <v>103408.16532113639</v>
      </c>
      <c r="H32" s="125">
        <f>MAX(0,MIN(100,SIM_Districts!F32+(2016-2022)*SIM_Parametres!$B$7))</f>
        <v>70.680000000000007</v>
      </c>
      <c r="I32" s="125">
        <f>SIM_Districts!G32*(1+SIM_Parametres!$B$8)^(2016-2023)</f>
        <v>61.682933008349103</v>
      </c>
      <c r="J32" s="125">
        <f>SIM_Districts!H32*(1+SIM_Parametres!$B$9)^(2016-2023)</f>
        <v>44.533008681427781</v>
      </c>
      <c r="K32" s="125">
        <f>MAX(0,MIN(100,SIM_Districts!I32+(2016-2023)*SIM_Parametres!$B$10))</f>
        <v>73.599999999999994</v>
      </c>
      <c r="L32" s="125">
        <f>SIM_Districts!E32</f>
        <v>7061</v>
      </c>
      <c r="M32" s="61">
        <f t="shared" si="0"/>
        <v>14.644974553340376</v>
      </c>
      <c r="N32" s="125">
        <f>SIM_Districts!J32</f>
        <v>59423</v>
      </c>
      <c r="O32" s="63">
        <v>22500000</v>
      </c>
      <c r="P32" s="126">
        <f>SIM_Parametres!$D$22</f>
        <v>0</v>
      </c>
      <c r="Q32" s="126">
        <f>SIM_Parametres!$B$12</f>
        <v>0.2</v>
      </c>
      <c r="R32" s="66">
        <f t="shared" si="1"/>
        <v>7.016235115346753E-3</v>
      </c>
      <c r="S32" s="66">
        <f t="shared" si="2"/>
        <v>1</v>
      </c>
      <c r="T32" s="66">
        <f t="shared" si="3"/>
        <v>0.80386740331491724</v>
      </c>
      <c r="U32" s="66">
        <f t="shared" si="4"/>
        <v>0.74406922993471691</v>
      </c>
      <c r="V32" s="66">
        <f t="shared" si="5"/>
        <v>0</v>
      </c>
      <c r="W32" s="66">
        <f t="shared" si="6"/>
        <v>2.3842739378566902E-2</v>
      </c>
      <c r="X32" s="66">
        <f t="shared" si="7"/>
        <v>1.5907724266112724E-2</v>
      </c>
      <c r="Y32" s="66">
        <f t="shared" si="8"/>
        <v>1.9010752649337739E-2</v>
      </c>
      <c r="Z32" s="66">
        <f t="shared" si="9"/>
        <v>0</v>
      </c>
      <c r="AA32" s="66">
        <f t="shared" si="10"/>
        <v>1.1122848248376883E-2</v>
      </c>
      <c r="AB32" s="66">
        <f t="shared" si="11"/>
        <v>1.736306713564954E-2</v>
      </c>
      <c r="AC32" s="67">
        <f t="shared" si="12"/>
        <v>15181162.87298822</v>
      </c>
      <c r="AD32" s="67">
        <f t="shared" si="13"/>
        <v>22500000</v>
      </c>
      <c r="AE32" s="66">
        <f>0</f>
        <v>0</v>
      </c>
      <c r="AF32" s="67">
        <f t="shared" si="14"/>
        <v>22500000</v>
      </c>
      <c r="AG32" s="67">
        <f>1</f>
        <v>1</v>
      </c>
      <c r="AH32" s="67">
        <f t="shared" si="15"/>
        <v>22500000</v>
      </c>
      <c r="AI32" s="67">
        <f t="shared" si="16"/>
        <v>217.58436512364128</v>
      </c>
      <c r="AJ32" s="67">
        <f t="shared" si="17"/>
        <v>0</v>
      </c>
      <c r="AK32" s="131"/>
    </row>
    <row r="33" spans="1:37" ht="12.75" customHeight="1" x14ac:dyDescent="0.25">
      <c r="A33" s="55" t="s">
        <v>623</v>
      </c>
      <c r="B33" s="55" t="s">
        <v>413</v>
      </c>
      <c r="C33" s="55" t="s">
        <v>415</v>
      </c>
      <c r="D33" s="128">
        <v>2016</v>
      </c>
      <c r="E33" s="55" t="s">
        <v>675</v>
      </c>
      <c r="F33" s="57">
        <f>SIM_Parametres!$C$22</f>
        <v>1295854000</v>
      </c>
      <c r="G33" s="129">
        <f>SIM_Districts!D33*(1+SIM_Parametres!$B$6)^(2016-2023)</f>
        <v>29118.433204228186</v>
      </c>
      <c r="H33" s="129">
        <f>MAX(0,MIN(100,SIM_Districts!F33+(2016-2022)*SIM_Parametres!$B$7))</f>
        <v>70.680000000000007</v>
      </c>
      <c r="I33" s="129">
        <f>SIM_Districts!G33*(1+SIM_Parametres!$B$8)^(2016-2023)</f>
        <v>61.682933008349103</v>
      </c>
      <c r="J33" s="129">
        <f>SIM_Districts!H33*(1+SIM_Parametres!$B$9)^(2016-2023)</f>
        <v>44.533008681427781</v>
      </c>
      <c r="K33" s="129">
        <f>MAX(0,MIN(100,SIM_Districts!I33+(2016-2023)*SIM_Parametres!$B$10))</f>
        <v>73.599999999999994</v>
      </c>
      <c r="L33" s="129">
        <f>SIM_Districts!E33</f>
        <v>1931</v>
      </c>
      <c r="M33" s="68">
        <f t="shared" si="0"/>
        <v>15.079457899652089</v>
      </c>
      <c r="N33" s="129">
        <f>SIM_Districts!J33</f>
        <v>59423</v>
      </c>
      <c r="O33" s="56">
        <v>16700000</v>
      </c>
      <c r="P33" s="130">
        <f>SIM_Parametres!$D$22</f>
        <v>0</v>
      </c>
      <c r="Q33" s="130">
        <f>SIM_Parametres!$B$12</f>
        <v>0.2</v>
      </c>
      <c r="R33" s="59">
        <f t="shared" si="1"/>
        <v>1.9756831863027538E-3</v>
      </c>
      <c r="S33" s="59">
        <f t="shared" si="2"/>
        <v>1</v>
      </c>
      <c r="T33" s="59">
        <f t="shared" si="3"/>
        <v>0.80386740331491724</v>
      </c>
      <c r="U33" s="59">
        <f t="shared" si="4"/>
        <v>0.56635625479419383</v>
      </c>
      <c r="V33" s="59">
        <f t="shared" si="5"/>
        <v>0</v>
      </c>
      <c r="W33" s="59">
        <f t="shared" si="6"/>
        <v>2.3842739378566902E-2</v>
      </c>
      <c r="X33" s="59">
        <f t="shared" si="7"/>
        <v>1.5907724266112724E-2</v>
      </c>
      <c r="Y33" s="59">
        <f t="shared" si="8"/>
        <v>1.4470237765701426E-2</v>
      </c>
      <c r="Z33" s="59">
        <f t="shared" si="9"/>
        <v>0</v>
      </c>
      <c r="AA33" s="59">
        <f t="shared" si="10"/>
        <v>7.8714913467686672E-3</v>
      </c>
      <c r="AB33" s="59">
        <f t="shared" si="11"/>
        <v>1.2887254274015436E-2</v>
      </c>
      <c r="AC33" s="60">
        <f t="shared" si="12"/>
        <v>11810535.795886932</v>
      </c>
      <c r="AD33" s="60">
        <f t="shared" si="13"/>
        <v>16700000</v>
      </c>
      <c r="AE33" s="59">
        <f>0</f>
        <v>0</v>
      </c>
      <c r="AF33" s="60">
        <f t="shared" si="14"/>
        <v>16700000</v>
      </c>
      <c r="AG33" s="60">
        <f>1</f>
        <v>1</v>
      </c>
      <c r="AH33" s="60">
        <f t="shared" si="15"/>
        <v>16700000</v>
      </c>
      <c r="AI33" s="60">
        <f t="shared" si="16"/>
        <v>573.51986911078211</v>
      </c>
      <c r="AJ33" s="60">
        <f t="shared" si="17"/>
        <v>0</v>
      </c>
      <c r="AK33" s="71"/>
    </row>
    <row r="34" spans="1:37" ht="12.75" customHeight="1" x14ac:dyDescent="0.25">
      <c r="A34" s="62" t="s">
        <v>624</v>
      </c>
      <c r="B34" s="62" t="s">
        <v>413</v>
      </c>
      <c r="C34" s="62" t="s">
        <v>416</v>
      </c>
      <c r="D34" s="124">
        <v>2016</v>
      </c>
      <c r="E34" s="62" t="s">
        <v>675</v>
      </c>
      <c r="F34" s="64">
        <f>SIM_Parametres!$C$22</f>
        <v>1295854000</v>
      </c>
      <c r="G34" s="125">
        <f>SIM_Districts!D34*(1+SIM_Parametres!$B$6)^(2016-2023)</f>
        <v>66800.346205924579</v>
      </c>
      <c r="H34" s="125">
        <f>MAX(0,MIN(100,SIM_Districts!F34+(2016-2022)*SIM_Parametres!$B$7))</f>
        <v>70.680000000000007</v>
      </c>
      <c r="I34" s="125">
        <f>SIM_Districts!G34*(1+SIM_Parametres!$B$8)^(2016-2023)</f>
        <v>61.682933008349103</v>
      </c>
      <c r="J34" s="125">
        <f>SIM_Districts!H34*(1+SIM_Parametres!$B$9)^(2016-2023)</f>
        <v>44.533008681427781</v>
      </c>
      <c r="K34" s="125">
        <f>MAX(0,MIN(100,SIM_Districts!I34+(2016-2023)*SIM_Parametres!$B$10))</f>
        <v>73.599999999999994</v>
      </c>
      <c r="L34" s="125">
        <f>SIM_Districts!E34</f>
        <v>7918</v>
      </c>
      <c r="M34" s="61">
        <f t="shared" si="0"/>
        <v>8.4365175809452619</v>
      </c>
      <c r="N34" s="125">
        <f>SIM_Districts!J34</f>
        <v>59423</v>
      </c>
      <c r="O34" s="63">
        <v>16700000</v>
      </c>
      <c r="P34" s="126">
        <f>SIM_Parametres!$D$22</f>
        <v>0</v>
      </c>
      <c r="Q34" s="126">
        <f>SIM_Parametres!$B$12</f>
        <v>0.2</v>
      </c>
      <c r="R34" s="66">
        <f t="shared" si="1"/>
        <v>4.5323977396930937E-3</v>
      </c>
      <c r="S34" s="66">
        <f t="shared" si="2"/>
        <v>1</v>
      </c>
      <c r="T34" s="66">
        <f t="shared" si="3"/>
        <v>0.80386740331491724</v>
      </c>
      <c r="U34" s="66">
        <f t="shared" si="4"/>
        <v>0.77386406994971768</v>
      </c>
      <c r="V34" s="66">
        <f t="shared" si="5"/>
        <v>0</v>
      </c>
      <c r="W34" s="66">
        <f t="shared" si="6"/>
        <v>2.3842739378566902E-2</v>
      </c>
      <c r="X34" s="66">
        <f t="shared" si="7"/>
        <v>1.5907724266112724E-2</v>
      </c>
      <c r="Y34" s="66">
        <f t="shared" si="8"/>
        <v>1.9772002155383658E-2</v>
      </c>
      <c r="Z34" s="66">
        <f t="shared" si="9"/>
        <v>0</v>
      </c>
      <c r="AA34" s="66">
        <f t="shared" si="10"/>
        <v>9.6706082982869826E-3</v>
      </c>
      <c r="AB34" s="66">
        <f t="shared" si="11"/>
        <v>1.2887254274015436E-2</v>
      </c>
      <c r="AC34" s="67">
        <f t="shared" si="12"/>
        <v>13675650.114361184</v>
      </c>
      <c r="AD34" s="67">
        <f t="shared" si="13"/>
        <v>16700000</v>
      </c>
      <c r="AE34" s="66">
        <f>0</f>
        <v>0</v>
      </c>
      <c r="AF34" s="67">
        <f t="shared" si="14"/>
        <v>16700000</v>
      </c>
      <c r="AG34" s="67">
        <f>1</f>
        <v>1</v>
      </c>
      <c r="AH34" s="67">
        <f t="shared" si="15"/>
        <v>16700000</v>
      </c>
      <c r="AI34" s="67">
        <f t="shared" si="16"/>
        <v>249.99870432585965</v>
      </c>
      <c r="AJ34" s="67">
        <f t="shared" si="17"/>
        <v>0</v>
      </c>
      <c r="AK34" s="131"/>
    </row>
    <row r="35" spans="1:37" ht="12.75" customHeight="1" x14ac:dyDescent="0.25">
      <c r="A35" s="55" t="s">
        <v>625</v>
      </c>
      <c r="B35" s="55" t="s">
        <v>417</v>
      </c>
      <c r="C35" s="55" t="s">
        <v>417</v>
      </c>
      <c r="D35" s="128">
        <v>2016</v>
      </c>
      <c r="E35" s="55" t="s">
        <v>675</v>
      </c>
      <c r="F35" s="57">
        <f>SIM_Parametres!$C$22</f>
        <v>1295854000</v>
      </c>
      <c r="G35" s="129">
        <f>SIM_Districts!D35*(1+SIM_Parametres!$B$6)^(2016-2023)</f>
        <v>276199.86857973516</v>
      </c>
      <c r="H35" s="129">
        <f>MAX(0,MIN(100,SIM_Districts!F35+(2016-2022)*SIM_Parametres!$B$7))</f>
        <v>67.48</v>
      </c>
      <c r="I35" s="129">
        <f>SIM_Districts!G35*(1+SIM_Parametres!$B$8)^(2016-2023)</f>
        <v>61.682933008349103</v>
      </c>
      <c r="J35" s="129">
        <f>SIM_Districts!H35*(1+SIM_Parametres!$B$9)^(2016-2023)</f>
        <v>37.424453305049632</v>
      </c>
      <c r="K35" s="129">
        <f>MAX(0,MIN(100,SIM_Districts!I35+(2016-2023)*SIM_Parametres!$B$10))</f>
        <v>74.5</v>
      </c>
      <c r="L35" s="129">
        <f>SIM_Districts!E35</f>
        <v>3571</v>
      </c>
      <c r="M35" s="68">
        <f t="shared" si="0"/>
        <v>77.345244631681652</v>
      </c>
      <c r="N35" s="129">
        <f>SIM_Districts!J35</f>
        <v>155501</v>
      </c>
      <c r="O35" s="56">
        <v>18000000</v>
      </c>
      <c r="P35" s="130">
        <f>SIM_Parametres!$D$22</f>
        <v>0</v>
      </c>
      <c r="Q35" s="130">
        <f>SIM_Parametres!$B$12</f>
        <v>0.2</v>
      </c>
      <c r="R35" s="59">
        <f t="shared" si="1"/>
        <v>1.8740137307002365E-2</v>
      </c>
      <c r="S35" s="59">
        <f t="shared" si="2"/>
        <v>0.94326241134751765</v>
      </c>
      <c r="T35" s="59">
        <f t="shared" si="3"/>
        <v>0.70994475138121549</v>
      </c>
      <c r="U35" s="59">
        <f t="shared" si="4"/>
        <v>0.62208351647816407</v>
      </c>
      <c r="V35" s="59">
        <f t="shared" si="5"/>
        <v>0.66684249613059499</v>
      </c>
      <c r="W35" s="59">
        <f t="shared" si="6"/>
        <v>2.2489959839357428E-2</v>
      </c>
      <c r="X35" s="59">
        <f t="shared" si="7"/>
        <v>1.4049089815776529E-2</v>
      </c>
      <c r="Y35" s="59">
        <f t="shared" si="8"/>
        <v>1.5894053111206074E-2</v>
      </c>
      <c r="Z35" s="59">
        <f t="shared" si="9"/>
        <v>2.4475353458158197E-2</v>
      </c>
      <c r="AA35" s="59">
        <f t="shared" si="10"/>
        <v>1.8743410160939729E-2</v>
      </c>
      <c r="AB35" s="59">
        <f t="shared" si="11"/>
        <v>1.3890453708519632E-2</v>
      </c>
      <c r="AC35" s="60">
        <f t="shared" si="12"/>
        <v>23081271.382301994</v>
      </c>
      <c r="AD35" s="60">
        <f t="shared" si="13"/>
        <v>18000000</v>
      </c>
      <c r="AE35" s="59">
        <f>0</f>
        <v>0</v>
      </c>
      <c r="AF35" s="60">
        <f t="shared" si="14"/>
        <v>18000000</v>
      </c>
      <c r="AG35" s="60">
        <f>1</f>
        <v>1</v>
      </c>
      <c r="AH35" s="60">
        <f t="shared" si="15"/>
        <v>18000000</v>
      </c>
      <c r="AI35" s="60">
        <f t="shared" si="16"/>
        <v>65.170197554976909</v>
      </c>
      <c r="AJ35" s="60">
        <f t="shared" si="17"/>
        <v>0</v>
      </c>
      <c r="AK35" s="71"/>
    </row>
    <row r="36" spans="1:37" ht="12.75" customHeight="1" x14ac:dyDescent="0.25">
      <c r="A36" s="62" t="s">
        <v>627</v>
      </c>
      <c r="B36" s="62" t="s">
        <v>417</v>
      </c>
      <c r="C36" s="62" t="s">
        <v>419</v>
      </c>
      <c r="D36" s="124">
        <v>2016</v>
      </c>
      <c r="E36" s="62" t="s">
        <v>675</v>
      </c>
      <c r="F36" s="64">
        <f>SIM_Parametres!$C$22</f>
        <v>1295854000</v>
      </c>
      <c r="G36" s="125">
        <f>SIM_Districts!D36*(1+SIM_Parametres!$B$6)^(2016-2023)</f>
        <v>155043.54174899607</v>
      </c>
      <c r="H36" s="125">
        <f>MAX(0,MIN(100,SIM_Districts!F36+(2016-2022)*SIM_Parametres!$B$7))</f>
        <v>67.48</v>
      </c>
      <c r="I36" s="125">
        <f>SIM_Districts!G36*(1+SIM_Parametres!$B$8)^(2016-2023)</f>
        <v>61.682933008349103</v>
      </c>
      <c r="J36" s="125">
        <f>SIM_Districts!H36*(1+SIM_Parametres!$B$9)^(2016-2023)</f>
        <v>37.424453305049632</v>
      </c>
      <c r="K36" s="125">
        <f>MAX(0,MIN(100,SIM_Districts!I36+(2016-2023)*SIM_Parametres!$B$10))</f>
        <v>74.5</v>
      </c>
      <c r="L36" s="125">
        <f>SIM_Districts!E36</f>
        <v>4702</v>
      </c>
      <c r="M36" s="61">
        <f t="shared" si="0"/>
        <v>32.973956135473429</v>
      </c>
      <c r="N36" s="125">
        <f>SIM_Districts!J36</f>
        <v>155501</v>
      </c>
      <c r="O36" s="63">
        <v>18070000</v>
      </c>
      <c r="P36" s="126">
        <f>SIM_Parametres!$D$22</f>
        <v>0</v>
      </c>
      <c r="Q36" s="126">
        <f>SIM_Parametres!$B$12</f>
        <v>0.2</v>
      </c>
      <c r="R36" s="66">
        <f t="shared" ref="R36:R67" si="18">IFERROR(G36/SUM($G$4:$G$74),1/71)</f>
        <v>1.0519690961045301E-2</v>
      </c>
      <c r="S36" s="66">
        <f t="shared" ref="S36:S67" si="19">IF(MAX($H$4:$H$74)=MIN($H$4:$H$74),1,(H36-MIN($H$4:$H$74))/(MAX($H$4:$H$74)-MIN($H$4:$H$74)))</f>
        <v>0.94326241134751765</v>
      </c>
      <c r="T36" s="66">
        <f t="shared" ref="T36:T67" si="20">(IF(MAX($I$4:$I$74)=MIN($I$4:$I$74),1,(I36-MIN($I$4:$I$74))/(MAX($I$4:$I$74)-MIN($I$4:$I$74)))+IF(MAX($J$4:$J$74)=MIN($J$4:$J$74),1,(J36-MIN($J$4:$J$74))/(MAX($J$4:$J$74)-MIN($J$4:$J$74))))/2</f>
        <v>0.70994475138121549</v>
      </c>
      <c r="U36" s="66">
        <f t="shared" ref="U36:U67" si="21">(IF(MAX($L$4:$L$74)=MIN($L$4:$L$74),1,(L36-MIN($L$4:$L$74))/(MAX($L$4:$L$74)-MIN($L$4:$L$74)))+IF(MAX($M$4:$M$74)=MIN($M$4:$M$74),1,(MAX($M$4:$M$74)-M36)/(MAX($M$4:$M$74)-MIN($M$4:$M$74))))/2</f>
        <v>0.66203363691805861</v>
      </c>
      <c r="V36" s="66">
        <f t="shared" ref="V36:V67" si="22">IF(MAX($N$4:$N$74)=MIN($N$4:$N$74),1,(N36-MIN($N$4:$N$74))/(MAX($N$4:$N$74)-MIN($N$4:$N$74)))</f>
        <v>0.66684249613059499</v>
      </c>
      <c r="W36" s="66">
        <f t="shared" ref="W36:W67" si="23">IFERROR(S36/SUM($S$4:$S$74),1/71)</f>
        <v>2.2489959839357428E-2</v>
      </c>
      <c r="X36" s="66">
        <f t="shared" ref="X36:X67" si="24">IFERROR(T36/SUM($T$4:$T$74),1/71)</f>
        <v>1.4049089815776529E-2</v>
      </c>
      <c r="Y36" s="66">
        <f t="shared" ref="Y36:Y67" si="25">IFERROR(U36/SUM($U$4:$U$74),1/71)</f>
        <v>1.6914767081679924E-2</v>
      </c>
      <c r="Z36" s="66">
        <f t="shared" ref="Z36:Z67" si="26">IFERROR(V36/SUM($V$4:$V$74),1/71)</f>
        <v>2.4475353458158197E-2</v>
      </c>
      <c r="AA36" s="66">
        <f t="shared" si="10"/>
        <v>1.386217805188918E-2</v>
      </c>
      <c r="AB36" s="66">
        <f t="shared" si="11"/>
        <v>1.3944472139608321E-2</v>
      </c>
      <c r="AC36" s="67">
        <f t="shared" si="12"/>
        <v>18020980.059548721</v>
      </c>
      <c r="AD36" s="67">
        <f t="shared" si="13"/>
        <v>18070000</v>
      </c>
      <c r="AE36" s="66">
        <f>0</f>
        <v>0</v>
      </c>
      <c r="AF36" s="67">
        <f t="shared" si="14"/>
        <v>18070000</v>
      </c>
      <c r="AG36" s="67">
        <f>1</f>
        <v>1</v>
      </c>
      <c r="AH36" s="67">
        <f t="shared" si="15"/>
        <v>18070000</v>
      </c>
      <c r="AI36" s="67">
        <f t="shared" si="16"/>
        <v>116.5479051636603</v>
      </c>
      <c r="AJ36" s="67">
        <f t="shared" si="17"/>
        <v>0</v>
      </c>
      <c r="AK36" s="131"/>
    </row>
    <row r="37" spans="1:37" ht="12.75" customHeight="1" x14ac:dyDescent="0.25">
      <c r="A37" s="55" t="s">
        <v>628</v>
      </c>
      <c r="B37" s="55" t="s">
        <v>417</v>
      </c>
      <c r="C37" s="55" t="s">
        <v>420</v>
      </c>
      <c r="D37" s="128">
        <v>2016</v>
      </c>
      <c r="E37" s="55" t="s">
        <v>675</v>
      </c>
      <c r="F37" s="57">
        <f>SIM_Parametres!$C$22</f>
        <v>1295854000</v>
      </c>
      <c r="G37" s="129">
        <f>SIM_Districts!D37*(1+SIM_Parametres!$B$6)^(2016-2023)</f>
        <v>312571.07806514611</v>
      </c>
      <c r="H37" s="129">
        <f>MAX(0,MIN(100,SIM_Districts!F37+(2016-2022)*SIM_Parametres!$B$7))</f>
        <v>67.48</v>
      </c>
      <c r="I37" s="129">
        <f>SIM_Districts!G37*(1+SIM_Parametres!$B$8)^(2016-2023)</f>
        <v>61.682933008349103</v>
      </c>
      <c r="J37" s="129">
        <f>SIM_Districts!H37*(1+SIM_Parametres!$B$9)^(2016-2023)</f>
        <v>37.424453305049632</v>
      </c>
      <c r="K37" s="129">
        <f>MAX(0,MIN(100,SIM_Districts!I37+(2016-2023)*SIM_Parametres!$B$10))</f>
        <v>74.5</v>
      </c>
      <c r="L37" s="129">
        <f>SIM_Districts!E37</f>
        <v>5498</v>
      </c>
      <c r="M37" s="68">
        <f t="shared" si="0"/>
        <v>56.85177847674538</v>
      </c>
      <c r="N37" s="129">
        <f>SIM_Districts!J37</f>
        <v>155501</v>
      </c>
      <c r="O37" s="56">
        <v>24200000</v>
      </c>
      <c r="P37" s="130">
        <f>SIM_Parametres!$D$22</f>
        <v>0</v>
      </c>
      <c r="Q37" s="130">
        <f>SIM_Parametres!$B$12</f>
        <v>0.2</v>
      </c>
      <c r="R37" s="59">
        <f t="shared" si="18"/>
        <v>2.120792073964212E-2</v>
      </c>
      <c r="S37" s="59">
        <f t="shared" si="19"/>
        <v>0.94326241134751765</v>
      </c>
      <c r="T37" s="59">
        <f t="shared" si="20"/>
        <v>0.70994475138121549</v>
      </c>
      <c r="U37" s="59">
        <f t="shared" si="21"/>
        <v>0.68919209164884077</v>
      </c>
      <c r="V37" s="59">
        <f t="shared" si="22"/>
        <v>0.66684249613059499</v>
      </c>
      <c r="W37" s="59">
        <f t="shared" si="23"/>
        <v>2.2489959839357428E-2</v>
      </c>
      <c r="X37" s="59">
        <f t="shared" si="24"/>
        <v>1.4049089815776529E-2</v>
      </c>
      <c r="Y37" s="59">
        <f t="shared" si="25"/>
        <v>1.7608657709666832E-2</v>
      </c>
      <c r="Z37" s="59">
        <f t="shared" si="26"/>
        <v>2.4475353458158197E-2</v>
      </c>
      <c r="AA37" s="59">
        <f t="shared" si="10"/>
        <v>2.0309810450446615E-2</v>
      </c>
      <c r="AB37" s="59">
        <f t="shared" si="11"/>
        <v>1.8674943319231949E-2</v>
      </c>
      <c r="AC37" s="60">
        <f t="shared" si="12"/>
        <v>24705132.246908914</v>
      </c>
      <c r="AD37" s="60">
        <f t="shared" si="13"/>
        <v>24200000</v>
      </c>
      <c r="AE37" s="59">
        <f>0</f>
        <v>0</v>
      </c>
      <c r="AF37" s="60">
        <f t="shared" si="14"/>
        <v>24200000</v>
      </c>
      <c r="AG37" s="60">
        <f>1</f>
        <v>1</v>
      </c>
      <c r="AH37" s="60">
        <f t="shared" si="15"/>
        <v>24200000</v>
      </c>
      <c r="AI37" s="60">
        <f t="shared" si="16"/>
        <v>77.422390292156948</v>
      </c>
      <c r="AJ37" s="60">
        <f t="shared" si="17"/>
        <v>0</v>
      </c>
      <c r="AK37" s="71"/>
    </row>
    <row r="38" spans="1:37" ht="12.75" customHeight="1" x14ac:dyDescent="0.25">
      <c r="A38" s="62" t="s">
        <v>629</v>
      </c>
      <c r="B38" s="62" t="s">
        <v>421</v>
      </c>
      <c r="C38" s="62" t="s">
        <v>423</v>
      </c>
      <c r="D38" s="124">
        <v>2016</v>
      </c>
      <c r="E38" s="62" t="s">
        <v>675</v>
      </c>
      <c r="F38" s="64">
        <f>SIM_Parametres!$C$22</f>
        <v>1295854000</v>
      </c>
      <c r="G38" s="125">
        <f>SIM_Districts!D38*(1+SIM_Parametres!$B$6)^(2016-2023)</f>
        <v>66440.146666399465</v>
      </c>
      <c r="H38" s="125">
        <f>MAX(0,MIN(100,SIM_Districts!F38+(2016-2022)*SIM_Parametres!$B$7))</f>
        <v>51.98</v>
      </c>
      <c r="I38" s="125">
        <f>SIM_Districts!G38*(1+SIM_Parametres!$B$8)^(2016-2023)</f>
        <v>61.682933008349103</v>
      </c>
      <c r="J38" s="125">
        <f>SIM_Districts!H38*(1+SIM_Parametres!$B$9)^(2016-2023)</f>
        <v>37.633528463178408</v>
      </c>
      <c r="K38" s="125">
        <f>MAX(0,MIN(100,SIM_Districts!I38+(2016-2023)*SIM_Parametres!$B$10))</f>
        <v>79.8</v>
      </c>
      <c r="L38" s="125">
        <f>SIM_Districts!E38</f>
        <v>822</v>
      </c>
      <c r="M38" s="61">
        <f t="shared" si="0"/>
        <v>80.827429034549226</v>
      </c>
      <c r="N38" s="125">
        <f>SIM_Districts!J38</f>
        <v>97480</v>
      </c>
      <c r="O38" s="63">
        <v>15000000</v>
      </c>
      <c r="P38" s="126">
        <f>SIM_Parametres!$D$22</f>
        <v>0</v>
      </c>
      <c r="Q38" s="126">
        <f>SIM_Parametres!$B$12</f>
        <v>0.2</v>
      </c>
      <c r="R38" s="66">
        <f t="shared" si="18"/>
        <v>4.5079582319433962E-3</v>
      </c>
      <c r="S38" s="66">
        <f t="shared" si="19"/>
        <v>0.66843971631205656</v>
      </c>
      <c r="T38" s="66">
        <f t="shared" si="20"/>
        <v>0.71270718232044206</v>
      </c>
      <c r="U38" s="66">
        <f t="shared" si="21"/>
        <v>0.52679639914705134</v>
      </c>
      <c r="V38" s="66">
        <f t="shared" si="22"/>
        <v>0.26413981218637</v>
      </c>
      <c r="W38" s="66">
        <f t="shared" si="23"/>
        <v>1.5937433946311558E-2</v>
      </c>
      <c r="X38" s="66">
        <f t="shared" si="24"/>
        <v>1.4103755534904065E-2</v>
      </c>
      <c r="Y38" s="66">
        <f t="shared" si="25"/>
        <v>1.3459494947298202E-2</v>
      </c>
      <c r="Z38" s="66">
        <f t="shared" si="26"/>
        <v>9.6948159470131197E-3</v>
      </c>
      <c r="AA38" s="66">
        <f t="shared" si="10"/>
        <v>8.3686689060639453E-3</v>
      </c>
      <c r="AB38" s="66">
        <f t="shared" si="11"/>
        <v>1.1575378090433026E-2</v>
      </c>
      <c r="AC38" s="67">
        <f t="shared" si="12"/>
        <v>12325951.419025348</v>
      </c>
      <c r="AD38" s="67">
        <f t="shared" si="13"/>
        <v>15000000</v>
      </c>
      <c r="AE38" s="66">
        <f>0</f>
        <v>0</v>
      </c>
      <c r="AF38" s="67">
        <f t="shared" si="14"/>
        <v>15000000</v>
      </c>
      <c r="AG38" s="67">
        <f>1</f>
        <v>1</v>
      </c>
      <c r="AH38" s="67">
        <f t="shared" si="15"/>
        <v>15000000</v>
      </c>
      <c r="AI38" s="67">
        <f t="shared" si="16"/>
        <v>225.76711149233353</v>
      </c>
      <c r="AJ38" s="67">
        <f t="shared" si="17"/>
        <v>0</v>
      </c>
      <c r="AK38" s="131"/>
    </row>
    <row r="39" spans="1:37" ht="12.75" customHeight="1" x14ac:dyDescent="0.25">
      <c r="A39" s="55" t="s">
        <v>631</v>
      </c>
      <c r="B39" s="55" t="s">
        <v>421</v>
      </c>
      <c r="C39" s="55" t="s">
        <v>424</v>
      </c>
      <c r="D39" s="128">
        <v>2016</v>
      </c>
      <c r="E39" s="55" t="s">
        <v>675</v>
      </c>
      <c r="F39" s="57">
        <f>SIM_Parametres!$C$22</f>
        <v>1295854000</v>
      </c>
      <c r="G39" s="129">
        <f>SIM_Districts!D39*(1+SIM_Parametres!$B$6)^(2016-2023)</f>
        <v>138036.91969773849</v>
      </c>
      <c r="H39" s="129">
        <f>MAX(0,MIN(100,SIM_Districts!F39+(2016-2022)*SIM_Parametres!$B$7))</f>
        <v>51.98</v>
      </c>
      <c r="I39" s="129">
        <f>SIM_Districts!G39*(1+SIM_Parametres!$B$8)^(2016-2023)</f>
        <v>61.682933008349103</v>
      </c>
      <c r="J39" s="129">
        <f>SIM_Districts!H39*(1+SIM_Parametres!$B$9)^(2016-2023)</f>
        <v>37.633528463178408</v>
      </c>
      <c r="K39" s="129">
        <f>MAX(0,MIN(100,SIM_Districts!I39+(2016-2023)*SIM_Parametres!$B$10))</f>
        <v>79.8</v>
      </c>
      <c r="L39" s="129">
        <f>SIM_Districts!E39</f>
        <v>6832</v>
      </c>
      <c r="M39" s="68">
        <f t="shared" si="0"/>
        <v>20.204467168872728</v>
      </c>
      <c r="N39" s="129">
        <f>SIM_Districts!J39</f>
        <v>97480</v>
      </c>
      <c r="O39" s="56">
        <v>21500000</v>
      </c>
      <c r="P39" s="130">
        <f>SIM_Parametres!$D$22</f>
        <v>0</v>
      </c>
      <c r="Q39" s="130">
        <f>SIM_Parametres!$B$12</f>
        <v>0.2</v>
      </c>
      <c r="R39" s="59">
        <f t="shared" si="18"/>
        <v>9.3657931188497121E-3</v>
      </c>
      <c r="S39" s="59">
        <f t="shared" si="19"/>
        <v>0.66843971631205656</v>
      </c>
      <c r="T39" s="59">
        <f t="shared" si="20"/>
        <v>0.71270718232044206</v>
      </c>
      <c r="U39" s="59">
        <f t="shared" si="21"/>
        <v>0.73603986945859257</v>
      </c>
      <c r="V39" s="59">
        <f t="shared" si="22"/>
        <v>0.26413981218637</v>
      </c>
      <c r="W39" s="59">
        <f t="shared" si="23"/>
        <v>1.5937433946311558E-2</v>
      </c>
      <c r="X39" s="59">
        <f t="shared" si="24"/>
        <v>1.4103755534904065E-2</v>
      </c>
      <c r="Y39" s="59">
        <f t="shared" si="25"/>
        <v>1.880560482195431E-2</v>
      </c>
      <c r="Z39" s="59">
        <f t="shared" si="26"/>
        <v>9.6948159470131197E-3</v>
      </c>
      <c r="AA39" s="59">
        <f t="shared" si="10"/>
        <v>1.1550675331940541E-2</v>
      </c>
      <c r="AB39" s="59">
        <f t="shared" si="11"/>
        <v>1.6591375262954004E-2</v>
      </c>
      <c r="AC39" s="60">
        <f t="shared" si="12"/>
        <v>15624684.023023661</v>
      </c>
      <c r="AD39" s="60">
        <f t="shared" si="13"/>
        <v>21500000</v>
      </c>
      <c r="AE39" s="59">
        <f>0</f>
        <v>0</v>
      </c>
      <c r="AF39" s="60">
        <f t="shared" si="14"/>
        <v>21500000</v>
      </c>
      <c r="AG39" s="60">
        <f>1</f>
        <v>1</v>
      </c>
      <c r="AH39" s="60">
        <f t="shared" si="15"/>
        <v>21500000</v>
      </c>
      <c r="AI39" s="60">
        <f t="shared" si="16"/>
        <v>155.75543156916913</v>
      </c>
      <c r="AJ39" s="60">
        <f t="shared" si="17"/>
        <v>0</v>
      </c>
      <c r="AK39" s="71"/>
    </row>
    <row r="40" spans="1:37" ht="12.75" customHeight="1" x14ac:dyDescent="0.25">
      <c r="A40" s="62" t="s">
        <v>632</v>
      </c>
      <c r="B40" s="62" t="s">
        <v>421</v>
      </c>
      <c r="C40" s="62" t="s">
        <v>425</v>
      </c>
      <c r="D40" s="124">
        <v>2016</v>
      </c>
      <c r="E40" s="62" t="s">
        <v>675</v>
      </c>
      <c r="F40" s="64">
        <f>SIM_Parametres!$C$22</f>
        <v>1295854000</v>
      </c>
      <c r="G40" s="125">
        <f>SIM_Districts!D40*(1+SIM_Parametres!$B$6)^(2016-2023)</f>
        <v>86787.761737766894</v>
      </c>
      <c r="H40" s="125">
        <f>MAX(0,MIN(100,SIM_Districts!F40+(2016-2022)*SIM_Parametres!$B$7))</f>
        <v>51.98</v>
      </c>
      <c r="I40" s="125">
        <f>SIM_Districts!G40*(1+SIM_Parametres!$B$8)^(2016-2023)</f>
        <v>61.682933008349103</v>
      </c>
      <c r="J40" s="125">
        <f>SIM_Districts!H40*(1+SIM_Parametres!$B$9)^(2016-2023)</f>
        <v>37.633528463178408</v>
      </c>
      <c r="K40" s="125">
        <f>MAX(0,MIN(100,SIM_Districts!I40+(2016-2023)*SIM_Parametres!$B$10))</f>
        <v>79.8</v>
      </c>
      <c r="L40" s="125">
        <f>SIM_Districts!E40</f>
        <v>1601</v>
      </c>
      <c r="M40" s="61">
        <f t="shared" si="0"/>
        <v>54.208470791859398</v>
      </c>
      <c r="N40" s="125">
        <f>SIM_Districts!J40</f>
        <v>97480</v>
      </c>
      <c r="O40" s="63">
        <v>16800000</v>
      </c>
      <c r="P40" s="126">
        <f>SIM_Parametres!$D$22</f>
        <v>0</v>
      </c>
      <c r="Q40" s="126">
        <f>SIM_Parametres!$B$12</f>
        <v>0.2</v>
      </c>
      <c r="R40" s="66">
        <f t="shared" si="18"/>
        <v>5.8885421629505004E-3</v>
      </c>
      <c r="S40" s="66">
        <f t="shared" si="19"/>
        <v>0.66843971631205656</v>
      </c>
      <c r="T40" s="66">
        <f t="shared" si="20"/>
        <v>0.71270718232044206</v>
      </c>
      <c r="U40" s="66">
        <f t="shared" si="21"/>
        <v>0.5542443044598161</v>
      </c>
      <c r="V40" s="66">
        <f t="shared" si="22"/>
        <v>0.26413981218637</v>
      </c>
      <c r="W40" s="66">
        <f t="shared" si="23"/>
        <v>1.5937433946311558E-2</v>
      </c>
      <c r="X40" s="66">
        <f t="shared" si="24"/>
        <v>1.4103755534904065E-2</v>
      </c>
      <c r="Y40" s="66">
        <f t="shared" si="25"/>
        <v>1.4160780953560275E-2</v>
      </c>
      <c r="Z40" s="66">
        <f t="shared" si="26"/>
        <v>9.6948159470131197E-3</v>
      </c>
      <c r="AA40" s="66">
        <f t="shared" si="10"/>
        <v>9.2320835649813138E-3</v>
      </c>
      <c r="AB40" s="66">
        <f t="shared" si="11"/>
        <v>1.296442346128499E-2</v>
      </c>
      <c r="AC40" s="67">
        <f t="shared" si="12"/>
        <v>13221038.890558714</v>
      </c>
      <c r="AD40" s="67">
        <f t="shared" si="13"/>
        <v>16800000</v>
      </c>
      <c r="AE40" s="66">
        <f>0</f>
        <v>0</v>
      </c>
      <c r="AF40" s="67">
        <f t="shared" si="14"/>
        <v>16800000</v>
      </c>
      <c r="AG40" s="67">
        <f>1</f>
        <v>1</v>
      </c>
      <c r="AH40" s="67">
        <f t="shared" si="15"/>
        <v>16800000</v>
      </c>
      <c r="AI40" s="67">
        <f t="shared" si="16"/>
        <v>193.5756800683713</v>
      </c>
      <c r="AJ40" s="67">
        <f t="shared" si="17"/>
        <v>0</v>
      </c>
      <c r="AK40" s="131"/>
    </row>
    <row r="41" spans="1:37" ht="12.75" customHeight="1" x14ac:dyDescent="0.25">
      <c r="A41" s="55" t="s">
        <v>633</v>
      </c>
      <c r="B41" s="55" t="s">
        <v>421</v>
      </c>
      <c r="C41" s="55" t="s">
        <v>426</v>
      </c>
      <c r="D41" s="128">
        <v>2016</v>
      </c>
      <c r="E41" s="55" t="s">
        <v>675</v>
      </c>
      <c r="F41" s="57">
        <f>SIM_Parametres!$C$22</f>
        <v>1295854000</v>
      </c>
      <c r="G41" s="129">
        <f>SIM_Districts!D41*(1+SIM_Parametres!$B$6)^(2016-2023)</f>
        <v>184528.6792248401</v>
      </c>
      <c r="H41" s="129">
        <f>MAX(0,MIN(100,SIM_Districts!F41+(2016-2022)*SIM_Parametres!$B$7))</f>
        <v>51.98</v>
      </c>
      <c r="I41" s="129">
        <f>SIM_Districts!G41*(1+SIM_Parametres!$B$8)^(2016-2023)</f>
        <v>61.682933008349103</v>
      </c>
      <c r="J41" s="129">
        <f>SIM_Districts!H41*(1+SIM_Parametres!$B$9)^(2016-2023)</f>
        <v>37.633528463178408</v>
      </c>
      <c r="K41" s="129">
        <f>MAX(0,MIN(100,SIM_Districts!I41+(2016-2023)*SIM_Parametres!$B$10))</f>
        <v>79.8</v>
      </c>
      <c r="L41" s="129">
        <f>SIM_Districts!E41</f>
        <v>2260</v>
      </c>
      <c r="M41" s="68">
        <f t="shared" si="0"/>
        <v>81.649858064088548</v>
      </c>
      <c r="N41" s="129">
        <f>SIM_Districts!J41</f>
        <v>97480</v>
      </c>
      <c r="O41" s="56">
        <v>17400000</v>
      </c>
      <c r="P41" s="130">
        <f>SIM_Parametres!$D$22</f>
        <v>0</v>
      </c>
      <c r="Q41" s="130">
        <f>SIM_Parametres!$B$12</f>
        <v>0.2</v>
      </c>
      <c r="R41" s="59">
        <f t="shared" si="18"/>
        <v>1.252025500061016E-2</v>
      </c>
      <c r="S41" s="59">
        <f t="shared" si="19"/>
        <v>0.66843971631205656</v>
      </c>
      <c r="T41" s="59">
        <f t="shared" si="20"/>
        <v>0.71270718232044206</v>
      </c>
      <c r="U41" s="59">
        <f t="shared" si="21"/>
        <v>0.57659503553202685</v>
      </c>
      <c r="V41" s="59">
        <f t="shared" si="22"/>
        <v>0.26413981218637</v>
      </c>
      <c r="W41" s="59">
        <f t="shared" si="23"/>
        <v>1.5937433946311558E-2</v>
      </c>
      <c r="X41" s="59">
        <f t="shared" si="24"/>
        <v>1.4103755534904065E-2</v>
      </c>
      <c r="Y41" s="59">
        <f t="shared" si="25"/>
        <v>1.4731835638865494E-2</v>
      </c>
      <c r="Z41" s="59">
        <f t="shared" si="26"/>
        <v>9.6948159470131197E-3</v>
      </c>
      <c r="AA41" s="59">
        <f t="shared" si="10"/>
        <v>1.3239664001842372E-2</v>
      </c>
      <c r="AB41" s="59">
        <f t="shared" si="11"/>
        <v>1.3427438584902312E-2</v>
      </c>
      <c r="AC41" s="60">
        <f t="shared" si="12"/>
        <v>17375630.202101234</v>
      </c>
      <c r="AD41" s="60">
        <f t="shared" si="13"/>
        <v>17400000</v>
      </c>
      <c r="AE41" s="59">
        <f>0</f>
        <v>0</v>
      </c>
      <c r="AF41" s="60">
        <f t="shared" si="14"/>
        <v>17400000</v>
      </c>
      <c r="AG41" s="60">
        <f>1</f>
        <v>1</v>
      </c>
      <c r="AH41" s="60">
        <f t="shared" si="15"/>
        <v>17400000</v>
      </c>
      <c r="AI41" s="60">
        <f t="shared" si="16"/>
        <v>94.294285707203613</v>
      </c>
      <c r="AJ41" s="60">
        <f t="shared" si="17"/>
        <v>0</v>
      </c>
      <c r="AK41" s="71"/>
    </row>
    <row r="42" spans="1:37" ht="12.75" customHeight="1" x14ac:dyDescent="0.25">
      <c r="A42" s="62" t="s">
        <v>634</v>
      </c>
      <c r="B42" s="62" t="s">
        <v>421</v>
      </c>
      <c r="C42" s="62" t="s">
        <v>427</v>
      </c>
      <c r="D42" s="124">
        <v>2016</v>
      </c>
      <c r="E42" s="62" t="s">
        <v>675</v>
      </c>
      <c r="F42" s="64">
        <f>SIM_Parametres!$C$22</f>
        <v>1295854000</v>
      </c>
      <c r="G42" s="125">
        <f>SIM_Districts!D42*(1+SIM_Parametres!$B$6)^(2016-2023)</f>
        <v>79224.384499251013</v>
      </c>
      <c r="H42" s="125">
        <f>MAX(0,MIN(100,SIM_Districts!F42+(2016-2022)*SIM_Parametres!$B$7))</f>
        <v>51.98</v>
      </c>
      <c r="I42" s="125">
        <f>SIM_Districts!G42*(1+SIM_Parametres!$B$8)^(2016-2023)</f>
        <v>61.682933008349103</v>
      </c>
      <c r="J42" s="125">
        <f>SIM_Districts!H42*(1+SIM_Parametres!$B$9)^(2016-2023)</f>
        <v>37.633528463178408</v>
      </c>
      <c r="K42" s="125">
        <f>MAX(0,MIN(100,SIM_Districts!I42+(2016-2023)*SIM_Parametres!$B$10))</f>
        <v>79.8</v>
      </c>
      <c r="L42" s="125">
        <f>SIM_Districts!E42</f>
        <v>2889</v>
      </c>
      <c r="M42" s="61">
        <f t="shared" si="0"/>
        <v>27.422770681637594</v>
      </c>
      <c r="N42" s="125">
        <f>SIM_Districts!J42</f>
        <v>97480</v>
      </c>
      <c r="O42" s="63">
        <v>15700000</v>
      </c>
      <c r="P42" s="126">
        <f>SIM_Parametres!$D$22</f>
        <v>0</v>
      </c>
      <c r="Q42" s="126">
        <f>SIM_Parametres!$B$12</f>
        <v>0.2</v>
      </c>
      <c r="R42" s="66">
        <f t="shared" si="18"/>
        <v>5.3753676683959322E-3</v>
      </c>
      <c r="S42" s="66">
        <f t="shared" si="19"/>
        <v>0.66843971631205656</v>
      </c>
      <c r="T42" s="66">
        <f t="shared" si="20"/>
        <v>0.71270718232044206</v>
      </c>
      <c r="U42" s="66">
        <f t="shared" si="21"/>
        <v>0.59932709011759788</v>
      </c>
      <c r="V42" s="66">
        <f t="shared" si="22"/>
        <v>0.26413981218637</v>
      </c>
      <c r="W42" s="66">
        <f t="shared" si="23"/>
        <v>1.5937433946311558E-2</v>
      </c>
      <c r="X42" s="66">
        <f t="shared" si="24"/>
        <v>1.4103755534904065E-2</v>
      </c>
      <c r="Y42" s="66">
        <f t="shared" si="25"/>
        <v>1.5312633029150603E-2</v>
      </c>
      <c r="Z42" s="66">
        <f t="shared" si="26"/>
        <v>9.6948159470131197E-3</v>
      </c>
      <c r="AA42" s="66">
        <f t="shared" si="10"/>
        <v>8.9817714720280897E-3</v>
      </c>
      <c r="AB42" s="66">
        <f t="shared" si="11"/>
        <v>1.2115562401319903E-2</v>
      </c>
      <c r="AC42" s="67">
        <f t="shared" si="12"/>
        <v>12961544.549037268</v>
      </c>
      <c r="AD42" s="67">
        <f t="shared" si="13"/>
        <v>15700000</v>
      </c>
      <c r="AE42" s="66">
        <f>0</f>
        <v>0</v>
      </c>
      <c r="AF42" s="67">
        <f t="shared" si="14"/>
        <v>15700000</v>
      </c>
      <c r="AG42" s="67">
        <f>1</f>
        <v>1</v>
      </c>
      <c r="AH42" s="67">
        <f t="shared" si="15"/>
        <v>15700000</v>
      </c>
      <c r="AI42" s="67">
        <f t="shared" si="16"/>
        <v>198.17130924063446</v>
      </c>
      <c r="AJ42" s="67">
        <f t="shared" si="17"/>
        <v>0</v>
      </c>
      <c r="AK42" s="131"/>
    </row>
    <row r="43" spans="1:37" ht="12.75" customHeight="1" x14ac:dyDescent="0.25">
      <c r="A43" s="55" t="s">
        <v>635</v>
      </c>
      <c r="B43" s="55" t="s">
        <v>421</v>
      </c>
      <c r="C43" s="55" t="s">
        <v>428</v>
      </c>
      <c r="D43" s="128">
        <v>2016</v>
      </c>
      <c r="E43" s="55" t="s">
        <v>675</v>
      </c>
      <c r="F43" s="57">
        <f>SIM_Parametres!$C$22</f>
        <v>1295854000</v>
      </c>
      <c r="G43" s="129">
        <f>SIM_Districts!D43*(1+SIM_Parametres!$B$6)^(2016-2023)</f>
        <v>115281.74066128339</v>
      </c>
      <c r="H43" s="129">
        <f>MAX(0,MIN(100,SIM_Districts!F43+(2016-2022)*SIM_Parametres!$B$7))</f>
        <v>51.98</v>
      </c>
      <c r="I43" s="129">
        <f>SIM_Districts!G43*(1+SIM_Parametres!$B$8)^(2016-2023)</f>
        <v>61.682933008349103</v>
      </c>
      <c r="J43" s="129">
        <f>SIM_Districts!H43*(1+SIM_Parametres!$B$9)^(2016-2023)</f>
        <v>37.633528463178408</v>
      </c>
      <c r="K43" s="129">
        <f>MAX(0,MIN(100,SIM_Districts!I43+(2016-2023)*SIM_Parametres!$B$10))</f>
        <v>79.8</v>
      </c>
      <c r="L43" s="129">
        <f>SIM_Districts!E43</f>
        <v>8907</v>
      </c>
      <c r="M43" s="68">
        <f t="shared" si="0"/>
        <v>12.942824818826024</v>
      </c>
      <c r="N43" s="129">
        <f>SIM_Districts!J43</f>
        <v>97480</v>
      </c>
      <c r="O43" s="56">
        <v>16950000</v>
      </c>
      <c r="P43" s="130">
        <f>SIM_Parametres!$D$22</f>
        <v>0</v>
      </c>
      <c r="Q43" s="130">
        <f>SIM_Parametres!$B$12</f>
        <v>0.2</v>
      </c>
      <c r="R43" s="59">
        <f t="shared" si="18"/>
        <v>7.8218561800619084E-3</v>
      </c>
      <c r="S43" s="59">
        <f t="shared" si="19"/>
        <v>0.66843971631205656</v>
      </c>
      <c r="T43" s="59">
        <f t="shared" si="20"/>
        <v>0.71270718232044206</v>
      </c>
      <c r="U43" s="59">
        <f t="shared" si="21"/>
        <v>0.80804507507275991</v>
      </c>
      <c r="V43" s="59">
        <f t="shared" si="22"/>
        <v>0.26413981218637</v>
      </c>
      <c r="W43" s="59">
        <f t="shared" si="23"/>
        <v>1.5937433946311558E-2</v>
      </c>
      <c r="X43" s="59">
        <f t="shared" si="24"/>
        <v>1.4103755534904065E-2</v>
      </c>
      <c r="Y43" s="59">
        <f t="shared" si="25"/>
        <v>2.0645316905621231E-2</v>
      </c>
      <c r="Z43" s="59">
        <f t="shared" si="26"/>
        <v>9.6948159470131197E-3</v>
      </c>
      <c r="AA43" s="59">
        <f t="shared" si="10"/>
        <v>1.0716298772851206E-2</v>
      </c>
      <c r="AB43" s="59">
        <f t="shared" si="11"/>
        <v>1.3080177242189321E-2</v>
      </c>
      <c r="AC43" s="60">
        <f t="shared" si="12"/>
        <v>14759699.86174194</v>
      </c>
      <c r="AD43" s="60">
        <f t="shared" si="13"/>
        <v>16950000</v>
      </c>
      <c r="AE43" s="59">
        <f>0</f>
        <v>0</v>
      </c>
      <c r="AF43" s="60">
        <f t="shared" si="14"/>
        <v>16950000</v>
      </c>
      <c r="AG43" s="60">
        <f>1</f>
        <v>1</v>
      </c>
      <c r="AH43" s="60">
        <f t="shared" si="15"/>
        <v>16950000</v>
      </c>
      <c r="AI43" s="60">
        <f t="shared" si="16"/>
        <v>147.03109011688045</v>
      </c>
      <c r="AJ43" s="60">
        <f t="shared" si="17"/>
        <v>0</v>
      </c>
      <c r="AK43" s="71"/>
    </row>
    <row r="44" spans="1:37" ht="12.75" customHeight="1" x14ac:dyDescent="0.25">
      <c r="A44" s="62" t="s">
        <v>636</v>
      </c>
      <c r="B44" s="62" t="s">
        <v>421</v>
      </c>
      <c r="C44" s="62" t="s">
        <v>421</v>
      </c>
      <c r="D44" s="124">
        <v>2016</v>
      </c>
      <c r="E44" s="62" t="s">
        <v>675</v>
      </c>
      <c r="F44" s="64">
        <f>SIM_Parametres!$C$22</f>
        <v>1295854000</v>
      </c>
      <c r="G44" s="125">
        <f>SIM_Districts!D44*(1+SIM_Parametres!$B$6)^(2016-2023)</f>
        <v>170082.48234280274</v>
      </c>
      <c r="H44" s="125">
        <f>MAX(0,MIN(100,SIM_Districts!F44+(2016-2022)*SIM_Parametres!$B$7))</f>
        <v>51.98</v>
      </c>
      <c r="I44" s="125">
        <f>SIM_Districts!G44*(1+SIM_Parametres!$B$8)^(2016-2023)</f>
        <v>61.682933008349103</v>
      </c>
      <c r="J44" s="125">
        <f>SIM_Districts!H44*(1+SIM_Parametres!$B$9)^(2016-2023)</f>
        <v>37.633528463178408</v>
      </c>
      <c r="K44" s="125">
        <f>MAX(0,MIN(100,SIM_Districts!I44+(2016-2023)*SIM_Parametres!$B$10))</f>
        <v>79.8</v>
      </c>
      <c r="L44" s="125">
        <f>SIM_Districts!E44</f>
        <v>759</v>
      </c>
      <c r="M44" s="61">
        <f t="shared" si="0"/>
        <v>224.08759201950295</v>
      </c>
      <c r="N44" s="125">
        <f>SIM_Districts!J44</f>
        <v>97480</v>
      </c>
      <c r="O44" s="63">
        <v>20200000</v>
      </c>
      <c r="P44" s="126">
        <f>SIM_Parametres!$D$22</f>
        <v>0</v>
      </c>
      <c r="Q44" s="126">
        <f>SIM_Parametres!$B$12</f>
        <v>0.2</v>
      </c>
      <c r="R44" s="66">
        <f t="shared" si="18"/>
        <v>1.1540081785736905E-2</v>
      </c>
      <c r="S44" s="66">
        <f t="shared" si="19"/>
        <v>0.66843971631205656</v>
      </c>
      <c r="T44" s="66">
        <f t="shared" si="20"/>
        <v>0.71270718232044206</v>
      </c>
      <c r="U44" s="66">
        <f t="shared" si="21"/>
        <v>0.52212219334654875</v>
      </c>
      <c r="V44" s="66">
        <f t="shared" si="22"/>
        <v>0.26413981218637</v>
      </c>
      <c r="W44" s="66">
        <f t="shared" si="23"/>
        <v>1.5937433946311558E-2</v>
      </c>
      <c r="X44" s="66">
        <f t="shared" si="24"/>
        <v>1.4103755534904065E-2</v>
      </c>
      <c r="Y44" s="66">
        <f t="shared" si="25"/>
        <v>1.3340070347099038E-2</v>
      </c>
      <c r="Z44" s="66">
        <f t="shared" si="26"/>
        <v>9.6948159470131197E-3</v>
      </c>
      <c r="AA44" s="66">
        <f t="shared" si="10"/>
        <v>1.2581971808330095E-2</v>
      </c>
      <c r="AB44" s="66">
        <f t="shared" si="11"/>
        <v>1.558817582844981E-2</v>
      </c>
      <c r="AC44" s="67">
        <f t="shared" si="12"/>
        <v>16693811.754315909</v>
      </c>
      <c r="AD44" s="67">
        <f t="shared" si="13"/>
        <v>20200000</v>
      </c>
      <c r="AE44" s="66">
        <f>0</f>
        <v>0</v>
      </c>
      <c r="AF44" s="67">
        <f t="shared" si="14"/>
        <v>20200000</v>
      </c>
      <c r="AG44" s="67">
        <f>1</f>
        <v>1</v>
      </c>
      <c r="AH44" s="67">
        <f t="shared" si="15"/>
        <v>20200000</v>
      </c>
      <c r="AI44" s="67">
        <f t="shared" si="16"/>
        <v>118.76590535224388</v>
      </c>
      <c r="AJ44" s="67">
        <f t="shared" si="17"/>
        <v>0</v>
      </c>
      <c r="AK44" s="131"/>
    </row>
    <row r="45" spans="1:37" ht="12.75" customHeight="1" x14ac:dyDescent="0.25">
      <c r="A45" s="55" t="s">
        <v>637</v>
      </c>
      <c r="B45" s="55" t="s">
        <v>421</v>
      </c>
      <c r="C45" s="55" t="s">
        <v>429</v>
      </c>
      <c r="D45" s="128">
        <v>2016</v>
      </c>
      <c r="E45" s="55" t="s">
        <v>675</v>
      </c>
      <c r="F45" s="57">
        <f>SIM_Parametres!$C$22</f>
        <v>1295854000</v>
      </c>
      <c r="G45" s="129">
        <f>SIM_Districts!D45*(1+SIM_Parametres!$B$6)^(2016-2023)</f>
        <v>75084.12252349066</v>
      </c>
      <c r="H45" s="129">
        <f>MAX(0,MIN(100,SIM_Districts!F45+(2016-2022)*SIM_Parametres!$B$7))</f>
        <v>51.98</v>
      </c>
      <c r="I45" s="129">
        <f>SIM_Districts!G45*(1+SIM_Parametres!$B$8)^(2016-2023)</f>
        <v>61.682933008349103</v>
      </c>
      <c r="J45" s="129">
        <f>SIM_Districts!H45*(1+SIM_Parametres!$B$9)^(2016-2023)</f>
        <v>37.633528463178408</v>
      </c>
      <c r="K45" s="129">
        <f>MAX(0,MIN(100,SIM_Districts!I45+(2016-2023)*SIM_Parametres!$B$10))</f>
        <v>79.8</v>
      </c>
      <c r="L45" s="129">
        <f>SIM_Districts!E45</f>
        <v>1185</v>
      </c>
      <c r="M45" s="68">
        <f t="shared" si="0"/>
        <v>63.362128711806463</v>
      </c>
      <c r="N45" s="129">
        <f>SIM_Districts!J45</f>
        <v>97480</v>
      </c>
      <c r="O45" s="56">
        <v>16600000</v>
      </c>
      <c r="P45" s="130">
        <f>SIM_Parametres!$D$22</f>
        <v>0</v>
      </c>
      <c r="Q45" s="130">
        <f>SIM_Parametres!$B$12</f>
        <v>0.2</v>
      </c>
      <c r="R45" s="59">
        <f t="shared" si="18"/>
        <v>5.0944512497470536E-3</v>
      </c>
      <c r="S45" s="59">
        <f t="shared" si="19"/>
        <v>0.66843971631205656</v>
      </c>
      <c r="T45" s="59">
        <f t="shared" si="20"/>
        <v>0.71270718232044206</v>
      </c>
      <c r="U45" s="59">
        <f t="shared" si="21"/>
        <v>0.53967466644845508</v>
      </c>
      <c r="V45" s="59">
        <f t="shared" si="22"/>
        <v>0.26413981218637</v>
      </c>
      <c r="W45" s="59">
        <f t="shared" si="23"/>
        <v>1.5937433946311558E-2</v>
      </c>
      <c r="X45" s="59">
        <f t="shared" si="24"/>
        <v>1.4103755534904065E-2</v>
      </c>
      <c r="Y45" s="59">
        <f t="shared" si="25"/>
        <v>1.3788530935307707E-2</v>
      </c>
      <c r="Z45" s="59">
        <f t="shared" si="26"/>
        <v>9.6948159470131197E-3</v>
      </c>
      <c r="AA45" s="59">
        <f t="shared" si="10"/>
        <v>8.7370165161466153E-3</v>
      </c>
      <c r="AB45" s="59">
        <f t="shared" si="11"/>
        <v>1.2810085086745884E-2</v>
      </c>
      <c r="AC45" s="60">
        <f t="shared" si="12"/>
        <v>12707811.198158205</v>
      </c>
      <c r="AD45" s="60">
        <f t="shared" si="13"/>
        <v>16600000</v>
      </c>
      <c r="AE45" s="59">
        <f>0</f>
        <v>0</v>
      </c>
      <c r="AF45" s="60">
        <f t="shared" si="14"/>
        <v>16600000</v>
      </c>
      <c r="AG45" s="60">
        <f>1</f>
        <v>1</v>
      </c>
      <c r="AH45" s="60">
        <f t="shared" si="15"/>
        <v>16600000</v>
      </c>
      <c r="AI45" s="60">
        <f t="shared" si="16"/>
        <v>221.08535655865938</v>
      </c>
      <c r="AJ45" s="60">
        <f t="shared" si="17"/>
        <v>0</v>
      </c>
      <c r="AK45" s="71"/>
    </row>
    <row r="46" spans="1:37" ht="12.75" customHeight="1" x14ac:dyDescent="0.25">
      <c r="A46" s="62" t="s">
        <v>638</v>
      </c>
      <c r="B46" s="62" t="s">
        <v>430</v>
      </c>
      <c r="C46" s="62" t="s">
        <v>432</v>
      </c>
      <c r="D46" s="124">
        <v>2016</v>
      </c>
      <c r="E46" s="62" t="s">
        <v>675</v>
      </c>
      <c r="F46" s="64">
        <f>SIM_Parametres!$C$22</f>
        <v>1295854000</v>
      </c>
      <c r="G46" s="125">
        <f>SIM_Districts!D46*(1+SIM_Parametres!$B$6)^(2016-2023)</f>
        <v>286812.33898578864</v>
      </c>
      <c r="H46" s="125">
        <f>MAX(0,MIN(100,SIM_Districts!F46+(2016-2022)*SIM_Parametres!$B$7))</f>
        <v>49.68</v>
      </c>
      <c r="I46" s="125">
        <f>SIM_Districts!G46*(1+SIM_Parametres!$B$8)^(2016-2023)</f>
        <v>61.682933008349103</v>
      </c>
      <c r="J46" s="125">
        <f>SIM_Districts!H46*(1+SIM_Parametres!$B$9)^(2016-2023)</f>
        <v>52.896015006578537</v>
      </c>
      <c r="K46" s="125">
        <f>MAX(0,MIN(100,SIM_Districts!I46+(2016-2023)*SIM_Parametres!$B$10))</f>
        <v>67.7</v>
      </c>
      <c r="L46" s="125">
        <f>SIM_Districts!E46</f>
        <v>8704</v>
      </c>
      <c r="M46" s="61">
        <f t="shared" si="0"/>
        <v>32.951785269506964</v>
      </c>
      <c r="N46" s="125">
        <f>SIM_Districts!J46</f>
        <v>133963</v>
      </c>
      <c r="O46" s="63">
        <v>20400000</v>
      </c>
      <c r="P46" s="126">
        <f>SIM_Parametres!$D$22</f>
        <v>0</v>
      </c>
      <c r="Q46" s="126">
        <f>SIM_Parametres!$B$12</f>
        <v>0.2</v>
      </c>
      <c r="R46" s="66">
        <f t="shared" si="18"/>
        <v>1.9460192510499057E-2</v>
      </c>
      <c r="S46" s="66">
        <f t="shared" si="19"/>
        <v>0.62765957446808507</v>
      </c>
      <c r="T46" s="66">
        <f t="shared" si="20"/>
        <v>0.91436464088397806</v>
      </c>
      <c r="U46" s="66">
        <f t="shared" si="21"/>
        <v>0.80066503267175948</v>
      </c>
      <c r="V46" s="66">
        <f t="shared" si="22"/>
        <v>0.51735506215340199</v>
      </c>
      <c r="W46" s="66">
        <f t="shared" si="23"/>
        <v>1.4965123652504755E-2</v>
      </c>
      <c r="X46" s="66">
        <f t="shared" si="24"/>
        <v>1.8094353031214129E-2</v>
      </c>
      <c r="Y46" s="66">
        <f t="shared" si="25"/>
        <v>2.0456758966409912E-2</v>
      </c>
      <c r="Z46" s="66">
        <f t="shared" si="26"/>
        <v>1.8988663864475865E-2</v>
      </c>
      <c r="AA46" s="66">
        <f t="shared" si="10"/>
        <v>1.8607308150401559E-2</v>
      </c>
      <c r="AB46" s="66">
        <f t="shared" si="11"/>
        <v>1.5742514202988916E-2</v>
      </c>
      <c r="AC46" s="67">
        <f t="shared" si="12"/>
        <v>22940176.71449085</v>
      </c>
      <c r="AD46" s="67">
        <f t="shared" si="13"/>
        <v>20400000</v>
      </c>
      <c r="AE46" s="66">
        <f>0</f>
        <v>0</v>
      </c>
      <c r="AF46" s="67">
        <f t="shared" si="14"/>
        <v>20400000</v>
      </c>
      <c r="AG46" s="67">
        <f>1</f>
        <v>1</v>
      </c>
      <c r="AH46" s="67">
        <f t="shared" si="15"/>
        <v>20400000</v>
      </c>
      <c r="AI46" s="67">
        <f t="shared" si="16"/>
        <v>71.126647033867002</v>
      </c>
      <c r="AJ46" s="67">
        <f t="shared" si="17"/>
        <v>0</v>
      </c>
      <c r="AK46" s="131"/>
    </row>
    <row r="47" spans="1:37" ht="12.75" customHeight="1" x14ac:dyDescent="0.25">
      <c r="A47" s="55" t="s">
        <v>640</v>
      </c>
      <c r="B47" s="55" t="s">
        <v>430</v>
      </c>
      <c r="C47" s="55" t="s">
        <v>430</v>
      </c>
      <c r="D47" s="128">
        <v>2016</v>
      </c>
      <c r="E47" s="55" t="s">
        <v>675</v>
      </c>
      <c r="F47" s="57">
        <f>SIM_Parametres!$C$22</f>
        <v>1295854000</v>
      </c>
      <c r="G47" s="129">
        <f>SIM_Districts!D47*(1+SIM_Parametres!$B$6)^(2016-2023)</f>
        <v>232669.38833694605</v>
      </c>
      <c r="H47" s="129">
        <f>MAX(0,MIN(100,SIM_Districts!F47+(2016-2022)*SIM_Parametres!$B$7))</f>
        <v>49.68</v>
      </c>
      <c r="I47" s="129">
        <f>SIM_Districts!G47*(1+SIM_Parametres!$B$8)^(2016-2023)</f>
        <v>61.682933008349103</v>
      </c>
      <c r="J47" s="129">
        <f>SIM_Districts!H47*(1+SIM_Parametres!$B$9)^(2016-2023)</f>
        <v>52.896015006578537</v>
      </c>
      <c r="K47" s="129">
        <f>MAX(0,MIN(100,SIM_Districts!I47+(2016-2023)*SIM_Parametres!$B$10))</f>
        <v>67.7</v>
      </c>
      <c r="L47" s="129">
        <f>SIM_Districts!E47</f>
        <v>3957</v>
      </c>
      <c r="M47" s="68">
        <f t="shared" si="0"/>
        <v>58.799441075801376</v>
      </c>
      <c r="N47" s="129">
        <f>SIM_Districts!J47</f>
        <v>133963</v>
      </c>
      <c r="O47" s="56">
        <v>18500000</v>
      </c>
      <c r="P47" s="130">
        <f>SIM_Parametres!$D$22</f>
        <v>0</v>
      </c>
      <c r="Q47" s="130">
        <f>SIM_Parametres!$B$12</f>
        <v>0.2</v>
      </c>
      <c r="R47" s="59">
        <f t="shared" si="18"/>
        <v>1.578659796976651E-2</v>
      </c>
      <c r="S47" s="59">
        <f t="shared" si="19"/>
        <v>0.62765957446808507</v>
      </c>
      <c r="T47" s="59">
        <f t="shared" si="20"/>
        <v>0.91436464088397806</v>
      </c>
      <c r="U47" s="59">
        <f t="shared" si="21"/>
        <v>0.63577730793030052</v>
      </c>
      <c r="V47" s="59">
        <f t="shared" si="22"/>
        <v>0.51735506215340199</v>
      </c>
      <c r="W47" s="59">
        <f t="shared" si="23"/>
        <v>1.4965123652504755E-2</v>
      </c>
      <c r="X47" s="59">
        <f t="shared" si="24"/>
        <v>1.8094353031214129E-2</v>
      </c>
      <c r="Y47" s="59">
        <f t="shared" si="25"/>
        <v>1.6243925504331402E-2</v>
      </c>
      <c r="Z47" s="59">
        <f t="shared" si="26"/>
        <v>1.8988663864475865E-2</v>
      </c>
      <c r="AA47" s="59">
        <f t="shared" si="10"/>
        <v>1.61925097528581E-2</v>
      </c>
      <c r="AB47" s="59">
        <f t="shared" si="11"/>
        <v>1.42762996448674E-2</v>
      </c>
      <c r="AC47" s="60">
        <f t="shared" si="12"/>
        <v>20436795.784370624</v>
      </c>
      <c r="AD47" s="60">
        <f t="shared" si="13"/>
        <v>18500000</v>
      </c>
      <c r="AE47" s="59">
        <f>0</f>
        <v>0</v>
      </c>
      <c r="AF47" s="60">
        <f t="shared" si="14"/>
        <v>18500000</v>
      </c>
      <c r="AG47" s="60">
        <f>1</f>
        <v>1</v>
      </c>
      <c r="AH47" s="60">
        <f t="shared" si="15"/>
        <v>18500000</v>
      </c>
      <c r="AI47" s="60">
        <f t="shared" si="16"/>
        <v>79.511963873858463</v>
      </c>
      <c r="AJ47" s="60">
        <f t="shared" si="17"/>
        <v>0</v>
      </c>
      <c r="AK47" s="71"/>
    </row>
    <row r="48" spans="1:37" ht="12.75" customHeight="1" x14ac:dyDescent="0.25">
      <c r="A48" s="62" t="s">
        <v>641</v>
      </c>
      <c r="B48" s="62" t="s">
        <v>430</v>
      </c>
      <c r="C48" s="62" t="s">
        <v>433</v>
      </c>
      <c r="D48" s="124">
        <v>2016</v>
      </c>
      <c r="E48" s="62" t="s">
        <v>675</v>
      </c>
      <c r="F48" s="64">
        <f>SIM_Parametres!$C$22</f>
        <v>1295854000</v>
      </c>
      <c r="G48" s="125">
        <f>SIM_Districts!D48*(1+SIM_Parametres!$B$6)^(2016-2023)</f>
        <v>61678.682775972789</v>
      </c>
      <c r="H48" s="125">
        <f>MAX(0,MIN(100,SIM_Districts!F48+(2016-2022)*SIM_Parametres!$B$7))</f>
        <v>49.68</v>
      </c>
      <c r="I48" s="125">
        <f>SIM_Districts!G48*(1+SIM_Parametres!$B$8)^(2016-2023)</f>
        <v>61.682933008349103</v>
      </c>
      <c r="J48" s="125">
        <f>SIM_Districts!H48*(1+SIM_Parametres!$B$9)^(2016-2023)</f>
        <v>52.896015006578537</v>
      </c>
      <c r="K48" s="125">
        <f>MAX(0,MIN(100,SIM_Districts!I48+(2016-2023)*SIM_Parametres!$B$10))</f>
        <v>67.7</v>
      </c>
      <c r="L48" s="125">
        <f>SIM_Districts!E48</f>
        <v>14444</v>
      </c>
      <c r="M48" s="61">
        <f t="shared" si="0"/>
        <v>4.2701940443071722</v>
      </c>
      <c r="N48" s="125">
        <f>SIM_Districts!J48</f>
        <v>133963</v>
      </c>
      <c r="O48" s="63">
        <v>17080000</v>
      </c>
      <c r="P48" s="126">
        <f>SIM_Parametres!$D$22</f>
        <v>0</v>
      </c>
      <c r="Q48" s="126">
        <f>SIM_Parametres!$B$12</f>
        <v>0.2</v>
      </c>
      <c r="R48" s="66">
        <f t="shared" si="18"/>
        <v>4.1848933168593767E-3</v>
      </c>
      <c r="S48" s="66">
        <f t="shared" si="19"/>
        <v>0.62765957446808507</v>
      </c>
      <c r="T48" s="66">
        <f t="shared" si="20"/>
        <v>0.91436464088397806</v>
      </c>
      <c r="U48" s="66">
        <f t="shared" si="21"/>
        <v>1</v>
      </c>
      <c r="V48" s="66">
        <f t="shared" si="22"/>
        <v>0.51735506215340199</v>
      </c>
      <c r="W48" s="66">
        <f t="shared" si="23"/>
        <v>1.4965123652504755E-2</v>
      </c>
      <c r="X48" s="66">
        <f t="shared" si="24"/>
        <v>1.8094353031214129E-2</v>
      </c>
      <c r="Y48" s="66">
        <f t="shared" si="25"/>
        <v>2.5549709468574183E-2</v>
      </c>
      <c r="Z48" s="66">
        <f t="shared" si="26"/>
        <v>1.8988663864475865E-2</v>
      </c>
      <c r="AA48" s="66">
        <f t="shared" si="10"/>
        <v>9.6967761593259628E-3</v>
      </c>
      <c r="AB48" s="66">
        <f t="shared" si="11"/>
        <v>1.3180497185639741E-2</v>
      </c>
      <c r="AC48" s="67">
        <f t="shared" si="12"/>
        <v>13702777.896280227</v>
      </c>
      <c r="AD48" s="67">
        <f t="shared" si="13"/>
        <v>17080000</v>
      </c>
      <c r="AE48" s="66">
        <f>0</f>
        <v>0</v>
      </c>
      <c r="AF48" s="67">
        <f t="shared" si="14"/>
        <v>17080000</v>
      </c>
      <c r="AG48" s="67">
        <f>1</f>
        <v>1</v>
      </c>
      <c r="AH48" s="67">
        <f t="shared" si="15"/>
        <v>17080000</v>
      </c>
      <c r="AI48" s="67">
        <f t="shared" si="16"/>
        <v>276.91901368966313</v>
      </c>
      <c r="AJ48" s="67">
        <f t="shared" si="17"/>
        <v>0</v>
      </c>
      <c r="AK48" s="131"/>
    </row>
    <row r="49" spans="1:37" ht="12.75" customHeight="1" x14ac:dyDescent="0.25">
      <c r="A49" s="55" t="s">
        <v>642</v>
      </c>
      <c r="B49" s="55" t="s">
        <v>430</v>
      </c>
      <c r="C49" s="55" t="s">
        <v>434</v>
      </c>
      <c r="D49" s="128">
        <v>2016</v>
      </c>
      <c r="E49" s="55" t="s">
        <v>675</v>
      </c>
      <c r="F49" s="57">
        <f>SIM_Parametres!$C$22</f>
        <v>1295854000</v>
      </c>
      <c r="G49" s="129">
        <f>SIM_Districts!D49*(1+SIM_Parametres!$B$6)^(2016-2023)</f>
        <v>95030.88347976582</v>
      </c>
      <c r="H49" s="129">
        <f>MAX(0,MIN(100,SIM_Districts!F49+(2016-2022)*SIM_Parametres!$B$7))</f>
        <v>49.68</v>
      </c>
      <c r="I49" s="129">
        <f>SIM_Districts!G49*(1+SIM_Parametres!$B$8)^(2016-2023)</f>
        <v>61.682933008349103</v>
      </c>
      <c r="J49" s="129">
        <f>SIM_Districts!H49*(1+SIM_Parametres!$B$9)^(2016-2023)</f>
        <v>52.896015006578537</v>
      </c>
      <c r="K49" s="129">
        <f>MAX(0,MIN(100,SIM_Districts!I49+(2016-2023)*SIM_Parametres!$B$10))</f>
        <v>67.7</v>
      </c>
      <c r="L49" s="129">
        <f>SIM_Districts!E49</f>
        <v>1898</v>
      </c>
      <c r="M49" s="68">
        <f t="shared" si="0"/>
        <v>50.068958630013604</v>
      </c>
      <c r="N49" s="129">
        <f>SIM_Districts!J49</f>
        <v>133963</v>
      </c>
      <c r="O49" s="56">
        <v>16600000</v>
      </c>
      <c r="P49" s="130">
        <f>SIM_Parametres!$D$22</f>
        <v>0</v>
      </c>
      <c r="Q49" s="130">
        <f>SIM_Parametres!$B$12</f>
        <v>0.2</v>
      </c>
      <c r="R49" s="59">
        <f t="shared" si="18"/>
        <v>6.4478372635519005E-3</v>
      </c>
      <c r="S49" s="59">
        <f t="shared" si="19"/>
        <v>0.62765957446808507</v>
      </c>
      <c r="T49" s="59">
        <f t="shared" si="20"/>
        <v>0.91436464088397806</v>
      </c>
      <c r="U49" s="59">
        <f t="shared" si="21"/>
        <v>0.5646045152795196</v>
      </c>
      <c r="V49" s="59">
        <f t="shared" si="22"/>
        <v>0.51735506215340199</v>
      </c>
      <c r="W49" s="59">
        <f t="shared" si="23"/>
        <v>1.4965123652504755E-2</v>
      </c>
      <c r="X49" s="59">
        <f t="shared" si="24"/>
        <v>1.8094353031214129E-2</v>
      </c>
      <c r="Y49" s="59">
        <f t="shared" si="25"/>
        <v>1.442548133003688E-2</v>
      </c>
      <c r="Z49" s="59">
        <f t="shared" si="26"/>
        <v>1.8988663864475865E-2</v>
      </c>
      <c r="AA49" s="59">
        <f t="shared" si="10"/>
        <v>1.0498331120414612E-2</v>
      </c>
      <c r="AB49" s="59">
        <f t="shared" si="11"/>
        <v>1.2810085086745884E-2</v>
      </c>
      <c r="AC49" s="60">
        <f t="shared" si="12"/>
        <v>14533736.458317483</v>
      </c>
      <c r="AD49" s="60">
        <f t="shared" si="13"/>
        <v>16600000</v>
      </c>
      <c r="AE49" s="59">
        <f>0</f>
        <v>0</v>
      </c>
      <c r="AF49" s="60">
        <f t="shared" si="14"/>
        <v>16600000</v>
      </c>
      <c r="AG49" s="60">
        <f>1</f>
        <v>1</v>
      </c>
      <c r="AH49" s="60">
        <f t="shared" si="15"/>
        <v>16600000</v>
      </c>
      <c r="AI49" s="60">
        <f t="shared" si="16"/>
        <v>174.68005549516445</v>
      </c>
      <c r="AJ49" s="60">
        <f t="shared" si="17"/>
        <v>0</v>
      </c>
      <c r="AK49" s="71"/>
    </row>
    <row r="50" spans="1:37" ht="12.75" customHeight="1" x14ac:dyDescent="0.25">
      <c r="A50" s="62" t="s">
        <v>643</v>
      </c>
      <c r="B50" s="62" t="s">
        <v>435</v>
      </c>
      <c r="C50" s="62" t="s">
        <v>437</v>
      </c>
      <c r="D50" s="124">
        <v>2016</v>
      </c>
      <c r="E50" s="62" t="s">
        <v>675</v>
      </c>
      <c r="F50" s="64">
        <f>SIM_Parametres!$C$22</f>
        <v>1295854000</v>
      </c>
      <c r="G50" s="125">
        <f>SIM_Districts!D50*(1+SIM_Parametres!$B$6)^(2016-2023)</f>
        <v>79967.550140618841</v>
      </c>
      <c r="H50" s="125">
        <f>MAX(0,MIN(100,SIM_Districts!F50+(2016-2022)*SIM_Parametres!$B$7))</f>
        <v>42.279999999999994</v>
      </c>
      <c r="I50" s="125">
        <f>SIM_Districts!G50*(1+SIM_Parametres!$B$8)^(2016-2023)</f>
        <v>61.682933008349103</v>
      </c>
      <c r="J50" s="125">
        <f>SIM_Districts!H50*(1+SIM_Parametres!$B$9)^(2016-2023)</f>
        <v>47.878211211488079</v>
      </c>
      <c r="K50" s="125">
        <f>MAX(0,MIN(100,SIM_Districts!I50+(2016-2023)*SIM_Parametres!$B$10))</f>
        <v>71.900000000000006</v>
      </c>
      <c r="L50" s="125">
        <f>SIM_Districts!E50</f>
        <v>2448</v>
      </c>
      <c r="M50" s="61">
        <f t="shared" si="0"/>
        <v>32.666482900579595</v>
      </c>
      <c r="N50" s="125">
        <f>SIM_Districts!J50</f>
        <v>89545</v>
      </c>
      <c r="O50" s="63">
        <v>15900000</v>
      </c>
      <c r="P50" s="126">
        <f>SIM_Parametres!$D$22</f>
        <v>0</v>
      </c>
      <c r="Q50" s="126">
        <f>SIM_Parametres!$B$12</f>
        <v>0.2</v>
      </c>
      <c r="R50" s="66">
        <f t="shared" si="18"/>
        <v>5.4257913931887586E-3</v>
      </c>
      <c r="S50" s="66">
        <f t="shared" si="19"/>
        <v>0.49645390070921969</v>
      </c>
      <c r="T50" s="66">
        <f t="shared" si="20"/>
        <v>0.84806629834254155</v>
      </c>
      <c r="U50" s="66">
        <f t="shared" si="21"/>
        <v>0.58395945065622235</v>
      </c>
      <c r="V50" s="66">
        <f t="shared" si="22"/>
        <v>0.20906585970196906</v>
      </c>
      <c r="W50" s="66">
        <f t="shared" si="23"/>
        <v>1.1836820968082855E-2</v>
      </c>
      <c r="X50" s="66">
        <f t="shared" si="24"/>
        <v>1.6782375772153284E-2</v>
      </c>
      <c r="Y50" s="66">
        <f t="shared" si="25"/>
        <v>1.4919994305694663E-2</v>
      </c>
      <c r="Z50" s="66">
        <f t="shared" si="26"/>
        <v>7.6734173990574452E-3</v>
      </c>
      <c r="AA50" s="66">
        <f t="shared" si="10"/>
        <v>8.6780249321862825E-3</v>
      </c>
      <c r="AB50" s="66">
        <f t="shared" si="11"/>
        <v>1.2269900775859009E-2</v>
      </c>
      <c r="AC50" s="67">
        <f t="shared" si="12"/>
        <v>12646655.614125136</v>
      </c>
      <c r="AD50" s="67">
        <f t="shared" si="13"/>
        <v>15900000</v>
      </c>
      <c r="AE50" s="66">
        <f>0</f>
        <v>0</v>
      </c>
      <c r="AF50" s="67">
        <f t="shared" si="14"/>
        <v>15900000</v>
      </c>
      <c r="AG50" s="67">
        <f>1</f>
        <v>1</v>
      </c>
      <c r="AH50" s="67">
        <f t="shared" si="15"/>
        <v>15900000</v>
      </c>
      <c r="AI50" s="67">
        <f t="shared" si="16"/>
        <v>198.83065033304965</v>
      </c>
      <c r="AJ50" s="67">
        <f t="shared" si="17"/>
        <v>0</v>
      </c>
      <c r="AK50" s="131"/>
    </row>
    <row r="51" spans="1:37" ht="12.75" customHeight="1" x14ac:dyDescent="0.25">
      <c r="A51" s="55" t="s">
        <v>645</v>
      </c>
      <c r="B51" s="55" t="s">
        <v>435</v>
      </c>
      <c r="C51" s="55" t="s">
        <v>438</v>
      </c>
      <c r="D51" s="128">
        <v>2016</v>
      </c>
      <c r="E51" s="55" t="s">
        <v>675</v>
      </c>
      <c r="F51" s="57">
        <f>SIM_Parametres!$C$22</f>
        <v>1295854000</v>
      </c>
      <c r="G51" s="129">
        <f>SIM_Districts!D51*(1+SIM_Parametres!$B$6)^(2016-2023)</f>
        <v>150808.9611579199</v>
      </c>
      <c r="H51" s="129">
        <f>MAX(0,MIN(100,SIM_Districts!F51+(2016-2022)*SIM_Parametres!$B$7))</f>
        <v>42.279999999999994</v>
      </c>
      <c r="I51" s="129">
        <f>SIM_Districts!G51*(1+SIM_Parametres!$B$8)^(2016-2023)</f>
        <v>61.682933008349103</v>
      </c>
      <c r="J51" s="129">
        <f>SIM_Districts!H51*(1+SIM_Parametres!$B$9)^(2016-2023)</f>
        <v>47.878211211488079</v>
      </c>
      <c r="K51" s="129">
        <f>MAX(0,MIN(100,SIM_Districts!I51+(2016-2023)*SIM_Parametres!$B$10))</f>
        <v>71.900000000000006</v>
      </c>
      <c r="L51" s="129">
        <f>SIM_Districts!E51</f>
        <v>6989</v>
      </c>
      <c r="M51" s="68">
        <f t="shared" si="0"/>
        <v>21.57804566574902</v>
      </c>
      <c r="N51" s="129">
        <f>SIM_Districts!J51</f>
        <v>89545</v>
      </c>
      <c r="O51" s="56">
        <v>16600000</v>
      </c>
      <c r="P51" s="130">
        <f>SIM_Parametres!$D$22</f>
        <v>0</v>
      </c>
      <c r="Q51" s="130">
        <f>SIM_Parametres!$B$12</f>
        <v>0.2</v>
      </c>
      <c r="R51" s="59">
        <f t="shared" si="18"/>
        <v>1.0232375032466481E-2</v>
      </c>
      <c r="S51" s="59">
        <f t="shared" si="19"/>
        <v>0.49645390070921969</v>
      </c>
      <c r="T51" s="59">
        <f t="shared" si="20"/>
        <v>0.84806629834254155</v>
      </c>
      <c r="U51" s="59">
        <f t="shared" si="21"/>
        <v>0.74145452539080825</v>
      </c>
      <c r="V51" s="59">
        <f t="shared" si="22"/>
        <v>0.20906585970196906</v>
      </c>
      <c r="W51" s="59">
        <f t="shared" si="23"/>
        <v>1.1836820968082855E-2</v>
      </c>
      <c r="X51" s="59">
        <f t="shared" si="24"/>
        <v>1.6782375772153284E-2</v>
      </c>
      <c r="Y51" s="59">
        <f t="shared" si="25"/>
        <v>1.8943947707894711E-2</v>
      </c>
      <c r="Z51" s="59">
        <f t="shared" si="26"/>
        <v>7.6734173990574452E-3</v>
      </c>
      <c r="AA51" s="59">
        <f t="shared" si="10"/>
        <v>1.1763172785862917E-2</v>
      </c>
      <c r="AB51" s="59">
        <f t="shared" si="11"/>
        <v>1.2810085086745884E-2</v>
      </c>
      <c r="AC51" s="60">
        <f t="shared" si="12"/>
        <v>15844976.563547762</v>
      </c>
      <c r="AD51" s="60">
        <f t="shared" si="13"/>
        <v>16600000</v>
      </c>
      <c r="AE51" s="59">
        <f>0</f>
        <v>0</v>
      </c>
      <c r="AF51" s="60">
        <f t="shared" si="14"/>
        <v>16600000</v>
      </c>
      <c r="AG51" s="60">
        <f>1</f>
        <v>1</v>
      </c>
      <c r="AH51" s="60">
        <f t="shared" si="15"/>
        <v>16600000</v>
      </c>
      <c r="AI51" s="60">
        <f t="shared" si="16"/>
        <v>110.07303460314455</v>
      </c>
      <c r="AJ51" s="60">
        <f t="shared" si="17"/>
        <v>0</v>
      </c>
      <c r="AK51" s="71"/>
    </row>
    <row r="52" spans="1:37" ht="12.75" customHeight="1" x14ac:dyDescent="0.25">
      <c r="A52" s="62" t="s">
        <v>646</v>
      </c>
      <c r="B52" s="62" t="s">
        <v>435</v>
      </c>
      <c r="C52" s="62" t="s">
        <v>439</v>
      </c>
      <c r="D52" s="124">
        <v>2016</v>
      </c>
      <c r="E52" s="62" t="s">
        <v>675</v>
      </c>
      <c r="F52" s="64">
        <f>SIM_Parametres!$C$22</f>
        <v>1295854000</v>
      </c>
      <c r="G52" s="125">
        <f>SIM_Districts!D52*(1+SIM_Parametres!$B$6)^(2016-2023)</f>
        <v>247985.59313612082</v>
      </c>
      <c r="H52" s="125">
        <f>MAX(0,MIN(100,SIM_Districts!F52+(2016-2022)*SIM_Parametres!$B$7))</f>
        <v>42.279999999999994</v>
      </c>
      <c r="I52" s="125">
        <f>SIM_Districts!G52*(1+SIM_Parametres!$B$8)^(2016-2023)</f>
        <v>61.682933008349103</v>
      </c>
      <c r="J52" s="125">
        <f>SIM_Districts!H52*(1+SIM_Parametres!$B$9)^(2016-2023)</f>
        <v>47.878211211488079</v>
      </c>
      <c r="K52" s="125">
        <f>MAX(0,MIN(100,SIM_Districts!I52+(2016-2023)*SIM_Parametres!$B$10))</f>
        <v>71.900000000000006</v>
      </c>
      <c r="L52" s="125">
        <f>SIM_Districts!E52</f>
        <v>5859</v>
      </c>
      <c r="M52" s="61">
        <f t="shared" si="0"/>
        <v>42.325583399235505</v>
      </c>
      <c r="N52" s="125">
        <f>SIM_Districts!J52</f>
        <v>89545</v>
      </c>
      <c r="O52" s="63">
        <v>19950000</v>
      </c>
      <c r="P52" s="126">
        <f>SIM_Parametres!$D$22</f>
        <v>0</v>
      </c>
      <c r="Q52" s="126">
        <f>SIM_Parametres!$B$12</f>
        <v>0.2</v>
      </c>
      <c r="R52" s="66">
        <f t="shared" si="18"/>
        <v>1.6825801146924585E-2</v>
      </c>
      <c r="S52" s="66">
        <f t="shared" si="19"/>
        <v>0.49645390070921969</v>
      </c>
      <c r="T52" s="66">
        <f t="shared" si="20"/>
        <v>0.84806629834254155</v>
      </c>
      <c r="U52" s="66">
        <f t="shared" si="21"/>
        <v>0.70194995546768002</v>
      </c>
      <c r="V52" s="66">
        <f t="shared" si="22"/>
        <v>0.20906585970196906</v>
      </c>
      <c r="W52" s="66">
        <f t="shared" si="23"/>
        <v>1.1836820968082855E-2</v>
      </c>
      <c r="X52" s="66">
        <f t="shared" si="24"/>
        <v>1.6782375772153284E-2</v>
      </c>
      <c r="Y52" s="66">
        <f t="shared" si="25"/>
        <v>1.7934617423677812E-2</v>
      </c>
      <c r="Z52" s="66">
        <f t="shared" si="26"/>
        <v>7.6734173990574452E-3</v>
      </c>
      <c r="AA52" s="66">
        <f t="shared" si="10"/>
        <v>1.5668761940326934E-2</v>
      </c>
      <c r="AB52" s="66">
        <f t="shared" si="11"/>
        <v>1.5395252860275927E-2</v>
      </c>
      <c r="AC52" s="67">
        <f t="shared" si="12"/>
        <v>19893835.226082817</v>
      </c>
      <c r="AD52" s="67">
        <f t="shared" si="13"/>
        <v>19950000</v>
      </c>
      <c r="AE52" s="66">
        <f>0</f>
        <v>0</v>
      </c>
      <c r="AF52" s="67">
        <f t="shared" si="14"/>
        <v>19950000</v>
      </c>
      <c r="AG52" s="67">
        <f>1</f>
        <v>1</v>
      </c>
      <c r="AH52" s="67">
        <f t="shared" si="15"/>
        <v>19950000</v>
      </c>
      <c r="AI52" s="67">
        <f t="shared" si="16"/>
        <v>80.448221800729058</v>
      </c>
      <c r="AJ52" s="67">
        <f t="shared" si="17"/>
        <v>0</v>
      </c>
      <c r="AK52" s="131"/>
    </row>
    <row r="53" spans="1:37" ht="12.75" customHeight="1" x14ac:dyDescent="0.25">
      <c r="A53" s="55" t="s">
        <v>647</v>
      </c>
      <c r="B53" s="55" t="s">
        <v>435</v>
      </c>
      <c r="C53" s="55" t="s">
        <v>440</v>
      </c>
      <c r="D53" s="128">
        <v>2016</v>
      </c>
      <c r="E53" s="55" t="s">
        <v>675</v>
      </c>
      <c r="F53" s="57">
        <f>SIM_Parametres!$C$22</f>
        <v>1295854000</v>
      </c>
      <c r="G53" s="129">
        <f>SIM_Districts!D53*(1+SIM_Parametres!$B$6)^(2016-2023)</f>
        <v>180009.51660479375</v>
      </c>
      <c r="H53" s="129">
        <f>MAX(0,MIN(100,SIM_Districts!F53+(2016-2022)*SIM_Parametres!$B$7))</f>
        <v>42.279999999999994</v>
      </c>
      <c r="I53" s="129">
        <f>SIM_Districts!G53*(1+SIM_Parametres!$B$8)^(2016-2023)</f>
        <v>61.682933008349103</v>
      </c>
      <c r="J53" s="129">
        <f>SIM_Districts!H53*(1+SIM_Parametres!$B$9)^(2016-2023)</f>
        <v>47.878211211488079</v>
      </c>
      <c r="K53" s="129">
        <f>MAX(0,MIN(100,SIM_Districts!I53+(2016-2023)*SIM_Parametres!$B$10))</f>
        <v>71.900000000000006</v>
      </c>
      <c r="L53" s="129">
        <f>SIM_Districts!E53</f>
        <v>3143</v>
      </c>
      <c r="M53" s="68">
        <f t="shared" si="0"/>
        <v>57.273151958254452</v>
      </c>
      <c r="N53" s="129">
        <f>SIM_Districts!J53</f>
        <v>89545</v>
      </c>
      <c r="O53" s="56">
        <v>17400000</v>
      </c>
      <c r="P53" s="130">
        <f>SIM_Parametres!$D$22</f>
        <v>0</v>
      </c>
      <c r="Q53" s="130">
        <f>SIM_Parametres!$B$12</f>
        <v>0.2</v>
      </c>
      <c r="R53" s="59">
        <f t="shared" si="18"/>
        <v>1.2213630205863408E-2</v>
      </c>
      <c r="S53" s="59">
        <f t="shared" si="19"/>
        <v>0.49645390070921969</v>
      </c>
      <c r="T53" s="59">
        <f t="shared" si="20"/>
        <v>0.84806629834254155</v>
      </c>
      <c r="U53" s="59">
        <f t="shared" si="21"/>
        <v>0.6076065442079609</v>
      </c>
      <c r="V53" s="59">
        <f t="shared" si="22"/>
        <v>0.20906585970196906</v>
      </c>
      <c r="W53" s="59">
        <f t="shared" si="23"/>
        <v>1.1836820968082855E-2</v>
      </c>
      <c r="X53" s="59">
        <f t="shared" si="24"/>
        <v>1.6782375772153284E-2</v>
      </c>
      <c r="Y53" s="59">
        <f t="shared" si="25"/>
        <v>1.5524170675717777E-2</v>
      </c>
      <c r="Z53" s="59">
        <f t="shared" si="26"/>
        <v>7.6734173990574452E-3</v>
      </c>
      <c r="AA53" s="59">
        <f t="shared" si="10"/>
        <v>1.2780937038292228E-2</v>
      </c>
      <c r="AB53" s="59">
        <f t="shared" si="11"/>
        <v>1.3427438584902312E-2</v>
      </c>
      <c r="AC53" s="60">
        <f t="shared" si="12"/>
        <v>16900075.66560179</v>
      </c>
      <c r="AD53" s="60">
        <f t="shared" si="13"/>
        <v>17400000</v>
      </c>
      <c r="AE53" s="59">
        <f>0</f>
        <v>0</v>
      </c>
      <c r="AF53" s="60">
        <f t="shared" si="14"/>
        <v>17400000</v>
      </c>
      <c r="AG53" s="60">
        <f>1</f>
        <v>1</v>
      </c>
      <c r="AH53" s="60">
        <f t="shared" si="15"/>
        <v>17400000</v>
      </c>
      <c r="AI53" s="60">
        <f t="shared" si="16"/>
        <v>96.661556167617803</v>
      </c>
      <c r="AJ53" s="60">
        <f t="shared" si="17"/>
        <v>0</v>
      </c>
      <c r="AK53" s="71"/>
    </row>
    <row r="54" spans="1:37" ht="12.75" customHeight="1" x14ac:dyDescent="0.25">
      <c r="A54" s="62" t="s">
        <v>648</v>
      </c>
      <c r="B54" s="62" t="s">
        <v>435</v>
      </c>
      <c r="C54" s="62" t="s">
        <v>435</v>
      </c>
      <c r="D54" s="124">
        <v>2016</v>
      </c>
      <c r="E54" s="62" t="s">
        <v>675</v>
      </c>
      <c r="F54" s="64">
        <f>SIM_Parametres!$C$22</f>
        <v>1295854000</v>
      </c>
      <c r="G54" s="125">
        <f>SIM_Districts!D54*(1+SIM_Parametres!$B$6)^(2016-2023)</f>
        <v>318922.94895176037</v>
      </c>
      <c r="H54" s="125">
        <f>MAX(0,MIN(100,SIM_Districts!F54+(2016-2022)*SIM_Parametres!$B$7))</f>
        <v>42.279999999999994</v>
      </c>
      <c r="I54" s="125">
        <f>SIM_Districts!G54*(1+SIM_Parametres!$B$8)^(2016-2023)</f>
        <v>61.682933008349103</v>
      </c>
      <c r="J54" s="125">
        <f>SIM_Districts!H54*(1+SIM_Parametres!$B$9)^(2016-2023)</f>
        <v>47.878211211488079</v>
      </c>
      <c r="K54" s="125">
        <f>MAX(0,MIN(100,SIM_Districts!I54+(2016-2023)*SIM_Parametres!$B$10))</f>
        <v>71.900000000000006</v>
      </c>
      <c r="L54" s="125">
        <f>SIM_Districts!E54</f>
        <v>802</v>
      </c>
      <c r="M54" s="61">
        <f t="shared" si="0"/>
        <v>397.65953734633462</v>
      </c>
      <c r="N54" s="125">
        <f>SIM_Districts!J54</f>
        <v>89545</v>
      </c>
      <c r="O54" s="63">
        <v>18850000</v>
      </c>
      <c r="P54" s="126">
        <f>SIM_Parametres!$D$22</f>
        <v>0</v>
      </c>
      <c r="Q54" s="126">
        <f>SIM_Parametres!$B$12</f>
        <v>0.2</v>
      </c>
      <c r="R54" s="66">
        <f t="shared" si="18"/>
        <v>2.1638894632510348E-2</v>
      </c>
      <c r="S54" s="66">
        <f t="shared" si="19"/>
        <v>0.49645390070921969</v>
      </c>
      <c r="T54" s="66">
        <f t="shared" si="20"/>
        <v>0.84806629834254155</v>
      </c>
      <c r="U54" s="66">
        <f t="shared" si="21"/>
        <v>0.52059263207206896</v>
      </c>
      <c r="V54" s="66">
        <f t="shared" si="22"/>
        <v>0.20906585970196906</v>
      </c>
      <c r="W54" s="66">
        <f t="shared" si="23"/>
        <v>1.1836820968082855E-2</v>
      </c>
      <c r="X54" s="66">
        <f t="shared" si="24"/>
        <v>1.6782375772153284E-2</v>
      </c>
      <c r="Y54" s="66">
        <f t="shared" si="25"/>
        <v>1.3300990500921697E-2</v>
      </c>
      <c r="Z54" s="66">
        <f t="shared" si="26"/>
        <v>7.6734173990574452E-3</v>
      </c>
      <c r="AA54" s="66">
        <f t="shared" si="10"/>
        <v>1.8324936685540586E-2</v>
      </c>
      <c r="AB54" s="66">
        <f t="shared" si="11"/>
        <v>1.4546391800310837E-2</v>
      </c>
      <c r="AC54" s="67">
        <f t="shared" si="12"/>
        <v>22647446.960710086</v>
      </c>
      <c r="AD54" s="67">
        <f t="shared" si="13"/>
        <v>18850000</v>
      </c>
      <c r="AE54" s="66">
        <f>0</f>
        <v>0</v>
      </c>
      <c r="AF54" s="67">
        <f t="shared" si="14"/>
        <v>18850000</v>
      </c>
      <c r="AG54" s="67">
        <f>1</f>
        <v>1</v>
      </c>
      <c r="AH54" s="67">
        <f t="shared" si="15"/>
        <v>18850000</v>
      </c>
      <c r="AI54" s="67">
        <f t="shared" si="16"/>
        <v>59.105185318135298</v>
      </c>
      <c r="AJ54" s="67">
        <f t="shared" si="17"/>
        <v>0</v>
      </c>
      <c r="AK54" s="131"/>
    </row>
    <row r="55" spans="1:37" ht="12.75" customHeight="1" x14ac:dyDescent="0.25">
      <c r="A55" s="55" t="s">
        <v>649</v>
      </c>
      <c r="B55" s="55" t="s">
        <v>441</v>
      </c>
      <c r="C55" s="55" t="s">
        <v>443</v>
      </c>
      <c r="D55" s="128">
        <v>2016</v>
      </c>
      <c r="E55" s="55" t="s">
        <v>675</v>
      </c>
      <c r="F55" s="57">
        <f>SIM_Parametres!$C$22</f>
        <v>1295854000</v>
      </c>
      <c r="G55" s="129">
        <f>SIM_Districts!D55*(1+SIM_Parametres!$B$6)^(2016-2023)</f>
        <v>234916.77327429908</v>
      </c>
      <c r="H55" s="129">
        <f>MAX(0,MIN(100,SIM_Districts!F55+(2016-2022)*SIM_Parametres!$B$7))</f>
        <v>69.38000000000001</v>
      </c>
      <c r="I55" s="129">
        <f>SIM_Districts!G55*(1+SIM_Parametres!$B$8)^(2016-2023)</f>
        <v>61.682933008349103</v>
      </c>
      <c r="J55" s="129">
        <f>SIM_Districts!H55*(1+SIM_Parametres!$B$9)^(2016-2023)</f>
        <v>51.223413741548384</v>
      </c>
      <c r="K55" s="129">
        <f>MAX(0,MIN(100,SIM_Districts!I55+(2016-2023)*SIM_Parametres!$B$10))</f>
        <v>67.599999999999994</v>
      </c>
      <c r="L55" s="129">
        <f>SIM_Districts!E55</f>
        <v>2865</v>
      </c>
      <c r="M55" s="68">
        <f t="shared" si="0"/>
        <v>81.995383341814687</v>
      </c>
      <c r="N55" s="129">
        <f>SIM_Districts!J55</f>
        <v>178218</v>
      </c>
      <c r="O55" s="56">
        <v>16000000</v>
      </c>
      <c r="P55" s="130">
        <f>SIM_Parametres!$D$22</f>
        <v>0</v>
      </c>
      <c r="Q55" s="130">
        <f>SIM_Parametres!$B$12</f>
        <v>0.2</v>
      </c>
      <c r="R55" s="59">
        <f t="shared" si="18"/>
        <v>1.5939082844304116E-2</v>
      </c>
      <c r="S55" s="59">
        <f t="shared" si="19"/>
        <v>0.97695035460992918</v>
      </c>
      <c r="T55" s="59">
        <f t="shared" si="20"/>
        <v>0.89226519337016585</v>
      </c>
      <c r="U55" s="59">
        <f t="shared" si="21"/>
        <v>0.59754648703547397</v>
      </c>
      <c r="V55" s="59">
        <f t="shared" si="22"/>
        <v>0.82451294081719062</v>
      </c>
      <c r="W55" s="59">
        <f t="shared" si="23"/>
        <v>2.3293172690763055E-2</v>
      </c>
      <c r="X55" s="59">
        <f t="shared" si="24"/>
        <v>1.7657027278193849E-2</v>
      </c>
      <c r="Y55" s="59">
        <f t="shared" si="25"/>
        <v>1.526713913772349E-2</v>
      </c>
      <c r="Z55" s="59">
        <f t="shared" si="26"/>
        <v>3.0262386957075536E-2</v>
      </c>
      <c r="AA55" s="59">
        <f t="shared" si="10"/>
        <v>1.7982456006665957E-2</v>
      </c>
      <c r="AB55" s="59">
        <f t="shared" si="11"/>
        <v>1.2347069963128562E-2</v>
      </c>
      <c r="AC55" s="60">
        <f t="shared" si="12"/>
        <v>22292402.994596165</v>
      </c>
      <c r="AD55" s="60">
        <f t="shared" si="13"/>
        <v>16000000</v>
      </c>
      <c r="AE55" s="59">
        <f>0</f>
        <v>0</v>
      </c>
      <c r="AF55" s="60">
        <f t="shared" si="14"/>
        <v>16000000</v>
      </c>
      <c r="AG55" s="60">
        <f>1</f>
        <v>1</v>
      </c>
      <c r="AH55" s="60">
        <f t="shared" si="15"/>
        <v>16000000</v>
      </c>
      <c r="AI55" s="60">
        <f t="shared" si="16"/>
        <v>68.109227693663669</v>
      </c>
      <c r="AJ55" s="60">
        <f t="shared" si="17"/>
        <v>0</v>
      </c>
      <c r="AK55" s="71"/>
    </row>
    <row r="56" spans="1:37" ht="12.75" customHeight="1" x14ac:dyDescent="0.25">
      <c r="A56" s="62" t="s">
        <v>651</v>
      </c>
      <c r="B56" s="62" t="s">
        <v>441</v>
      </c>
      <c r="C56" s="62" t="s">
        <v>441</v>
      </c>
      <c r="D56" s="124">
        <v>2016</v>
      </c>
      <c r="E56" s="62" t="s">
        <v>675</v>
      </c>
      <c r="F56" s="64">
        <f>SIM_Parametres!$C$22</f>
        <v>1295854000</v>
      </c>
      <c r="G56" s="125">
        <f>SIM_Districts!D56*(1+SIM_Parametres!$B$6)^(2016-2023)</f>
        <v>244210.40924895363</v>
      </c>
      <c r="H56" s="125">
        <f>MAX(0,MIN(100,SIM_Districts!F56+(2016-2022)*SIM_Parametres!$B$7))</f>
        <v>69.38000000000001</v>
      </c>
      <c r="I56" s="125">
        <f>SIM_Districts!G56*(1+SIM_Parametres!$B$8)^(2016-2023)</f>
        <v>61.682933008349103</v>
      </c>
      <c r="J56" s="125">
        <f>SIM_Districts!H56*(1+SIM_Parametres!$B$9)^(2016-2023)</f>
        <v>51.223413741548384</v>
      </c>
      <c r="K56" s="125">
        <f>MAX(0,MIN(100,SIM_Districts!I56+(2016-2023)*SIM_Parametres!$B$10))</f>
        <v>67.599999999999994</v>
      </c>
      <c r="L56" s="125">
        <f>SIM_Districts!E56</f>
        <v>2749</v>
      </c>
      <c r="M56" s="61">
        <f t="shared" si="0"/>
        <v>88.836089213879092</v>
      </c>
      <c r="N56" s="125">
        <f>SIM_Districts!J56</f>
        <v>178218</v>
      </c>
      <c r="O56" s="63">
        <v>20200000</v>
      </c>
      <c r="P56" s="126">
        <f>SIM_Parametres!$D$22</f>
        <v>0</v>
      </c>
      <c r="Q56" s="126">
        <f>SIM_Parametres!$B$12</f>
        <v>0.2</v>
      </c>
      <c r="R56" s="66">
        <f t="shared" si="18"/>
        <v>1.6569655245159711E-2</v>
      </c>
      <c r="S56" s="66">
        <f t="shared" si="19"/>
        <v>0.97695035460992918</v>
      </c>
      <c r="T56" s="66">
        <f t="shared" si="20"/>
        <v>0.89226519337016585</v>
      </c>
      <c r="U56" s="66">
        <f t="shared" si="21"/>
        <v>0.59340921006518599</v>
      </c>
      <c r="V56" s="66">
        <f t="shared" si="22"/>
        <v>0.82451294081719062</v>
      </c>
      <c r="W56" s="66">
        <f t="shared" si="23"/>
        <v>2.3293172690763055E-2</v>
      </c>
      <c r="X56" s="66">
        <f t="shared" si="24"/>
        <v>1.7657027278193849E-2</v>
      </c>
      <c r="Y56" s="66">
        <f t="shared" si="25"/>
        <v>1.516143291314161E-2</v>
      </c>
      <c r="Z56" s="66">
        <f t="shared" si="26"/>
        <v>3.0262386957075536E-2</v>
      </c>
      <c r="AA56" s="66">
        <f t="shared" si="10"/>
        <v>1.8355514135950216E-2</v>
      </c>
      <c r="AB56" s="66">
        <f t="shared" si="11"/>
        <v>1.558817582844981E-2</v>
      </c>
      <c r="AC56" s="67">
        <f t="shared" si="12"/>
        <v>22679146.089848585</v>
      </c>
      <c r="AD56" s="67">
        <f t="shared" si="13"/>
        <v>20200000</v>
      </c>
      <c r="AE56" s="66">
        <f>0</f>
        <v>0</v>
      </c>
      <c r="AF56" s="67">
        <f t="shared" si="14"/>
        <v>20200000</v>
      </c>
      <c r="AG56" s="67">
        <f>1</f>
        <v>1</v>
      </c>
      <c r="AH56" s="67">
        <f t="shared" si="15"/>
        <v>20200000</v>
      </c>
      <c r="AI56" s="67">
        <f t="shared" si="16"/>
        <v>82.715556892612483</v>
      </c>
      <c r="AJ56" s="67">
        <f t="shared" si="17"/>
        <v>0</v>
      </c>
      <c r="AK56" s="131"/>
    </row>
    <row r="57" spans="1:37" ht="12.75" customHeight="1" x14ac:dyDescent="0.25">
      <c r="A57" s="55" t="s">
        <v>652</v>
      </c>
      <c r="B57" s="55" t="s">
        <v>444</v>
      </c>
      <c r="C57" s="55" t="s">
        <v>446</v>
      </c>
      <c r="D57" s="128">
        <v>2016</v>
      </c>
      <c r="E57" s="55" t="s">
        <v>675</v>
      </c>
      <c r="F57" s="57">
        <f>SIM_Parametres!$C$22</f>
        <v>1295854000</v>
      </c>
      <c r="G57" s="129">
        <f>SIM_Districts!D57*(1+SIM_Parametres!$B$6)^(2016-2023)</f>
        <v>123115.8773730766</v>
      </c>
      <c r="H57" s="129">
        <f>MAX(0,MIN(100,SIM_Districts!F57+(2016-2022)*SIM_Parametres!$B$7))</f>
        <v>67.78</v>
      </c>
      <c r="I57" s="129">
        <f>SIM_Districts!G57*(1+SIM_Parametres!$B$8)^(2016-2023)</f>
        <v>61.682933008349103</v>
      </c>
      <c r="J57" s="129">
        <f>SIM_Districts!H57*(1+SIM_Parametres!$B$9)^(2016-2023)</f>
        <v>49.132662160260693</v>
      </c>
      <c r="K57" s="129">
        <f>MAX(0,MIN(100,SIM_Districts!I57+(2016-2023)*SIM_Parametres!$B$10))</f>
        <v>71.599999999999994</v>
      </c>
      <c r="L57" s="129">
        <f>SIM_Districts!E57</f>
        <v>1360</v>
      </c>
      <c r="M57" s="68">
        <f t="shared" si="0"/>
        <v>90.526380421379855</v>
      </c>
      <c r="N57" s="129">
        <f>SIM_Districts!J57</f>
        <v>71159</v>
      </c>
      <c r="O57" s="56">
        <v>18500000</v>
      </c>
      <c r="P57" s="130">
        <f>SIM_Parametres!$D$22</f>
        <v>0</v>
      </c>
      <c r="Q57" s="130">
        <f>SIM_Parametres!$B$12</f>
        <v>0.2</v>
      </c>
      <c r="R57" s="59">
        <f t="shared" si="18"/>
        <v>8.3534016815705377E-3</v>
      </c>
      <c r="S57" s="59">
        <f t="shared" si="19"/>
        <v>0.9485815602836879</v>
      </c>
      <c r="T57" s="59">
        <f t="shared" si="20"/>
        <v>0.86464088397790062</v>
      </c>
      <c r="U57" s="59">
        <f t="shared" si="21"/>
        <v>0.54526424876049684</v>
      </c>
      <c r="V57" s="59">
        <f t="shared" si="22"/>
        <v>8.1455312710388056E-2</v>
      </c>
      <c r="W57" s="59">
        <f t="shared" si="23"/>
        <v>2.2616782921158318E-2</v>
      </c>
      <c r="X57" s="59">
        <f t="shared" si="24"/>
        <v>1.7110370086918496E-2</v>
      </c>
      <c r="Y57" s="59">
        <f t="shared" si="25"/>
        <v>1.3931343139431056E-2</v>
      </c>
      <c r="Z57" s="59">
        <f t="shared" si="26"/>
        <v>2.9896828429499429E-3</v>
      </c>
      <c r="AA57" s="59">
        <f t="shared" si="10"/>
        <v>1.1817165259272892E-2</v>
      </c>
      <c r="AB57" s="59">
        <f t="shared" si="11"/>
        <v>1.42762996448674E-2</v>
      </c>
      <c r="AC57" s="60">
        <f t="shared" si="12"/>
        <v>15900949.65365833</v>
      </c>
      <c r="AD57" s="60">
        <f t="shared" si="13"/>
        <v>18500000</v>
      </c>
      <c r="AE57" s="59">
        <f>0</f>
        <v>0</v>
      </c>
      <c r="AF57" s="60">
        <f t="shared" si="14"/>
        <v>18500000</v>
      </c>
      <c r="AG57" s="60">
        <f>1</f>
        <v>1</v>
      </c>
      <c r="AH57" s="60">
        <f t="shared" si="15"/>
        <v>18500000</v>
      </c>
      <c r="AI57" s="60">
        <f t="shared" si="16"/>
        <v>150.26494059689529</v>
      </c>
      <c r="AJ57" s="60">
        <f t="shared" si="17"/>
        <v>0</v>
      </c>
      <c r="AK57" s="71"/>
    </row>
    <row r="58" spans="1:37" ht="12.75" customHeight="1" x14ac:dyDescent="0.25">
      <c r="A58" s="62" t="s">
        <v>654</v>
      </c>
      <c r="B58" s="62" t="s">
        <v>444</v>
      </c>
      <c r="C58" s="62" t="s">
        <v>447</v>
      </c>
      <c r="D58" s="124">
        <v>2016</v>
      </c>
      <c r="E58" s="62" t="s">
        <v>675</v>
      </c>
      <c r="F58" s="64">
        <f>SIM_Parametres!$C$22</f>
        <v>1295854000</v>
      </c>
      <c r="G58" s="125">
        <f>SIM_Districts!D58*(1+SIM_Parametres!$B$6)^(2016-2023)</f>
        <v>60374.483991778048</v>
      </c>
      <c r="H58" s="125">
        <f>MAX(0,MIN(100,SIM_Districts!F58+(2016-2022)*SIM_Parametres!$B$7))</f>
        <v>67.78</v>
      </c>
      <c r="I58" s="125">
        <f>SIM_Districts!G58*(1+SIM_Parametres!$B$8)^(2016-2023)</f>
        <v>61.682933008349103</v>
      </c>
      <c r="J58" s="125">
        <f>SIM_Districts!H58*(1+SIM_Parametres!$B$9)^(2016-2023)</f>
        <v>49.132662160260693</v>
      </c>
      <c r="K58" s="125">
        <f>MAX(0,MIN(100,SIM_Districts!I58+(2016-2023)*SIM_Parametres!$B$10))</f>
        <v>71.599999999999994</v>
      </c>
      <c r="L58" s="125">
        <f>SIM_Districts!E58</f>
        <v>6089</v>
      </c>
      <c r="M58" s="61">
        <f t="shared" si="0"/>
        <v>9.915336507107579</v>
      </c>
      <c r="N58" s="125">
        <f>SIM_Districts!J58</f>
        <v>71159</v>
      </c>
      <c r="O58" s="63">
        <v>15700000</v>
      </c>
      <c r="P58" s="126">
        <f>SIM_Parametres!$D$22</f>
        <v>0</v>
      </c>
      <c r="Q58" s="126">
        <f>SIM_Parametres!$B$12</f>
        <v>0.2</v>
      </c>
      <c r="R58" s="66">
        <f t="shared" si="18"/>
        <v>4.0964035416211986E-3</v>
      </c>
      <c r="S58" s="66">
        <f t="shared" si="19"/>
        <v>0.9485815602836879</v>
      </c>
      <c r="T58" s="66">
        <f t="shared" si="20"/>
        <v>0.86464088397790062</v>
      </c>
      <c r="U58" s="66">
        <f t="shared" si="21"/>
        <v>0.71048099676349064</v>
      </c>
      <c r="V58" s="66">
        <f t="shared" si="22"/>
        <v>8.1455312710388056E-2</v>
      </c>
      <c r="W58" s="66">
        <f t="shared" si="23"/>
        <v>2.2616782921158318E-2</v>
      </c>
      <c r="X58" s="66">
        <f t="shared" si="24"/>
        <v>1.7110370086918496E-2</v>
      </c>
      <c r="Y58" s="66">
        <f t="shared" si="25"/>
        <v>1.8152583050250179E-2</v>
      </c>
      <c r="Z58" s="66">
        <f t="shared" si="26"/>
        <v>2.9896828429499429E-3</v>
      </c>
      <c r="AA58" s="66">
        <f t="shared" si="10"/>
        <v>9.4740283708442466E-3</v>
      </c>
      <c r="AB58" s="66">
        <f t="shared" si="11"/>
        <v>1.2115562401319903E-2</v>
      </c>
      <c r="AC58" s="67">
        <f t="shared" si="12"/>
        <v>13471859.006124079</v>
      </c>
      <c r="AD58" s="67">
        <f t="shared" si="13"/>
        <v>15700000</v>
      </c>
      <c r="AE58" s="66">
        <f>0</f>
        <v>0</v>
      </c>
      <c r="AF58" s="67">
        <f t="shared" si="14"/>
        <v>15700000</v>
      </c>
      <c r="AG58" s="67">
        <f>1</f>
        <v>1</v>
      </c>
      <c r="AH58" s="67">
        <f t="shared" si="15"/>
        <v>15700000</v>
      </c>
      <c r="AI58" s="67">
        <f t="shared" si="16"/>
        <v>260.04363038759993</v>
      </c>
      <c r="AJ58" s="67">
        <f t="shared" si="17"/>
        <v>0</v>
      </c>
      <c r="AK58" s="131"/>
    </row>
    <row r="59" spans="1:37" ht="12.75" customHeight="1" x14ac:dyDescent="0.25">
      <c r="A59" s="55" t="s">
        <v>655</v>
      </c>
      <c r="B59" s="55" t="s">
        <v>444</v>
      </c>
      <c r="C59" s="55" t="s">
        <v>448</v>
      </c>
      <c r="D59" s="128">
        <v>2016</v>
      </c>
      <c r="E59" s="55" t="s">
        <v>675</v>
      </c>
      <c r="F59" s="57">
        <f>SIM_Parametres!$C$22</f>
        <v>1295854000</v>
      </c>
      <c r="G59" s="129">
        <f>SIM_Districts!D59*(1+SIM_Parametres!$B$6)^(2016-2023)</f>
        <v>106356.43514126739</v>
      </c>
      <c r="H59" s="129">
        <f>MAX(0,MIN(100,SIM_Districts!F59+(2016-2022)*SIM_Parametres!$B$7))</f>
        <v>67.78</v>
      </c>
      <c r="I59" s="129">
        <f>SIM_Districts!G59*(1+SIM_Parametres!$B$8)^(2016-2023)</f>
        <v>61.682933008349103</v>
      </c>
      <c r="J59" s="129">
        <f>SIM_Districts!H59*(1+SIM_Parametres!$B$9)^(2016-2023)</f>
        <v>49.132662160260693</v>
      </c>
      <c r="K59" s="129">
        <f>MAX(0,MIN(100,SIM_Districts!I59+(2016-2023)*SIM_Parametres!$B$10))</f>
        <v>71.599999999999994</v>
      </c>
      <c r="L59" s="129">
        <f>SIM_Districts!E59</f>
        <v>9596</v>
      </c>
      <c r="M59" s="68">
        <f t="shared" si="0"/>
        <v>11.083413416138743</v>
      </c>
      <c r="N59" s="129">
        <f>SIM_Districts!J59</f>
        <v>71159</v>
      </c>
      <c r="O59" s="56">
        <v>15700000</v>
      </c>
      <c r="P59" s="130">
        <f>SIM_Parametres!$D$22</f>
        <v>0</v>
      </c>
      <c r="Q59" s="130">
        <f>SIM_Parametres!$B$12</f>
        <v>0.2</v>
      </c>
      <c r="R59" s="59">
        <f t="shared" si="18"/>
        <v>7.2162749688465238E-3</v>
      </c>
      <c r="S59" s="59">
        <f t="shared" si="19"/>
        <v>0.9485815602836879</v>
      </c>
      <c r="T59" s="59">
        <f t="shared" si="20"/>
        <v>0.86464088397790062</v>
      </c>
      <c r="U59" s="59">
        <f t="shared" si="21"/>
        <v>0.83194467542502515</v>
      </c>
      <c r="V59" s="59">
        <f t="shared" si="22"/>
        <v>8.1455312710388056E-2</v>
      </c>
      <c r="W59" s="59">
        <f t="shared" si="23"/>
        <v>2.2616782921158318E-2</v>
      </c>
      <c r="X59" s="59">
        <f t="shared" si="24"/>
        <v>1.7110370086918496E-2</v>
      </c>
      <c r="Y59" s="59">
        <f t="shared" si="25"/>
        <v>2.1255944751036641E-2</v>
      </c>
      <c r="Z59" s="59">
        <f t="shared" si="26"/>
        <v>2.9896828429499429E-3</v>
      </c>
      <c r="AA59" s="59">
        <f t="shared" si="10"/>
        <v>1.1501119312218764E-2</v>
      </c>
      <c r="AB59" s="59">
        <f t="shared" si="11"/>
        <v>1.2115562401319903E-2</v>
      </c>
      <c r="AC59" s="60">
        <f t="shared" si="12"/>
        <v>15573310.129919225</v>
      </c>
      <c r="AD59" s="60">
        <f t="shared" si="13"/>
        <v>15700000</v>
      </c>
      <c r="AE59" s="59">
        <f>0</f>
        <v>0</v>
      </c>
      <c r="AF59" s="60">
        <f t="shared" si="14"/>
        <v>15700000</v>
      </c>
      <c r="AG59" s="60">
        <f>1</f>
        <v>1</v>
      </c>
      <c r="AH59" s="60">
        <f t="shared" si="15"/>
        <v>15700000</v>
      </c>
      <c r="AI59" s="60">
        <f t="shared" si="16"/>
        <v>147.61683182730368</v>
      </c>
      <c r="AJ59" s="60">
        <f t="shared" si="17"/>
        <v>0</v>
      </c>
      <c r="AK59" s="71"/>
    </row>
    <row r="60" spans="1:37" ht="12.75" customHeight="1" x14ac:dyDescent="0.25">
      <c r="A60" s="62" t="s">
        <v>656</v>
      </c>
      <c r="B60" s="62" t="s">
        <v>444</v>
      </c>
      <c r="C60" s="62" t="s">
        <v>449</v>
      </c>
      <c r="D60" s="124">
        <v>2016</v>
      </c>
      <c r="E60" s="62" t="s">
        <v>675</v>
      </c>
      <c r="F60" s="64">
        <f>SIM_Parametres!$C$22</f>
        <v>1295854000</v>
      </c>
      <c r="G60" s="125">
        <f>SIM_Districts!D60*(1+SIM_Parametres!$B$6)^(2016-2023)</f>
        <v>78487.723589973946</v>
      </c>
      <c r="H60" s="125">
        <f>MAX(0,MIN(100,SIM_Districts!F60+(2016-2022)*SIM_Parametres!$B$7))</f>
        <v>67.78</v>
      </c>
      <c r="I60" s="125">
        <f>SIM_Districts!G60*(1+SIM_Parametres!$B$8)^(2016-2023)</f>
        <v>61.682933008349103</v>
      </c>
      <c r="J60" s="125">
        <f>SIM_Districts!H60*(1+SIM_Parametres!$B$9)^(2016-2023)</f>
        <v>49.132662160260693</v>
      </c>
      <c r="K60" s="125">
        <f>MAX(0,MIN(100,SIM_Districts!I60+(2016-2023)*SIM_Parametres!$B$10))</f>
        <v>71.599999999999994</v>
      </c>
      <c r="L60" s="125">
        <f>SIM_Districts!E60</f>
        <v>5363</v>
      </c>
      <c r="M60" s="61">
        <f t="shared" si="0"/>
        <v>14.635040758898741</v>
      </c>
      <c r="N60" s="125">
        <f>SIM_Districts!J60</f>
        <v>71159</v>
      </c>
      <c r="O60" s="63">
        <v>17300000</v>
      </c>
      <c r="P60" s="126">
        <f>SIM_Parametres!$D$22</f>
        <v>0</v>
      </c>
      <c r="Q60" s="126">
        <f>SIM_Parametres!$B$12</f>
        <v>0.2</v>
      </c>
      <c r="R60" s="66">
        <f t="shared" si="18"/>
        <v>5.3253852891155156E-3</v>
      </c>
      <c r="S60" s="66">
        <f t="shared" si="19"/>
        <v>0.9485815602836879</v>
      </c>
      <c r="T60" s="66">
        <f t="shared" si="20"/>
        <v>0.86464088397790062</v>
      </c>
      <c r="U60" s="66">
        <f t="shared" si="21"/>
        <v>0.68524994865574673</v>
      </c>
      <c r="V60" s="66">
        <f t="shared" si="22"/>
        <v>8.1455312710388056E-2</v>
      </c>
      <c r="W60" s="66">
        <f t="shared" si="23"/>
        <v>2.2616782921158318E-2</v>
      </c>
      <c r="X60" s="66">
        <f t="shared" si="24"/>
        <v>1.7110370086918496E-2</v>
      </c>
      <c r="Y60" s="66">
        <f t="shared" si="25"/>
        <v>1.7507937101509705E-2</v>
      </c>
      <c r="Z60" s="66">
        <f t="shared" si="26"/>
        <v>2.9896828429499429E-3</v>
      </c>
      <c r="AA60" s="66">
        <f t="shared" si="10"/>
        <v>1.0179185121903812E-2</v>
      </c>
      <c r="AB60" s="66">
        <f t="shared" si="11"/>
        <v>1.3350269397632758E-2</v>
      </c>
      <c r="AC60" s="67">
        <f t="shared" si="12"/>
        <v>14202883.163314113</v>
      </c>
      <c r="AD60" s="67">
        <f t="shared" si="13"/>
        <v>17300000</v>
      </c>
      <c r="AE60" s="66">
        <f>0</f>
        <v>0</v>
      </c>
      <c r="AF60" s="67">
        <f t="shared" si="14"/>
        <v>17300000</v>
      </c>
      <c r="AG60" s="67">
        <f>1</f>
        <v>1</v>
      </c>
      <c r="AH60" s="67">
        <f t="shared" si="15"/>
        <v>17300000</v>
      </c>
      <c r="AI60" s="67">
        <f t="shared" si="16"/>
        <v>220.41663598726043</v>
      </c>
      <c r="AJ60" s="67">
        <f t="shared" si="17"/>
        <v>0</v>
      </c>
      <c r="AK60" s="131"/>
    </row>
    <row r="61" spans="1:37" ht="12.75" customHeight="1" x14ac:dyDescent="0.25">
      <c r="A61" s="55" t="s">
        <v>657</v>
      </c>
      <c r="B61" s="55" t="s">
        <v>444</v>
      </c>
      <c r="C61" s="55" t="s">
        <v>450</v>
      </c>
      <c r="D61" s="128">
        <v>2016</v>
      </c>
      <c r="E61" s="55" t="s">
        <v>675</v>
      </c>
      <c r="F61" s="57">
        <f>SIM_Parametres!$C$22</f>
        <v>1295854000</v>
      </c>
      <c r="G61" s="129">
        <f>SIM_Districts!D61*(1+SIM_Parametres!$B$6)^(2016-2023)</f>
        <v>99733.804781375773</v>
      </c>
      <c r="H61" s="129">
        <f>MAX(0,MIN(100,SIM_Districts!F61+(2016-2022)*SIM_Parametres!$B$7))</f>
        <v>67.78</v>
      </c>
      <c r="I61" s="129">
        <f>SIM_Districts!G61*(1+SIM_Parametres!$B$8)^(2016-2023)</f>
        <v>61.682933008349103</v>
      </c>
      <c r="J61" s="129">
        <f>SIM_Districts!H61*(1+SIM_Parametres!$B$9)^(2016-2023)</f>
        <v>49.132662160260693</v>
      </c>
      <c r="K61" s="129">
        <f>MAX(0,MIN(100,SIM_Districts!I61+(2016-2023)*SIM_Parametres!$B$10))</f>
        <v>71.599999999999994</v>
      </c>
      <c r="L61" s="129">
        <f>SIM_Districts!E61</f>
        <v>2477</v>
      </c>
      <c r="M61" s="68">
        <f t="shared" si="0"/>
        <v>40.263950254895349</v>
      </c>
      <c r="N61" s="129">
        <f>SIM_Districts!J61</f>
        <v>71159</v>
      </c>
      <c r="O61" s="56">
        <v>16600000</v>
      </c>
      <c r="P61" s="130">
        <f>SIM_Parametres!$D$22</f>
        <v>0</v>
      </c>
      <c r="Q61" s="130">
        <f>SIM_Parametres!$B$12</f>
        <v>0.2</v>
      </c>
      <c r="R61" s="59">
        <f t="shared" si="18"/>
        <v>6.7669300690242316E-3</v>
      </c>
      <c r="S61" s="59">
        <f t="shared" si="19"/>
        <v>0.9485815602836879</v>
      </c>
      <c r="T61" s="59">
        <f t="shared" si="20"/>
        <v>0.86464088397790062</v>
      </c>
      <c r="U61" s="59">
        <f t="shared" si="21"/>
        <v>0.5848318733080492</v>
      </c>
      <c r="V61" s="59">
        <f t="shared" si="22"/>
        <v>8.1455312710388056E-2</v>
      </c>
      <c r="W61" s="59">
        <f t="shared" si="23"/>
        <v>2.2616782921158318E-2</v>
      </c>
      <c r="X61" s="59">
        <f t="shared" si="24"/>
        <v>1.7110370086918496E-2</v>
      </c>
      <c r="Y61" s="59">
        <f t="shared" si="25"/>
        <v>1.4942284450982642E-2</v>
      </c>
      <c r="Z61" s="59">
        <f t="shared" si="26"/>
        <v>2.9896828429499429E-3</v>
      </c>
      <c r="AA61" s="59">
        <f t="shared" si="10"/>
        <v>1.0915829357322691E-2</v>
      </c>
      <c r="AB61" s="59">
        <f t="shared" si="11"/>
        <v>1.2810085086745884E-2</v>
      </c>
      <c r="AC61" s="60">
        <f t="shared" si="12"/>
        <v>14966549.866549708</v>
      </c>
      <c r="AD61" s="60">
        <f t="shared" si="13"/>
        <v>16600000</v>
      </c>
      <c r="AE61" s="59">
        <f>0</f>
        <v>0</v>
      </c>
      <c r="AF61" s="60">
        <f t="shared" si="14"/>
        <v>16600000</v>
      </c>
      <c r="AG61" s="60">
        <f>1</f>
        <v>1</v>
      </c>
      <c r="AH61" s="60">
        <f t="shared" si="15"/>
        <v>16600000</v>
      </c>
      <c r="AI61" s="60">
        <f t="shared" si="16"/>
        <v>166.44306347670667</v>
      </c>
      <c r="AJ61" s="60">
        <f t="shared" si="17"/>
        <v>0</v>
      </c>
      <c r="AK61" s="71"/>
    </row>
    <row r="62" spans="1:37" ht="12.75" customHeight="1" x14ac:dyDescent="0.25">
      <c r="A62" s="62" t="s">
        <v>658</v>
      </c>
      <c r="B62" s="62" t="s">
        <v>444</v>
      </c>
      <c r="C62" s="62" t="s">
        <v>451</v>
      </c>
      <c r="D62" s="124">
        <v>2016</v>
      </c>
      <c r="E62" s="62" t="s">
        <v>675</v>
      </c>
      <c r="F62" s="64">
        <f>SIM_Parametres!$C$22</f>
        <v>1295854000</v>
      </c>
      <c r="G62" s="125">
        <f>SIM_Districts!D62*(1+SIM_Parametres!$B$6)^(2016-2023)</f>
        <v>334576.58672814263</v>
      </c>
      <c r="H62" s="125">
        <f>MAX(0,MIN(100,SIM_Districts!F62+(2016-2022)*SIM_Parametres!$B$7))</f>
        <v>67.78</v>
      </c>
      <c r="I62" s="125">
        <f>SIM_Districts!G62*(1+SIM_Parametres!$B$8)^(2016-2023)</f>
        <v>61.682933008349103</v>
      </c>
      <c r="J62" s="125">
        <f>SIM_Districts!H62*(1+SIM_Parametres!$B$9)^(2016-2023)</f>
        <v>49.132662160260693</v>
      </c>
      <c r="K62" s="125">
        <f>MAX(0,MIN(100,SIM_Districts!I62+(2016-2023)*SIM_Parametres!$B$10))</f>
        <v>71.599999999999994</v>
      </c>
      <c r="L62" s="125">
        <f>SIM_Districts!E62</f>
        <v>11599</v>
      </c>
      <c r="M62" s="61">
        <f t="shared" si="0"/>
        <v>28.845295864138514</v>
      </c>
      <c r="N62" s="125">
        <f>SIM_Districts!J62</f>
        <v>71159</v>
      </c>
      <c r="O62" s="63">
        <v>17580000</v>
      </c>
      <c r="P62" s="126">
        <f>SIM_Parametres!$D$22</f>
        <v>0</v>
      </c>
      <c r="Q62" s="126">
        <f>SIM_Parametres!$B$12</f>
        <v>0.2</v>
      </c>
      <c r="R62" s="66">
        <f t="shared" si="18"/>
        <v>2.2700992608124686E-2</v>
      </c>
      <c r="S62" s="66">
        <f t="shared" si="19"/>
        <v>0.9485815602836879</v>
      </c>
      <c r="T62" s="66">
        <f t="shared" si="20"/>
        <v>0.86464088397790062</v>
      </c>
      <c r="U62" s="66">
        <f t="shared" si="21"/>
        <v>0.90102051224376711</v>
      </c>
      <c r="V62" s="66">
        <f t="shared" si="22"/>
        <v>8.1455312710388056E-2</v>
      </c>
      <c r="W62" s="66">
        <f t="shared" si="23"/>
        <v>2.2616782921158318E-2</v>
      </c>
      <c r="X62" s="66">
        <f t="shared" si="24"/>
        <v>1.7110370086918496E-2</v>
      </c>
      <c r="Y62" s="66">
        <f t="shared" si="25"/>
        <v>2.3020812313054136E-2</v>
      </c>
      <c r="Z62" s="66">
        <f t="shared" si="26"/>
        <v>2.9896828429499429E-3</v>
      </c>
      <c r="AA62" s="66">
        <f t="shared" si="10"/>
        <v>2.0880193273886537E-2</v>
      </c>
      <c r="AB62" s="66">
        <f t="shared" si="11"/>
        <v>1.3566343121987508E-2</v>
      </c>
      <c r="AC62" s="67">
        <f t="shared" si="12"/>
        <v>25296438.537537653</v>
      </c>
      <c r="AD62" s="67">
        <f t="shared" si="13"/>
        <v>17580000</v>
      </c>
      <c r="AE62" s="66">
        <f>0</f>
        <v>0</v>
      </c>
      <c r="AF62" s="67">
        <f t="shared" si="14"/>
        <v>17580000</v>
      </c>
      <c r="AG62" s="67">
        <f>1</f>
        <v>1</v>
      </c>
      <c r="AH62" s="67">
        <f t="shared" si="15"/>
        <v>17580000</v>
      </c>
      <c r="AI62" s="67">
        <f t="shared" si="16"/>
        <v>52.54402339361684</v>
      </c>
      <c r="AJ62" s="67">
        <f t="shared" si="17"/>
        <v>0</v>
      </c>
      <c r="AK62" s="131"/>
    </row>
    <row r="63" spans="1:37" ht="12.75" customHeight="1" x14ac:dyDescent="0.25">
      <c r="A63" s="55" t="s">
        <v>659</v>
      </c>
      <c r="B63" s="55" t="s">
        <v>452</v>
      </c>
      <c r="C63" s="55" t="s">
        <v>454</v>
      </c>
      <c r="D63" s="128">
        <v>2016</v>
      </c>
      <c r="E63" s="55" t="s">
        <v>675</v>
      </c>
      <c r="F63" s="57">
        <f>SIM_Parametres!$C$22</f>
        <v>1295854000</v>
      </c>
      <c r="G63" s="129">
        <f>SIM_Districts!D63*(1+SIM_Parametres!$B$6)^(2016-2023)</f>
        <v>99252.454606660511</v>
      </c>
      <c r="H63" s="129">
        <f>MAX(0,MIN(100,SIM_Districts!F63+(2016-2022)*SIM_Parametres!$B$7))</f>
        <v>34.879999999999995</v>
      </c>
      <c r="I63" s="129">
        <f>SIM_Districts!G63*(1+SIM_Parametres!$B$8)^(2016-2023)</f>
        <v>61.682933008349103</v>
      </c>
      <c r="J63" s="129">
        <f>SIM_Districts!H63*(1+SIM_Parametres!$B$9)^(2016-2023)</f>
        <v>33.242950142474257</v>
      </c>
      <c r="K63" s="129">
        <f>MAX(0,MIN(100,SIM_Districts!I63+(2016-2023)*SIM_Parametres!$B$10))</f>
        <v>83.3</v>
      </c>
      <c r="L63" s="129">
        <f>SIM_Districts!E63</f>
        <v>393</v>
      </c>
      <c r="M63" s="68">
        <f t="shared" si="0"/>
        <v>252.5507750805611</v>
      </c>
      <c r="N63" s="129">
        <f>SIM_Districts!J63</f>
        <v>153373</v>
      </c>
      <c r="O63" s="56">
        <v>22700000</v>
      </c>
      <c r="P63" s="130">
        <f>SIM_Parametres!$D$22</f>
        <v>0</v>
      </c>
      <c r="Q63" s="130">
        <f>SIM_Parametres!$B$12</f>
        <v>0.2</v>
      </c>
      <c r="R63" s="59">
        <f t="shared" si="18"/>
        <v>6.7342705011059021E-3</v>
      </c>
      <c r="S63" s="59">
        <f t="shared" si="19"/>
        <v>0.36524822695035447</v>
      </c>
      <c r="T63" s="59">
        <f t="shared" si="20"/>
        <v>0.65469613259668513</v>
      </c>
      <c r="U63" s="59">
        <f t="shared" si="21"/>
        <v>0.5089487082445231</v>
      </c>
      <c r="V63" s="59">
        <f t="shared" si="22"/>
        <v>0.65207282116061327</v>
      </c>
      <c r="W63" s="59">
        <f t="shared" si="23"/>
        <v>8.7085182836609577E-3</v>
      </c>
      <c r="X63" s="59">
        <f t="shared" si="24"/>
        <v>1.2955775433225826E-2</v>
      </c>
      <c r="Y63" s="59">
        <f t="shared" si="25"/>
        <v>1.3003491630053692E-2</v>
      </c>
      <c r="Z63" s="59">
        <f t="shared" si="26"/>
        <v>2.3933256909947777E-2</v>
      </c>
      <c r="AA63" s="59">
        <f t="shared" si="10"/>
        <v>9.1370437851966309E-3</v>
      </c>
      <c r="AB63" s="59">
        <f t="shared" si="11"/>
        <v>1.7517405510188648E-2</v>
      </c>
      <c r="AC63" s="60">
        <f t="shared" si="12"/>
        <v>13122512.747524234</v>
      </c>
      <c r="AD63" s="60">
        <f t="shared" si="13"/>
        <v>22700000</v>
      </c>
      <c r="AE63" s="59">
        <f>0</f>
        <v>0</v>
      </c>
      <c r="AF63" s="60">
        <f t="shared" si="14"/>
        <v>22700000</v>
      </c>
      <c r="AG63" s="60">
        <f>1</f>
        <v>1</v>
      </c>
      <c r="AH63" s="60">
        <f t="shared" si="15"/>
        <v>22700000</v>
      </c>
      <c r="AI63" s="60">
        <f t="shared" si="16"/>
        <v>228.70970889294941</v>
      </c>
      <c r="AJ63" s="60">
        <f t="shared" si="17"/>
        <v>0</v>
      </c>
      <c r="AK63" s="71"/>
    </row>
    <row r="64" spans="1:37" ht="12.75" customHeight="1" x14ac:dyDescent="0.25">
      <c r="A64" s="62" t="s">
        <v>661</v>
      </c>
      <c r="B64" s="62" t="s">
        <v>452</v>
      </c>
      <c r="C64" s="62" t="s">
        <v>455</v>
      </c>
      <c r="D64" s="124">
        <v>2016</v>
      </c>
      <c r="E64" s="62" t="s">
        <v>675</v>
      </c>
      <c r="F64" s="64">
        <f>SIM_Parametres!$C$22</f>
        <v>1295854000</v>
      </c>
      <c r="G64" s="125">
        <f>SIM_Districts!D64*(1+SIM_Parametres!$B$6)^(2016-2023)</f>
        <v>172024.14487189066</v>
      </c>
      <c r="H64" s="125">
        <f>MAX(0,MIN(100,SIM_Districts!F64+(2016-2022)*SIM_Parametres!$B$7))</f>
        <v>34.879999999999995</v>
      </c>
      <c r="I64" s="125">
        <f>SIM_Districts!G64*(1+SIM_Parametres!$B$8)^(2016-2023)</f>
        <v>61.682933008349103</v>
      </c>
      <c r="J64" s="125">
        <f>SIM_Districts!H64*(1+SIM_Parametres!$B$9)^(2016-2023)</f>
        <v>33.242950142474257</v>
      </c>
      <c r="K64" s="125">
        <f>MAX(0,MIN(100,SIM_Districts!I64+(2016-2023)*SIM_Parametres!$B$10))</f>
        <v>83.3</v>
      </c>
      <c r="L64" s="125">
        <f>SIM_Districts!E64</f>
        <v>537</v>
      </c>
      <c r="M64" s="61">
        <f t="shared" si="0"/>
        <v>320.34291410035507</v>
      </c>
      <c r="N64" s="125">
        <f>SIM_Districts!J64</f>
        <v>153373</v>
      </c>
      <c r="O64" s="63">
        <v>18950000</v>
      </c>
      <c r="P64" s="126">
        <f>SIM_Parametres!$D$22</f>
        <v>0</v>
      </c>
      <c r="Q64" s="126">
        <f>SIM_Parametres!$B$12</f>
        <v>0.2</v>
      </c>
      <c r="R64" s="66">
        <f t="shared" si="18"/>
        <v>1.1671823421191248E-2</v>
      </c>
      <c r="S64" s="66">
        <f t="shared" si="19"/>
        <v>0.36524822695035447</v>
      </c>
      <c r="T64" s="66">
        <f t="shared" si="20"/>
        <v>0.65469613259668513</v>
      </c>
      <c r="U64" s="66">
        <f t="shared" si="21"/>
        <v>0.51275775815315705</v>
      </c>
      <c r="V64" s="66">
        <f t="shared" si="22"/>
        <v>0.65207282116061327</v>
      </c>
      <c r="W64" s="66">
        <f t="shared" si="23"/>
        <v>8.7085182836609577E-3</v>
      </c>
      <c r="X64" s="66">
        <f t="shared" si="24"/>
        <v>1.2955775433225826E-2</v>
      </c>
      <c r="Y64" s="66">
        <f t="shared" si="25"/>
        <v>1.3100811748570588E-2</v>
      </c>
      <c r="Z64" s="66">
        <f t="shared" si="26"/>
        <v>2.3933256909947777E-2</v>
      </c>
      <c r="AA64" s="66">
        <f t="shared" si="10"/>
        <v>1.2104441543173684E-2</v>
      </c>
      <c r="AB64" s="66">
        <f t="shared" si="11"/>
        <v>1.4623560987580391E-2</v>
      </c>
      <c r="AC64" s="67">
        <f t="shared" si="12"/>
        <v>16198764.150936713</v>
      </c>
      <c r="AD64" s="67">
        <f t="shared" si="13"/>
        <v>18950000</v>
      </c>
      <c r="AE64" s="66">
        <f>0</f>
        <v>0</v>
      </c>
      <c r="AF64" s="67">
        <f t="shared" si="14"/>
        <v>18950000</v>
      </c>
      <c r="AG64" s="67">
        <f>1</f>
        <v>1</v>
      </c>
      <c r="AH64" s="67">
        <f t="shared" si="15"/>
        <v>18950000</v>
      </c>
      <c r="AI64" s="67">
        <f t="shared" si="16"/>
        <v>110.15895480318993</v>
      </c>
      <c r="AJ64" s="67">
        <f t="shared" si="17"/>
        <v>0</v>
      </c>
      <c r="AK64" s="131"/>
    </row>
    <row r="65" spans="1:37" ht="12.75" customHeight="1" x14ac:dyDescent="0.25">
      <c r="A65" s="55" t="s">
        <v>662</v>
      </c>
      <c r="B65" s="55" t="s">
        <v>452</v>
      </c>
      <c r="C65" s="55" t="s">
        <v>456</v>
      </c>
      <c r="D65" s="128">
        <v>2016</v>
      </c>
      <c r="E65" s="55" t="s">
        <v>675</v>
      </c>
      <c r="F65" s="57">
        <f>SIM_Parametres!$C$22</f>
        <v>1295854000</v>
      </c>
      <c r="G65" s="129">
        <f>SIM_Districts!D65*(1+SIM_Parametres!$B$6)^(2016-2023)</f>
        <v>447907.72085371328</v>
      </c>
      <c r="H65" s="129">
        <f>MAX(0,MIN(100,SIM_Districts!F65+(2016-2022)*SIM_Parametres!$B$7))</f>
        <v>34.879999999999995</v>
      </c>
      <c r="I65" s="129">
        <f>SIM_Districts!G65*(1+SIM_Parametres!$B$8)^(2016-2023)</f>
        <v>61.682933008349103</v>
      </c>
      <c r="J65" s="129">
        <f>SIM_Districts!H65*(1+SIM_Parametres!$B$9)^(2016-2023)</f>
        <v>33.242950142474257</v>
      </c>
      <c r="K65" s="129">
        <f>MAX(0,MIN(100,SIM_Districts!I65+(2016-2023)*SIM_Parametres!$B$10))</f>
        <v>83.3</v>
      </c>
      <c r="L65" s="129">
        <f>SIM_Districts!E65</f>
        <v>487</v>
      </c>
      <c r="M65" s="68">
        <f t="shared" si="0"/>
        <v>919.72837957641332</v>
      </c>
      <c r="N65" s="129">
        <f>SIM_Districts!J65</f>
        <v>153373</v>
      </c>
      <c r="O65" s="56">
        <v>17750000</v>
      </c>
      <c r="P65" s="130">
        <f>SIM_Parametres!$D$22</f>
        <v>0</v>
      </c>
      <c r="Q65" s="130">
        <f>SIM_Parametres!$B$12</f>
        <v>0.2</v>
      </c>
      <c r="R65" s="59">
        <f t="shared" si="18"/>
        <v>3.0390500302652685E-2</v>
      </c>
      <c r="S65" s="59">
        <f t="shared" si="19"/>
        <v>0.36524822695035447</v>
      </c>
      <c r="T65" s="59">
        <f t="shared" si="20"/>
        <v>0.65469613259668513</v>
      </c>
      <c r="U65" s="59">
        <f t="shared" si="21"/>
        <v>0.50060006219339404</v>
      </c>
      <c r="V65" s="59">
        <f t="shared" si="22"/>
        <v>0.65207282116061327</v>
      </c>
      <c r="W65" s="59">
        <f t="shared" si="23"/>
        <v>8.7085182836609577E-3</v>
      </c>
      <c r="X65" s="59">
        <f t="shared" si="24"/>
        <v>1.2955775433225826E-2</v>
      </c>
      <c r="Y65" s="59">
        <f t="shared" si="25"/>
        <v>1.2790186148991385E-2</v>
      </c>
      <c r="Z65" s="59">
        <f t="shared" si="26"/>
        <v>2.3933256909947777E-2</v>
      </c>
      <c r="AA65" s="59">
        <f t="shared" si="10"/>
        <v>2.3320116392071589E-2</v>
      </c>
      <c r="AB65" s="59">
        <f t="shared" si="11"/>
        <v>1.3697530740345749E-2</v>
      </c>
      <c r="AC65" s="60">
        <f t="shared" si="12"/>
        <v>27825865.843451712</v>
      </c>
      <c r="AD65" s="60">
        <f t="shared" si="13"/>
        <v>17750000</v>
      </c>
      <c r="AE65" s="59">
        <f>0</f>
        <v>0</v>
      </c>
      <c r="AF65" s="60">
        <f t="shared" si="14"/>
        <v>17750000</v>
      </c>
      <c r="AG65" s="60">
        <f>1</f>
        <v>1</v>
      </c>
      <c r="AH65" s="60">
        <f t="shared" si="15"/>
        <v>17750000</v>
      </c>
      <c r="AI65" s="60">
        <f t="shared" si="16"/>
        <v>39.6286984429928</v>
      </c>
      <c r="AJ65" s="60">
        <f t="shared" si="17"/>
        <v>0</v>
      </c>
      <c r="AK65" s="71"/>
    </row>
    <row r="66" spans="1:37" ht="12.75" customHeight="1" x14ac:dyDescent="0.25">
      <c r="A66" s="62" t="s">
        <v>663</v>
      </c>
      <c r="B66" s="62" t="s">
        <v>452</v>
      </c>
      <c r="C66" s="62" t="s">
        <v>457</v>
      </c>
      <c r="D66" s="124">
        <v>2016</v>
      </c>
      <c r="E66" s="62" t="s">
        <v>675</v>
      </c>
      <c r="F66" s="64">
        <f>SIM_Parametres!$C$22</f>
        <v>1295854000</v>
      </c>
      <c r="G66" s="125">
        <f>SIM_Districts!D66*(1+SIM_Parametres!$B$6)^(2016-2023)</f>
        <v>89777.499224976404</v>
      </c>
      <c r="H66" s="125">
        <f>MAX(0,MIN(100,SIM_Districts!F66+(2016-2022)*SIM_Parametres!$B$7))</f>
        <v>34.879999999999995</v>
      </c>
      <c r="I66" s="125">
        <f>SIM_Districts!G66*(1+SIM_Parametres!$B$8)^(2016-2023)</f>
        <v>61.682933008349103</v>
      </c>
      <c r="J66" s="125">
        <f>SIM_Districts!H66*(1+SIM_Parametres!$B$9)^(2016-2023)</f>
        <v>33.242950142474257</v>
      </c>
      <c r="K66" s="125">
        <f>MAX(0,MIN(100,SIM_Districts!I66+(2016-2023)*SIM_Parametres!$B$10))</f>
        <v>83.3</v>
      </c>
      <c r="L66" s="125">
        <f>SIM_Districts!E66</f>
        <v>230</v>
      </c>
      <c r="M66" s="61">
        <f t="shared" si="0"/>
        <v>390.33695315207132</v>
      </c>
      <c r="N66" s="125">
        <f>SIM_Districts!J66</f>
        <v>153373</v>
      </c>
      <c r="O66" s="63">
        <v>17200000</v>
      </c>
      <c r="P66" s="126">
        <f>SIM_Parametres!$D$22</f>
        <v>0</v>
      </c>
      <c r="Q66" s="126">
        <f>SIM_Parametres!$B$12</f>
        <v>0.2</v>
      </c>
      <c r="R66" s="66">
        <f t="shared" si="18"/>
        <v>6.0913955940918845E-3</v>
      </c>
      <c r="S66" s="66">
        <f t="shared" si="19"/>
        <v>0.36524822695035447</v>
      </c>
      <c r="T66" s="66">
        <f t="shared" si="20"/>
        <v>0.65469613259668513</v>
      </c>
      <c r="U66" s="66">
        <f t="shared" si="21"/>
        <v>0.50090567337352976</v>
      </c>
      <c r="V66" s="66">
        <f t="shared" si="22"/>
        <v>0.65207282116061327</v>
      </c>
      <c r="W66" s="66">
        <f t="shared" si="23"/>
        <v>8.7085182836609577E-3</v>
      </c>
      <c r="X66" s="66">
        <f t="shared" si="24"/>
        <v>1.2955775433225826E-2</v>
      </c>
      <c r="Y66" s="66">
        <f t="shared" si="25"/>
        <v>1.2797994425854201E-2</v>
      </c>
      <c r="Z66" s="66">
        <f t="shared" si="26"/>
        <v>2.3933256909947777E-2</v>
      </c>
      <c r="AA66" s="66">
        <f t="shared" si="10"/>
        <v>8.7410439807782472E-3</v>
      </c>
      <c r="AB66" s="66">
        <f t="shared" si="11"/>
        <v>1.3273100210363204E-2</v>
      </c>
      <c r="AC66" s="67">
        <f t="shared" si="12"/>
        <v>12711986.403080411</v>
      </c>
      <c r="AD66" s="67">
        <f t="shared" si="13"/>
        <v>17200000</v>
      </c>
      <c r="AE66" s="66">
        <f>0</f>
        <v>0</v>
      </c>
      <c r="AF66" s="67">
        <f t="shared" si="14"/>
        <v>17200000</v>
      </c>
      <c r="AG66" s="67">
        <f>1</f>
        <v>1</v>
      </c>
      <c r="AH66" s="67">
        <f t="shared" si="15"/>
        <v>17200000</v>
      </c>
      <c r="AI66" s="67">
        <f t="shared" si="16"/>
        <v>191.58475284433968</v>
      </c>
      <c r="AJ66" s="67">
        <f t="shared" si="17"/>
        <v>0</v>
      </c>
      <c r="AK66" s="131"/>
    </row>
    <row r="67" spans="1:37" ht="12.75" customHeight="1" x14ac:dyDescent="0.25">
      <c r="A67" s="55" t="s">
        <v>664</v>
      </c>
      <c r="B67" s="55" t="s">
        <v>452</v>
      </c>
      <c r="C67" s="55" t="s">
        <v>458</v>
      </c>
      <c r="D67" s="128">
        <v>2016</v>
      </c>
      <c r="E67" s="55" t="s">
        <v>675</v>
      </c>
      <c r="F67" s="57">
        <f>SIM_Parametres!$C$22</f>
        <v>1295854000</v>
      </c>
      <c r="G67" s="129">
        <f>SIM_Districts!D67*(1+SIM_Parametres!$B$6)^(2016-2023)</f>
        <v>148753.46581724388</v>
      </c>
      <c r="H67" s="129">
        <f>MAX(0,MIN(100,SIM_Districts!F67+(2016-2022)*SIM_Parametres!$B$7))</f>
        <v>34.879999999999995</v>
      </c>
      <c r="I67" s="129">
        <f>SIM_Districts!G67*(1+SIM_Parametres!$B$8)^(2016-2023)</f>
        <v>61.682933008349103</v>
      </c>
      <c r="J67" s="129">
        <f>SIM_Districts!H67*(1+SIM_Parametres!$B$9)^(2016-2023)</f>
        <v>33.242950142474257</v>
      </c>
      <c r="K67" s="129">
        <f>MAX(0,MIN(100,SIM_Districts!I67+(2016-2023)*SIM_Parametres!$B$10))</f>
        <v>83.3</v>
      </c>
      <c r="L67" s="129">
        <f>SIM_Districts!E67</f>
        <v>557</v>
      </c>
      <c r="M67" s="68">
        <f t="shared" si="0"/>
        <v>267.06187758930679</v>
      </c>
      <c r="N67" s="129">
        <f>SIM_Districts!J67</f>
        <v>153373</v>
      </c>
      <c r="O67" s="56">
        <v>15900000</v>
      </c>
      <c r="P67" s="130">
        <f>SIM_Parametres!$D$22</f>
        <v>0</v>
      </c>
      <c r="Q67" s="130">
        <f>SIM_Parametres!$B$12</f>
        <v>0.2</v>
      </c>
      <c r="R67" s="59">
        <f t="shared" si="18"/>
        <v>1.0092909850544961E-2</v>
      </c>
      <c r="S67" s="59">
        <f t="shared" si="19"/>
        <v>0.36524822695035447</v>
      </c>
      <c r="T67" s="59">
        <f t="shared" si="20"/>
        <v>0.65469613259668513</v>
      </c>
      <c r="U67" s="59">
        <f t="shared" si="21"/>
        <v>0.51437733390901996</v>
      </c>
      <c r="V67" s="59">
        <f t="shared" si="22"/>
        <v>0.65207282116061327</v>
      </c>
      <c r="W67" s="59">
        <f t="shared" si="23"/>
        <v>8.7085182836609577E-3</v>
      </c>
      <c r="X67" s="59">
        <f t="shared" si="24"/>
        <v>1.2955775433225826E-2</v>
      </c>
      <c r="Y67" s="59">
        <f t="shared" si="25"/>
        <v>1.3142191438595232E-2</v>
      </c>
      <c r="Z67" s="59">
        <f t="shared" si="26"/>
        <v>2.3933256909947777E-2</v>
      </c>
      <c r="AA67" s="59">
        <f t="shared" si="10"/>
        <v>1.1159162385287144E-2</v>
      </c>
      <c r="AB67" s="59">
        <f t="shared" si="11"/>
        <v>1.2269900775859009E-2</v>
      </c>
      <c r="AC67" s="60">
        <f t="shared" si="12"/>
        <v>15218809.12864559</v>
      </c>
      <c r="AD67" s="60">
        <f t="shared" si="13"/>
        <v>15900000</v>
      </c>
      <c r="AE67" s="59">
        <f>0</f>
        <v>0</v>
      </c>
      <c r="AF67" s="60">
        <f t="shared" si="14"/>
        <v>15900000</v>
      </c>
      <c r="AG67" s="60">
        <f>1</f>
        <v>1</v>
      </c>
      <c r="AH67" s="60">
        <f t="shared" si="15"/>
        <v>15900000</v>
      </c>
      <c r="AI67" s="60">
        <f t="shared" si="16"/>
        <v>106.88826584742895</v>
      </c>
      <c r="AJ67" s="60">
        <f t="shared" si="17"/>
        <v>0</v>
      </c>
      <c r="AK67" s="71"/>
    </row>
    <row r="68" spans="1:37" ht="12.75" customHeight="1" x14ac:dyDescent="0.25">
      <c r="A68" s="62" t="s">
        <v>665</v>
      </c>
      <c r="B68" s="62" t="s">
        <v>452</v>
      </c>
      <c r="C68" s="62" t="s">
        <v>459</v>
      </c>
      <c r="D68" s="124">
        <v>2016</v>
      </c>
      <c r="E68" s="62" t="s">
        <v>675</v>
      </c>
      <c r="F68" s="64">
        <f>SIM_Parametres!$C$22</f>
        <v>1295854000</v>
      </c>
      <c r="G68" s="125">
        <f>SIM_Districts!D68*(1+SIM_Parametres!$B$6)^(2016-2023)</f>
        <v>188946.20540596856</v>
      </c>
      <c r="H68" s="125">
        <f>MAX(0,MIN(100,SIM_Districts!F68+(2016-2022)*SIM_Parametres!$B$7))</f>
        <v>34.879999999999995</v>
      </c>
      <c r="I68" s="125">
        <f>SIM_Districts!G68*(1+SIM_Parametres!$B$8)^(2016-2023)</f>
        <v>61.682933008349103</v>
      </c>
      <c r="J68" s="125">
        <f>SIM_Districts!H68*(1+SIM_Parametres!$B$9)^(2016-2023)</f>
        <v>33.242950142474257</v>
      </c>
      <c r="K68" s="125">
        <f>MAX(0,MIN(100,SIM_Districts!I68+(2016-2023)*SIM_Parametres!$B$10))</f>
        <v>83.3</v>
      </c>
      <c r="L68" s="125">
        <f>SIM_Districts!E68</f>
        <v>793</v>
      </c>
      <c r="M68" s="61">
        <f t="shared" ref="M68:M131" si="27">IFERROR(G68/L68,0)</f>
        <v>238.26759824207889</v>
      </c>
      <c r="N68" s="125">
        <f>SIM_Districts!J68</f>
        <v>153373</v>
      </c>
      <c r="O68" s="63">
        <v>17530000</v>
      </c>
      <c r="P68" s="126">
        <f>SIM_Parametres!$D$22</f>
        <v>0</v>
      </c>
      <c r="Q68" s="126">
        <f>SIM_Parametres!$B$12</f>
        <v>0.2</v>
      </c>
      <c r="R68" s="66">
        <f t="shared" ref="R68:R74" si="28">IFERROR(G68/SUM($G$4:$G$74),1/71)</f>
        <v>1.281998377172551E-2</v>
      </c>
      <c r="S68" s="66">
        <f t="shared" ref="S68:S74" si="29">IF(MAX($H$4:$H$74)=MIN($H$4:$H$74),1,(H68-MIN($H$4:$H$74))/(MAX($H$4:$H$74)-MIN($H$4:$H$74)))</f>
        <v>0.36524822695035447</v>
      </c>
      <c r="T68" s="66">
        <f t="shared" ref="T68:T74" si="30">(IF(MAX($I$4:$I$74)=MIN($I$4:$I$74),1,(I68-MIN($I$4:$I$74))/(MAX($I$4:$I$74)-MIN($I$4:$I$74)))+IF(MAX($J$4:$J$74)=MIN($J$4:$J$74),1,(J68-MIN($J$4:$J$74))/(MAX($J$4:$J$74)-MIN($J$4:$J$74))))/2</f>
        <v>0.65469613259668513</v>
      </c>
      <c r="U68" s="66">
        <f t="shared" ref="U68:U74" si="31">(IF(MAX($L$4:$L$74)=MIN($L$4:$L$74),1,(L68-MIN($L$4:$L$74))/(MAX($L$4:$L$74)-MIN($L$4:$L$74)))+IF(MAX($M$4:$M$74)=MIN($M$4:$M$74),1,(MAX($M$4:$M$74)-M68)/(MAX($M$4:$M$74)-MIN($M$4:$M$74))))/2</f>
        <v>0.52305332187907927</v>
      </c>
      <c r="V68" s="66">
        <f t="shared" ref="V68:V74" si="32">IF(MAX($N$4:$N$74)=MIN($N$4:$N$74),1,(N68-MIN($N$4:$N$74))/(MAX($N$4:$N$74)-MIN($N$4:$N$74)))</f>
        <v>0.65207282116061327</v>
      </c>
      <c r="W68" s="66">
        <f t="shared" ref="W68:W74" si="33">IFERROR(S68/SUM($S$4:$S$74),1/71)</f>
        <v>8.7085182836609577E-3</v>
      </c>
      <c r="X68" s="66">
        <f t="shared" ref="X68:X74" si="34">IFERROR(T68/SUM($T$4:$T$74),1/71)</f>
        <v>1.2955775433225826E-2</v>
      </c>
      <c r="Y68" s="66">
        <f t="shared" ref="Y68:Y74" si="35">IFERROR(U68/SUM($U$4:$U$74),1/71)</f>
        <v>1.3363860410583092E-2</v>
      </c>
      <c r="Z68" s="66">
        <f t="shared" ref="Z68:Z74" si="36">IFERROR(V68/SUM($V$4:$V$74),1/71)</f>
        <v>2.3933256909947777E-2</v>
      </c>
      <c r="AA68" s="66">
        <f t="shared" ref="AA68:AA131" si="37">0.6*R68+0.15*W68+0.15*X68+0.05*Y68+0.05*Z68</f>
        <v>1.2806490186594867E-2</v>
      </c>
      <c r="AB68" s="66">
        <f t="shared" ref="AB68:AB131" si="38">IFERROR(O68/F68,1/71)</f>
        <v>1.352775852835273E-2</v>
      </c>
      <c r="AC68" s="67">
        <f t="shared" ref="AC68:AC131" si="39">F68*(Q68/71+(1-Q68)*AA68)</f>
        <v>16926566.185154244</v>
      </c>
      <c r="AD68" s="67">
        <f t="shared" ref="AD68:AD131" si="40">O68</f>
        <v>17530000</v>
      </c>
      <c r="AE68" s="66">
        <f>0</f>
        <v>0</v>
      </c>
      <c r="AF68" s="67">
        <f t="shared" ref="AF68:AF131" si="41">O68</f>
        <v>17530000</v>
      </c>
      <c r="AG68" s="67">
        <f>1</f>
        <v>1</v>
      </c>
      <c r="AH68" s="67">
        <f t="shared" ref="AH68:AH131" si="42">O68</f>
        <v>17530000</v>
      </c>
      <c r="AI68" s="67">
        <f t="shared" ref="AI68:AI131" si="43">IFERROR(AH68/G68,0)</f>
        <v>92.777729842920948</v>
      </c>
      <c r="AJ68" s="67">
        <f t="shared" ref="AJ68:AJ131" si="44">AH68-F68*AB68</f>
        <v>0</v>
      </c>
      <c r="AK68" s="131"/>
    </row>
    <row r="69" spans="1:37" ht="12.75" customHeight="1" x14ac:dyDescent="0.25">
      <c r="A69" s="55" t="s">
        <v>666</v>
      </c>
      <c r="B69" s="55" t="s">
        <v>452</v>
      </c>
      <c r="C69" s="55" t="s">
        <v>452</v>
      </c>
      <c r="D69" s="128">
        <v>2016</v>
      </c>
      <c r="E69" s="55" t="s">
        <v>675</v>
      </c>
      <c r="F69" s="57">
        <f>SIM_Parametres!$C$22</f>
        <v>1295854000</v>
      </c>
      <c r="G69" s="129">
        <f>SIM_Districts!D69*(1+SIM_Parametres!$B$6)^(2016-2023)</f>
        <v>503785.80878776259</v>
      </c>
      <c r="H69" s="129">
        <f>MAX(0,MIN(100,SIM_Districts!F69+(2016-2022)*SIM_Parametres!$B$7))</f>
        <v>34.879999999999995</v>
      </c>
      <c r="I69" s="129">
        <f>SIM_Districts!G69*(1+SIM_Parametres!$B$8)^(2016-2023)</f>
        <v>61.682933008349103</v>
      </c>
      <c r="J69" s="129">
        <f>SIM_Districts!H69*(1+SIM_Parametres!$B$9)^(2016-2023)</f>
        <v>33.242950142474257</v>
      </c>
      <c r="K69" s="129">
        <f>MAX(0,MIN(100,SIM_Districts!I69+(2016-2023)*SIM_Parametres!$B$10))</f>
        <v>83.3</v>
      </c>
      <c r="L69" s="129">
        <f>SIM_Districts!E69</f>
        <v>503</v>
      </c>
      <c r="M69" s="68">
        <f t="shared" si="27"/>
        <v>1001.56224411086</v>
      </c>
      <c r="N69" s="129">
        <f>SIM_Districts!J69</f>
        <v>153373</v>
      </c>
      <c r="O69" s="56">
        <v>21130000</v>
      </c>
      <c r="P69" s="130">
        <f>SIM_Parametres!$D$22</f>
        <v>0</v>
      </c>
      <c r="Q69" s="130">
        <f>SIM_Parametres!$B$12</f>
        <v>0.2</v>
      </c>
      <c r="R69" s="59">
        <f t="shared" si="28"/>
        <v>3.4181823758820569E-2</v>
      </c>
      <c r="S69" s="59">
        <f t="shared" si="29"/>
        <v>0.36524822695035447</v>
      </c>
      <c r="T69" s="59">
        <f t="shared" si="30"/>
        <v>0.65469613259668513</v>
      </c>
      <c r="U69" s="59">
        <f t="shared" si="31"/>
        <v>0.49973089584614422</v>
      </c>
      <c r="V69" s="59">
        <f t="shared" si="32"/>
        <v>0.65207282116061327</v>
      </c>
      <c r="W69" s="59">
        <f t="shared" si="33"/>
        <v>8.7085182836609577E-3</v>
      </c>
      <c r="X69" s="59">
        <f t="shared" si="34"/>
        <v>1.2955775433225826E-2</v>
      </c>
      <c r="Y69" s="59">
        <f t="shared" si="35"/>
        <v>1.2767979201339289E-2</v>
      </c>
      <c r="Z69" s="59">
        <f t="shared" si="36"/>
        <v>2.3933256909947777E-2</v>
      </c>
      <c r="AA69" s="59">
        <f t="shared" si="37"/>
        <v>2.5593800118389715E-2</v>
      </c>
      <c r="AB69" s="59">
        <f t="shared" si="38"/>
        <v>1.6305849270056658E-2</v>
      </c>
      <c r="AC69" s="60">
        <f t="shared" si="39"/>
        <v>30182955.56463911</v>
      </c>
      <c r="AD69" s="60">
        <f t="shared" si="40"/>
        <v>21130000</v>
      </c>
      <c r="AE69" s="59">
        <f>0</f>
        <v>0</v>
      </c>
      <c r="AF69" s="60">
        <f t="shared" si="41"/>
        <v>21130000</v>
      </c>
      <c r="AG69" s="60">
        <f>1</f>
        <v>1</v>
      </c>
      <c r="AH69" s="60">
        <f t="shared" si="42"/>
        <v>21130000</v>
      </c>
      <c r="AI69" s="60">
        <f t="shared" si="43"/>
        <v>41.942427975182909</v>
      </c>
      <c r="AJ69" s="60">
        <f t="shared" si="44"/>
        <v>0</v>
      </c>
      <c r="AK69" s="71"/>
    </row>
    <row r="70" spans="1:37" ht="12.75" customHeight="1" x14ac:dyDescent="0.25">
      <c r="A70" s="62" t="s">
        <v>667</v>
      </c>
      <c r="B70" s="62" t="s">
        <v>452</v>
      </c>
      <c r="C70" s="62" t="s">
        <v>460</v>
      </c>
      <c r="D70" s="124">
        <v>2016</v>
      </c>
      <c r="E70" s="62" t="s">
        <v>675</v>
      </c>
      <c r="F70" s="64">
        <f>SIM_Parametres!$C$22</f>
        <v>1295854000</v>
      </c>
      <c r="G70" s="125">
        <f>SIM_Districts!D70*(1+SIM_Parametres!$B$6)^(2016-2023)</f>
        <v>352747.55582364387</v>
      </c>
      <c r="H70" s="125">
        <f>MAX(0,MIN(100,SIM_Districts!F70+(2016-2022)*SIM_Parametres!$B$7))</f>
        <v>34.879999999999995</v>
      </c>
      <c r="I70" s="125">
        <f>SIM_Districts!G70*(1+SIM_Parametres!$B$8)^(2016-2023)</f>
        <v>61.682933008349103</v>
      </c>
      <c r="J70" s="125">
        <f>SIM_Districts!H70*(1+SIM_Parametres!$B$9)^(2016-2023)</f>
        <v>33.242950142474257</v>
      </c>
      <c r="K70" s="125">
        <f>MAX(0,MIN(100,SIM_Districts!I70+(2016-2023)*SIM_Parametres!$B$10))</f>
        <v>83.3</v>
      </c>
      <c r="L70" s="125">
        <f>SIM_Districts!E70</f>
        <v>1739</v>
      </c>
      <c r="M70" s="61">
        <f t="shared" si="27"/>
        <v>202.84505797794358</v>
      </c>
      <c r="N70" s="125">
        <f>SIM_Districts!J70</f>
        <v>153373</v>
      </c>
      <c r="O70" s="63">
        <v>18650000</v>
      </c>
      <c r="P70" s="126">
        <f>SIM_Parametres!$D$22</f>
        <v>0</v>
      </c>
      <c r="Q70" s="126">
        <f>SIM_Parametres!$B$12</f>
        <v>0.2</v>
      </c>
      <c r="R70" s="66">
        <f t="shared" si="28"/>
        <v>2.393389129704164E-2</v>
      </c>
      <c r="S70" s="66">
        <f t="shared" si="29"/>
        <v>0.36524822695035447</v>
      </c>
      <c r="T70" s="66">
        <f t="shared" si="30"/>
        <v>0.65469613259668513</v>
      </c>
      <c r="U70" s="66">
        <f t="shared" si="31"/>
        <v>0.55643930835847488</v>
      </c>
      <c r="V70" s="66">
        <f t="shared" si="32"/>
        <v>0.65207282116061327</v>
      </c>
      <c r="W70" s="66">
        <f t="shared" si="33"/>
        <v>8.7085182836609577E-3</v>
      </c>
      <c r="X70" s="66">
        <f t="shared" si="34"/>
        <v>1.2955775433225826E-2</v>
      </c>
      <c r="Y70" s="66">
        <f t="shared" si="35"/>
        <v>1.4216862665453396E-2</v>
      </c>
      <c r="Z70" s="66">
        <f t="shared" si="36"/>
        <v>2.3933256909947777E-2</v>
      </c>
      <c r="AA70" s="66">
        <f t="shared" si="37"/>
        <v>1.9517484814528061E-2</v>
      </c>
      <c r="AB70" s="66">
        <f t="shared" si="38"/>
        <v>1.4392053425771731E-2</v>
      </c>
      <c r="AC70" s="67">
        <f t="shared" si="39"/>
        <v>23883741.571222834</v>
      </c>
      <c r="AD70" s="67">
        <f t="shared" si="40"/>
        <v>18650000</v>
      </c>
      <c r="AE70" s="66">
        <f>0</f>
        <v>0</v>
      </c>
      <c r="AF70" s="67">
        <f t="shared" si="41"/>
        <v>18650000</v>
      </c>
      <c r="AG70" s="67">
        <f>1</f>
        <v>1</v>
      </c>
      <c r="AH70" s="67">
        <f t="shared" si="42"/>
        <v>18650000</v>
      </c>
      <c r="AI70" s="67">
        <f t="shared" si="43"/>
        <v>52.87067108502962</v>
      </c>
      <c r="AJ70" s="67">
        <f t="shared" si="44"/>
        <v>0</v>
      </c>
      <c r="AK70" s="131"/>
    </row>
    <row r="71" spans="1:37" ht="12.75" customHeight="1" x14ac:dyDescent="0.25">
      <c r="A71" s="55" t="s">
        <v>668</v>
      </c>
      <c r="B71" s="55" t="s">
        <v>461</v>
      </c>
      <c r="C71" s="55" t="s">
        <v>463</v>
      </c>
      <c r="D71" s="128">
        <v>2016</v>
      </c>
      <c r="E71" s="55" t="s">
        <v>675</v>
      </c>
      <c r="F71" s="57">
        <f>SIM_Parametres!$C$22</f>
        <v>1295854000</v>
      </c>
      <c r="G71" s="129">
        <f>SIM_Districts!D71*(1+SIM_Parametres!$B$6)^(2016-2023)</f>
        <v>129832.82634828404</v>
      </c>
      <c r="H71" s="129">
        <f>MAX(0,MIN(100,SIM_Districts!F71+(2016-2022)*SIM_Parametres!$B$7))</f>
        <v>53.279999999999994</v>
      </c>
      <c r="I71" s="129">
        <f>SIM_Districts!G71*(1+SIM_Parametres!$B$8)^(2016-2023)</f>
        <v>61.682933008349103</v>
      </c>
      <c r="J71" s="129">
        <f>SIM_Districts!H71*(1+SIM_Parametres!$B$9)^(2016-2023)</f>
        <v>21.534741287263198</v>
      </c>
      <c r="K71" s="129">
        <f>MAX(0,MIN(100,SIM_Districts!I71+(2016-2023)*SIM_Parametres!$B$10))</f>
        <v>82.3</v>
      </c>
      <c r="L71" s="129">
        <f>SIM_Districts!E71</f>
        <v>2537</v>
      </c>
      <c r="M71" s="68">
        <f t="shared" si="27"/>
        <v>51.175729739173846</v>
      </c>
      <c r="N71" s="129">
        <f>SIM_Districts!J71</f>
        <v>69419</v>
      </c>
      <c r="O71" s="56">
        <v>22330000</v>
      </c>
      <c r="P71" s="130">
        <f>SIM_Parametres!$D$22</f>
        <v>0</v>
      </c>
      <c r="Q71" s="130">
        <f>SIM_Parametres!$B$12</f>
        <v>0.2</v>
      </c>
      <c r="R71" s="59">
        <f t="shared" si="28"/>
        <v>8.8091460913227726E-3</v>
      </c>
      <c r="S71" s="59">
        <f t="shared" si="29"/>
        <v>0.69148936170212749</v>
      </c>
      <c r="T71" s="59">
        <f t="shared" si="30"/>
        <v>0.5</v>
      </c>
      <c r="U71" s="59">
        <f t="shared" si="31"/>
        <v>0.58672050041788648</v>
      </c>
      <c r="V71" s="59">
        <f t="shared" si="32"/>
        <v>6.9378604793203735E-2</v>
      </c>
      <c r="W71" s="59">
        <f t="shared" si="33"/>
        <v>1.6487000634115408E-2</v>
      </c>
      <c r="X71" s="59">
        <f t="shared" si="34"/>
        <v>9.8944951620838582E-3</v>
      </c>
      <c r="Y71" s="59">
        <f t="shared" si="35"/>
        <v>1.4990538324933458E-2</v>
      </c>
      <c r="Z71" s="59">
        <f t="shared" si="36"/>
        <v>2.5464272067252584E-3</v>
      </c>
      <c r="AA71" s="59">
        <f t="shared" si="37"/>
        <v>1.0119560300806489E-2</v>
      </c>
      <c r="AB71" s="59">
        <f t="shared" si="38"/>
        <v>1.7231879517291299E-2</v>
      </c>
      <c r="AC71" s="60">
        <f t="shared" si="39"/>
        <v>14141071.112979513</v>
      </c>
      <c r="AD71" s="60">
        <f t="shared" si="40"/>
        <v>22330000</v>
      </c>
      <c r="AE71" s="59">
        <f>0</f>
        <v>0</v>
      </c>
      <c r="AF71" s="60">
        <f t="shared" si="41"/>
        <v>22330000</v>
      </c>
      <c r="AG71" s="60">
        <f>1</f>
        <v>1</v>
      </c>
      <c r="AH71" s="60">
        <f t="shared" si="42"/>
        <v>22330000</v>
      </c>
      <c r="AI71" s="60">
        <f t="shared" si="43"/>
        <v>171.99040202743865</v>
      </c>
      <c r="AJ71" s="60">
        <f t="shared" si="44"/>
        <v>0</v>
      </c>
      <c r="AK71" s="71"/>
    </row>
    <row r="72" spans="1:37" ht="12.75" customHeight="1" x14ac:dyDescent="0.25">
      <c r="A72" s="62" t="s">
        <v>670</v>
      </c>
      <c r="B72" s="62" t="s">
        <v>461</v>
      </c>
      <c r="C72" s="62" t="s">
        <v>464</v>
      </c>
      <c r="D72" s="124">
        <v>2016</v>
      </c>
      <c r="E72" s="62" t="s">
        <v>675</v>
      </c>
      <c r="F72" s="64">
        <f>SIM_Parametres!$C$22</f>
        <v>1295854000</v>
      </c>
      <c r="G72" s="125">
        <f>SIM_Districts!D72*(1+SIM_Parametres!$B$6)^(2016-2023)</f>
        <v>79291.871094692513</v>
      </c>
      <c r="H72" s="125">
        <f>MAX(0,MIN(100,SIM_Districts!F72+(2016-2022)*SIM_Parametres!$B$7))</f>
        <v>53.279999999999994</v>
      </c>
      <c r="I72" s="125">
        <f>SIM_Districts!G72*(1+SIM_Parametres!$B$8)^(2016-2023)</f>
        <v>61.682933008349103</v>
      </c>
      <c r="J72" s="125">
        <f>SIM_Districts!H72*(1+SIM_Parametres!$B$9)^(2016-2023)</f>
        <v>21.534741287263198</v>
      </c>
      <c r="K72" s="125">
        <f>MAX(0,MIN(100,SIM_Districts!I72+(2016-2023)*SIM_Parametres!$B$10))</f>
        <v>82.3</v>
      </c>
      <c r="L72" s="125">
        <f>SIM_Districts!E72</f>
        <v>1893</v>
      </c>
      <c r="M72" s="61">
        <f t="shared" si="27"/>
        <v>41.886883832378508</v>
      </c>
      <c r="N72" s="125">
        <f>SIM_Districts!J72</f>
        <v>69419</v>
      </c>
      <c r="O72" s="63">
        <v>15800000</v>
      </c>
      <c r="P72" s="126">
        <f>SIM_Parametres!$D$22</f>
        <v>0</v>
      </c>
      <c r="Q72" s="126">
        <f>SIM_Parametres!$B$12</f>
        <v>0.2</v>
      </c>
      <c r="R72" s="66">
        <f t="shared" si="28"/>
        <v>5.3799466280871839E-3</v>
      </c>
      <c r="S72" s="66">
        <f t="shared" si="29"/>
        <v>0.69148936170212749</v>
      </c>
      <c r="T72" s="66">
        <f t="shared" si="30"/>
        <v>0.5</v>
      </c>
      <c r="U72" s="66">
        <f t="shared" si="31"/>
        <v>0.56457363162952034</v>
      </c>
      <c r="V72" s="66">
        <f t="shared" si="32"/>
        <v>6.9378604793203735E-2</v>
      </c>
      <c r="W72" s="66">
        <f t="shared" si="33"/>
        <v>1.6487000634115408E-2</v>
      </c>
      <c r="X72" s="66">
        <f t="shared" si="34"/>
        <v>9.8944951620838582E-3</v>
      </c>
      <c r="Y72" s="66">
        <f t="shared" si="35"/>
        <v>1.4424692261752069E-2</v>
      </c>
      <c r="Z72" s="66">
        <f t="shared" si="36"/>
        <v>2.5464272067252584E-3</v>
      </c>
      <c r="AA72" s="66">
        <f t="shared" si="37"/>
        <v>8.0337483197060657E-3</v>
      </c>
      <c r="AB72" s="66">
        <f t="shared" si="38"/>
        <v>1.2192731588589455E-2</v>
      </c>
      <c r="AC72" s="67">
        <f t="shared" si="39"/>
        <v>11978744.873813987</v>
      </c>
      <c r="AD72" s="67">
        <f t="shared" si="40"/>
        <v>15800000</v>
      </c>
      <c r="AE72" s="66">
        <f>0</f>
        <v>0</v>
      </c>
      <c r="AF72" s="67">
        <f t="shared" si="41"/>
        <v>15800000</v>
      </c>
      <c r="AG72" s="67">
        <f>1</f>
        <v>1</v>
      </c>
      <c r="AH72" s="67">
        <f t="shared" si="42"/>
        <v>15800000</v>
      </c>
      <c r="AI72" s="67">
        <f t="shared" si="43"/>
        <v>199.26380575798507</v>
      </c>
      <c r="AJ72" s="67">
        <f t="shared" si="44"/>
        <v>0</v>
      </c>
      <c r="AK72" s="131"/>
    </row>
    <row r="73" spans="1:37" ht="12.75" customHeight="1" x14ac:dyDescent="0.25">
      <c r="A73" s="55" t="s">
        <v>671</v>
      </c>
      <c r="B73" s="55" t="s">
        <v>461</v>
      </c>
      <c r="C73" s="55" t="s">
        <v>465</v>
      </c>
      <c r="D73" s="128">
        <v>2016</v>
      </c>
      <c r="E73" s="55" t="s">
        <v>675</v>
      </c>
      <c r="F73" s="57">
        <f>SIM_Parametres!$C$22</f>
        <v>1295854000</v>
      </c>
      <c r="G73" s="129">
        <f>SIM_Districts!D73*(1+SIM_Parametres!$B$6)^(2016-2023)</f>
        <v>47747.172820615764</v>
      </c>
      <c r="H73" s="129">
        <f>MAX(0,MIN(100,SIM_Districts!F73+(2016-2022)*SIM_Parametres!$B$7))</f>
        <v>53.279999999999994</v>
      </c>
      <c r="I73" s="129">
        <f>SIM_Districts!G73*(1+SIM_Parametres!$B$8)^(2016-2023)</f>
        <v>61.682933008349103</v>
      </c>
      <c r="J73" s="129">
        <f>SIM_Districts!H73*(1+SIM_Parametres!$B$9)^(2016-2023)</f>
        <v>21.534741287263198</v>
      </c>
      <c r="K73" s="129">
        <f>MAX(0,MIN(100,SIM_Districts!I73+(2016-2023)*SIM_Parametres!$B$10))</f>
        <v>82.3</v>
      </c>
      <c r="L73" s="129">
        <f>SIM_Districts!E73</f>
        <v>877</v>
      </c>
      <c r="M73" s="68">
        <f t="shared" si="27"/>
        <v>54.443754641523107</v>
      </c>
      <c r="N73" s="129">
        <f>SIM_Districts!J73</f>
        <v>69419</v>
      </c>
      <c r="O73" s="56">
        <v>16500000</v>
      </c>
      <c r="P73" s="130">
        <f>SIM_Parametres!$D$22</f>
        <v>0</v>
      </c>
      <c r="Q73" s="130">
        <f>SIM_Parametres!$B$12</f>
        <v>0.2</v>
      </c>
      <c r="R73" s="59">
        <f t="shared" si="28"/>
        <v>3.2396415656555516E-3</v>
      </c>
      <c r="S73" s="59">
        <f t="shared" si="29"/>
        <v>0.69148936170212749</v>
      </c>
      <c r="T73" s="59">
        <f t="shared" si="30"/>
        <v>0.5</v>
      </c>
      <c r="U73" s="59">
        <f t="shared" si="31"/>
        <v>0.52916053895252124</v>
      </c>
      <c r="V73" s="59">
        <f t="shared" si="32"/>
        <v>6.9378604793203735E-2</v>
      </c>
      <c r="W73" s="59">
        <f t="shared" si="33"/>
        <v>1.6487000634115408E-2</v>
      </c>
      <c r="X73" s="59">
        <f t="shared" si="34"/>
        <v>9.8944951620838582E-3</v>
      </c>
      <c r="Y73" s="59">
        <f t="shared" si="35"/>
        <v>1.3519898032471051E-2</v>
      </c>
      <c r="Z73" s="59">
        <f t="shared" si="36"/>
        <v>2.5464272067252584E-3</v>
      </c>
      <c r="AA73" s="59">
        <f t="shared" si="37"/>
        <v>6.7043255707830368E-3</v>
      </c>
      <c r="AB73" s="59">
        <f t="shared" si="38"/>
        <v>1.2732915899476329E-2</v>
      </c>
      <c r="AC73" s="60">
        <f t="shared" si="39"/>
        <v>10600554.644307664</v>
      </c>
      <c r="AD73" s="60">
        <f t="shared" si="40"/>
        <v>16500000</v>
      </c>
      <c r="AE73" s="59">
        <f>0</f>
        <v>0</v>
      </c>
      <c r="AF73" s="60">
        <f t="shared" si="41"/>
        <v>16500000</v>
      </c>
      <c r="AG73" s="60">
        <f>1</f>
        <v>1</v>
      </c>
      <c r="AH73" s="60">
        <f t="shared" si="42"/>
        <v>16500000</v>
      </c>
      <c r="AI73" s="60">
        <f t="shared" si="43"/>
        <v>345.57019872129069</v>
      </c>
      <c r="AJ73" s="60">
        <f t="shared" si="44"/>
        <v>0</v>
      </c>
      <c r="AK73" s="71"/>
    </row>
    <row r="74" spans="1:37" ht="12.75" customHeight="1" x14ac:dyDescent="0.25">
      <c r="A74" s="62" t="s">
        <v>672</v>
      </c>
      <c r="B74" s="62" t="s">
        <v>461</v>
      </c>
      <c r="C74" s="62" t="s">
        <v>461</v>
      </c>
      <c r="D74" s="124">
        <v>2016</v>
      </c>
      <c r="E74" s="62" t="s">
        <v>675</v>
      </c>
      <c r="F74" s="64">
        <f>SIM_Parametres!$C$22</f>
        <v>1295854000</v>
      </c>
      <c r="G74" s="125">
        <f>SIM_Districts!D74*(1+SIM_Parametres!$B$6)^(2016-2023)</f>
        <v>245266.61512218864</v>
      </c>
      <c r="H74" s="125">
        <f>MAX(0,MIN(100,SIM_Districts!F74+(2016-2022)*SIM_Parametres!$B$7))</f>
        <v>53.279999999999994</v>
      </c>
      <c r="I74" s="125">
        <f>SIM_Districts!G74*(1+SIM_Parametres!$B$8)^(2016-2023)</f>
        <v>61.682933008349103</v>
      </c>
      <c r="J74" s="125">
        <f>SIM_Districts!H74*(1+SIM_Parametres!$B$9)^(2016-2023)</f>
        <v>21.534741287263198</v>
      </c>
      <c r="K74" s="125">
        <f>MAX(0,MIN(100,SIM_Districts!I74+(2016-2023)*SIM_Parametres!$B$10))</f>
        <v>82.3</v>
      </c>
      <c r="L74" s="125">
        <f>SIM_Districts!E74</f>
        <v>1136</v>
      </c>
      <c r="M74" s="61">
        <f t="shared" si="27"/>
        <v>215.90371049488436</v>
      </c>
      <c r="N74" s="125">
        <f>SIM_Districts!J74</f>
        <v>69419</v>
      </c>
      <c r="O74" s="63">
        <v>19980000</v>
      </c>
      <c r="P74" s="126">
        <f>SIM_Parametres!$D$22</f>
        <v>0</v>
      </c>
      <c r="Q74" s="126">
        <f>SIM_Parametres!$B$12</f>
        <v>0.2</v>
      </c>
      <c r="R74" s="66">
        <f t="shared" si="28"/>
        <v>1.6641318722737261E-2</v>
      </c>
      <c r="S74" s="66">
        <f t="shared" si="29"/>
        <v>0.69148936170212749</v>
      </c>
      <c r="T74" s="66">
        <f t="shared" si="30"/>
        <v>0.5</v>
      </c>
      <c r="U74" s="66">
        <f t="shared" si="31"/>
        <v>0.53532398626606015</v>
      </c>
      <c r="V74" s="66">
        <f t="shared" si="32"/>
        <v>6.9378604793203735E-2</v>
      </c>
      <c r="W74" s="66">
        <f t="shared" si="33"/>
        <v>1.6487000634115408E-2</v>
      </c>
      <c r="X74" s="66">
        <f t="shared" si="34"/>
        <v>9.8944951620838582E-3</v>
      </c>
      <c r="Y74" s="66">
        <f t="shared" si="35"/>
        <v>1.3677372320656833E-2</v>
      </c>
      <c r="Z74" s="66">
        <f t="shared" si="36"/>
        <v>2.5464272067252584E-3</v>
      </c>
      <c r="AA74" s="66">
        <f t="shared" si="37"/>
        <v>1.4753205579441351E-2</v>
      </c>
      <c r="AB74" s="66">
        <f t="shared" si="38"/>
        <v>1.5418403616456793E-2</v>
      </c>
      <c r="AC74" s="67">
        <f t="shared" si="39"/>
        <v>18944693.328099594</v>
      </c>
      <c r="AD74" s="67">
        <f t="shared" si="40"/>
        <v>19980000</v>
      </c>
      <c r="AE74" s="66">
        <f>0</f>
        <v>0</v>
      </c>
      <c r="AF74" s="67">
        <f t="shared" si="41"/>
        <v>19980000</v>
      </c>
      <c r="AG74" s="67">
        <f>1</f>
        <v>1</v>
      </c>
      <c r="AH74" s="67">
        <f t="shared" si="42"/>
        <v>19980000</v>
      </c>
      <c r="AI74" s="67">
        <f t="shared" si="43"/>
        <v>81.462371020394372</v>
      </c>
      <c r="AJ74" s="67">
        <f t="shared" si="44"/>
        <v>0</v>
      </c>
      <c r="AK74" s="131"/>
    </row>
    <row r="75" spans="1:37" ht="12.75" customHeight="1" x14ac:dyDescent="0.25">
      <c r="A75" s="55" t="s">
        <v>587</v>
      </c>
      <c r="B75" s="55" t="s">
        <v>376</v>
      </c>
      <c r="C75" s="55" t="s">
        <v>379</v>
      </c>
      <c r="D75" s="128">
        <v>2017</v>
      </c>
      <c r="E75" s="55" t="s">
        <v>675</v>
      </c>
      <c r="F75" s="57">
        <f>SIM_Parametres!$C$23</f>
        <v>1269170000</v>
      </c>
      <c r="G75" s="129">
        <f>SIM_Districts!D4*(1+SIM_Parametres!$B$6)^(2017-2023)</f>
        <v>380186.86561688181</v>
      </c>
      <c r="H75" s="129">
        <f>MAX(0,MIN(100,SIM_Districts!F4+(2017-2022)*SIM_Parametres!$B$7))</f>
        <v>13.45</v>
      </c>
      <c r="I75" s="129">
        <f>SIM_Districts!G4*(1+SIM_Parametres!$B$8)^(2017-2023)</f>
        <v>57.981957027848154</v>
      </c>
      <c r="J75" s="129">
        <f>SIM_Districts!H4*(1+SIM_Parametres!$B$9)^(2017-2023)</f>
        <v>19.569434800852772</v>
      </c>
      <c r="K75" s="129">
        <f>MAX(0,MIN(100,SIM_Districts!I4+(2017-2023)*SIM_Parametres!$B$10))</f>
        <v>86.9</v>
      </c>
      <c r="L75" s="129">
        <f>SIM_Districts!E4</f>
        <v>13</v>
      </c>
      <c r="M75" s="68">
        <f t="shared" si="27"/>
        <v>29245.14350899091</v>
      </c>
      <c r="N75" s="129">
        <f>SIM_Districts!J4</f>
        <v>73189</v>
      </c>
      <c r="O75" s="56">
        <v>19480000</v>
      </c>
      <c r="P75" s="130">
        <f>SIM_Parametres!$D$23</f>
        <v>0</v>
      </c>
      <c r="Q75" s="130">
        <f>SIM_Parametres!$B$12</f>
        <v>0.2</v>
      </c>
      <c r="R75" s="59">
        <f t="shared" ref="R75:R106" si="45">IFERROR(G75/SUM($G$75:$G$145),1/71)</f>
        <v>2.5044316606264858E-2</v>
      </c>
      <c r="S75" s="59">
        <f t="shared" ref="S75:S106" si="46">IF(MAX($H$75:$H$145)=MIN($H$75:$H$145),1,(H75-MIN($H$75:$H$145))/(MAX($H$75:$H$145)-MIN($H$75:$H$145)))</f>
        <v>0</v>
      </c>
      <c r="T75" s="59">
        <f t="shared" ref="T75:T106" si="47">(IF(MAX($I$75:$I$145)=MIN($I$75:$I$145),1,(I75-MIN($I$75:$I$145))/(MAX($I$75:$I$145)-MIN($I$75:$I$145)))+IF(MAX($J$75:$J$145)=MIN($J$75:$J$145),1,(J75-MIN($J$75:$J$145))/(MAX($J$75:$J$145)-MIN($J$75:$J$145))))/2</f>
        <v>0.50276243093922657</v>
      </c>
      <c r="U75" s="59">
        <f t="shared" ref="U75:U106" si="48">(IF(MAX($L$75:$L$145)=MIN($L$75:$L$145),1,(L75-MIN($L$75:$L$145))/(MAX($L$75:$L$145)-MIN($L$75:$L$145)))+IF(MAX($M$75:$M$145)=MIN($M$75:$M$145),1,(MAX($M$75:$M$145)-M75)/(MAX($M$75:$M$145)-MIN($M$75:$M$145))))/2</f>
        <v>6.3061112543856181E-3</v>
      </c>
      <c r="V75" s="59">
        <f t="shared" ref="V75:V106" si="49">IF(MAX($N$75:$N$145)=MIN($N$75:$N$145),1,(N75-MIN($N$75:$N$145))/(MAX($N$75:$N$145)-MIN($N$75:$N$145)))</f>
        <v>9.5544805280436421E-2</v>
      </c>
      <c r="W75" s="59">
        <f t="shared" ref="W75:W106" si="50">IFERROR(S75/SUM($S$75:$S$145),1/71)</f>
        <v>0</v>
      </c>
      <c r="X75" s="59">
        <f t="shared" ref="X75:X106" si="51">IFERROR(T75/SUM($T$75:$T$145),1/71)</f>
        <v>9.9491608812113941E-3</v>
      </c>
      <c r="Y75" s="59">
        <f t="shared" ref="Y75:Y106" si="52">IFERROR(U75/SUM($U$75:$U$145),1/71)</f>
        <v>1.6111931042605846E-4</v>
      </c>
      <c r="Z75" s="59">
        <f t="shared" ref="Z75:Z106" si="53">IFERROR(V75/SUM($V$75:$V$145),1/71)</f>
        <v>3.506814418545408E-3</v>
      </c>
      <c r="AA75" s="59">
        <f t="shared" si="37"/>
        <v>1.6702360782389195E-2</v>
      </c>
      <c r="AB75" s="59">
        <f t="shared" si="38"/>
        <v>1.5348613660896491E-2</v>
      </c>
      <c r="AC75" s="60">
        <f t="shared" si="39"/>
        <v>20533634.947911296</v>
      </c>
      <c r="AD75" s="60">
        <f t="shared" si="40"/>
        <v>19480000</v>
      </c>
      <c r="AE75" s="59">
        <f>0</f>
        <v>0</v>
      </c>
      <c r="AF75" s="60">
        <f t="shared" si="41"/>
        <v>19480000</v>
      </c>
      <c r="AG75" s="60">
        <f>1</f>
        <v>1</v>
      </c>
      <c r="AH75" s="60">
        <f t="shared" si="42"/>
        <v>19480000</v>
      </c>
      <c r="AI75" s="60">
        <f t="shared" si="43"/>
        <v>51.237961543969263</v>
      </c>
      <c r="AJ75" s="60">
        <f t="shared" si="44"/>
        <v>0</v>
      </c>
      <c r="AK75" s="59">
        <f t="shared" ref="AK75:AK138" si="54">IFERROR(AH75/AH4-1,0)</f>
        <v>-6.3461538461538458E-2</v>
      </c>
    </row>
    <row r="76" spans="1:37" ht="12.75" customHeight="1" x14ac:dyDescent="0.25">
      <c r="A76" s="62" t="s">
        <v>590</v>
      </c>
      <c r="B76" s="62" t="s">
        <v>376</v>
      </c>
      <c r="C76" s="62" t="s">
        <v>381</v>
      </c>
      <c r="D76" s="124">
        <v>2017</v>
      </c>
      <c r="E76" s="62" t="s">
        <v>675</v>
      </c>
      <c r="F76" s="64">
        <f>SIM_Parametres!$C$23</f>
        <v>1269170000</v>
      </c>
      <c r="G76" s="125">
        <f>SIM_Districts!D5*(1+SIM_Parametres!$B$6)^(2017-2023)</f>
        <v>199271.00403530875</v>
      </c>
      <c r="H76" s="125">
        <f>MAX(0,MIN(100,SIM_Districts!F5+(2017-2022)*SIM_Parametres!$B$7))</f>
        <v>13.45</v>
      </c>
      <c r="I76" s="125">
        <f>SIM_Districts!G5*(1+SIM_Parametres!$B$8)^(2017-2023)</f>
        <v>57.981957027848154</v>
      </c>
      <c r="J76" s="125">
        <f>SIM_Districts!H5*(1+SIM_Parametres!$B$9)^(2017-2023)</f>
        <v>19.569434800852772</v>
      </c>
      <c r="K76" s="125">
        <f>MAX(0,MIN(100,SIM_Districts!I5+(2017-2023)*SIM_Parametres!$B$10))</f>
        <v>86.9</v>
      </c>
      <c r="L76" s="125">
        <f>SIM_Districts!E5</f>
        <v>10</v>
      </c>
      <c r="M76" s="61">
        <f t="shared" si="27"/>
        <v>19927.100403530876</v>
      </c>
      <c r="N76" s="125">
        <f>SIM_Districts!J5</f>
        <v>73189</v>
      </c>
      <c r="O76" s="63">
        <v>21009000</v>
      </c>
      <c r="P76" s="126">
        <f>SIM_Parametres!$D$23</f>
        <v>0</v>
      </c>
      <c r="Q76" s="126">
        <f>SIM_Parametres!$B$12</f>
        <v>0.2</v>
      </c>
      <c r="R76" s="66">
        <f t="shared" si="45"/>
        <v>1.3126718902850366E-2</v>
      </c>
      <c r="S76" s="66">
        <f t="shared" si="46"/>
        <v>0</v>
      </c>
      <c r="T76" s="66">
        <f t="shared" si="47"/>
        <v>0.50276243093922657</v>
      </c>
      <c r="U76" s="66">
        <f t="shared" si="48"/>
        <v>0.16355896203869913</v>
      </c>
      <c r="V76" s="66">
        <f t="shared" si="49"/>
        <v>9.5544805280436421E-2</v>
      </c>
      <c r="W76" s="66">
        <f t="shared" si="50"/>
        <v>0</v>
      </c>
      <c r="X76" s="66">
        <f t="shared" si="51"/>
        <v>9.9491608812113941E-3</v>
      </c>
      <c r="Y76" s="66">
        <f t="shared" si="52"/>
        <v>4.1788839610703166E-3</v>
      </c>
      <c r="Z76" s="66">
        <f t="shared" si="53"/>
        <v>3.506814418545408E-3</v>
      </c>
      <c r="AA76" s="66">
        <f t="shared" si="37"/>
        <v>9.7526903928727149E-3</v>
      </c>
      <c r="AB76" s="66">
        <f t="shared" si="38"/>
        <v>1.6553338008304639E-2</v>
      </c>
      <c r="AC76" s="67">
        <f t="shared" si="39"/>
        <v>13477384.41330119</v>
      </c>
      <c r="AD76" s="67">
        <f t="shared" si="40"/>
        <v>21009000</v>
      </c>
      <c r="AE76" s="66">
        <f>0</f>
        <v>0</v>
      </c>
      <c r="AF76" s="67">
        <f t="shared" si="41"/>
        <v>21009000</v>
      </c>
      <c r="AG76" s="67">
        <f>1</f>
        <v>1</v>
      </c>
      <c r="AH76" s="67">
        <f t="shared" si="42"/>
        <v>21009000</v>
      </c>
      <c r="AI76" s="67">
        <f t="shared" si="43"/>
        <v>105.42928762619886</v>
      </c>
      <c r="AJ76" s="67">
        <f t="shared" si="44"/>
        <v>0</v>
      </c>
      <c r="AK76" s="66">
        <f t="shared" si="54"/>
        <v>-6.5269620928990912E-2</v>
      </c>
    </row>
    <row r="77" spans="1:37" ht="12.75" customHeight="1" x14ac:dyDescent="0.25">
      <c r="A77" s="55" t="s">
        <v>591</v>
      </c>
      <c r="B77" s="55" t="s">
        <v>376</v>
      </c>
      <c r="C77" s="55" t="s">
        <v>382</v>
      </c>
      <c r="D77" s="128">
        <v>2017</v>
      </c>
      <c r="E77" s="55" t="s">
        <v>675</v>
      </c>
      <c r="F77" s="57">
        <f>SIM_Parametres!$C$23</f>
        <v>1269170000</v>
      </c>
      <c r="G77" s="129">
        <f>SIM_Districts!D6*(1+SIM_Parametres!$B$6)^(2017-2023)</f>
        <v>151874.42001255401</v>
      </c>
      <c r="H77" s="129">
        <f>MAX(0,MIN(100,SIM_Districts!F6+(2017-2022)*SIM_Parametres!$B$7))</f>
        <v>13.45</v>
      </c>
      <c r="I77" s="129">
        <f>SIM_Districts!G6*(1+SIM_Parametres!$B$8)^(2017-2023)</f>
        <v>57.981957027848154</v>
      </c>
      <c r="J77" s="129">
        <f>SIM_Districts!H6*(1+SIM_Parametres!$B$9)^(2017-2023)</f>
        <v>19.569434800852772</v>
      </c>
      <c r="K77" s="129">
        <f>MAX(0,MIN(100,SIM_Districts!I6+(2017-2023)*SIM_Parametres!$B$10))</f>
        <v>86.9</v>
      </c>
      <c r="L77" s="129">
        <f>SIM_Districts!E6</f>
        <v>169</v>
      </c>
      <c r="M77" s="68">
        <f t="shared" si="27"/>
        <v>898.66520717487583</v>
      </c>
      <c r="N77" s="129">
        <f>SIM_Districts!J6</f>
        <v>73189</v>
      </c>
      <c r="O77" s="56">
        <v>15191000</v>
      </c>
      <c r="P77" s="130">
        <f>SIM_Parametres!$D$23</f>
        <v>0</v>
      </c>
      <c r="Q77" s="130">
        <f>SIM_Parametres!$B$12</f>
        <v>0.2</v>
      </c>
      <c r="R77" s="59">
        <f t="shared" si="45"/>
        <v>1.0004530411684889E-2</v>
      </c>
      <c r="S77" s="59">
        <f t="shared" si="46"/>
        <v>0</v>
      </c>
      <c r="T77" s="59">
        <f t="shared" si="47"/>
        <v>0.50276243093922657</v>
      </c>
      <c r="U77" s="59">
        <f t="shared" si="48"/>
        <v>0.49040605765544515</v>
      </c>
      <c r="V77" s="59">
        <f t="shared" si="49"/>
        <v>9.5544805280436421E-2</v>
      </c>
      <c r="W77" s="59">
        <f t="shared" si="50"/>
        <v>0</v>
      </c>
      <c r="X77" s="59">
        <f t="shared" si="51"/>
        <v>9.9491608812113941E-3</v>
      </c>
      <c r="Y77" s="59">
        <f t="shared" si="52"/>
        <v>1.2529732294725465E-2</v>
      </c>
      <c r="Z77" s="59">
        <f t="shared" si="53"/>
        <v>3.506814418545408E-3</v>
      </c>
      <c r="AA77" s="59">
        <f t="shared" si="37"/>
        <v>8.2969197148561862E-3</v>
      </c>
      <c r="AB77" s="59">
        <f t="shared" si="38"/>
        <v>1.1969239739357217E-2</v>
      </c>
      <c r="AC77" s="60">
        <f t="shared" si="39"/>
        <v>11999288.036166603</v>
      </c>
      <c r="AD77" s="60">
        <f t="shared" si="40"/>
        <v>15191000</v>
      </c>
      <c r="AE77" s="59">
        <f>0</f>
        <v>0</v>
      </c>
      <c r="AF77" s="60">
        <f t="shared" si="41"/>
        <v>15191000</v>
      </c>
      <c r="AG77" s="60">
        <f>1</f>
        <v>1</v>
      </c>
      <c r="AH77" s="60">
        <f t="shared" si="42"/>
        <v>15191000</v>
      </c>
      <c r="AI77" s="60">
        <f t="shared" si="43"/>
        <v>100.02342724169287</v>
      </c>
      <c r="AJ77" s="60">
        <f t="shared" si="44"/>
        <v>0</v>
      </c>
      <c r="AK77" s="59">
        <f t="shared" si="54"/>
        <v>-5.6459627329192519E-2</v>
      </c>
    </row>
    <row r="78" spans="1:37" ht="12.75" customHeight="1" x14ac:dyDescent="0.25">
      <c r="A78" s="62" t="s">
        <v>592</v>
      </c>
      <c r="B78" s="62" t="s">
        <v>376</v>
      </c>
      <c r="C78" s="62" t="s">
        <v>383</v>
      </c>
      <c r="D78" s="124">
        <v>2017</v>
      </c>
      <c r="E78" s="62" t="s">
        <v>675</v>
      </c>
      <c r="F78" s="64">
        <f>SIM_Parametres!$C$23</f>
        <v>1269170000</v>
      </c>
      <c r="G78" s="125">
        <f>SIM_Districts!D7*(1+SIM_Parametres!$B$6)^(2017-2023)</f>
        <v>384961.36336423532</v>
      </c>
      <c r="H78" s="125">
        <f>MAX(0,MIN(100,SIM_Districts!F7+(2017-2022)*SIM_Parametres!$B$7))</f>
        <v>13.45</v>
      </c>
      <c r="I78" s="125">
        <f>SIM_Districts!G7*(1+SIM_Parametres!$B$8)^(2017-2023)</f>
        <v>57.981957027848154</v>
      </c>
      <c r="J78" s="125">
        <f>SIM_Districts!H7*(1+SIM_Parametres!$B$9)^(2017-2023)</f>
        <v>19.569434800852772</v>
      </c>
      <c r="K78" s="125">
        <f>MAX(0,MIN(100,SIM_Districts!I7+(2017-2023)*SIM_Parametres!$B$10))</f>
        <v>86.9</v>
      </c>
      <c r="L78" s="125">
        <f>SIM_Districts!E7</f>
        <v>13</v>
      </c>
      <c r="M78" s="61">
        <f t="shared" si="27"/>
        <v>29612.412566479641</v>
      </c>
      <c r="N78" s="125">
        <f>SIM_Districts!J7</f>
        <v>73189</v>
      </c>
      <c r="O78" s="63">
        <v>20693000</v>
      </c>
      <c r="P78" s="126">
        <f>SIM_Parametres!$D$23</f>
        <v>0</v>
      </c>
      <c r="Q78" s="126">
        <f>SIM_Parametres!$B$12</f>
        <v>0.2</v>
      </c>
      <c r="R78" s="66">
        <f t="shared" si="45"/>
        <v>2.5358830452045938E-2</v>
      </c>
      <c r="S78" s="66">
        <f t="shared" si="46"/>
        <v>0</v>
      </c>
      <c r="T78" s="66">
        <f t="shared" si="47"/>
        <v>0.50276243093922657</v>
      </c>
      <c r="U78" s="66">
        <f t="shared" si="48"/>
        <v>1.0392129693778578E-4</v>
      </c>
      <c r="V78" s="66">
        <f t="shared" si="49"/>
        <v>9.5544805280436421E-2</v>
      </c>
      <c r="W78" s="66">
        <f t="shared" si="50"/>
        <v>0</v>
      </c>
      <c r="X78" s="66">
        <f t="shared" si="51"/>
        <v>9.9491608812113941E-3</v>
      </c>
      <c r="Y78" s="66">
        <f t="shared" si="52"/>
        <v>2.6551589443578546E-6</v>
      </c>
      <c r="Z78" s="66">
        <f t="shared" si="53"/>
        <v>3.506814418545408E-3</v>
      </c>
      <c r="AA78" s="66">
        <f t="shared" si="37"/>
        <v>1.6883145882283759E-2</v>
      </c>
      <c r="AB78" s="66">
        <f t="shared" si="38"/>
        <v>1.6304356390396874E-2</v>
      </c>
      <c r="AC78" s="67">
        <f t="shared" si="39"/>
        <v>20717192.568097845</v>
      </c>
      <c r="AD78" s="67">
        <f t="shared" si="40"/>
        <v>20693000</v>
      </c>
      <c r="AE78" s="66">
        <f>0</f>
        <v>0</v>
      </c>
      <c r="AF78" s="67">
        <f t="shared" si="41"/>
        <v>20693000</v>
      </c>
      <c r="AG78" s="67">
        <f>1</f>
        <v>1</v>
      </c>
      <c r="AH78" s="67">
        <f t="shared" si="42"/>
        <v>20693000</v>
      </c>
      <c r="AI78" s="67">
        <f t="shared" si="43"/>
        <v>53.753446369684369</v>
      </c>
      <c r="AJ78" s="67">
        <f t="shared" si="44"/>
        <v>0</v>
      </c>
      <c r="AK78" s="66">
        <f t="shared" si="54"/>
        <v>-6.4934478084048841E-2</v>
      </c>
    </row>
    <row r="79" spans="1:37" ht="12.75" customHeight="1" x14ac:dyDescent="0.25">
      <c r="A79" s="55" t="s">
        <v>593</v>
      </c>
      <c r="B79" s="55" t="s">
        <v>376</v>
      </c>
      <c r="C79" s="55" t="s">
        <v>384</v>
      </c>
      <c r="D79" s="128">
        <v>2017</v>
      </c>
      <c r="E79" s="55" t="s">
        <v>675</v>
      </c>
      <c r="F79" s="57">
        <f>SIM_Parametres!$C$23</f>
        <v>1269170000</v>
      </c>
      <c r="G79" s="129">
        <f>SIM_Districts!D8*(1+SIM_Parametres!$B$6)^(2017-2023)</f>
        <v>273001.44302522432</v>
      </c>
      <c r="H79" s="129">
        <f>MAX(0,MIN(100,SIM_Districts!F8+(2017-2022)*SIM_Parametres!$B$7))</f>
        <v>13.45</v>
      </c>
      <c r="I79" s="129">
        <f>SIM_Districts!G8*(1+SIM_Parametres!$B$8)^(2017-2023)</f>
        <v>57.981957027848154</v>
      </c>
      <c r="J79" s="129">
        <f>SIM_Districts!H8*(1+SIM_Parametres!$B$9)^(2017-2023)</f>
        <v>19.569434800852772</v>
      </c>
      <c r="K79" s="129">
        <f>MAX(0,MIN(100,SIM_Districts!I8+(2017-2023)*SIM_Parametres!$B$10))</f>
        <v>86.9</v>
      </c>
      <c r="L79" s="129">
        <f>SIM_Districts!E8</f>
        <v>34</v>
      </c>
      <c r="M79" s="68">
        <f t="shared" si="27"/>
        <v>8029.4542066242448</v>
      </c>
      <c r="N79" s="129">
        <f>SIM_Districts!J8</f>
        <v>73189</v>
      </c>
      <c r="O79" s="56">
        <v>16726000</v>
      </c>
      <c r="P79" s="130">
        <f>SIM_Parametres!$D$23</f>
        <v>0</v>
      </c>
      <c r="Q79" s="130">
        <f>SIM_Parametres!$B$12</f>
        <v>0.2</v>
      </c>
      <c r="R79" s="59">
        <f t="shared" si="45"/>
        <v>1.7983615930542811E-2</v>
      </c>
      <c r="S79" s="59">
        <f t="shared" si="46"/>
        <v>0</v>
      </c>
      <c r="T79" s="59">
        <f t="shared" si="47"/>
        <v>0.50276243093922657</v>
      </c>
      <c r="U79" s="59">
        <f t="shared" si="48"/>
        <v>0.36530968637307892</v>
      </c>
      <c r="V79" s="59">
        <f t="shared" si="49"/>
        <v>9.5544805280436421E-2</v>
      </c>
      <c r="W79" s="59">
        <f t="shared" si="50"/>
        <v>0</v>
      </c>
      <c r="X79" s="59">
        <f t="shared" si="51"/>
        <v>9.9491608812113941E-3</v>
      </c>
      <c r="Y79" s="59">
        <f t="shared" si="52"/>
        <v>9.3335563528881196E-3</v>
      </c>
      <c r="Z79" s="59">
        <f t="shared" si="53"/>
        <v>3.506814418545408E-3</v>
      </c>
      <c r="AA79" s="59">
        <f t="shared" si="37"/>
        <v>1.2924562229079072E-2</v>
      </c>
      <c r="AB79" s="59">
        <f t="shared" si="38"/>
        <v>1.3178691585839564E-2</v>
      </c>
      <c r="AC79" s="60">
        <f t="shared" si="39"/>
        <v>16697900.075987611</v>
      </c>
      <c r="AD79" s="60">
        <f t="shared" si="40"/>
        <v>16726000</v>
      </c>
      <c r="AE79" s="59">
        <f>0</f>
        <v>0</v>
      </c>
      <c r="AF79" s="60">
        <f t="shared" si="41"/>
        <v>16726000</v>
      </c>
      <c r="AG79" s="60">
        <f>1</f>
        <v>1</v>
      </c>
      <c r="AH79" s="60">
        <f t="shared" si="42"/>
        <v>16726000</v>
      </c>
      <c r="AI79" s="60">
        <f t="shared" si="43"/>
        <v>61.267075421482588</v>
      </c>
      <c r="AJ79" s="60">
        <f t="shared" si="44"/>
        <v>0</v>
      </c>
      <c r="AK79" s="59">
        <f t="shared" si="54"/>
        <v>-4.4665295864747545E-2</v>
      </c>
    </row>
    <row r="80" spans="1:37" ht="12.75" customHeight="1" x14ac:dyDescent="0.25">
      <c r="A80" s="62" t="s">
        <v>594</v>
      </c>
      <c r="B80" s="62" t="s">
        <v>376</v>
      </c>
      <c r="C80" s="62" t="s">
        <v>385</v>
      </c>
      <c r="D80" s="124">
        <v>2017</v>
      </c>
      <c r="E80" s="62" t="s">
        <v>675</v>
      </c>
      <c r="F80" s="64">
        <f>SIM_Parametres!$C$23</f>
        <v>1269170000</v>
      </c>
      <c r="G80" s="125">
        <f>SIM_Districts!D9*(1+SIM_Parametres!$B$6)^(2017-2023)</f>
        <v>400541.08299132134</v>
      </c>
      <c r="H80" s="125">
        <f>MAX(0,MIN(100,SIM_Districts!F9+(2017-2022)*SIM_Parametres!$B$7))</f>
        <v>13.45</v>
      </c>
      <c r="I80" s="125">
        <f>SIM_Districts!G9*(1+SIM_Parametres!$B$8)^(2017-2023)</f>
        <v>57.981957027848154</v>
      </c>
      <c r="J80" s="125">
        <f>SIM_Districts!H9*(1+SIM_Parametres!$B$9)^(2017-2023)</f>
        <v>19.569434800852772</v>
      </c>
      <c r="K80" s="125">
        <f>MAX(0,MIN(100,SIM_Districts!I9+(2017-2023)*SIM_Parametres!$B$10))</f>
        <v>86.9</v>
      </c>
      <c r="L80" s="125">
        <f>SIM_Districts!E9</f>
        <v>28</v>
      </c>
      <c r="M80" s="61">
        <f t="shared" si="27"/>
        <v>14305.038678261477</v>
      </c>
      <c r="N80" s="125">
        <f>SIM_Districts!J9</f>
        <v>73189</v>
      </c>
      <c r="O80" s="63">
        <v>16012000</v>
      </c>
      <c r="P80" s="126">
        <f>SIM_Parametres!$D$23</f>
        <v>0</v>
      </c>
      <c r="Q80" s="126">
        <f>SIM_Parametres!$B$12</f>
        <v>0.2</v>
      </c>
      <c r="R80" s="66">
        <f t="shared" si="45"/>
        <v>2.6385124272966024E-2</v>
      </c>
      <c r="S80" s="66">
        <f t="shared" si="46"/>
        <v>0</v>
      </c>
      <c r="T80" s="66">
        <f t="shared" si="47"/>
        <v>0.50276243093922657</v>
      </c>
      <c r="U80" s="66">
        <f t="shared" si="48"/>
        <v>0.25912404305391834</v>
      </c>
      <c r="V80" s="66">
        <f t="shared" si="49"/>
        <v>9.5544805280436421E-2</v>
      </c>
      <c r="W80" s="66">
        <f t="shared" si="50"/>
        <v>0</v>
      </c>
      <c r="X80" s="66">
        <f t="shared" si="51"/>
        <v>9.9491608812113941E-3</v>
      </c>
      <c r="Y80" s="66">
        <f t="shared" si="52"/>
        <v>6.6205440163499222E-3</v>
      </c>
      <c r="Z80" s="66">
        <f t="shared" si="53"/>
        <v>3.506814418545408E-3</v>
      </c>
      <c r="AA80" s="66">
        <f t="shared" si="37"/>
        <v>1.7829816617706086E-2</v>
      </c>
      <c r="AB80" s="66">
        <f t="shared" si="38"/>
        <v>1.2616119196009992E-2</v>
      </c>
      <c r="AC80" s="67">
        <f t="shared" si="39"/>
        <v>21678381.445918608</v>
      </c>
      <c r="AD80" s="67">
        <f t="shared" si="40"/>
        <v>16012000</v>
      </c>
      <c r="AE80" s="66">
        <f>0</f>
        <v>0</v>
      </c>
      <c r="AF80" s="67">
        <f t="shared" si="41"/>
        <v>16012000</v>
      </c>
      <c r="AG80" s="67">
        <f>1</f>
        <v>1</v>
      </c>
      <c r="AH80" s="67">
        <f t="shared" si="42"/>
        <v>16012000</v>
      </c>
      <c r="AI80" s="67">
        <f t="shared" si="43"/>
        <v>39.975924268290193</v>
      </c>
      <c r="AJ80" s="67">
        <f t="shared" si="44"/>
        <v>0</v>
      </c>
      <c r="AK80" s="66">
        <f t="shared" si="54"/>
        <v>-5.8117647058823496E-2</v>
      </c>
    </row>
    <row r="81" spans="1:37" ht="12.75" customHeight="1" x14ac:dyDescent="0.25">
      <c r="A81" s="55" t="s">
        <v>595</v>
      </c>
      <c r="B81" s="55" t="s">
        <v>376</v>
      </c>
      <c r="C81" s="55" t="s">
        <v>386</v>
      </c>
      <c r="D81" s="128">
        <v>2017</v>
      </c>
      <c r="E81" s="55" t="s">
        <v>675</v>
      </c>
      <c r="F81" s="57">
        <f>SIM_Parametres!$C$23</f>
        <v>1269170000</v>
      </c>
      <c r="G81" s="129">
        <f>SIM_Districts!D10*(1+SIM_Parametres!$B$6)^(2017-2023)</f>
        <v>512094.82346584083</v>
      </c>
      <c r="H81" s="129">
        <f>MAX(0,MIN(100,SIM_Districts!F10+(2017-2022)*SIM_Parametres!$B$7))</f>
        <v>13.45</v>
      </c>
      <c r="I81" s="129">
        <f>SIM_Districts!G10*(1+SIM_Parametres!$B$8)^(2017-2023)</f>
        <v>57.981957027848154</v>
      </c>
      <c r="J81" s="129">
        <f>SIM_Districts!H10*(1+SIM_Parametres!$B$9)^(2017-2023)</f>
        <v>19.569434800852772</v>
      </c>
      <c r="K81" s="129">
        <f>MAX(0,MIN(100,SIM_Districts!I10+(2017-2023)*SIM_Parametres!$B$10))</f>
        <v>86.9</v>
      </c>
      <c r="L81" s="129">
        <f>SIM_Districts!E10</f>
        <v>22</v>
      </c>
      <c r="M81" s="68">
        <f t="shared" si="27"/>
        <v>23277.037430265493</v>
      </c>
      <c r="N81" s="129">
        <f>SIM_Districts!J10</f>
        <v>73189</v>
      </c>
      <c r="O81" s="56">
        <v>23130000</v>
      </c>
      <c r="P81" s="130">
        <f>SIM_Parametres!$D$23</f>
        <v>0</v>
      </c>
      <c r="Q81" s="130">
        <f>SIM_Parametres!$B$12</f>
        <v>0.2</v>
      </c>
      <c r="R81" s="59">
        <f t="shared" si="45"/>
        <v>3.3733582222779307E-2</v>
      </c>
      <c r="S81" s="59">
        <f t="shared" si="46"/>
        <v>0</v>
      </c>
      <c r="T81" s="59">
        <f t="shared" si="47"/>
        <v>0.50276243093922657</v>
      </c>
      <c r="U81" s="59">
        <f t="shared" si="48"/>
        <v>0.1074031899755666</v>
      </c>
      <c r="V81" s="59">
        <f t="shared" si="49"/>
        <v>9.5544805280436421E-2</v>
      </c>
      <c r="W81" s="59">
        <f t="shared" si="50"/>
        <v>0</v>
      </c>
      <c r="X81" s="59">
        <f t="shared" si="51"/>
        <v>9.9491608812113941E-3</v>
      </c>
      <c r="Y81" s="59">
        <f t="shared" si="52"/>
        <v>2.7441202998738055E-3</v>
      </c>
      <c r="Z81" s="59">
        <f t="shared" si="53"/>
        <v>3.506814418545408E-3</v>
      </c>
      <c r="AA81" s="59">
        <f t="shared" si="37"/>
        <v>2.204507020177025E-2</v>
      </c>
      <c r="AB81" s="59">
        <f t="shared" si="38"/>
        <v>1.8224508931033667E-2</v>
      </c>
      <c r="AC81" s="60">
        <f t="shared" si="39"/>
        <v>25958280.158947978</v>
      </c>
      <c r="AD81" s="60">
        <f t="shared" si="40"/>
        <v>23130000</v>
      </c>
      <c r="AE81" s="59">
        <f>0</f>
        <v>0</v>
      </c>
      <c r="AF81" s="60">
        <f t="shared" si="41"/>
        <v>23130000</v>
      </c>
      <c r="AG81" s="60">
        <f>1</f>
        <v>1</v>
      </c>
      <c r="AH81" s="60">
        <f t="shared" si="42"/>
        <v>23130000</v>
      </c>
      <c r="AI81" s="60">
        <f t="shared" si="43"/>
        <v>45.167416150502994</v>
      </c>
      <c r="AJ81" s="60">
        <f t="shared" si="44"/>
        <v>0</v>
      </c>
      <c r="AK81" s="59">
        <f t="shared" si="54"/>
        <v>-6.7338709677419395E-2</v>
      </c>
    </row>
    <row r="82" spans="1:37" ht="12.75" customHeight="1" x14ac:dyDescent="0.25">
      <c r="A82" s="62" t="s">
        <v>596</v>
      </c>
      <c r="B82" s="62" t="s">
        <v>376</v>
      </c>
      <c r="C82" s="62" t="s">
        <v>387</v>
      </c>
      <c r="D82" s="124">
        <v>2017</v>
      </c>
      <c r="E82" s="62" t="s">
        <v>675</v>
      </c>
      <c r="F82" s="64">
        <f>SIM_Parametres!$C$23</f>
        <v>1269170000</v>
      </c>
      <c r="G82" s="125">
        <f>SIM_Districts!D11*(1+SIM_Parametres!$B$6)^(2017-2023)</f>
        <v>246765.57371609547</v>
      </c>
      <c r="H82" s="125">
        <f>MAX(0,MIN(100,SIM_Districts!F11+(2017-2022)*SIM_Parametres!$B$7))</f>
        <v>13.45</v>
      </c>
      <c r="I82" s="125">
        <f>SIM_Districts!G11*(1+SIM_Parametres!$B$8)^(2017-2023)</f>
        <v>57.981957027848154</v>
      </c>
      <c r="J82" s="125">
        <f>SIM_Districts!H11*(1+SIM_Parametres!$B$9)^(2017-2023)</f>
        <v>19.569434800852772</v>
      </c>
      <c r="K82" s="125">
        <f>MAX(0,MIN(100,SIM_Districts!I11+(2017-2023)*SIM_Parametres!$B$10))</f>
        <v>86.9</v>
      </c>
      <c r="L82" s="125">
        <f>SIM_Districts!E11</f>
        <v>34</v>
      </c>
      <c r="M82" s="61">
        <f t="shared" si="27"/>
        <v>7257.810991649867</v>
      </c>
      <c r="N82" s="125">
        <f>SIM_Districts!J11</f>
        <v>73189</v>
      </c>
      <c r="O82" s="63">
        <v>16085000</v>
      </c>
      <c r="P82" s="126">
        <f>SIM_Parametres!$D$23</f>
        <v>0</v>
      </c>
      <c r="Q82" s="126">
        <f>SIM_Parametres!$B$12</f>
        <v>0.2</v>
      </c>
      <c r="R82" s="66">
        <f t="shared" si="45"/>
        <v>1.6255362072134839E-2</v>
      </c>
      <c r="S82" s="66">
        <f t="shared" si="46"/>
        <v>0</v>
      </c>
      <c r="T82" s="66">
        <f t="shared" si="47"/>
        <v>0.50276243093922657</v>
      </c>
      <c r="U82" s="66">
        <f t="shared" si="48"/>
        <v>0.37834067197086158</v>
      </c>
      <c r="V82" s="66">
        <f t="shared" si="49"/>
        <v>9.5544805280436421E-2</v>
      </c>
      <c r="W82" s="66">
        <f t="shared" si="50"/>
        <v>0</v>
      </c>
      <c r="X82" s="66">
        <f t="shared" si="51"/>
        <v>9.9491608812113941E-3</v>
      </c>
      <c r="Y82" s="66">
        <f t="shared" si="52"/>
        <v>9.6664942490006407E-3</v>
      </c>
      <c r="Z82" s="66">
        <f t="shared" si="53"/>
        <v>3.506814418545408E-3</v>
      </c>
      <c r="AA82" s="66">
        <f t="shared" si="37"/>
        <v>1.1904256808839914E-2</v>
      </c>
      <c r="AB82" s="66">
        <f t="shared" si="38"/>
        <v>1.2673637101412734E-2</v>
      </c>
      <c r="AC82" s="67">
        <f t="shared" si="39"/>
        <v>15661947.251823664</v>
      </c>
      <c r="AD82" s="67">
        <f t="shared" si="40"/>
        <v>16085000</v>
      </c>
      <c r="AE82" s="66">
        <f>0</f>
        <v>0</v>
      </c>
      <c r="AF82" s="67">
        <f t="shared" si="41"/>
        <v>16085000</v>
      </c>
      <c r="AG82" s="67">
        <f>1</f>
        <v>1</v>
      </c>
      <c r="AH82" s="67">
        <f t="shared" si="42"/>
        <v>16085000</v>
      </c>
      <c r="AI82" s="67">
        <f t="shared" si="43"/>
        <v>65.183322607657743</v>
      </c>
      <c r="AJ82" s="67">
        <f t="shared" si="44"/>
        <v>0</v>
      </c>
      <c r="AK82" s="66">
        <f t="shared" si="54"/>
        <v>-5.8255269320843128E-2</v>
      </c>
    </row>
    <row r="83" spans="1:37" ht="12.75" customHeight="1" x14ac:dyDescent="0.25">
      <c r="A83" s="55" t="s">
        <v>597</v>
      </c>
      <c r="B83" s="55" t="s">
        <v>376</v>
      </c>
      <c r="C83" s="55" t="s">
        <v>388</v>
      </c>
      <c r="D83" s="128">
        <v>2017</v>
      </c>
      <c r="E83" s="55" t="s">
        <v>675</v>
      </c>
      <c r="F83" s="57">
        <f>SIM_Parametres!$C$23</f>
        <v>1269170000</v>
      </c>
      <c r="G83" s="129">
        <f>SIM_Districts!D12*(1+SIM_Parametres!$B$6)^(2017-2023)</f>
        <v>383810.65999555198</v>
      </c>
      <c r="H83" s="129">
        <f>MAX(0,MIN(100,SIM_Districts!F12+(2017-2022)*SIM_Parametres!$B$7))</f>
        <v>13.45</v>
      </c>
      <c r="I83" s="129">
        <f>SIM_Districts!G12*(1+SIM_Parametres!$B$8)^(2017-2023)</f>
        <v>57.981957027848154</v>
      </c>
      <c r="J83" s="129">
        <f>SIM_Districts!H12*(1+SIM_Parametres!$B$9)^(2017-2023)</f>
        <v>19.569434800852772</v>
      </c>
      <c r="K83" s="129">
        <f>MAX(0,MIN(100,SIM_Districts!I12+(2017-2023)*SIM_Parametres!$B$10))</f>
        <v>86.9</v>
      </c>
      <c r="L83" s="129">
        <f>SIM_Districts!E12</f>
        <v>18</v>
      </c>
      <c r="M83" s="68">
        <f t="shared" si="27"/>
        <v>21322.814444197331</v>
      </c>
      <c r="N83" s="129">
        <f>SIM_Districts!J12</f>
        <v>73189</v>
      </c>
      <c r="O83" s="56">
        <v>22400000</v>
      </c>
      <c r="P83" s="130">
        <f>SIM_Parametres!$D$23</f>
        <v>0</v>
      </c>
      <c r="Q83" s="130">
        <f>SIM_Parametres!$B$12</f>
        <v>0.2</v>
      </c>
      <c r="R83" s="59">
        <f t="shared" si="45"/>
        <v>2.5283029360289543E-2</v>
      </c>
      <c r="S83" s="59">
        <f t="shared" si="46"/>
        <v>0</v>
      </c>
      <c r="T83" s="59">
        <f t="shared" si="47"/>
        <v>0.50276243093922657</v>
      </c>
      <c r="U83" s="59">
        <f t="shared" si="48"/>
        <v>0.14026621640536649</v>
      </c>
      <c r="V83" s="59">
        <f t="shared" si="49"/>
        <v>9.5544805280436421E-2</v>
      </c>
      <c r="W83" s="59">
        <f t="shared" si="50"/>
        <v>0</v>
      </c>
      <c r="X83" s="59">
        <f t="shared" si="51"/>
        <v>9.9491608812113941E-3</v>
      </c>
      <c r="Y83" s="59">
        <f t="shared" si="52"/>
        <v>3.5837610774132676E-3</v>
      </c>
      <c r="Z83" s="59">
        <f t="shared" si="53"/>
        <v>3.506814418545408E-3</v>
      </c>
      <c r="AA83" s="59">
        <f t="shared" si="37"/>
        <v>1.7016720523153363E-2</v>
      </c>
      <c r="AB83" s="59">
        <f t="shared" si="38"/>
        <v>1.7649329877006233E-2</v>
      </c>
      <c r="AC83" s="60">
        <f t="shared" si="39"/>
        <v>20852815.709659826</v>
      </c>
      <c r="AD83" s="60">
        <f t="shared" si="40"/>
        <v>22400000</v>
      </c>
      <c r="AE83" s="59">
        <f>0</f>
        <v>0</v>
      </c>
      <c r="AF83" s="60">
        <f t="shared" si="41"/>
        <v>22400000</v>
      </c>
      <c r="AG83" s="60">
        <f>1</f>
        <v>1</v>
      </c>
      <c r="AH83" s="60">
        <f t="shared" si="42"/>
        <v>22400000</v>
      </c>
      <c r="AI83" s="60">
        <f t="shared" si="43"/>
        <v>58.362110109864055</v>
      </c>
      <c r="AJ83" s="60">
        <f t="shared" si="44"/>
        <v>0</v>
      </c>
      <c r="AK83" s="59">
        <f t="shared" si="54"/>
        <v>-6.6666666666666652E-2</v>
      </c>
    </row>
    <row r="84" spans="1:37" ht="12.75" customHeight="1" x14ac:dyDescent="0.25">
      <c r="A84" s="62" t="s">
        <v>598</v>
      </c>
      <c r="B84" s="62" t="s">
        <v>376</v>
      </c>
      <c r="C84" s="62" t="s">
        <v>389</v>
      </c>
      <c r="D84" s="124">
        <v>2017</v>
      </c>
      <c r="E84" s="62" t="s">
        <v>675</v>
      </c>
      <c r="F84" s="64">
        <f>SIM_Parametres!$C$23</f>
        <v>1269170000</v>
      </c>
      <c r="G84" s="125">
        <f>SIM_Districts!D13*(1+SIM_Parametres!$B$6)^(2017-2023)</f>
        <v>421136.49583168578</v>
      </c>
      <c r="H84" s="125">
        <f>MAX(0,MIN(100,SIM_Districts!F13+(2017-2022)*SIM_Parametres!$B$7))</f>
        <v>13.45</v>
      </c>
      <c r="I84" s="125">
        <f>SIM_Districts!G13*(1+SIM_Parametres!$B$8)^(2017-2023)</f>
        <v>57.981957027848154</v>
      </c>
      <c r="J84" s="125">
        <f>SIM_Districts!H13*(1+SIM_Parametres!$B$9)^(2017-2023)</f>
        <v>19.569434800852772</v>
      </c>
      <c r="K84" s="125">
        <f>MAX(0,MIN(100,SIM_Districts!I13+(2017-2023)*SIM_Parametres!$B$10))</f>
        <v>86.9</v>
      </c>
      <c r="L84" s="125">
        <f>SIM_Districts!E13</f>
        <v>203</v>
      </c>
      <c r="M84" s="61">
        <f t="shared" si="27"/>
        <v>2074.5640188752996</v>
      </c>
      <c r="N84" s="125">
        <f>SIM_Districts!J13</f>
        <v>73189</v>
      </c>
      <c r="O84" s="63">
        <v>25456000</v>
      </c>
      <c r="P84" s="126">
        <f>SIM_Parametres!$D$23</f>
        <v>0</v>
      </c>
      <c r="Q84" s="126">
        <f>SIM_Parametres!$B$12</f>
        <v>0.2</v>
      </c>
      <c r="R84" s="66">
        <f t="shared" si="45"/>
        <v>2.7741820378113943E-2</v>
      </c>
      <c r="S84" s="66">
        <f t="shared" si="46"/>
        <v>0</v>
      </c>
      <c r="T84" s="66">
        <f t="shared" si="47"/>
        <v>0.50276243093922657</v>
      </c>
      <c r="U84" s="66">
        <f t="shared" si="48"/>
        <v>0.47172605328939682</v>
      </c>
      <c r="V84" s="66">
        <f t="shared" si="49"/>
        <v>9.5544805280436421E-2</v>
      </c>
      <c r="W84" s="66">
        <f t="shared" si="50"/>
        <v>0</v>
      </c>
      <c r="X84" s="66">
        <f t="shared" si="51"/>
        <v>9.9491608812113941E-3</v>
      </c>
      <c r="Y84" s="66">
        <f t="shared" si="52"/>
        <v>1.2052463610301233E-2</v>
      </c>
      <c r="Z84" s="66">
        <f t="shared" si="53"/>
        <v>3.506814418545408E-3</v>
      </c>
      <c r="AA84" s="66">
        <f t="shared" si="37"/>
        <v>1.8915430260492402E-2</v>
      </c>
      <c r="AB84" s="66">
        <f t="shared" si="38"/>
        <v>2.0057202738797797E-2</v>
      </c>
      <c r="AC84" s="67">
        <f t="shared" si="39"/>
        <v>22780644.059530694</v>
      </c>
      <c r="AD84" s="67">
        <f t="shared" si="40"/>
        <v>25456000</v>
      </c>
      <c r="AE84" s="66">
        <f>0</f>
        <v>0</v>
      </c>
      <c r="AF84" s="67">
        <f t="shared" si="41"/>
        <v>25456000</v>
      </c>
      <c r="AG84" s="67">
        <f>1</f>
        <v>1</v>
      </c>
      <c r="AH84" s="67">
        <f t="shared" si="42"/>
        <v>25456000</v>
      </c>
      <c r="AI84" s="67">
        <f t="shared" si="43"/>
        <v>60.445960518638863</v>
      </c>
      <c r="AJ84" s="67">
        <f t="shared" si="44"/>
        <v>0</v>
      </c>
      <c r="AK84" s="66">
        <f t="shared" si="54"/>
        <v>-6.9250457038391278E-2</v>
      </c>
    </row>
    <row r="85" spans="1:37" ht="12.75" customHeight="1" x14ac:dyDescent="0.25">
      <c r="A85" s="55" t="s">
        <v>599</v>
      </c>
      <c r="B85" s="55" t="s">
        <v>390</v>
      </c>
      <c r="C85" s="55" t="s">
        <v>392</v>
      </c>
      <c r="D85" s="128">
        <v>2017</v>
      </c>
      <c r="E85" s="55" t="s">
        <v>675</v>
      </c>
      <c r="F85" s="57">
        <f>SIM_Parametres!$C$23</f>
        <v>1269170000</v>
      </c>
      <c r="G85" s="129">
        <f>SIM_Districts!D14*(1+SIM_Parametres!$B$6)^(2017-2023)</f>
        <v>726977.37152998953</v>
      </c>
      <c r="H85" s="129">
        <f>MAX(0,MIN(100,SIM_Districts!F14+(2017-2022)*SIM_Parametres!$B$7))</f>
        <v>41.55</v>
      </c>
      <c r="I85" s="129">
        <f>SIM_Districts!G14*(1+SIM_Parametres!$B$8)^(2017-2023)</f>
        <v>57.981957027848154</v>
      </c>
      <c r="J85" s="129">
        <f>SIM_Districts!H14*(1+SIM_Parametres!$B$9)^(2017-2023)</f>
        <v>32.929337405281103</v>
      </c>
      <c r="K85" s="129">
        <f>MAX(0,MIN(100,SIM_Districts!I14+(2017-2023)*SIM_Parametres!$B$10))</f>
        <v>82.2</v>
      </c>
      <c r="L85" s="129">
        <f>SIM_Districts!E14</f>
        <v>1335</v>
      </c>
      <c r="M85" s="68">
        <f t="shared" si="27"/>
        <v>544.55233822471121</v>
      </c>
      <c r="N85" s="129">
        <f>SIM_Districts!J14</f>
        <v>203502</v>
      </c>
      <c r="O85" s="56">
        <v>16966000</v>
      </c>
      <c r="P85" s="130">
        <f>SIM_Parametres!$D$23</f>
        <v>0</v>
      </c>
      <c r="Q85" s="130">
        <f>SIM_Parametres!$B$12</f>
        <v>0.2</v>
      </c>
      <c r="R85" s="59">
        <f t="shared" si="45"/>
        <v>4.7888691337733699E-2</v>
      </c>
      <c r="S85" s="59">
        <f t="shared" si="46"/>
        <v>0.49822695035460984</v>
      </c>
      <c r="T85" s="59">
        <f t="shared" si="47"/>
        <v>0.69889502762430933</v>
      </c>
      <c r="U85" s="59">
        <f t="shared" si="48"/>
        <v>0.53677681892865114</v>
      </c>
      <c r="V85" s="59">
        <f t="shared" si="49"/>
        <v>1</v>
      </c>
      <c r="W85" s="59">
        <f t="shared" si="50"/>
        <v>1.1879095328683148E-2</v>
      </c>
      <c r="X85" s="59">
        <f t="shared" si="51"/>
        <v>1.3830426939266385E-2</v>
      </c>
      <c r="Y85" s="59">
        <f t="shared" si="52"/>
        <v>1.3714491773092488E-2</v>
      </c>
      <c r="Z85" s="59">
        <f t="shared" si="53"/>
        <v>3.6703349891733537E-2</v>
      </c>
      <c r="AA85" s="59">
        <f t="shared" si="37"/>
        <v>3.5110535226073949E-2</v>
      </c>
      <c r="AB85" s="59">
        <f t="shared" si="38"/>
        <v>1.3367791548807488E-2</v>
      </c>
      <c r="AC85" s="60">
        <f t="shared" si="39"/>
        <v>39224117.154864401</v>
      </c>
      <c r="AD85" s="60">
        <f t="shared" si="40"/>
        <v>16966000</v>
      </c>
      <c r="AE85" s="59">
        <f>0</f>
        <v>0</v>
      </c>
      <c r="AF85" s="60">
        <f t="shared" si="41"/>
        <v>16966000</v>
      </c>
      <c r="AG85" s="60">
        <f>1</f>
        <v>1</v>
      </c>
      <c r="AH85" s="60">
        <f t="shared" si="42"/>
        <v>16966000</v>
      </c>
      <c r="AI85" s="60">
        <f t="shared" si="43"/>
        <v>23.337727781393692</v>
      </c>
      <c r="AJ85" s="60">
        <f t="shared" si="44"/>
        <v>0</v>
      </c>
      <c r="AK85" s="59">
        <f t="shared" si="54"/>
        <v>9.4395280235981538E-4</v>
      </c>
    </row>
    <row r="86" spans="1:37" ht="12.75" customHeight="1" x14ac:dyDescent="0.25">
      <c r="A86" s="62" t="s">
        <v>601</v>
      </c>
      <c r="B86" s="62" t="s">
        <v>390</v>
      </c>
      <c r="C86" s="62" t="s">
        <v>390</v>
      </c>
      <c r="D86" s="124">
        <v>2017</v>
      </c>
      <c r="E86" s="62" t="s">
        <v>675</v>
      </c>
      <c r="F86" s="64">
        <f>SIM_Parametres!$C$23</f>
        <v>1269170000</v>
      </c>
      <c r="G86" s="125">
        <f>SIM_Districts!D15*(1+SIM_Parametres!$B$6)^(2017-2023)</f>
        <v>651089.57309485693</v>
      </c>
      <c r="H86" s="125">
        <f>MAX(0,MIN(100,SIM_Districts!F15+(2017-2022)*SIM_Parametres!$B$7))</f>
        <v>41.55</v>
      </c>
      <c r="I86" s="125">
        <f>SIM_Districts!G15*(1+SIM_Parametres!$B$8)^(2017-2023)</f>
        <v>57.981957027848154</v>
      </c>
      <c r="J86" s="125">
        <f>SIM_Districts!H15*(1+SIM_Parametres!$B$9)^(2017-2023)</f>
        <v>32.929337405281103</v>
      </c>
      <c r="K86" s="125">
        <f>MAX(0,MIN(100,SIM_Districts!I15+(2017-2023)*SIM_Parametres!$B$10))</f>
        <v>82.2</v>
      </c>
      <c r="L86" s="125">
        <f>SIM_Districts!E15</f>
        <v>1292</v>
      </c>
      <c r="M86" s="61">
        <f t="shared" si="27"/>
        <v>503.93929806103478</v>
      </c>
      <c r="N86" s="125">
        <f>SIM_Districts!J15</f>
        <v>203502</v>
      </c>
      <c r="O86" s="63">
        <v>17879000</v>
      </c>
      <c r="P86" s="126">
        <f>SIM_Parametres!$D$23</f>
        <v>0</v>
      </c>
      <c r="Q86" s="126">
        <f>SIM_Parametres!$B$12</f>
        <v>0.2</v>
      </c>
      <c r="R86" s="66">
        <f t="shared" si="45"/>
        <v>4.288968105504528E-2</v>
      </c>
      <c r="S86" s="66">
        <f t="shared" si="46"/>
        <v>0.49822695035460984</v>
      </c>
      <c r="T86" s="66">
        <f t="shared" si="47"/>
        <v>0.69889502762430933</v>
      </c>
      <c r="U86" s="66">
        <f t="shared" si="48"/>
        <v>0.53597312572887268</v>
      </c>
      <c r="V86" s="66">
        <f t="shared" si="49"/>
        <v>1</v>
      </c>
      <c r="W86" s="66">
        <f t="shared" si="50"/>
        <v>1.1879095328683148E-2</v>
      </c>
      <c r="X86" s="66">
        <f t="shared" si="51"/>
        <v>1.3830426939266385E-2</v>
      </c>
      <c r="Y86" s="66">
        <f t="shared" si="52"/>
        <v>1.3693957645336279E-2</v>
      </c>
      <c r="Z86" s="66">
        <f t="shared" si="53"/>
        <v>3.6703349891733537E-2</v>
      </c>
      <c r="AA86" s="66">
        <f t="shared" si="37"/>
        <v>3.211010235007309E-2</v>
      </c>
      <c r="AB86" s="66">
        <f t="shared" si="38"/>
        <v>1.4087159324597965E-2</v>
      </c>
      <c r="AC86" s="67">
        <f t="shared" si="39"/>
        <v>36177669.640277192</v>
      </c>
      <c r="AD86" s="67">
        <f t="shared" si="40"/>
        <v>17879000</v>
      </c>
      <c r="AE86" s="66">
        <f>0</f>
        <v>0</v>
      </c>
      <c r="AF86" s="67">
        <f t="shared" si="41"/>
        <v>17879000</v>
      </c>
      <c r="AG86" s="67">
        <f>1</f>
        <v>1</v>
      </c>
      <c r="AH86" s="67">
        <f t="shared" si="42"/>
        <v>17879000</v>
      </c>
      <c r="AI86" s="67">
        <f t="shared" si="43"/>
        <v>27.460123366766339</v>
      </c>
      <c r="AJ86" s="67">
        <f t="shared" si="44"/>
        <v>0</v>
      </c>
      <c r="AK86" s="66">
        <f t="shared" si="54"/>
        <v>-3.955431754874672E-3</v>
      </c>
    </row>
    <row r="87" spans="1:37" ht="12.75" customHeight="1" x14ac:dyDescent="0.25">
      <c r="A87" s="55" t="s">
        <v>602</v>
      </c>
      <c r="B87" s="55" t="s">
        <v>390</v>
      </c>
      <c r="C87" s="55" t="s">
        <v>393</v>
      </c>
      <c r="D87" s="128">
        <v>2017</v>
      </c>
      <c r="E87" s="55" t="s">
        <v>675</v>
      </c>
      <c r="F87" s="57">
        <f>SIM_Parametres!$C$23</f>
        <v>1269170000</v>
      </c>
      <c r="G87" s="129">
        <f>SIM_Districts!D16*(1+SIM_Parametres!$B$6)^(2017-2023)</f>
        <v>364179.19153463043</v>
      </c>
      <c r="H87" s="129">
        <f>MAX(0,MIN(100,SIM_Districts!F16+(2017-2022)*SIM_Parametres!$B$7))</f>
        <v>41.55</v>
      </c>
      <c r="I87" s="129">
        <f>SIM_Districts!G16*(1+SIM_Parametres!$B$8)^(2017-2023)</f>
        <v>57.981957027848154</v>
      </c>
      <c r="J87" s="129">
        <f>SIM_Districts!H16*(1+SIM_Parametres!$B$9)^(2017-2023)</f>
        <v>32.929337405281103</v>
      </c>
      <c r="K87" s="129">
        <f>MAX(0,MIN(100,SIM_Districts!I16+(2017-2023)*SIM_Parametres!$B$10))</f>
        <v>82.2</v>
      </c>
      <c r="L87" s="129">
        <f>SIM_Districts!E16</f>
        <v>1729</v>
      </c>
      <c r="M87" s="68">
        <f t="shared" si="27"/>
        <v>210.62995461806273</v>
      </c>
      <c r="N87" s="129">
        <f>SIM_Districts!J16</f>
        <v>203502</v>
      </c>
      <c r="O87" s="56">
        <v>15600000</v>
      </c>
      <c r="P87" s="130">
        <f>SIM_Parametres!$D$23</f>
        <v>0</v>
      </c>
      <c r="Q87" s="130">
        <f>SIM_Parametres!$B$12</f>
        <v>0.2</v>
      </c>
      <c r="R87" s="59">
        <f t="shared" si="45"/>
        <v>2.3989831840739592E-2</v>
      </c>
      <c r="S87" s="59">
        <f t="shared" si="46"/>
        <v>0.49822695035460984</v>
      </c>
      <c r="T87" s="59">
        <f t="shared" si="47"/>
        <v>0.69889502762430933</v>
      </c>
      <c r="U87" s="59">
        <f t="shared" si="48"/>
        <v>0.55606420327741424</v>
      </c>
      <c r="V87" s="59">
        <f t="shared" si="49"/>
        <v>1</v>
      </c>
      <c r="W87" s="59">
        <f t="shared" si="50"/>
        <v>1.1879095328683148E-2</v>
      </c>
      <c r="X87" s="59">
        <f t="shared" si="51"/>
        <v>1.3830426939266385E-2</v>
      </c>
      <c r="Y87" s="59">
        <f t="shared" si="52"/>
        <v>1.4207278839612111E-2</v>
      </c>
      <c r="Z87" s="59">
        <f t="shared" si="53"/>
        <v>3.6703349891733537E-2</v>
      </c>
      <c r="AA87" s="59">
        <f t="shared" si="37"/>
        <v>2.0795858881203468E-2</v>
      </c>
      <c r="AB87" s="59">
        <f t="shared" si="38"/>
        <v>1.2291497592915054E-2</v>
      </c>
      <c r="AC87" s="60">
        <f t="shared" si="39"/>
        <v>24689910.933568984</v>
      </c>
      <c r="AD87" s="60">
        <f t="shared" si="40"/>
        <v>15600000</v>
      </c>
      <c r="AE87" s="59">
        <f>0</f>
        <v>0</v>
      </c>
      <c r="AF87" s="60">
        <f t="shared" si="41"/>
        <v>15600000</v>
      </c>
      <c r="AG87" s="60">
        <f>1</f>
        <v>1</v>
      </c>
      <c r="AH87" s="60">
        <f t="shared" si="42"/>
        <v>15600000</v>
      </c>
      <c r="AI87" s="60">
        <f t="shared" si="43"/>
        <v>42.836055333811046</v>
      </c>
      <c r="AJ87" s="60">
        <f t="shared" si="44"/>
        <v>0</v>
      </c>
      <c r="AK87" s="59">
        <f t="shared" si="54"/>
        <v>9.7087378640776656E-3</v>
      </c>
    </row>
    <row r="88" spans="1:37" ht="12.75" customHeight="1" x14ac:dyDescent="0.25">
      <c r="A88" s="62" t="s">
        <v>603</v>
      </c>
      <c r="B88" s="62" t="s">
        <v>394</v>
      </c>
      <c r="C88" s="62" t="s">
        <v>396</v>
      </c>
      <c r="D88" s="124">
        <v>2017</v>
      </c>
      <c r="E88" s="62" t="s">
        <v>675</v>
      </c>
      <c r="F88" s="64">
        <f>SIM_Parametres!$C$23</f>
        <v>1269170000</v>
      </c>
      <c r="G88" s="125">
        <f>SIM_Districts!D17*(1+SIM_Parametres!$B$6)^(2017-2023)</f>
        <v>80701.657942550315</v>
      </c>
      <c r="H88" s="125">
        <f>MAX(0,MIN(100,SIM_Districts!F17+(2017-2022)*SIM_Parametres!$B$7))</f>
        <v>50.65</v>
      </c>
      <c r="I88" s="125">
        <f>SIM_Districts!G17*(1+SIM_Parametres!$B$8)^(2017-2023)</f>
        <v>57.981957027848154</v>
      </c>
      <c r="J88" s="125">
        <f>SIM_Districts!H17*(1+SIM_Parametres!$B$9)^(2017-2023)</f>
        <v>29.918655128226831</v>
      </c>
      <c r="K88" s="125">
        <f>MAX(0,MIN(100,SIM_Districts!I17+(2017-2023)*SIM_Parametres!$B$10))</f>
        <v>79.5</v>
      </c>
      <c r="L88" s="125">
        <f>SIM_Districts!E17</f>
        <v>978</v>
      </c>
      <c r="M88" s="61">
        <f t="shared" si="27"/>
        <v>82.51703266109439</v>
      </c>
      <c r="N88" s="125">
        <f>SIM_Districts!J17</f>
        <v>95110</v>
      </c>
      <c r="O88" s="63">
        <v>14920000</v>
      </c>
      <c r="P88" s="126">
        <f>SIM_Parametres!$D$23</f>
        <v>0</v>
      </c>
      <c r="Q88" s="126">
        <f>SIM_Parametres!$B$12</f>
        <v>0.2</v>
      </c>
      <c r="R88" s="66">
        <f t="shared" si="45"/>
        <v>5.3161170333549087E-3</v>
      </c>
      <c r="S88" s="66">
        <f t="shared" si="46"/>
        <v>0.65957446808510634</v>
      </c>
      <c r="T88" s="66">
        <f t="shared" si="47"/>
        <v>0.65469613259668513</v>
      </c>
      <c r="U88" s="66">
        <f t="shared" si="48"/>
        <v>0.53221272247018292</v>
      </c>
      <c r="V88" s="66">
        <f t="shared" si="49"/>
        <v>0.24769050312675686</v>
      </c>
      <c r="W88" s="66">
        <f t="shared" si="50"/>
        <v>1.5726062143310078E-2</v>
      </c>
      <c r="X88" s="66">
        <f t="shared" si="51"/>
        <v>1.2955775433225826E-2</v>
      </c>
      <c r="Y88" s="66">
        <f t="shared" si="52"/>
        <v>1.3597880434592077E-2</v>
      </c>
      <c r="Z88" s="66">
        <f t="shared" si="53"/>
        <v>9.0910712011208778E-3</v>
      </c>
      <c r="AA88" s="66">
        <f t="shared" si="37"/>
        <v>8.6263934382789786E-3</v>
      </c>
      <c r="AB88" s="66">
        <f t="shared" si="38"/>
        <v>1.1755714364505936E-2</v>
      </c>
      <c r="AC88" s="67">
        <f t="shared" si="39"/>
        <v>12333814.568611806</v>
      </c>
      <c r="AD88" s="67">
        <f t="shared" si="40"/>
        <v>14920000</v>
      </c>
      <c r="AE88" s="66">
        <f>0</f>
        <v>0</v>
      </c>
      <c r="AF88" s="67">
        <f t="shared" si="41"/>
        <v>14920000</v>
      </c>
      <c r="AG88" s="67">
        <f>1</f>
        <v>1</v>
      </c>
      <c r="AH88" s="67">
        <f t="shared" si="42"/>
        <v>14920000</v>
      </c>
      <c r="AI88" s="67">
        <f t="shared" si="43"/>
        <v>184.87848181038871</v>
      </c>
      <c r="AJ88" s="67">
        <f t="shared" si="44"/>
        <v>0</v>
      </c>
      <c r="AK88" s="66">
        <f t="shared" si="54"/>
        <v>-5.5696202531645533E-2</v>
      </c>
    </row>
    <row r="89" spans="1:37" ht="12.75" customHeight="1" x14ac:dyDescent="0.25">
      <c r="A89" s="55" t="s">
        <v>605</v>
      </c>
      <c r="B89" s="55" t="s">
        <v>394</v>
      </c>
      <c r="C89" s="55" t="s">
        <v>394</v>
      </c>
      <c r="D89" s="128">
        <v>2017</v>
      </c>
      <c r="E89" s="55" t="s">
        <v>675</v>
      </c>
      <c r="F89" s="57">
        <f>SIM_Parametres!$C$23</f>
        <v>1269170000</v>
      </c>
      <c r="G89" s="129">
        <f>SIM_Districts!D18*(1+SIM_Parametres!$B$6)^(2017-2023)</f>
        <v>197272.76659886155</v>
      </c>
      <c r="H89" s="129">
        <f>MAX(0,MIN(100,SIM_Districts!F18+(2017-2022)*SIM_Parametres!$B$7))</f>
        <v>50.65</v>
      </c>
      <c r="I89" s="129">
        <f>SIM_Districts!G18*(1+SIM_Parametres!$B$8)^(2017-2023)</f>
        <v>57.981957027848154</v>
      </c>
      <c r="J89" s="129">
        <f>SIM_Districts!H18*(1+SIM_Parametres!$B$9)^(2017-2023)</f>
        <v>29.918655128226831</v>
      </c>
      <c r="K89" s="129">
        <f>MAX(0,MIN(100,SIM_Districts!I18+(2017-2023)*SIM_Parametres!$B$10))</f>
        <v>79.5</v>
      </c>
      <c r="L89" s="129">
        <f>SIM_Districts!E18</f>
        <v>1155</v>
      </c>
      <c r="M89" s="68">
        <f t="shared" si="27"/>
        <v>170.79893212022645</v>
      </c>
      <c r="N89" s="129">
        <f>SIM_Districts!J18</f>
        <v>95110</v>
      </c>
      <c r="O89" s="56">
        <v>17380000</v>
      </c>
      <c r="P89" s="130">
        <f>SIM_Parametres!$D$23</f>
        <v>0</v>
      </c>
      <c r="Q89" s="130">
        <f>SIM_Parametres!$B$12</f>
        <v>0.2</v>
      </c>
      <c r="R89" s="59">
        <f t="shared" si="45"/>
        <v>1.2995087603774125E-2</v>
      </c>
      <c r="S89" s="59">
        <f t="shared" si="46"/>
        <v>0.65957446808510634</v>
      </c>
      <c r="T89" s="59">
        <f t="shared" si="47"/>
        <v>0.65469613259668513</v>
      </c>
      <c r="U89" s="59">
        <f t="shared" si="48"/>
        <v>0.53685323433738241</v>
      </c>
      <c r="V89" s="59">
        <f t="shared" si="49"/>
        <v>0.24769050312675686</v>
      </c>
      <c r="W89" s="59">
        <f t="shared" si="50"/>
        <v>1.5726062143310078E-2</v>
      </c>
      <c r="X89" s="59">
        <f t="shared" si="51"/>
        <v>1.2955775433225826E-2</v>
      </c>
      <c r="Y89" s="59">
        <f t="shared" si="52"/>
        <v>1.3716444164584495E-2</v>
      </c>
      <c r="Z89" s="59">
        <f t="shared" si="53"/>
        <v>9.0910712011208778E-3</v>
      </c>
      <c r="AA89" s="59">
        <f t="shared" si="37"/>
        <v>1.3239703967030128E-2</v>
      </c>
      <c r="AB89" s="59">
        <f t="shared" si="38"/>
        <v>1.3693988984927158E-2</v>
      </c>
      <c r="AC89" s="60">
        <f t="shared" si="39"/>
        <v>17017874.827631883</v>
      </c>
      <c r="AD89" s="60">
        <f t="shared" si="40"/>
        <v>17380000</v>
      </c>
      <c r="AE89" s="59">
        <f>0</f>
        <v>0</v>
      </c>
      <c r="AF89" s="60">
        <f t="shared" si="41"/>
        <v>17380000</v>
      </c>
      <c r="AG89" s="60">
        <f>1</f>
        <v>1</v>
      </c>
      <c r="AH89" s="60">
        <f t="shared" si="42"/>
        <v>17380000</v>
      </c>
      <c r="AI89" s="60">
        <f t="shared" si="43"/>
        <v>88.101364925554293</v>
      </c>
      <c r="AJ89" s="60">
        <f t="shared" si="44"/>
        <v>0</v>
      </c>
      <c r="AK89" s="59">
        <f t="shared" si="54"/>
        <v>-1.1494252873562871E-3</v>
      </c>
    </row>
    <row r="90" spans="1:37" ht="12.75" customHeight="1" x14ac:dyDescent="0.25">
      <c r="A90" s="62" t="s">
        <v>606</v>
      </c>
      <c r="B90" s="62" t="s">
        <v>394</v>
      </c>
      <c r="C90" s="62" t="s">
        <v>397</v>
      </c>
      <c r="D90" s="124">
        <v>2017</v>
      </c>
      <c r="E90" s="62" t="s">
        <v>675</v>
      </c>
      <c r="F90" s="64">
        <f>SIM_Parametres!$C$23</f>
        <v>1269170000</v>
      </c>
      <c r="G90" s="125">
        <f>SIM_Districts!D19*(1+SIM_Parametres!$B$6)^(2017-2023)</f>
        <v>53899.649275903314</v>
      </c>
      <c r="H90" s="125">
        <f>MAX(0,MIN(100,SIM_Districts!F19+(2017-2022)*SIM_Parametres!$B$7))</f>
        <v>50.65</v>
      </c>
      <c r="I90" s="125">
        <f>SIM_Districts!G19*(1+SIM_Parametres!$B$8)^(2017-2023)</f>
        <v>57.981957027848154</v>
      </c>
      <c r="J90" s="125">
        <f>SIM_Districts!H19*(1+SIM_Parametres!$B$9)^(2017-2023)</f>
        <v>29.918655128226831</v>
      </c>
      <c r="K90" s="125">
        <f>MAX(0,MIN(100,SIM_Districts!I19+(2017-2023)*SIM_Parametres!$B$10))</f>
        <v>79.5</v>
      </c>
      <c r="L90" s="125">
        <f>SIM_Districts!E19</f>
        <v>733</v>
      </c>
      <c r="M90" s="61">
        <f t="shared" si="27"/>
        <v>73.532945806143672</v>
      </c>
      <c r="N90" s="125">
        <f>SIM_Districts!J19</f>
        <v>95110</v>
      </c>
      <c r="O90" s="63">
        <v>16100000</v>
      </c>
      <c r="P90" s="126">
        <f>SIM_Parametres!$D$23</f>
        <v>0</v>
      </c>
      <c r="Q90" s="126">
        <f>SIM_Parametres!$B$12</f>
        <v>0.2</v>
      </c>
      <c r="R90" s="66">
        <f t="shared" si="45"/>
        <v>3.5505694791483004E-3</v>
      </c>
      <c r="S90" s="66">
        <f t="shared" si="46"/>
        <v>0.65957446808510634</v>
      </c>
      <c r="T90" s="66">
        <f t="shared" si="47"/>
        <v>0.65469613259668513</v>
      </c>
      <c r="U90" s="66">
        <f t="shared" si="48"/>
        <v>0.52387753369973955</v>
      </c>
      <c r="V90" s="66">
        <f t="shared" si="49"/>
        <v>0.24769050312675686</v>
      </c>
      <c r="W90" s="66">
        <f t="shared" si="50"/>
        <v>1.5726062143310078E-2</v>
      </c>
      <c r="X90" s="66">
        <f t="shared" si="51"/>
        <v>1.2955775433225826E-2</v>
      </c>
      <c r="Y90" s="66">
        <f t="shared" si="52"/>
        <v>1.3384918783141526E-2</v>
      </c>
      <c r="Z90" s="66">
        <f t="shared" si="53"/>
        <v>9.0910712011208778E-3</v>
      </c>
      <c r="AA90" s="66">
        <f t="shared" si="37"/>
        <v>7.5564168231824855E-3</v>
      </c>
      <c r="AB90" s="66">
        <f t="shared" si="38"/>
        <v>1.2685455849098229E-2</v>
      </c>
      <c r="AC90" s="67">
        <f t="shared" si="39"/>
        <v>11247428.792146193</v>
      </c>
      <c r="AD90" s="67">
        <f t="shared" si="40"/>
        <v>16100000</v>
      </c>
      <c r="AE90" s="66">
        <f>0</f>
        <v>0</v>
      </c>
      <c r="AF90" s="67">
        <f t="shared" si="41"/>
        <v>16100000</v>
      </c>
      <c r="AG90" s="67">
        <f>1</f>
        <v>1</v>
      </c>
      <c r="AH90" s="67">
        <f t="shared" si="42"/>
        <v>16100000</v>
      </c>
      <c r="AI90" s="67">
        <f t="shared" si="43"/>
        <v>298.70324234554448</v>
      </c>
      <c r="AJ90" s="67">
        <f t="shared" si="44"/>
        <v>0</v>
      </c>
      <c r="AK90" s="66">
        <f t="shared" si="54"/>
        <v>-2.4242424242424288E-2</v>
      </c>
    </row>
    <row r="91" spans="1:37" ht="12.75" customHeight="1" x14ac:dyDescent="0.25">
      <c r="A91" s="55" t="s">
        <v>607</v>
      </c>
      <c r="B91" s="55" t="s">
        <v>394</v>
      </c>
      <c r="C91" s="55" t="s">
        <v>398</v>
      </c>
      <c r="D91" s="128">
        <v>2017</v>
      </c>
      <c r="E91" s="55" t="s">
        <v>675</v>
      </c>
      <c r="F91" s="57">
        <f>SIM_Parametres!$C$23</f>
        <v>1269170000</v>
      </c>
      <c r="G91" s="129">
        <f>SIM_Districts!D20*(1+SIM_Parametres!$B$6)^(2017-2023)</f>
        <v>101763.54951388754</v>
      </c>
      <c r="H91" s="129">
        <f>MAX(0,MIN(100,SIM_Districts!F20+(2017-2022)*SIM_Parametres!$B$7))</f>
        <v>50.65</v>
      </c>
      <c r="I91" s="129">
        <f>SIM_Districts!G20*(1+SIM_Parametres!$B$8)^(2017-2023)</f>
        <v>57.981957027848154</v>
      </c>
      <c r="J91" s="129">
        <f>SIM_Districts!H20*(1+SIM_Parametres!$B$9)^(2017-2023)</f>
        <v>29.918655128226831</v>
      </c>
      <c r="K91" s="129">
        <f>MAX(0,MIN(100,SIM_Districts!I20+(2017-2023)*SIM_Parametres!$B$10))</f>
        <v>79.5</v>
      </c>
      <c r="L91" s="129">
        <f>SIM_Districts!E20</f>
        <v>1476</v>
      </c>
      <c r="M91" s="68">
        <f t="shared" si="27"/>
        <v>68.945494250601314</v>
      </c>
      <c r="N91" s="129">
        <f>SIM_Districts!J20</f>
        <v>95110</v>
      </c>
      <c r="O91" s="56">
        <v>17350000</v>
      </c>
      <c r="P91" s="130">
        <f>SIM_Parametres!$D$23</f>
        <v>0</v>
      </c>
      <c r="Q91" s="130">
        <f>SIM_Parametres!$B$12</f>
        <v>0.2</v>
      </c>
      <c r="R91" s="59">
        <f t="shared" si="45"/>
        <v>6.7035418198043662E-3</v>
      </c>
      <c r="S91" s="59">
        <f t="shared" si="46"/>
        <v>0.65957446808510634</v>
      </c>
      <c r="T91" s="59">
        <f t="shared" si="47"/>
        <v>0.65469613259668513</v>
      </c>
      <c r="U91" s="59">
        <f t="shared" si="48"/>
        <v>0.54969284466862123</v>
      </c>
      <c r="V91" s="59">
        <f t="shared" si="49"/>
        <v>0.24769050312675686</v>
      </c>
      <c r="W91" s="59">
        <f t="shared" si="50"/>
        <v>1.5726062143310078E-2</v>
      </c>
      <c r="X91" s="59">
        <f t="shared" si="51"/>
        <v>1.2955775433225826E-2</v>
      </c>
      <c r="Y91" s="59">
        <f t="shared" si="52"/>
        <v>1.4044492478237349E-2</v>
      </c>
      <c r="Z91" s="59">
        <f t="shared" si="53"/>
        <v>9.0910712011208778E-3</v>
      </c>
      <c r="AA91" s="59">
        <f t="shared" si="37"/>
        <v>9.4811789123309155E-3</v>
      </c>
      <c r="AB91" s="59">
        <f t="shared" si="38"/>
        <v>1.3670351489556167E-2</v>
      </c>
      <c r="AC91" s="60">
        <f t="shared" si="39"/>
        <v>13201709.032693803</v>
      </c>
      <c r="AD91" s="60">
        <f t="shared" si="40"/>
        <v>17350000</v>
      </c>
      <c r="AE91" s="59">
        <f>0</f>
        <v>0</v>
      </c>
      <c r="AF91" s="60">
        <f t="shared" si="41"/>
        <v>17350000</v>
      </c>
      <c r="AG91" s="60">
        <f>1</f>
        <v>1</v>
      </c>
      <c r="AH91" s="60">
        <f t="shared" si="42"/>
        <v>17350000</v>
      </c>
      <c r="AI91" s="60">
        <f t="shared" si="43"/>
        <v>170.49326682175396</v>
      </c>
      <c r="AJ91" s="60">
        <f t="shared" si="44"/>
        <v>0</v>
      </c>
      <c r="AK91" s="59">
        <f t="shared" si="54"/>
        <v>6.9645966337783527E-3</v>
      </c>
    </row>
    <row r="92" spans="1:37" ht="12.75" customHeight="1" x14ac:dyDescent="0.25">
      <c r="A92" s="62" t="s">
        <v>608</v>
      </c>
      <c r="B92" s="62" t="s">
        <v>394</v>
      </c>
      <c r="C92" s="62" t="s">
        <v>399</v>
      </c>
      <c r="D92" s="124">
        <v>2017</v>
      </c>
      <c r="E92" s="62" t="s">
        <v>675</v>
      </c>
      <c r="F92" s="64">
        <f>SIM_Parametres!$C$23</f>
        <v>1269170000</v>
      </c>
      <c r="G92" s="125">
        <f>SIM_Districts!D21*(1+SIM_Parametres!$B$6)^(2017-2023)</f>
        <v>82697.382926227452</v>
      </c>
      <c r="H92" s="125">
        <f>MAX(0,MIN(100,SIM_Districts!F21+(2017-2022)*SIM_Parametres!$B$7))</f>
        <v>50.65</v>
      </c>
      <c r="I92" s="125">
        <f>SIM_Districts!G21*(1+SIM_Parametres!$B$8)^(2017-2023)</f>
        <v>57.981957027848154</v>
      </c>
      <c r="J92" s="125">
        <f>SIM_Districts!H21*(1+SIM_Parametres!$B$9)^(2017-2023)</f>
        <v>29.918655128226831</v>
      </c>
      <c r="K92" s="125">
        <f>MAX(0,MIN(100,SIM_Districts!I21+(2017-2023)*SIM_Parametres!$B$10))</f>
        <v>79.5</v>
      </c>
      <c r="L92" s="125">
        <f>SIM_Districts!E21</f>
        <v>406</v>
      </c>
      <c r="M92" s="61">
        <f t="shared" si="27"/>
        <v>203.6881352862745</v>
      </c>
      <c r="N92" s="125">
        <f>SIM_Districts!J21</f>
        <v>95110</v>
      </c>
      <c r="O92" s="63">
        <v>13700000</v>
      </c>
      <c r="P92" s="126">
        <f>SIM_Parametres!$D$23</f>
        <v>0</v>
      </c>
      <c r="Q92" s="126">
        <f>SIM_Parametres!$B$12</f>
        <v>0.2</v>
      </c>
      <c r="R92" s="66">
        <f t="shared" si="45"/>
        <v>5.4475828278639964E-3</v>
      </c>
      <c r="S92" s="66">
        <f t="shared" si="46"/>
        <v>0.65957446808510634</v>
      </c>
      <c r="T92" s="66">
        <f t="shared" si="47"/>
        <v>0.65469613259668513</v>
      </c>
      <c r="U92" s="66">
        <f t="shared" si="48"/>
        <v>0.51035214004959606</v>
      </c>
      <c r="V92" s="66">
        <f t="shared" si="49"/>
        <v>0.24769050312675686</v>
      </c>
      <c r="W92" s="66">
        <f t="shared" si="50"/>
        <v>1.5726062143310078E-2</v>
      </c>
      <c r="X92" s="66">
        <f t="shared" si="51"/>
        <v>1.2955775433225826E-2</v>
      </c>
      <c r="Y92" s="66">
        <f t="shared" si="52"/>
        <v>1.3039348904932262E-2</v>
      </c>
      <c r="Z92" s="66">
        <f t="shared" si="53"/>
        <v>9.0910712011208778E-3</v>
      </c>
      <c r="AA92" s="66">
        <f t="shared" si="37"/>
        <v>8.6773463385014394E-3</v>
      </c>
      <c r="AB92" s="66">
        <f t="shared" si="38"/>
        <v>1.0794456219418991E-2</v>
      </c>
      <c r="AC92" s="67">
        <f t="shared" si="39"/>
        <v>12385548.882512078</v>
      </c>
      <c r="AD92" s="67">
        <f t="shared" si="40"/>
        <v>13700000</v>
      </c>
      <c r="AE92" s="66">
        <f>0</f>
        <v>0</v>
      </c>
      <c r="AF92" s="67">
        <f t="shared" si="41"/>
        <v>13700000</v>
      </c>
      <c r="AG92" s="67">
        <f>1</f>
        <v>1</v>
      </c>
      <c r="AH92" s="67">
        <f t="shared" si="42"/>
        <v>13700000</v>
      </c>
      <c r="AI92" s="67">
        <f t="shared" si="43"/>
        <v>165.66425097419921</v>
      </c>
      <c r="AJ92" s="67">
        <f t="shared" si="44"/>
        <v>0</v>
      </c>
      <c r="AK92" s="66">
        <f t="shared" si="54"/>
        <v>-1.4388489208633115E-2</v>
      </c>
    </row>
    <row r="93" spans="1:37" ht="12.75" customHeight="1" x14ac:dyDescent="0.25">
      <c r="A93" s="55" t="s">
        <v>609</v>
      </c>
      <c r="B93" s="55" t="s">
        <v>394</v>
      </c>
      <c r="C93" s="55" t="s">
        <v>400</v>
      </c>
      <c r="D93" s="128">
        <v>2017</v>
      </c>
      <c r="E93" s="55" t="s">
        <v>675</v>
      </c>
      <c r="F93" s="57">
        <f>SIM_Parametres!$C$23</f>
        <v>1269170000</v>
      </c>
      <c r="G93" s="129">
        <f>SIM_Districts!D22*(1+SIM_Parametres!$B$6)^(2017-2023)</f>
        <v>86906.578800319505</v>
      </c>
      <c r="H93" s="129">
        <f>MAX(0,MIN(100,SIM_Districts!F22+(2017-2022)*SIM_Parametres!$B$7))</f>
        <v>50.65</v>
      </c>
      <c r="I93" s="129">
        <f>SIM_Districts!G22*(1+SIM_Parametres!$B$8)^(2017-2023)</f>
        <v>57.981957027848154</v>
      </c>
      <c r="J93" s="129">
        <f>SIM_Districts!H22*(1+SIM_Parametres!$B$9)^(2017-2023)</f>
        <v>29.918655128226831</v>
      </c>
      <c r="K93" s="129">
        <f>MAX(0,MIN(100,SIM_Districts!I22+(2017-2023)*SIM_Parametres!$B$10))</f>
        <v>79.5</v>
      </c>
      <c r="L93" s="129">
        <f>SIM_Districts!E22</f>
        <v>866</v>
      </c>
      <c r="M93" s="68">
        <f t="shared" si="27"/>
        <v>100.35401709043823</v>
      </c>
      <c r="N93" s="129">
        <f>SIM_Districts!J22</f>
        <v>95110</v>
      </c>
      <c r="O93" s="56">
        <v>15782000</v>
      </c>
      <c r="P93" s="130">
        <f>SIM_Parametres!$D$23</f>
        <v>0</v>
      </c>
      <c r="Q93" s="130">
        <f>SIM_Parametres!$B$12</f>
        <v>0.2</v>
      </c>
      <c r="R93" s="59">
        <f t="shared" si="45"/>
        <v>5.7248581460354929E-3</v>
      </c>
      <c r="S93" s="59">
        <f t="shared" si="46"/>
        <v>0.65957446808510634</v>
      </c>
      <c r="T93" s="59">
        <f t="shared" si="47"/>
        <v>0.65469613259668513</v>
      </c>
      <c r="U93" s="59">
        <f t="shared" si="48"/>
        <v>0.52803177519419775</v>
      </c>
      <c r="V93" s="59">
        <f t="shared" si="49"/>
        <v>0.24769050312675686</v>
      </c>
      <c r="W93" s="59">
        <f t="shared" si="50"/>
        <v>1.5726062143310078E-2</v>
      </c>
      <c r="X93" s="59">
        <f t="shared" si="51"/>
        <v>1.2955775433225826E-2</v>
      </c>
      <c r="Y93" s="59">
        <f t="shared" si="52"/>
        <v>1.3491058446387229E-2</v>
      </c>
      <c r="Z93" s="59">
        <f t="shared" si="53"/>
        <v>9.0910712011208778E-3</v>
      </c>
      <c r="AA93" s="59">
        <f t="shared" si="37"/>
        <v>8.8662970064770866E-3</v>
      </c>
      <c r="AB93" s="59">
        <f t="shared" si="38"/>
        <v>1.2434898398165731E-2</v>
      </c>
      <c r="AC93" s="60">
        <f t="shared" si="39"/>
        <v>12577397.2979318</v>
      </c>
      <c r="AD93" s="60">
        <f t="shared" si="40"/>
        <v>15782000</v>
      </c>
      <c r="AE93" s="59">
        <f>0</f>
        <v>0</v>
      </c>
      <c r="AF93" s="60">
        <f t="shared" si="41"/>
        <v>15782000</v>
      </c>
      <c r="AG93" s="60">
        <f>1</f>
        <v>1</v>
      </c>
      <c r="AH93" s="60">
        <f t="shared" si="42"/>
        <v>15782000</v>
      </c>
      <c r="AI93" s="60">
        <f t="shared" si="43"/>
        <v>181.59729928227227</v>
      </c>
      <c r="AJ93" s="60">
        <f t="shared" si="44"/>
        <v>0</v>
      </c>
      <c r="AK93" s="59">
        <f t="shared" si="54"/>
        <v>-2.5802469135802419E-2</v>
      </c>
    </row>
    <row r="94" spans="1:37" ht="12.75" customHeight="1" x14ac:dyDescent="0.25">
      <c r="A94" s="62" t="s">
        <v>610</v>
      </c>
      <c r="B94" s="62" t="s">
        <v>394</v>
      </c>
      <c r="C94" s="62" t="s">
        <v>401</v>
      </c>
      <c r="D94" s="124">
        <v>2017</v>
      </c>
      <c r="E94" s="62" t="s">
        <v>675</v>
      </c>
      <c r="F94" s="64">
        <f>SIM_Parametres!$C$23</f>
        <v>1269170000</v>
      </c>
      <c r="G94" s="125">
        <f>SIM_Districts!D23*(1+SIM_Parametres!$B$6)^(2017-2023)</f>
        <v>156287.96204527686</v>
      </c>
      <c r="H94" s="125">
        <f>MAX(0,MIN(100,SIM_Districts!F23+(2017-2022)*SIM_Parametres!$B$7))</f>
        <v>50.65</v>
      </c>
      <c r="I94" s="125">
        <f>SIM_Districts!G23*(1+SIM_Parametres!$B$8)^(2017-2023)</f>
        <v>57.981957027848154</v>
      </c>
      <c r="J94" s="125">
        <f>SIM_Districts!H23*(1+SIM_Parametres!$B$9)^(2017-2023)</f>
        <v>29.918655128226831</v>
      </c>
      <c r="K94" s="125">
        <f>MAX(0,MIN(100,SIM_Districts!I23+(2017-2023)*SIM_Parametres!$B$10))</f>
        <v>79.5</v>
      </c>
      <c r="L94" s="125">
        <f>SIM_Districts!E23</f>
        <v>1459</v>
      </c>
      <c r="M94" s="61">
        <f t="shared" si="27"/>
        <v>107.11991915371958</v>
      </c>
      <c r="N94" s="125">
        <f>SIM_Districts!J23</f>
        <v>95110</v>
      </c>
      <c r="O94" s="63">
        <v>17300000</v>
      </c>
      <c r="P94" s="126">
        <f>SIM_Parametres!$D$23</f>
        <v>0</v>
      </c>
      <c r="Q94" s="126">
        <f>SIM_Parametres!$B$12</f>
        <v>0.2</v>
      </c>
      <c r="R94" s="66">
        <f t="shared" si="45"/>
        <v>1.0295266767984887E-2</v>
      </c>
      <c r="S94" s="66">
        <f t="shared" si="46"/>
        <v>0.65957446808510634</v>
      </c>
      <c r="T94" s="66">
        <f t="shared" si="47"/>
        <v>0.65469613259668513</v>
      </c>
      <c r="U94" s="66">
        <f t="shared" si="48"/>
        <v>0.54845929360495993</v>
      </c>
      <c r="V94" s="66">
        <f t="shared" si="49"/>
        <v>0.24769050312675686</v>
      </c>
      <c r="W94" s="66">
        <f t="shared" si="50"/>
        <v>1.5726062143310078E-2</v>
      </c>
      <c r="X94" s="66">
        <f t="shared" si="51"/>
        <v>1.2955775433225826E-2</v>
      </c>
      <c r="Y94" s="66">
        <f t="shared" si="52"/>
        <v>1.4012975606946153E-2</v>
      </c>
      <c r="Z94" s="66">
        <f t="shared" si="53"/>
        <v>9.0910712011208778E-3</v>
      </c>
      <c r="AA94" s="66">
        <f t="shared" si="37"/>
        <v>1.1634638037674668E-2</v>
      </c>
      <c r="AB94" s="66">
        <f t="shared" si="38"/>
        <v>1.3630955663937849E-2</v>
      </c>
      <c r="AC94" s="67">
        <f t="shared" si="39"/>
        <v>15388193.607183827</v>
      </c>
      <c r="AD94" s="67">
        <f t="shared" si="40"/>
        <v>17300000</v>
      </c>
      <c r="AE94" s="66">
        <f>0</f>
        <v>0</v>
      </c>
      <c r="AF94" s="67">
        <f t="shared" si="41"/>
        <v>17300000</v>
      </c>
      <c r="AG94" s="67">
        <f>1</f>
        <v>1</v>
      </c>
      <c r="AH94" s="67">
        <f t="shared" si="42"/>
        <v>17300000</v>
      </c>
      <c r="AI94" s="67">
        <f t="shared" si="43"/>
        <v>110.69310632502946</v>
      </c>
      <c r="AJ94" s="67">
        <f t="shared" si="44"/>
        <v>0</v>
      </c>
      <c r="AK94" s="66">
        <f t="shared" si="54"/>
        <v>-2.8089887640449396E-2</v>
      </c>
    </row>
    <row r="95" spans="1:37" ht="12.75" customHeight="1" x14ac:dyDescent="0.25">
      <c r="A95" s="55" t="s">
        <v>611</v>
      </c>
      <c r="B95" s="55" t="s">
        <v>402</v>
      </c>
      <c r="C95" s="55" t="s">
        <v>404</v>
      </c>
      <c r="D95" s="128">
        <v>2017</v>
      </c>
      <c r="E95" s="55" t="s">
        <v>675</v>
      </c>
      <c r="F95" s="57">
        <f>SIM_Parametres!$C$23</f>
        <v>1269170000</v>
      </c>
      <c r="G95" s="129">
        <f>SIM_Districts!D24*(1+SIM_Parametres!$B$6)^(2017-2023)</f>
        <v>122651.24435983456</v>
      </c>
      <c r="H95" s="129">
        <f>MAX(0,MIN(100,SIM_Districts!F24+(2017-2022)*SIM_Parametres!$B$7))</f>
        <v>62.35</v>
      </c>
      <c r="I95" s="129">
        <f>SIM_Districts!G24*(1+SIM_Parametres!$B$8)^(2017-2023)</f>
        <v>57.981957027848154</v>
      </c>
      <c r="J95" s="129">
        <f>SIM_Districts!H24*(1+SIM_Parametres!$B$9)^(2017-2023)</f>
        <v>53.439610417713332</v>
      </c>
      <c r="K95" s="129">
        <f>MAX(0,MIN(100,SIM_Districts!I24+(2017-2023)*SIM_Parametres!$B$10))</f>
        <v>73.400000000000006</v>
      </c>
      <c r="L95" s="129">
        <f>SIM_Districts!E24</f>
        <v>1150</v>
      </c>
      <c r="M95" s="68">
        <f t="shared" si="27"/>
        <v>106.65325596507353</v>
      </c>
      <c r="N95" s="129">
        <f>SIM_Districts!J24</f>
        <v>169739</v>
      </c>
      <c r="O95" s="56">
        <v>14080000</v>
      </c>
      <c r="P95" s="130">
        <f>SIM_Parametres!$D$23</f>
        <v>0</v>
      </c>
      <c r="Q95" s="130">
        <f>SIM_Parametres!$B$12</f>
        <v>0.2</v>
      </c>
      <c r="R95" s="59">
        <f t="shared" si="45"/>
        <v>8.0794916229311661E-3</v>
      </c>
      <c r="S95" s="59">
        <f t="shared" si="46"/>
        <v>0.86702127659574468</v>
      </c>
      <c r="T95" s="59">
        <f t="shared" si="47"/>
        <v>1</v>
      </c>
      <c r="U95" s="59">
        <f t="shared" si="48"/>
        <v>0.53776328071078594</v>
      </c>
      <c r="V95" s="59">
        <f t="shared" si="49"/>
        <v>0.76566328194948607</v>
      </c>
      <c r="W95" s="59">
        <f t="shared" si="50"/>
        <v>2.06721623335447E-2</v>
      </c>
      <c r="X95" s="59">
        <f t="shared" si="51"/>
        <v>1.9788990324167716E-2</v>
      </c>
      <c r="Y95" s="59">
        <f t="shared" si="52"/>
        <v>1.3739695585027883E-2</v>
      </c>
      <c r="Z95" s="59">
        <f t="shared" si="53"/>
        <v>2.8102407336645013E-2</v>
      </c>
      <c r="AA95" s="59">
        <f t="shared" si="37"/>
        <v>1.3008973018499206E-2</v>
      </c>
      <c r="AB95" s="59">
        <f t="shared" si="38"/>
        <v>1.1093864494118203E-2</v>
      </c>
      <c r="AC95" s="60">
        <f t="shared" si="39"/>
        <v>16783605.389274288</v>
      </c>
      <c r="AD95" s="60">
        <f t="shared" si="40"/>
        <v>14080000</v>
      </c>
      <c r="AE95" s="59">
        <f>0</f>
        <v>0</v>
      </c>
      <c r="AF95" s="60">
        <f t="shared" si="41"/>
        <v>14080000</v>
      </c>
      <c r="AG95" s="60">
        <f>1</f>
        <v>1</v>
      </c>
      <c r="AH95" s="60">
        <f t="shared" si="42"/>
        <v>14080000</v>
      </c>
      <c r="AI95" s="60">
        <f t="shared" si="43"/>
        <v>114.79704159129489</v>
      </c>
      <c r="AJ95" s="60">
        <f t="shared" si="44"/>
        <v>0</v>
      </c>
      <c r="AK95" s="59">
        <f t="shared" si="54"/>
        <v>-1.6759776536312887E-2</v>
      </c>
    </row>
    <row r="96" spans="1:37" ht="12.75" customHeight="1" x14ac:dyDescent="0.25">
      <c r="A96" s="62" t="s">
        <v>613</v>
      </c>
      <c r="B96" s="62" t="s">
        <v>402</v>
      </c>
      <c r="C96" s="62" t="s">
        <v>402</v>
      </c>
      <c r="D96" s="124">
        <v>2017</v>
      </c>
      <c r="E96" s="62" t="s">
        <v>675</v>
      </c>
      <c r="F96" s="64">
        <f>SIM_Parametres!$C$23</f>
        <v>1269170000</v>
      </c>
      <c r="G96" s="125">
        <f>SIM_Districts!D25*(1+SIM_Parametres!$B$6)^(2017-2023)</f>
        <v>251660.66919641141</v>
      </c>
      <c r="H96" s="125">
        <f>MAX(0,MIN(100,SIM_Districts!F25+(2017-2022)*SIM_Parametres!$B$7))</f>
        <v>62.35</v>
      </c>
      <c r="I96" s="125">
        <f>SIM_Districts!G25*(1+SIM_Parametres!$B$8)^(2017-2023)</f>
        <v>57.981957027848154</v>
      </c>
      <c r="J96" s="125">
        <f>SIM_Districts!H25*(1+SIM_Parametres!$B$9)^(2017-2023)</f>
        <v>53.439610417713332</v>
      </c>
      <c r="K96" s="125">
        <f>MAX(0,MIN(100,SIM_Districts!I25+(2017-2023)*SIM_Parametres!$B$10))</f>
        <v>73.400000000000006</v>
      </c>
      <c r="L96" s="125">
        <f>SIM_Districts!E25</f>
        <v>2609</v>
      </c>
      <c r="M96" s="61">
        <f t="shared" si="27"/>
        <v>96.458669680494978</v>
      </c>
      <c r="N96" s="125">
        <f>SIM_Districts!J25</f>
        <v>169739</v>
      </c>
      <c r="O96" s="63">
        <v>16123000</v>
      </c>
      <c r="P96" s="126">
        <f>SIM_Parametres!$D$23</f>
        <v>0</v>
      </c>
      <c r="Q96" s="126">
        <f>SIM_Parametres!$B$12</f>
        <v>0.2</v>
      </c>
      <c r="R96" s="66">
        <f t="shared" si="45"/>
        <v>1.6577820137139293E-2</v>
      </c>
      <c r="S96" s="66">
        <f t="shared" si="46"/>
        <v>0.86702127659574468</v>
      </c>
      <c r="T96" s="66">
        <f t="shared" si="47"/>
        <v>1</v>
      </c>
      <c r="U96" s="66">
        <f t="shared" si="48"/>
        <v>0.58847583069176324</v>
      </c>
      <c r="V96" s="66">
        <f t="shared" si="49"/>
        <v>0.76566328194948607</v>
      </c>
      <c r="W96" s="66">
        <f t="shared" si="50"/>
        <v>2.06721623335447E-2</v>
      </c>
      <c r="X96" s="66">
        <f t="shared" si="51"/>
        <v>1.9788990324167716E-2</v>
      </c>
      <c r="Y96" s="66">
        <f t="shared" si="52"/>
        <v>1.5035386503452401E-2</v>
      </c>
      <c r="Z96" s="66">
        <f t="shared" si="53"/>
        <v>2.8102407336645013E-2</v>
      </c>
      <c r="AA96" s="66">
        <f t="shared" si="37"/>
        <v>1.817275467294531E-2</v>
      </c>
      <c r="AB96" s="66">
        <f t="shared" si="38"/>
        <v>1.2703577928882655E-2</v>
      </c>
      <c r="AC96" s="67">
        <f t="shared" si="39"/>
        <v>22026578.799172983</v>
      </c>
      <c r="AD96" s="67">
        <f t="shared" si="40"/>
        <v>16123000</v>
      </c>
      <c r="AE96" s="66">
        <f>0</f>
        <v>0</v>
      </c>
      <c r="AF96" s="67">
        <f t="shared" si="41"/>
        <v>16123000</v>
      </c>
      <c r="AG96" s="67">
        <f>1</f>
        <v>1</v>
      </c>
      <c r="AH96" s="67">
        <f t="shared" si="42"/>
        <v>16123000</v>
      </c>
      <c r="AI96" s="67">
        <f t="shared" si="43"/>
        <v>64.066427429773</v>
      </c>
      <c r="AJ96" s="67">
        <f t="shared" si="44"/>
        <v>0</v>
      </c>
      <c r="AK96" s="66">
        <f t="shared" si="54"/>
        <v>-1.0858895705521454E-2</v>
      </c>
    </row>
    <row r="97" spans="1:37" ht="12.75" customHeight="1" x14ac:dyDescent="0.25">
      <c r="A97" s="55" t="s">
        <v>614</v>
      </c>
      <c r="B97" s="55" t="s">
        <v>402</v>
      </c>
      <c r="C97" s="55" t="s">
        <v>405</v>
      </c>
      <c r="D97" s="128">
        <v>2017</v>
      </c>
      <c r="E97" s="55" t="s">
        <v>675</v>
      </c>
      <c r="F97" s="57">
        <f>SIM_Parametres!$C$23</f>
        <v>1269170000</v>
      </c>
      <c r="G97" s="129">
        <f>SIM_Districts!D26*(1+SIM_Parametres!$B$6)^(2017-2023)</f>
        <v>198051.62695757733</v>
      </c>
      <c r="H97" s="129">
        <f>MAX(0,MIN(100,SIM_Districts!F26+(2017-2022)*SIM_Parametres!$B$7))</f>
        <v>62.35</v>
      </c>
      <c r="I97" s="129">
        <f>SIM_Districts!G26*(1+SIM_Parametres!$B$8)^(2017-2023)</f>
        <v>57.981957027848154</v>
      </c>
      <c r="J97" s="129">
        <f>SIM_Districts!H26*(1+SIM_Parametres!$B$9)^(2017-2023)</f>
        <v>53.439610417713332</v>
      </c>
      <c r="K97" s="129">
        <f>MAX(0,MIN(100,SIM_Districts!I26+(2017-2023)*SIM_Parametres!$B$10))</f>
        <v>73.400000000000006</v>
      </c>
      <c r="L97" s="129">
        <f>SIM_Districts!E26</f>
        <v>4537</v>
      </c>
      <c r="M97" s="68">
        <f t="shared" si="27"/>
        <v>43.652551676785833</v>
      </c>
      <c r="N97" s="129">
        <f>SIM_Districts!J26</f>
        <v>169739</v>
      </c>
      <c r="O97" s="56">
        <v>24050000</v>
      </c>
      <c r="P97" s="130">
        <f>SIM_Parametres!$D$23</f>
        <v>0</v>
      </c>
      <c r="Q97" s="130">
        <f>SIM_Parametres!$B$12</f>
        <v>0.2</v>
      </c>
      <c r="R97" s="59">
        <f t="shared" si="45"/>
        <v>1.304639401959177E-2</v>
      </c>
      <c r="S97" s="59">
        <f t="shared" si="46"/>
        <v>0.86702127659574468</v>
      </c>
      <c r="T97" s="59">
        <f t="shared" si="47"/>
        <v>1</v>
      </c>
      <c r="U97" s="59">
        <f t="shared" si="48"/>
        <v>0.65615433798264988</v>
      </c>
      <c r="V97" s="59">
        <f t="shared" si="49"/>
        <v>0.76566328194948607</v>
      </c>
      <c r="W97" s="59">
        <f t="shared" si="50"/>
        <v>2.06721623335447E-2</v>
      </c>
      <c r="X97" s="59">
        <f t="shared" si="51"/>
        <v>1.9788990324167716E-2</v>
      </c>
      <c r="Y97" s="59">
        <f t="shared" si="52"/>
        <v>1.6764552702001334E-2</v>
      </c>
      <c r="Z97" s="59">
        <f t="shared" si="53"/>
        <v>2.8102407336645013E-2</v>
      </c>
      <c r="AA97" s="59">
        <f t="shared" si="37"/>
        <v>1.6140357312344242E-2</v>
      </c>
      <c r="AB97" s="59">
        <f t="shared" si="38"/>
        <v>1.8949392122410709E-2</v>
      </c>
      <c r="AC97" s="60">
        <f t="shared" si="39"/>
        <v>19963012.592649736</v>
      </c>
      <c r="AD97" s="60">
        <f t="shared" si="40"/>
        <v>24050000</v>
      </c>
      <c r="AE97" s="59">
        <f>0</f>
        <v>0</v>
      </c>
      <c r="AF97" s="60">
        <f t="shared" si="41"/>
        <v>24050000</v>
      </c>
      <c r="AG97" s="60">
        <f>1</f>
        <v>1</v>
      </c>
      <c r="AH97" s="60">
        <f t="shared" si="42"/>
        <v>24050000</v>
      </c>
      <c r="AI97" s="60">
        <f t="shared" si="43"/>
        <v>121.4329837600956</v>
      </c>
      <c r="AJ97" s="60">
        <f t="shared" si="44"/>
        <v>0</v>
      </c>
      <c r="AK97" s="59">
        <f t="shared" si="54"/>
        <v>1.9067796610169552E-2</v>
      </c>
    </row>
    <row r="98" spans="1:37" ht="12.75" customHeight="1" x14ac:dyDescent="0.25">
      <c r="A98" s="62" t="s">
        <v>615</v>
      </c>
      <c r="B98" s="62" t="s">
        <v>402</v>
      </c>
      <c r="C98" s="62" t="s">
        <v>406</v>
      </c>
      <c r="D98" s="124">
        <v>2017</v>
      </c>
      <c r="E98" s="62" t="s">
        <v>675</v>
      </c>
      <c r="F98" s="64">
        <f>SIM_Parametres!$C$23</f>
        <v>1269170000</v>
      </c>
      <c r="G98" s="125">
        <f>SIM_Districts!D27*(1+SIM_Parametres!$B$6)^(2017-2023)</f>
        <v>114712.7310907302</v>
      </c>
      <c r="H98" s="125">
        <f>MAX(0,MIN(100,SIM_Districts!F27+(2017-2022)*SIM_Parametres!$B$7))</f>
        <v>62.35</v>
      </c>
      <c r="I98" s="125">
        <f>SIM_Districts!G27*(1+SIM_Parametres!$B$8)^(2017-2023)</f>
        <v>57.981957027848154</v>
      </c>
      <c r="J98" s="125">
        <f>SIM_Districts!H27*(1+SIM_Parametres!$B$9)^(2017-2023)</f>
        <v>53.439610417713332</v>
      </c>
      <c r="K98" s="125">
        <f>MAX(0,MIN(100,SIM_Districts!I27+(2017-2023)*SIM_Parametres!$B$10))</f>
        <v>73.400000000000006</v>
      </c>
      <c r="L98" s="125">
        <f>SIM_Districts!E27</f>
        <v>2765</v>
      </c>
      <c r="M98" s="61">
        <f t="shared" si="27"/>
        <v>41.487425349269515</v>
      </c>
      <c r="N98" s="125">
        <f>SIM_Districts!J27</f>
        <v>169739</v>
      </c>
      <c r="O98" s="63">
        <v>16465000</v>
      </c>
      <c r="P98" s="126">
        <f>SIM_Parametres!$D$23</f>
        <v>0</v>
      </c>
      <c r="Q98" s="126">
        <f>SIM_Parametres!$B$12</f>
        <v>0.2</v>
      </c>
      <c r="R98" s="66">
        <f t="shared" si="45"/>
        <v>7.5565523589145294E-3</v>
      </c>
      <c r="S98" s="66">
        <f t="shared" si="46"/>
        <v>0.86702127659574468</v>
      </c>
      <c r="T98" s="66">
        <f t="shared" si="47"/>
        <v>1</v>
      </c>
      <c r="U98" s="66">
        <f t="shared" si="48"/>
        <v>0.59480805510502444</v>
      </c>
      <c r="V98" s="66">
        <f t="shared" si="49"/>
        <v>0.76566328194948607</v>
      </c>
      <c r="W98" s="66">
        <f t="shared" si="50"/>
        <v>2.06721623335447E-2</v>
      </c>
      <c r="X98" s="66">
        <f t="shared" si="51"/>
        <v>1.9788990324167716E-2</v>
      </c>
      <c r="Y98" s="66">
        <f t="shared" si="52"/>
        <v>1.5197172997501038E-2</v>
      </c>
      <c r="Z98" s="66">
        <f t="shared" si="53"/>
        <v>2.8102407336645013E-2</v>
      </c>
      <c r="AA98" s="66">
        <f t="shared" si="37"/>
        <v>1.2768083330712884E-2</v>
      </c>
      <c r="AB98" s="66">
        <f t="shared" si="38"/>
        <v>1.2973045376111948E-2</v>
      </c>
      <c r="AC98" s="67">
        <f t="shared" si="39"/>
        <v>16539021.417236077</v>
      </c>
      <c r="AD98" s="67">
        <f t="shared" si="40"/>
        <v>16465000</v>
      </c>
      <c r="AE98" s="66">
        <f>0</f>
        <v>0</v>
      </c>
      <c r="AF98" s="67">
        <f t="shared" si="41"/>
        <v>16465000</v>
      </c>
      <c r="AG98" s="67">
        <f>1</f>
        <v>1</v>
      </c>
      <c r="AH98" s="67">
        <f t="shared" si="42"/>
        <v>16465000</v>
      </c>
      <c r="AI98" s="67">
        <f t="shared" si="43"/>
        <v>143.53245575660884</v>
      </c>
      <c r="AJ98" s="67">
        <f t="shared" si="44"/>
        <v>0</v>
      </c>
      <c r="AK98" s="66">
        <f t="shared" si="54"/>
        <v>3.9634146341462895E-3</v>
      </c>
    </row>
    <row r="99" spans="1:37" ht="12.75" customHeight="1" x14ac:dyDescent="0.25">
      <c r="A99" s="55" t="s">
        <v>616</v>
      </c>
      <c r="B99" s="55" t="s">
        <v>407</v>
      </c>
      <c r="C99" s="55" t="s">
        <v>409</v>
      </c>
      <c r="D99" s="128">
        <v>2017</v>
      </c>
      <c r="E99" s="55" t="s">
        <v>675</v>
      </c>
      <c r="F99" s="57">
        <f>SIM_Parametres!$C$23</f>
        <v>1269170000</v>
      </c>
      <c r="G99" s="129">
        <f>SIM_Districts!D28*(1+SIM_Parametres!$B$6)^(2017-2023)</f>
        <v>134195.96483821873</v>
      </c>
      <c r="H99" s="129">
        <f>MAX(0,MIN(100,SIM_Districts!F28+(2017-2022)*SIM_Parametres!$B$7))</f>
        <v>53.75</v>
      </c>
      <c r="I99" s="129">
        <f>SIM_Districts!G28*(1+SIM_Parametres!$B$8)^(2017-2023)</f>
        <v>57.981957027848154</v>
      </c>
      <c r="J99" s="129">
        <f>SIM_Districts!H28*(1+SIM_Parametres!$B$9)^(2017-2023)</f>
        <v>27.472475778120234</v>
      </c>
      <c r="K99" s="129">
        <f>MAX(0,MIN(100,SIM_Districts!I28+(2017-2023)*SIM_Parametres!$B$10))</f>
        <v>81.099999999999994</v>
      </c>
      <c r="L99" s="129">
        <f>SIM_Districts!E28</f>
        <v>1066</v>
      </c>
      <c r="M99" s="68">
        <f t="shared" si="27"/>
        <v>125.88739665874178</v>
      </c>
      <c r="N99" s="129">
        <f>SIM_Districts!J28</f>
        <v>190293</v>
      </c>
      <c r="O99" s="56">
        <v>15515000</v>
      </c>
      <c r="P99" s="130">
        <f>SIM_Parametres!$D$23</f>
        <v>0</v>
      </c>
      <c r="Q99" s="130">
        <f>SIM_Parametres!$B$12</f>
        <v>0.2</v>
      </c>
      <c r="R99" s="59">
        <f t="shared" si="45"/>
        <v>8.8399851090024129E-3</v>
      </c>
      <c r="S99" s="59">
        <f t="shared" si="46"/>
        <v>0.71453900709219842</v>
      </c>
      <c r="T99" s="59">
        <f t="shared" si="47"/>
        <v>0.61878453038674031</v>
      </c>
      <c r="U99" s="59">
        <f t="shared" si="48"/>
        <v>0.53452867131516979</v>
      </c>
      <c r="V99" s="59">
        <f t="shared" si="49"/>
        <v>0.90832112938040932</v>
      </c>
      <c r="W99" s="59">
        <f t="shared" si="50"/>
        <v>1.7036567321919247E-2</v>
      </c>
      <c r="X99" s="59">
        <f t="shared" si="51"/>
        <v>1.2245121084567868E-2</v>
      </c>
      <c r="Y99" s="59">
        <f t="shared" si="52"/>
        <v>1.3657052254725572E-2</v>
      </c>
      <c r="Z99" s="59">
        <f t="shared" si="53"/>
        <v>3.333842822570373E-2</v>
      </c>
      <c r="AA99" s="59">
        <f t="shared" si="37"/>
        <v>1.204601835039598E-2</v>
      </c>
      <c r="AB99" s="59">
        <f t="shared" si="38"/>
        <v>1.2224524689363915E-2</v>
      </c>
      <c r="AC99" s="60">
        <f t="shared" si="39"/>
        <v>15805882.848381033</v>
      </c>
      <c r="AD99" s="60">
        <f t="shared" si="40"/>
        <v>15515000</v>
      </c>
      <c r="AE99" s="59">
        <f>0</f>
        <v>0</v>
      </c>
      <c r="AF99" s="60">
        <f t="shared" si="41"/>
        <v>15515000</v>
      </c>
      <c r="AG99" s="60">
        <f>1</f>
        <v>1</v>
      </c>
      <c r="AH99" s="60">
        <f t="shared" si="42"/>
        <v>15515000</v>
      </c>
      <c r="AI99" s="60">
        <f t="shared" si="43"/>
        <v>115.61450464404247</v>
      </c>
      <c r="AJ99" s="60">
        <f t="shared" si="44"/>
        <v>0</v>
      </c>
      <c r="AK99" s="59">
        <f t="shared" si="54"/>
        <v>1.7377049180327786E-2</v>
      </c>
    </row>
    <row r="100" spans="1:37" ht="12.75" customHeight="1" x14ac:dyDescent="0.25">
      <c r="A100" s="62" t="s">
        <v>618</v>
      </c>
      <c r="B100" s="62" t="s">
        <v>407</v>
      </c>
      <c r="C100" s="62" t="s">
        <v>410</v>
      </c>
      <c r="D100" s="124">
        <v>2017</v>
      </c>
      <c r="E100" s="62" t="s">
        <v>675</v>
      </c>
      <c r="F100" s="64">
        <f>SIM_Parametres!$C$23</f>
        <v>1269170000</v>
      </c>
      <c r="G100" s="125">
        <f>SIM_Districts!D29*(1+SIM_Parametres!$B$6)^(2017-2023)</f>
        <v>364796.41743180633</v>
      </c>
      <c r="H100" s="125">
        <f>MAX(0,MIN(100,SIM_Districts!F29+(2017-2022)*SIM_Parametres!$B$7))</f>
        <v>53.75</v>
      </c>
      <c r="I100" s="125">
        <f>SIM_Districts!G29*(1+SIM_Parametres!$B$8)^(2017-2023)</f>
        <v>57.981957027848154</v>
      </c>
      <c r="J100" s="125">
        <f>SIM_Districts!H29*(1+SIM_Parametres!$B$9)^(2017-2023)</f>
        <v>27.472475778120234</v>
      </c>
      <c r="K100" s="125">
        <f>MAX(0,MIN(100,SIM_Districts!I29+(2017-2023)*SIM_Parametres!$B$10))</f>
        <v>81.099999999999994</v>
      </c>
      <c r="L100" s="125">
        <f>SIM_Districts!E29</f>
        <v>535</v>
      </c>
      <c r="M100" s="61">
        <f t="shared" si="27"/>
        <v>681.86246248935765</v>
      </c>
      <c r="N100" s="125">
        <f>SIM_Districts!J29</f>
        <v>190293</v>
      </c>
      <c r="O100" s="63">
        <v>17968000</v>
      </c>
      <c r="P100" s="126">
        <f>SIM_Parametres!$D$23</f>
        <v>0</v>
      </c>
      <c r="Q100" s="126">
        <f>SIM_Parametres!$B$12</f>
        <v>0.2</v>
      </c>
      <c r="R100" s="66">
        <f t="shared" si="45"/>
        <v>2.4030490796070354E-2</v>
      </c>
      <c r="S100" s="66">
        <f t="shared" si="46"/>
        <v>0.71453900709219842</v>
      </c>
      <c r="T100" s="66">
        <f t="shared" si="47"/>
        <v>0.61878453038674031</v>
      </c>
      <c r="U100" s="66">
        <f t="shared" si="48"/>
        <v>0.50674567312414043</v>
      </c>
      <c r="V100" s="66">
        <f t="shared" si="49"/>
        <v>0.90832112938040932</v>
      </c>
      <c r="W100" s="66">
        <f t="shared" si="50"/>
        <v>1.7036567321919247E-2</v>
      </c>
      <c r="X100" s="66">
        <f t="shared" si="51"/>
        <v>1.2245121084567868E-2</v>
      </c>
      <c r="Y100" s="66">
        <f t="shared" si="52"/>
        <v>1.2947204722778849E-2</v>
      </c>
      <c r="Z100" s="66">
        <f t="shared" si="53"/>
        <v>3.333842822570373E-2</v>
      </c>
      <c r="AA100" s="66">
        <f t="shared" si="37"/>
        <v>2.1124829386039407E-2</v>
      </c>
      <c r="AB100" s="66">
        <f t="shared" si="38"/>
        <v>1.4157283894198571E-2</v>
      </c>
      <c r="AC100" s="67">
        <f t="shared" si="39"/>
        <v>25023926.53006709</v>
      </c>
      <c r="AD100" s="67">
        <f t="shared" si="40"/>
        <v>17968000</v>
      </c>
      <c r="AE100" s="66">
        <f>0</f>
        <v>0</v>
      </c>
      <c r="AF100" s="67">
        <f t="shared" si="41"/>
        <v>17968000</v>
      </c>
      <c r="AG100" s="67">
        <f>1</f>
        <v>1</v>
      </c>
      <c r="AH100" s="67">
        <f t="shared" si="42"/>
        <v>17968000</v>
      </c>
      <c r="AI100" s="67">
        <f t="shared" si="43"/>
        <v>49.25486967908305</v>
      </c>
      <c r="AJ100" s="67">
        <f t="shared" si="44"/>
        <v>0</v>
      </c>
      <c r="AK100" s="66">
        <f t="shared" si="54"/>
        <v>2.6742857142857179E-2</v>
      </c>
    </row>
    <row r="101" spans="1:37" ht="12.75" customHeight="1" x14ac:dyDescent="0.25">
      <c r="A101" s="55" t="s">
        <v>619</v>
      </c>
      <c r="B101" s="55" t="s">
        <v>407</v>
      </c>
      <c r="C101" s="55" t="s">
        <v>411</v>
      </c>
      <c r="D101" s="128">
        <v>2017</v>
      </c>
      <c r="E101" s="55" t="s">
        <v>675</v>
      </c>
      <c r="F101" s="57">
        <f>SIM_Parametres!$C$23</f>
        <v>1269170000</v>
      </c>
      <c r="G101" s="129">
        <f>SIM_Districts!D30*(1+SIM_Parametres!$B$6)^(2017-2023)</f>
        <v>204644.30302619108</v>
      </c>
      <c r="H101" s="129">
        <f>MAX(0,MIN(100,SIM_Districts!F30+(2017-2022)*SIM_Parametres!$B$7))</f>
        <v>53.75</v>
      </c>
      <c r="I101" s="129">
        <f>SIM_Districts!G30*(1+SIM_Parametres!$B$8)^(2017-2023)</f>
        <v>57.981957027848154</v>
      </c>
      <c r="J101" s="129">
        <f>SIM_Districts!H30*(1+SIM_Parametres!$B$9)^(2017-2023)</f>
        <v>27.472475778120234</v>
      </c>
      <c r="K101" s="129">
        <f>MAX(0,MIN(100,SIM_Districts!I30+(2017-2023)*SIM_Parametres!$B$10))</f>
        <v>81.099999999999994</v>
      </c>
      <c r="L101" s="129">
        <f>SIM_Districts!E30</f>
        <v>1359</v>
      </c>
      <c r="M101" s="68">
        <f t="shared" si="27"/>
        <v>150.5844761046292</v>
      </c>
      <c r="N101" s="129">
        <f>SIM_Districts!J30</f>
        <v>190293</v>
      </c>
      <c r="O101" s="56">
        <v>16556000</v>
      </c>
      <c r="P101" s="130">
        <f>SIM_Parametres!$D$23</f>
        <v>0</v>
      </c>
      <c r="Q101" s="130">
        <f>SIM_Parametres!$B$12</f>
        <v>0.2</v>
      </c>
      <c r="R101" s="59">
        <f t="shared" si="45"/>
        <v>1.3480678003803077E-2</v>
      </c>
      <c r="S101" s="59">
        <f t="shared" si="46"/>
        <v>0.71453900709219842</v>
      </c>
      <c r="T101" s="59">
        <f t="shared" si="47"/>
        <v>0.61878453038674031</v>
      </c>
      <c r="U101" s="59">
        <f t="shared" si="48"/>
        <v>0.54426125050867202</v>
      </c>
      <c r="V101" s="59">
        <f t="shared" si="49"/>
        <v>0.90832112938040932</v>
      </c>
      <c r="W101" s="59">
        <f t="shared" si="50"/>
        <v>1.7036567321919247E-2</v>
      </c>
      <c r="X101" s="59">
        <f t="shared" si="51"/>
        <v>1.2245121084567868E-2</v>
      </c>
      <c r="Y101" s="59">
        <f t="shared" si="52"/>
        <v>1.3905716825499443E-2</v>
      </c>
      <c r="Z101" s="59">
        <f t="shared" si="53"/>
        <v>3.333842822570373E-2</v>
      </c>
      <c r="AA101" s="59">
        <f t="shared" si="37"/>
        <v>1.4842867315815071E-2</v>
      </c>
      <c r="AB101" s="59">
        <f t="shared" si="38"/>
        <v>1.3044745778737285E-2</v>
      </c>
      <c r="AC101" s="60">
        <f t="shared" si="39"/>
        <v>18645624.28953379</v>
      </c>
      <c r="AD101" s="60">
        <f t="shared" si="40"/>
        <v>16556000</v>
      </c>
      <c r="AE101" s="59">
        <f>0</f>
        <v>0</v>
      </c>
      <c r="AF101" s="60">
        <f t="shared" si="41"/>
        <v>16556000</v>
      </c>
      <c r="AG101" s="60">
        <f>1</f>
        <v>1</v>
      </c>
      <c r="AH101" s="60">
        <f t="shared" si="42"/>
        <v>16556000</v>
      </c>
      <c r="AI101" s="60">
        <f t="shared" si="43"/>
        <v>80.901348120505006</v>
      </c>
      <c r="AJ101" s="60">
        <f t="shared" si="44"/>
        <v>0</v>
      </c>
      <c r="AK101" s="59">
        <f t="shared" si="54"/>
        <v>3.3939393939395046E-3</v>
      </c>
    </row>
    <row r="102" spans="1:37" ht="12.75" customHeight="1" x14ac:dyDescent="0.25">
      <c r="A102" s="62" t="s">
        <v>620</v>
      </c>
      <c r="B102" s="62" t="s">
        <v>407</v>
      </c>
      <c r="C102" s="62" t="s">
        <v>412</v>
      </c>
      <c r="D102" s="124">
        <v>2017</v>
      </c>
      <c r="E102" s="62" t="s">
        <v>675</v>
      </c>
      <c r="F102" s="64">
        <f>SIM_Parametres!$C$23</f>
        <v>1269170000</v>
      </c>
      <c r="G102" s="125">
        <f>SIM_Districts!D31*(1+SIM_Parametres!$B$6)^(2017-2023)</f>
        <v>415845.27029795846</v>
      </c>
      <c r="H102" s="125">
        <f>MAX(0,MIN(100,SIM_Districts!F31+(2017-2022)*SIM_Parametres!$B$7))</f>
        <v>53.75</v>
      </c>
      <c r="I102" s="125">
        <f>SIM_Districts!G31*(1+SIM_Parametres!$B$8)^(2017-2023)</f>
        <v>57.981957027848154</v>
      </c>
      <c r="J102" s="125">
        <f>SIM_Districts!H31*(1+SIM_Parametres!$B$9)^(2017-2023)</f>
        <v>27.472475778120234</v>
      </c>
      <c r="K102" s="125">
        <f>MAX(0,MIN(100,SIM_Districts!I31+(2017-2023)*SIM_Parametres!$B$10))</f>
        <v>81.099999999999994</v>
      </c>
      <c r="L102" s="125">
        <f>SIM_Districts!E31</f>
        <v>2302</v>
      </c>
      <c r="M102" s="61">
        <f t="shared" si="27"/>
        <v>180.64520864376996</v>
      </c>
      <c r="N102" s="125">
        <f>SIM_Districts!J31</f>
        <v>190293</v>
      </c>
      <c r="O102" s="63">
        <v>22038000</v>
      </c>
      <c r="P102" s="126">
        <f>SIM_Parametres!$D$23</f>
        <v>0</v>
      </c>
      <c r="Q102" s="126">
        <f>SIM_Parametres!$B$12</f>
        <v>0.2</v>
      </c>
      <c r="R102" s="66">
        <f t="shared" si="45"/>
        <v>2.7393267759688256E-2</v>
      </c>
      <c r="S102" s="66">
        <f t="shared" si="46"/>
        <v>0.71453900709219842</v>
      </c>
      <c r="T102" s="66">
        <f t="shared" si="47"/>
        <v>0.61878453038674031</v>
      </c>
      <c r="U102" s="66">
        <f t="shared" si="48"/>
        <v>0.5764195329812869</v>
      </c>
      <c r="V102" s="66">
        <f t="shared" si="49"/>
        <v>0.90832112938040932</v>
      </c>
      <c r="W102" s="66">
        <f t="shared" si="50"/>
        <v>1.7036567321919247E-2</v>
      </c>
      <c r="X102" s="66">
        <f t="shared" si="51"/>
        <v>1.2245121084567868E-2</v>
      </c>
      <c r="Y102" s="66">
        <f t="shared" si="52"/>
        <v>1.4727351599683094E-2</v>
      </c>
      <c r="Z102" s="66">
        <f t="shared" si="53"/>
        <v>3.333842822570373E-2</v>
      </c>
      <c r="AA102" s="66">
        <f t="shared" si="37"/>
        <v>2.3231502908055361E-2</v>
      </c>
      <c r="AB102" s="66">
        <f t="shared" si="38"/>
        <v>1.7364104099529615E-2</v>
      </c>
      <c r="AC102" s="67">
        <f t="shared" si="39"/>
        <v>27162907.997216679</v>
      </c>
      <c r="AD102" s="67">
        <f t="shared" si="40"/>
        <v>22038000</v>
      </c>
      <c r="AE102" s="66">
        <f>0</f>
        <v>0</v>
      </c>
      <c r="AF102" s="67">
        <f t="shared" si="41"/>
        <v>22038000</v>
      </c>
      <c r="AG102" s="67">
        <f>1</f>
        <v>1</v>
      </c>
      <c r="AH102" s="67">
        <f t="shared" si="42"/>
        <v>22038000</v>
      </c>
      <c r="AI102" s="67">
        <f t="shared" si="43"/>
        <v>52.995673088236622</v>
      </c>
      <c r="AJ102" s="67">
        <f t="shared" si="44"/>
        <v>0</v>
      </c>
      <c r="AK102" s="66">
        <f t="shared" si="54"/>
        <v>3.5519125683061148E-3</v>
      </c>
    </row>
    <row r="103" spans="1:37" ht="12.75" customHeight="1" x14ac:dyDescent="0.25">
      <c r="A103" s="55" t="s">
        <v>621</v>
      </c>
      <c r="B103" s="55" t="s">
        <v>413</v>
      </c>
      <c r="C103" s="55" t="s">
        <v>413</v>
      </c>
      <c r="D103" s="128">
        <v>2017</v>
      </c>
      <c r="E103" s="55" t="s">
        <v>675</v>
      </c>
      <c r="F103" s="57">
        <f>SIM_Parametres!$C$23</f>
        <v>1269170000</v>
      </c>
      <c r="G103" s="129">
        <f>SIM_Districts!D32*(1+SIM_Parametres!$B$6)^(2017-2023)</f>
        <v>106510.41028077049</v>
      </c>
      <c r="H103" s="129">
        <f>MAX(0,MIN(100,SIM_Districts!F32+(2017-2022)*SIM_Parametres!$B$7))</f>
        <v>69.850000000000009</v>
      </c>
      <c r="I103" s="129">
        <f>SIM_Districts!G32*(1+SIM_Parametres!$B$8)^(2017-2023)</f>
        <v>57.981957027848154</v>
      </c>
      <c r="J103" s="129">
        <f>SIM_Districts!H32*(1+SIM_Parametres!$B$9)^(2017-2023)</f>
        <v>40.079707813285005</v>
      </c>
      <c r="K103" s="129">
        <f>MAX(0,MIN(100,SIM_Districts!I32+(2017-2023)*SIM_Parametres!$B$10))</f>
        <v>75.599999999999994</v>
      </c>
      <c r="L103" s="129">
        <f>SIM_Districts!E32</f>
        <v>7061</v>
      </c>
      <c r="M103" s="68">
        <f t="shared" si="27"/>
        <v>15.084323789940587</v>
      </c>
      <c r="N103" s="129">
        <f>SIM_Districts!J32</f>
        <v>59423</v>
      </c>
      <c r="O103" s="56">
        <v>22031000</v>
      </c>
      <c r="P103" s="130">
        <f>SIM_Parametres!$D$23</f>
        <v>0</v>
      </c>
      <c r="Q103" s="130">
        <f>SIM_Parametres!$B$12</f>
        <v>0.2</v>
      </c>
      <c r="R103" s="59">
        <f t="shared" si="45"/>
        <v>7.0162351153467539E-3</v>
      </c>
      <c r="S103" s="59">
        <f t="shared" si="46"/>
        <v>1</v>
      </c>
      <c r="T103" s="59">
        <f t="shared" si="47"/>
        <v>0.80386740331491713</v>
      </c>
      <c r="U103" s="59">
        <f t="shared" si="48"/>
        <v>0.74406922993471691</v>
      </c>
      <c r="V103" s="59">
        <f t="shared" si="49"/>
        <v>0</v>
      </c>
      <c r="W103" s="59">
        <f t="shared" si="50"/>
        <v>2.3842739378566891E-2</v>
      </c>
      <c r="X103" s="59">
        <f t="shared" si="51"/>
        <v>1.590772426611272E-2</v>
      </c>
      <c r="Y103" s="59">
        <f t="shared" si="52"/>
        <v>1.9010752649337739E-2</v>
      </c>
      <c r="Z103" s="59">
        <f t="shared" si="53"/>
        <v>0</v>
      </c>
      <c r="AA103" s="59">
        <f t="shared" si="37"/>
        <v>1.1122848248376881E-2</v>
      </c>
      <c r="AB103" s="59">
        <f t="shared" si="38"/>
        <v>1.7358588683943049E-2</v>
      </c>
      <c r="AC103" s="60">
        <f t="shared" si="39"/>
        <v>14868555.009677369</v>
      </c>
      <c r="AD103" s="60">
        <f t="shared" si="40"/>
        <v>22031000</v>
      </c>
      <c r="AE103" s="59">
        <f>0</f>
        <v>0</v>
      </c>
      <c r="AF103" s="60">
        <f t="shared" si="41"/>
        <v>22031000</v>
      </c>
      <c r="AG103" s="60">
        <f>1</f>
        <v>1</v>
      </c>
      <c r="AH103" s="60">
        <f t="shared" si="42"/>
        <v>22031000</v>
      </c>
      <c r="AI103" s="60">
        <f t="shared" si="43"/>
        <v>206.84363098334154</v>
      </c>
      <c r="AJ103" s="60">
        <f t="shared" si="44"/>
        <v>0</v>
      </c>
      <c r="AK103" s="59">
        <f t="shared" si="54"/>
        <v>-2.0844444444444443E-2</v>
      </c>
    </row>
    <row r="104" spans="1:37" ht="12.75" customHeight="1" x14ac:dyDescent="0.25">
      <c r="A104" s="62" t="s">
        <v>623</v>
      </c>
      <c r="B104" s="62" t="s">
        <v>413</v>
      </c>
      <c r="C104" s="62" t="s">
        <v>415</v>
      </c>
      <c r="D104" s="124">
        <v>2017</v>
      </c>
      <c r="E104" s="62" t="s">
        <v>675</v>
      </c>
      <c r="F104" s="64">
        <f>SIM_Parametres!$C$23</f>
        <v>1269170000</v>
      </c>
      <c r="G104" s="125">
        <f>SIM_Districts!D33*(1+SIM_Parametres!$B$6)^(2017-2023)</f>
        <v>29991.986200355033</v>
      </c>
      <c r="H104" s="125">
        <f>MAX(0,MIN(100,SIM_Districts!F33+(2017-2022)*SIM_Parametres!$B$7))</f>
        <v>69.850000000000009</v>
      </c>
      <c r="I104" s="125">
        <f>SIM_Districts!G33*(1+SIM_Parametres!$B$8)^(2017-2023)</f>
        <v>57.981957027848154</v>
      </c>
      <c r="J104" s="125">
        <f>SIM_Districts!H33*(1+SIM_Parametres!$B$9)^(2017-2023)</f>
        <v>40.079707813285005</v>
      </c>
      <c r="K104" s="125">
        <f>MAX(0,MIN(100,SIM_Districts!I33+(2017-2023)*SIM_Parametres!$B$10))</f>
        <v>75.599999999999994</v>
      </c>
      <c r="L104" s="125">
        <f>SIM_Districts!E33</f>
        <v>1931</v>
      </c>
      <c r="M104" s="61">
        <f t="shared" si="27"/>
        <v>15.531841636641653</v>
      </c>
      <c r="N104" s="125">
        <f>SIM_Districts!J33</f>
        <v>59423</v>
      </c>
      <c r="O104" s="63">
        <v>17990000</v>
      </c>
      <c r="P104" s="126">
        <f>SIM_Parametres!$D$23</f>
        <v>0</v>
      </c>
      <c r="Q104" s="126">
        <f>SIM_Parametres!$B$12</f>
        <v>0.2</v>
      </c>
      <c r="R104" s="66">
        <f t="shared" si="45"/>
        <v>1.9756831863027543E-3</v>
      </c>
      <c r="S104" s="66">
        <f t="shared" si="46"/>
        <v>1</v>
      </c>
      <c r="T104" s="66">
        <f t="shared" si="47"/>
        <v>0.80386740331491713</v>
      </c>
      <c r="U104" s="66">
        <f t="shared" si="48"/>
        <v>0.56635625479419383</v>
      </c>
      <c r="V104" s="66">
        <f t="shared" si="49"/>
        <v>0</v>
      </c>
      <c r="W104" s="66">
        <f t="shared" si="50"/>
        <v>2.3842739378566891E-2</v>
      </c>
      <c r="X104" s="66">
        <f t="shared" si="51"/>
        <v>1.590772426611272E-2</v>
      </c>
      <c r="Y104" s="66">
        <f t="shared" si="52"/>
        <v>1.4470237765701426E-2</v>
      </c>
      <c r="Z104" s="66">
        <f t="shared" si="53"/>
        <v>0</v>
      </c>
      <c r="AA104" s="66">
        <f t="shared" si="37"/>
        <v>7.8714913467686654E-3</v>
      </c>
      <c r="AB104" s="66">
        <f t="shared" si="38"/>
        <v>1.4174618057470631E-2</v>
      </c>
      <c r="AC104" s="67">
        <f t="shared" si="39"/>
        <v>11567335.298626091</v>
      </c>
      <c r="AD104" s="67">
        <f t="shared" si="40"/>
        <v>17990000</v>
      </c>
      <c r="AE104" s="66">
        <f>0</f>
        <v>0</v>
      </c>
      <c r="AF104" s="67">
        <f t="shared" si="41"/>
        <v>17990000</v>
      </c>
      <c r="AG104" s="67">
        <f>1</f>
        <v>1</v>
      </c>
      <c r="AH104" s="67">
        <f t="shared" si="42"/>
        <v>17990000</v>
      </c>
      <c r="AI104" s="67">
        <f t="shared" si="43"/>
        <v>599.82689641898548</v>
      </c>
      <c r="AJ104" s="67">
        <f t="shared" si="44"/>
        <v>0</v>
      </c>
      <c r="AK104" s="66">
        <f t="shared" si="54"/>
        <v>7.724550898203586E-2</v>
      </c>
    </row>
    <row r="105" spans="1:37" ht="12.75" customHeight="1" x14ac:dyDescent="0.25">
      <c r="A105" s="55" t="s">
        <v>624</v>
      </c>
      <c r="B105" s="55" t="s">
        <v>413</v>
      </c>
      <c r="C105" s="55" t="s">
        <v>416</v>
      </c>
      <c r="D105" s="128">
        <v>2017</v>
      </c>
      <c r="E105" s="55" t="s">
        <v>675</v>
      </c>
      <c r="F105" s="57">
        <f>SIM_Parametres!$C$23</f>
        <v>1269170000</v>
      </c>
      <c r="G105" s="129">
        <f>SIM_Districts!D34*(1+SIM_Parametres!$B$6)^(2017-2023)</f>
        <v>68804.356592102311</v>
      </c>
      <c r="H105" s="129">
        <f>MAX(0,MIN(100,SIM_Districts!F34+(2017-2022)*SIM_Parametres!$B$7))</f>
        <v>69.850000000000009</v>
      </c>
      <c r="I105" s="129">
        <f>SIM_Districts!G34*(1+SIM_Parametres!$B$8)^(2017-2023)</f>
        <v>57.981957027848154</v>
      </c>
      <c r="J105" s="129">
        <f>SIM_Districts!H34*(1+SIM_Parametres!$B$9)^(2017-2023)</f>
        <v>40.079707813285005</v>
      </c>
      <c r="K105" s="129">
        <f>MAX(0,MIN(100,SIM_Districts!I34+(2017-2023)*SIM_Parametres!$B$10))</f>
        <v>75.599999999999994</v>
      </c>
      <c r="L105" s="129">
        <f>SIM_Districts!E34</f>
        <v>7918</v>
      </c>
      <c r="M105" s="68">
        <f t="shared" si="27"/>
        <v>8.689613108373619</v>
      </c>
      <c r="N105" s="129">
        <f>SIM_Districts!J34</f>
        <v>59423</v>
      </c>
      <c r="O105" s="56">
        <v>16240000</v>
      </c>
      <c r="P105" s="130">
        <f>SIM_Parametres!$D$23</f>
        <v>0</v>
      </c>
      <c r="Q105" s="130">
        <f>SIM_Parametres!$B$12</f>
        <v>0.2</v>
      </c>
      <c r="R105" s="59">
        <f t="shared" si="45"/>
        <v>4.5323977396930929E-3</v>
      </c>
      <c r="S105" s="59">
        <f t="shared" si="46"/>
        <v>1</v>
      </c>
      <c r="T105" s="59">
        <f t="shared" si="47"/>
        <v>0.80386740331491713</v>
      </c>
      <c r="U105" s="59">
        <f t="shared" si="48"/>
        <v>0.77386406994971757</v>
      </c>
      <c r="V105" s="59">
        <f t="shared" si="49"/>
        <v>0</v>
      </c>
      <c r="W105" s="59">
        <f t="shared" si="50"/>
        <v>2.3842739378566891E-2</v>
      </c>
      <c r="X105" s="59">
        <f t="shared" si="51"/>
        <v>1.590772426611272E-2</v>
      </c>
      <c r="Y105" s="59">
        <f t="shared" si="52"/>
        <v>1.9772002155383654E-2</v>
      </c>
      <c r="Z105" s="59">
        <f t="shared" si="53"/>
        <v>0</v>
      </c>
      <c r="AA105" s="59">
        <f t="shared" si="37"/>
        <v>9.6706082982869809E-3</v>
      </c>
      <c r="AB105" s="59">
        <f t="shared" si="38"/>
        <v>1.2795764160829519E-2</v>
      </c>
      <c r="AC105" s="60">
        <f t="shared" si="39"/>
        <v>13394043.507712891</v>
      </c>
      <c r="AD105" s="60">
        <f t="shared" si="40"/>
        <v>16240000</v>
      </c>
      <c r="AE105" s="59">
        <f>0</f>
        <v>0</v>
      </c>
      <c r="AF105" s="60">
        <f t="shared" si="41"/>
        <v>16240000</v>
      </c>
      <c r="AG105" s="60">
        <f>1</f>
        <v>1</v>
      </c>
      <c r="AH105" s="60">
        <f t="shared" si="42"/>
        <v>16240000</v>
      </c>
      <c r="AI105" s="60">
        <f t="shared" si="43"/>
        <v>236.03156550502652</v>
      </c>
      <c r="AJ105" s="60">
        <f t="shared" si="44"/>
        <v>0</v>
      </c>
      <c r="AK105" s="59">
        <f t="shared" si="54"/>
        <v>-2.7544910179640669E-2</v>
      </c>
    </row>
    <row r="106" spans="1:37" ht="12.75" customHeight="1" x14ac:dyDescent="0.25">
      <c r="A106" s="62" t="s">
        <v>625</v>
      </c>
      <c r="B106" s="62" t="s">
        <v>417</v>
      </c>
      <c r="C106" s="62" t="s">
        <v>417</v>
      </c>
      <c r="D106" s="124">
        <v>2017</v>
      </c>
      <c r="E106" s="62" t="s">
        <v>675</v>
      </c>
      <c r="F106" s="64">
        <f>SIM_Parametres!$C$23</f>
        <v>1269170000</v>
      </c>
      <c r="G106" s="125">
        <f>SIM_Districts!D35*(1+SIM_Parametres!$B$6)^(2017-2023)</f>
        <v>284485.86463712726</v>
      </c>
      <c r="H106" s="125">
        <f>MAX(0,MIN(100,SIM_Districts!F35+(2017-2022)*SIM_Parametres!$B$7))</f>
        <v>66.650000000000006</v>
      </c>
      <c r="I106" s="125">
        <f>SIM_Districts!G35*(1+SIM_Parametres!$B$8)^(2017-2023)</f>
        <v>57.981957027848154</v>
      </c>
      <c r="J106" s="125">
        <f>SIM_Districts!H35*(1+SIM_Parametres!$B$9)^(2017-2023)</f>
        <v>33.682007974544668</v>
      </c>
      <c r="K106" s="125">
        <f>MAX(0,MIN(100,SIM_Districts!I35+(2017-2023)*SIM_Parametres!$B$10))</f>
        <v>76.5</v>
      </c>
      <c r="L106" s="125">
        <f>SIM_Districts!E35</f>
        <v>3571</v>
      </c>
      <c r="M106" s="61">
        <f t="shared" si="27"/>
        <v>79.66560197063211</v>
      </c>
      <c r="N106" s="125">
        <f>SIM_Districts!J35</f>
        <v>155501</v>
      </c>
      <c r="O106" s="63">
        <v>18425000</v>
      </c>
      <c r="P106" s="126">
        <f>SIM_Parametres!$D$23</f>
        <v>0</v>
      </c>
      <c r="Q106" s="126">
        <f>SIM_Parametres!$B$12</f>
        <v>0.2</v>
      </c>
      <c r="R106" s="66">
        <f t="shared" si="45"/>
        <v>1.8740137307002368E-2</v>
      </c>
      <c r="S106" s="66">
        <f t="shared" si="46"/>
        <v>0.94326241134751765</v>
      </c>
      <c r="T106" s="66">
        <f t="shared" si="47"/>
        <v>0.70994475138121538</v>
      </c>
      <c r="U106" s="66">
        <f t="shared" si="48"/>
        <v>0.62208351647816396</v>
      </c>
      <c r="V106" s="66">
        <f t="shared" si="49"/>
        <v>0.66684249613059499</v>
      </c>
      <c r="W106" s="66">
        <f t="shared" si="50"/>
        <v>2.2489959839357421E-2</v>
      </c>
      <c r="X106" s="66">
        <f t="shared" si="51"/>
        <v>1.4049089815776525E-2</v>
      </c>
      <c r="Y106" s="66">
        <f t="shared" si="52"/>
        <v>1.589405311120607E-2</v>
      </c>
      <c r="Z106" s="66">
        <f t="shared" si="53"/>
        <v>2.4475353458158197E-2</v>
      </c>
      <c r="AA106" s="66">
        <f t="shared" si="37"/>
        <v>1.8743410160939729E-2</v>
      </c>
      <c r="AB106" s="66">
        <f t="shared" si="38"/>
        <v>1.4517361740349993E-2</v>
      </c>
      <c r="AC106" s="67">
        <f t="shared" si="39"/>
        <v>22605985.859731283</v>
      </c>
      <c r="AD106" s="67">
        <f t="shared" si="40"/>
        <v>18425000</v>
      </c>
      <c r="AE106" s="66">
        <f>0</f>
        <v>0</v>
      </c>
      <c r="AF106" s="67">
        <f t="shared" si="41"/>
        <v>18425000</v>
      </c>
      <c r="AG106" s="67">
        <f>1</f>
        <v>1</v>
      </c>
      <c r="AH106" s="67">
        <f t="shared" si="42"/>
        <v>18425000</v>
      </c>
      <c r="AI106" s="67">
        <f t="shared" si="43"/>
        <v>64.765959544252937</v>
      </c>
      <c r="AJ106" s="67">
        <f t="shared" si="44"/>
        <v>0</v>
      </c>
      <c r="AK106" s="66">
        <f t="shared" si="54"/>
        <v>2.3611111111111027E-2</v>
      </c>
    </row>
    <row r="107" spans="1:37" ht="12.75" customHeight="1" x14ac:dyDescent="0.25">
      <c r="A107" s="55" t="s">
        <v>627</v>
      </c>
      <c r="B107" s="55" t="s">
        <v>417</v>
      </c>
      <c r="C107" s="55" t="s">
        <v>419</v>
      </c>
      <c r="D107" s="128">
        <v>2017</v>
      </c>
      <c r="E107" s="55" t="s">
        <v>675</v>
      </c>
      <c r="F107" s="57">
        <f>SIM_Parametres!$C$23</f>
        <v>1269170000</v>
      </c>
      <c r="G107" s="129">
        <f>SIM_Districts!D36*(1+SIM_Parametres!$B$6)^(2017-2023)</f>
        <v>159694.84800146596</v>
      </c>
      <c r="H107" s="129">
        <f>MAX(0,MIN(100,SIM_Districts!F36+(2017-2022)*SIM_Parametres!$B$7))</f>
        <v>66.650000000000006</v>
      </c>
      <c r="I107" s="129">
        <f>SIM_Districts!G36*(1+SIM_Parametres!$B$8)^(2017-2023)</f>
        <v>57.981957027848154</v>
      </c>
      <c r="J107" s="129">
        <f>SIM_Districts!H36*(1+SIM_Parametres!$B$9)^(2017-2023)</f>
        <v>33.682007974544668</v>
      </c>
      <c r="K107" s="129">
        <f>MAX(0,MIN(100,SIM_Districts!I36+(2017-2023)*SIM_Parametres!$B$10))</f>
        <v>76.5</v>
      </c>
      <c r="L107" s="129">
        <f>SIM_Districts!E36</f>
        <v>4702</v>
      </c>
      <c r="M107" s="68">
        <f t="shared" si="27"/>
        <v>33.963174819537635</v>
      </c>
      <c r="N107" s="129">
        <f>SIM_Districts!J36</f>
        <v>155501</v>
      </c>
      <c r="O107" s="56">
        <v>17488000</v>
      </c>
      <c r="P107" s="130">
        <f>SIM_Parametres!$D$23</f>
        <v>0</v>
      </c>
      <c r="Q107" s="130">
        <f>SIM_Parametres!$B$12</f>
        <v>0.2</v>
      </c>
      <c r="R107" s="59">
        <f t="shared" ref="R107:R138" si="55">IFERROR(G107/SUM($G$75:$G$145),1/71)</f>
        <v>1.0519690961045302E-2</v>
      </c>
      <c r="S107" s="59">
        <f t="shared" ref="S107:S138" si="56">IF(MAX($H$75:$H$145)=MIN($H$75:$H$145),1,(H107-MIN($H$75:$H$145))/(MAX($H$75:$H$145)-MIN($H$75:$H$145)))</f>
        <v>0.94326241134751765</v>
      </c>
      <c r="T107" s="59">
        <f t="shared" ref="T107:T138" si="57">(IF(MAX($I$75:$I$145)=MIN($I$75:$I$145),1,(I107-MIN($I$75:$I$145))/(MAX($I$75:$I$145)-MIN($I$75:$I$145)))+IF(MAX($J$75:$J$145)=MIN($J$75:$J$145),1,(J107-MIN($J$75:$J$145))/(MAX($J$75:$J$145)-MIN($J$75:$J$145))))/2</f>
        <v>0.70994475138121538</v>
      </c>
      <c r="U107" s="59">
        <f t="shared" ref="U107:U138" si="58">(IF(MAX($L$75:$L$145)=MIN($L$75:$L$145),1,(L107-MIN($L$75:$L$145))/(MAX($L$75:$L$145)-MIN($L$75:$L$145)))+IF(MAX($M$75:$M$145)=MIN($M$75:$M$145),1,(MAX($M$75:$M$145)-M107)/(MAX($M$75:$M$145)-MIN($M$75:$M$145))))/2</f>
        <v>0.66203363691805861</v>
      </c>
      <c r="V107" s="59">
        <f t="shared" ref="V107:V138" si="59">IF(MAX($N$75:$N$145)=MIN($N$75:$N$145),1,(N107-MIN($N$75:$N$145))/(MAX($N$75:$N$145)-MIN($N$75:$N$145)))</f>
        <v>0.66684249613059499</v>
      </c>
      <c r="W107" s="59">
        <f t="shared" ref="W107:W138" si="60">IFERROR(S107/SUM($S$75:$S$145),1/71)</f>
        <v>2.2489959839357421E-2</v>
      </c>
      <c r="X107" s="59">
        <f t="shared" ref="X107:X138" si="61">IFERROR(T107/SUM($T$75:$T$145),1/71)</f>
        <v>1.4049089815776525E-2</v>
      </c>
      <c r="Y107" s="59">
        <f t="shared" ref="Y107:Y138" si="62">IFERROR(U107/SUM($U$75:$U$145),1/71)</f>
        <v>1.6914767081679924E-2</v>
      </c>
      <c r="Z107" s="59">
        <f t="shared" ref="Z107:Z138" si="63">IFERROR(V107/SUM($V$75:$V$145),1/71)</f>
        <v>2.4475353458158197E-2</v>
      </c>
      <c r="AA107" s="59">
        <f t="shared" si="37"/>
        <v>1.3862178051889181E-2</v>
      </c>
      <c r="AB107" s="59">
        <f t="shared" si="38"/>
        <v>1.3779083968262723E-2</v>
      </c>
      <c r="AC107" s="60">
        <f t="shared" si="39"/>
        <v>17649895.175056335</v>
      </c>
      <c r="AD107" s="60">
        <f t="shared" si="40"/>
        <v>17488000</v>
      </c>
      <c r="AE107" s="59">
        <f>0</f>
        <v>0</v>
      </c>
      <c r="AF107" s="60">
        <f t="shared" si="41"/>
        <v>17488000</v>
      </c>
      <c r="AG107" s="60">
        <f>1</f>
        <v>1</v>
      </c>
      <c r="AH107" s="60">
        <f t="shared" si="42"/>
        <v>17488000</v>
      </c>
      <c r="AI107" s="60">
        <f t="shared" si="43"/>
        <v>109.50885528780155</v>
      </c>
      <c r="AJ107" s="60">
        <f t="shared" si="44"/>
        <v>0</v>
      </c>
      <c r="AK107" s="59">
        <f t="shared" si="54"/>
        <v>-3.2208079690094094E-2</v>
      </c>
    </row>
    <row r="108" spans="1:37" ht="12.75" customHeight="1" x14ac:dyDescent="0.25">
      <c r="A108" s="62" t="s">
        <v>628</v>
      </c>
      <c r="B108" s="62" t="s">
        <v>417</v>
      </c>
      <c r="C108" s="62" t="s">
        <v>420</v>
      </c>
      <c r="D108" s="124">
        <v>2017</v>
      </c>
      <c r="E108" s="62" t="s">
        <v>675</v>
      </c>
      <c r="F108" s="64">
        <f>SIM_Parametres!$C$23</f>
        <v>1269170000</v>
      </c>
      <c r="G108" s="125">
        <f>SIM_Districts!D37*(1+SIM_Parametres!$B$6)^(2017-2023)</f>
        <v>321948.2104071005</v>
      </c>
      <c r="H108" s="125">
        <f>MAX(0,MIN(100,SIM_Districts!F37+(2017-2022)*SIM_Parametres!$B$7))</f>
        <v>66.650000000000006</v>
      </c>
      <c r="I108" s="125">
        <f>SIM_Districts!G37*(1+SIM_Parametres!$B$8)^(2017-2023)</f>
        <v>57.981957027848154</v>
      </c>
      <c r="J108" s="125">
        <f>SIM_Districts!H37*(1+SIM_Parametres!$B$9)^(2017-2023)</f>
        <v>33.682007974544668</v>
      </c>
      <c r="K108" s="125">
        <f>MAX(0,MIN(100,SIM_Districts!I37+(2017-2023)*SIM_Parametres!$B$10))</f>
        <v>76.5</v>
      </c>
      <c r="L108" s="125">
        <f>SIM_Districts!E37</f>
        <v>5498</v>
      </c>
      <c r="M108" s="61">
        <f t="shared" si="27"/>
        <v>58.557331831047748</v>
      </c>
      <c r="N108" s="125">
        <f>SIM_Districts!J37</f>
        <v>155501</v>
      </c>
      <c r="O108" s="63">
        <v>23600000</v>
      </c>
      <c r="P108" s="126">
        <f>SIM_Parametres!$D$23</f>
        <v>0</v>
      </c>
      <c r="Q108" s="126">
        <f>SIM_Parametres!$B$12</f>
        <v>0.2</v>
      </c>
      <c r="R108" s="66">
        <f t="shared" si="55"/>
        <v>2.120792073964212E-2</v>
      </c>
      <c r="S108" s="66">
        <f t="shared" si="56"/>
        <v>0.94326241134751765</v>
      </c>
      <c r="T108" s="66">
        <f t="shared" si="57"/>
        <v>0.70994475138121538</v>
      </c>
      <c r="U108" s="66">
        <f t="shared" si="58"/>
        <v>0.68919209164884077</v>
      </c>
      <c r="V108" s="66">
        <f t="shared" si="59"/>
        <v>0.66684249613059499</v>
      </c>
      <c r="W108" s="66">
        <f t="shared" si="60"/>
        <v>2.2489959839357421E-2</v>
      </c>
      <c r="X108" s="66">
        <f t="shared" si="61"/>
        <v>1.4049089815776525E-2</v>
      </c>
      <c r="Y108" s="66">
        <f t="shared" si="62"/>
        <v>1.7608657709666832E-2</v>
      </c>
      <c r="Z108" s="66">
        <f t="shared" si="63"/>
        <v>2.4475353458158197E-2</v>
      </c>
      <c r="AA108" s="66">
        <f t="shared" si="37"/>
        <v>2.0309810450446615E-2</v>
      </c>
      <c r="AB108" s="66">
        <f t="shared" si="38"/>
        <v>1.8594829691845852E-2</v>
      </c>
      <c r="AC108" s="67">
        <f t="shared" si="39"/>
        <v>24196408.464078043</v>
      </c>
      <c r="AD108" s="67">
        <f t="shared" si="40"/>
        <v>23600000</v>
      </c>
      <c r="AE108" s="66">
        <f>0</f>
        <v>0</v>
      </c>
      <c r="AF108" s="67">
        <f t="shared" si="41"/>
        <v>23600000</v>
      </c>
      <c r="AG108" s="67">
        <f>1</f>
        <v>1</v>
      </c>
      <c r="AH108" s="67">
        <f t="shared" si="42"/>
        <v>23600000</v>
      </c>
      <c r="AI108" s="67">
        <f t="shared" si="43"/>
        <v>73.303715433479255</v>
      </c>
      <c r="AJ108" s="67">
        <f t="shared" si="44"/>
        <v>0</v>
      </c>
      <c r="AK108" s="66">
        <f t="shared" si="54"/>
        <v>-2.4793388429752095E-2</v>
      </c>
    </row>
    <row r="109" spans="1:37" ht="12.75" customHeight="1" x14ac:dyDescent="0.25">
      <c r="A109" s="55" t="s">
        <v>629</v>
      </c>
      <c r="B109" s="55" t="s">
        <v>421</v>
      </c>
      <c r="C109" s="55" t="s">
        <v>423</v>
      </c>
      <c r="D109" s="128">
        <v>2017</v>
      </c>
      <c r="E109" s="55" t="s">
        <v>675</v>
      </c>
      <c r="F109" s="57">
        <f>SIM_Parametres!$C$23</f>
        <v>1269170000</v>
      </c>
      <c r="G109" s="129">
        <f>SIM_Districts!D38*(1+SIM_Parametres!$B$6)^(2017-2023)</f>
        <v>68433.351066391449</v>
      </c>
      <c r="H109" s="129">
        <f>MAX(0,MIN(100,SIM_Districts!F38+(2017-2022)*SIM_Parametres!$B$7))</f>
        <v>51.15</v>
      </c>
      <c r="I109" s="129">
        <f>SIM_Districts!G38*(1+SIM_Parametres!$B$8)^(2017-2023)</f>
        <v>57.981957027848154</v>
      </c>
      <c r="J109" s="129">
        <f>SIM_Districts!H38*(1+SIM_Parametres!$B$9)^(2017-2023)</f>
        <v>33.870175616860564</v>
      </c>
      <c r="K109" s="129">
        <f>MAX(0,MIN(100,SIM_Districts!I38+(2017-2023)*SIM_Parametres!$B$10))</f>
        <v>81.8</v>
      </c>
      <c r="L109" s="129">
        <f>SIM_Districts!E38</f>
        <v>822</v>
      </c>
      <c r="M109" s="68">
        <f t="shared" si="27"/>
        <v>83.252251905585709</v>
      </c>
      <c r="N109" s="129">
        <f>SIM_Districts!J38</f>
        <v>97480</v>
      </c>
      <c r="O109" s="56">
        <v>14200000</v>
      </c>
      <c r="P109" s="130">
        <f>SIM_Parametres!$D$23</f>
        <v>0</v>
      </c>
      <c r="Q109" s="130">
        <f>SIM_Parametres!$B$12</f>
        <v>0.2</v>
      </c>
      <c r="R109" s="59">
        <f t="shared" si="55"/>
        <v>4.5079582319433971E-3</v>
      </c>
      <c r="S109" s="59">
        <f t="shared" si="56"/>
        <v>0.66843971631205668</v>
      </c>
      <c r="T109" s="59">
        <f t="shared" si="57"/>
        <v>0.71270718232044206</v>
      </c>
      <c r="U109" s="59">
        <f t="shared" si="58"/>
        <v>0.52679639914705134</v>
      </c>
      <c r="V109" s="59">
        <f t="shared" si="59"/>
        <v>0.26413981218637</v>
      </c>
      <c r="W109" s="59">
        <f t="shared" si="60"/>
        <v>1.5937433946311558E-2</v>
      </c>
      <c r="X109" s="59">
        <f t="shared" si="61"/>
        <v>1.4103755534904065E-2</v>
      </c>
      <c r="Y109" s="59">
        <f t="shared" si="62"/>
        <v>1.3459494947298202E-2</v>
      </c>
      <c r="Z109" s="59">
        <f t="shared" si="63"/>
        <v>9.6948159470131197E-3</v>
      </c>
      <c r="AA109" s="59">
        <f t="shared" si="37"/>
        <v>8.3686689060639488E-3</v>
      </c>
      <c r="AB109" s="59">
        <f t="shared" si="38"/>
        <v>1.1188414475602166E-2</v>
      </c>
      <c r="AC109" s="60">
        <f t="shared" si="39"/>
        <v>12072137.572970726</v>
      </c>
      <c r="AD109" s="60">
        <f t="shared" si="40"/>
        <v>14200000</v>
      </c>
      <c r="AE109" s="59">
        <f>0</f>
        <v>0</v>
      </c>
      <c r="AF109" s="60">
        <f t="shared" si="41"/>
        <v>14200000</v>
      </c>
      <c r="AG109" s="60">
        <f>1</f>
        <v>1</v>
      </c>
      <c r="AH109" s="60">
        <f t="shared" si="42"/>
        <v>14200000</v>
      </c>
      <c r="AI109" s="60">
        <f t="shared" si="43"/>
        <v>207.50116396059133</v>
      </c>
      <c r="AJ109" s="60">
        <f t="shared" si="44"/>
        <v>0</v>
      </c>
      <c r="AK109" s="59">
        <f t="shared" si="54"/>
        <v>-5.3333333333333344E-2</v>
      </c>
    </row>
    <row r="110" spans="1:37" ht="12.75" customHeight="1" x14ac:dyDescent="0.25">
      <c r="A110" s="62" t="s">
        <v>631</v>
      </c>
      <c r="B110" s="62" t="s">
        <v>421</v>
      </c>
      <c r="C110" s="62" t="s">
        <v>424</v>
      </c>
      <c r="D110" s="124">
        <v>2017</v>
      </c>
      <c r="E110" s="62" t="s">
        <v>675</v>
      </c>
      <c r="F110" s="64">
        <f>SIM_Parametres!$C$23</f>
        <v>1269170000</v>
      </c>
      <c r="G110" s="125">
        <f>SIM_Districts!D39*(1+SIM_Parametres!$B$6)^(2017-2023)</f>
        <v>142178.02728867065</v>
      </c>
      <c r="H110" s="125">
        <f>MAX(0,MIN(100,SIM_Districts!F39+(2017-2022)*SIM_Parametres!$B$7))</f>
        <v>51.15</v>
      </c>
      <c r="I110" s="125">
        <f>SIM_Districts!G39*(1+SIM_Parametres!$B$8)^(2017-2023)</f>
        <v>57.981957027848154</v>
      </c>
      <c r="J110" s="125">
        <f>SIM_Districts!H39*(1+SIM_Parametres!$B$9)^(2017-2023)</f>
        <v>33.870175616860564</v>
      </c>
      <c r="K110" s="125">
        <f>MAX(0,MIN(100,SIM_Districts!I39+(2017-2023)*SIM_Parametres!$B$10))</f>
        <v>81.8</v>
      </c>
      <c r="L110" s="125">
        <f>SIM_Districts!E39</f>
        <v>6832</v>
      </c>
      <c r="M110" s="61">
        <f t="shared" si="27"/>
        <v>20.810601183938914</v>
      </c>
      <c r="N110" s="125">
        <f>SIM_Districts!J39</f>
        <v>97480</v>
      </c>
      <c r="O110" s="63">
        <v>21120000</v>
      </c>
      <c r="P110" s="126">
        <f>SIM_Parametres!$D$23</f>
        <v>0</v>
      </c>
      <c r="Q110" s="126">
        <f>SIM_Parametres!$B$12</f>
        <v>0.2</v>
      </c>
      <c r="R110" s="66">
        <f t="shared" si="55"/>
        <v>9.3657931188497138E-3</v>
      </c>
      <c r="S110" s="66">
        <f t="shared" si="56"/>
        <v>0.66843971631205668</v>
      </c>
      <c r="T110" s="66">
        <f t="shared" si="57"/>
        <v>0.71270718232044206</v>
      </c>
      <c r="U110" s="66">
        <f t="shared" si="58"/>
        <v>0.73603986945859257</v>
      </c>
      <c r="V110" s="66">
        <f t="shared" si="59"/>
        <v>0.26413981218637</v>
      </c>
      <c r="W110" s="66">
        <f t="shared" si="60"/>
        <v>1.5937433946311558E-2</v>
      </c>
      <c r="X110" s="66">
        <f t="shared" si="61"/>
        <v>1.4103755534904065E-2</v>
      </c>
      <c r="Y110" s="66">
        <f t="shared" si="62"/>
        <v>1.880560482195431E-2</v>
      </c>
      <c r="Z110" s="66">
        <f t="shared" si="63"/>
        <v>9.6948159470131197E-3</v>
      </c>
      <c r="AA110" s="66">
        <f t="shared" si="37"/>
        <v>1.1550675331940544E-2</v>
      </c>
      <c r="AB110" s="66">
        <f t="shared" si="38"/>
        <v>1.6640796741177306E-2</v>
      </c>
      <c r="AC110" s="67">
        <f t="shared" si="39"/>
        <v>15302943.249394566</v>
      </c>
      <c r="AD110" s="67">
        <f t="shared" si="40"/>
        <v>21120000</v>
      </c>
      <c r="AE110" s="66">
        <f>0</f>
        <v>0</v>
      </c>
      <c r="AF110" s="67">
        <f t="shared" si="41"/>
        <v>21120000</v>
      </c>
      <c r="AG110" s="67">
        <f>1</f>
        <v>1</v>
      </c>
      <c r="AH110" s="67">
        <f t="shared" si="42"/>
        <v>21120000</v>
      </c>
      <c r="AI110" s="67">
        <f t="shared" si="43"/>
        <v>148.54616006958011</v>
      </c>
      <c r="AJ110" s="67">
        <f t="shared" si="44"/>
        <v>0</v>
      </c>
      <c r="AK110" s="66">
        <f t="shared" si="54"/>
        <v>-1.7674418604651132E-2</v>
      </c>
    </row>
    <row r="111" spans="1:37" ht="12.75" customHeight="1" x14ac:dyDescent="0.25">
      <c r="A111" s="55" t="s">
        <v>632</v>
      </c>
      <c r="B111" s="55" t="s">
        <v>421</v>
      </c>
      <c r="C111" s="55" t="s">
        <v>425</v>
      </c>
      <c r="D111" s="128">
        <v>2017</v>
      </c>
      <c r="E111" s="55" t="s">
        <v>675</v>
      </c>
      <c r="F111" s="57">
        <f>SIM_Parametres!$C$23</f>
        <v>1269170000</v>
      </c>
      <c r="G111" s="129">
        <f>SIM_Districts!D40*(1+SIM_Parametres!$B$6)^(2017-2023)</f>
        <v>89391.394589899908</v>
      </c>
      <c r="H111" s="129">
        <f>MAX(0,MIN(100,SIM_Districts!F40+(2017-2022)*SIM_Parametres!$B$7))</f>
        <v>51.15</v>
      </c>
      <c r="I111" s="129">
        <f>SIM_Districts!G40*(1+SIM_Parametres!$B$8)^(2017-2023)</f>
        <v>57.981957027848154</v>
      </c>
      <c r="J111" s="129">
        <f>SIM_Districts!H40*(1+SIM_Parametres!$B$9)^(2017-2023)</f>
        <v>33.870175616860564</v>
      </c>
      <c r="K111" s="129">
        <f>MAX(0,MIN(100,SIM_Districts!I40+(2017-2023)*SIM_Parametres!$B$10))</f>
        <v>81.8</v>
      </c>
      <c r="L111" s="129">
        <f>SIM_Districts!E40</f>
        <v>1601</v>
      </c>
      <c r="M111" s="68">
        <f t="shared" si="27"/>
        <v>55.834724915615183</v>
      </c>
      <c r="N111" s="129">
        <f>SIM_Districts!J40</f>
        <v>97480</v>
      </c>
      <c r="O111" s="56">
        <v>22830000</v>
      </c>
      <c r="P111" s="130">
        <f>SIM_Parametres!$D$23</f>
        <v>0</v>
      </c>
      <c r="Q111" s="130">
        <f>SIM_Parametres!$B$12</f>
        <v>0.2</v>
      </c>
      <c r="R111" s="59">
        <f t="shared" si="55"/>
        <v>5.8885421629505013E-3</v>
      </c>
      <c r="S111" s="59">
        <f t="shared" si="56"/>
        <v>0.66843971631205668</v>
      </c>
      <c r="T111" s="59">
        <f t="shared" si="57"/>
        <v>0.71270718232044206</v>
      </c>
      <c r="U111" s="59">
        <f t="shared" si="58"/>
        <v>0.5542443044598161</v>
      </c>
      <c r="V111" s="59">
        <f t="shared" si="59"/>
        <v>0.26413981218637</v>
      </c>
      <c r="W111" s="59">
        <f t="shared" si="60"/>
        <v>1.5937433946311558E-2</v>
      </c>
      <c r="X111" s="59">
        <f t="shared" si="61"/>
        <v>1.4103755534904065E-2</v>
      </c>
      <c r="Y111" s="59">
        <f t="shared" si="62"/>
        <v>1.4160780953560275E-2</v>
      </c>
      <c r="Z111" s="59">
        <f t="shared" si="63"/>
        <v>9.6948159470131197E-3</v>
      </c>
      <c r="AA111" s="59">
        <f t="shared" si="37"/>
        <v>9.2320835649813138E-3</v>
      </c>
      <c r="AB111" s="59">
        <f t="shared" si="38"/>
        <v>1.7988133977323763E-2</v>
      </c>
      <c r="AC111" s="60">
        <f t="shared" si="39"/>
        <v>12948793.559097247</v>
      </c>
      <c r="AD111" s="60">
        <f t="shared" si="40"/>
        <v>22830000</v>
      </c>
      <c r="AE111" s="59">
        <f>0</f>
        <v>0</v>
      </c>
      <c r="AF111" s="60">
        <f t="shared" si="41"/>
        <v>22830000</v>
      </c>
      <c r="AG111" s="60">
        <f>1</f>
        <v>1</v>
      </c>
      <c r="AH111" s="60">
        <f t="shared" si="42"/>
        <v>22830000</v>
      </c>
      <c r="AI111" s="60">
        <f t="shared" si="43"/>
        <v>255.39371104720968</v>
      </c>
      <c r="AJ111" s="60">
        <f t="shared" si="44"/>
        <v>0</v>
      </c>
      <c r="AK111" s="59">
        <f t="shared" si="54"/>
        <v>0.35892857142857149</v>
      </c>
    </row>
    <row r="112" spans="1:37" ht="12.75" customHeight="1" x14ac:dyDescent="0.25">
      <c r="A112" s="62" t="s">
        <v>633</v>
      </c>
      <c r="B112" s="62" t="s">
        <v>421</v>
      </c>
      <c r="C112" s="62" t="s">
        <v>426</v>
      </c>
      <c r="D112" s="124">
        <v>2017</v>
      </c>
      <c r="E112" s="62" t="s">
        <v>675</v>
      </c>
      <c r="F112" s="64">
        <f>SIM_Parametres!$C$23</f>
        <v>1269170000</v>
      </c>
      <c r="G112" s="125">
        <f>SIM_Districts!D41*(1+SIM_Parametres!$B$6)^(2017-2023)</f>
        <v>190064.53960158533</v>
      </c>
      <c r="H112" s="125">
        <f>MAX(0,MIN(100,SIM_Districts!F41+(2017-2022)*SIM_Parametres!$B$7))</f>
        <v>51.15</v>
      </c>
      <c r="I112" s="125">
        <f>SIM_Districts!G41*(1+SIM_Parametres!$B$8)^(2017-2023)</f>
        <v>57.981957027848154</v>
      </c>
      <c r="J112" s="125">
        <f>SIM_Districts!H41*(1+SIM_Parametres!$B$9)^(2017-2023)</f>
        <v>33.870175616860564</v>
      </c>
      <c r="K112" s="125">
        <f>MAX(0,MIN(100,SIM_Districts!I41+(2017-2023)*SIM_Parametres!$B$10))</f>
        <v>81.8</v>
      </c>
      <c r="L112" s="125">
        <f>SIM_Districts!E41</f>
        <v>2260</v>
      </c>
      <c r="M112" s="61">
        <f t="shared" si="27"/>
        <v>84.099353806011209</v>
      </c>
      <c r="N112" s="125">
        <f>SIM_Districts!J41</f>
        <v>97480</v>
      </c>
      <c r="O112" s="63">
        <v>17627000</v>
      </c>
      <c r="P112" s="126">
        <f>SIM_Parametres!$D$23</f>
        <v>0</v>
      </c>
      <c r="Q112" s="126">
        <f>SIM_Parametres!$B$12</f>
        <v>0.2</v>
      </c>
      <c r="R112" s="66">
        <f t="shared" si="55"/>
        <v>1.2520255000610162E-2</v>
      </c>
      <c r="S112" s="66">
        <f t="shared" si="56"/>
        <v>0.66843971631205668</v>
      </c>
      <c r="T112" s="66">
        <f t="shared" si="57"/>
        <v>0.71270718232044206</v>
      </c>
      <c r="U112" s="66">
        <f t="shared" si="58"/>
        <v>0.57659503553202685</v>
      </c>
      <c r="V112" s="66">
        <f t="shared" si="59"/>
        <v>0.26413981218637</v>
      </c>
      <c r="W112" s="66">
        <f t="shared" si="60"/>
        <v>1.5937433946311558E-2</v>
      </c>
      <c r="X112" s="66">
        <f t="shared" si="61"/>
        <v>1.4103755534904065E-2</v>
      </c>
      <c r="Y112" s="66">
        <f t="shared" si="62"/>
        <v>1.4731835638865494E-2</v>
      </c>
      <c r="Z112" s="66">
        <f t="shared" si="63"/>
        <v>9.6948159470131197E-3</v>
      </c>
      <c r="AA112" s="66">
        <f t="shared" si="37"/>
        <v>1.3239664001842372E-2</v>
      </c>
      <c r="AB112" s="66">
        <f t="shared" si="38"/>
        <v>1.3888604363481645E-2</v>
      </c>
      <c r="AC112" s="67">
        <f t="shared" si="39"/>
        <v>17017834.249538008</v>
      </c>
      <c r="AD112" s="67">
        <f t="shared" si="40"/>
        <v>17627000</v>
      </c>
      <c r="AE112" s="66">
        <f>0</f>
        <v>0</v>
      </c>
      <c r="AF112" s="67">
        <f t="shared" si="41"/>
        <v>17627000</v>
      </c>
      <c r="AG112" s="67">
        <f>1</f>
        <v>1</v>
      </c>
      <c r="AH112" s="67">
        <f t="shared" si="42"/>
        <v>17627000</v>
      </c>
      <c r="AI112" s="67">
        <f t="shared" si="43"/>
        <v>92.742181350344708</v>
      </c>
      <c r="AJ112" s="67">
        <f t="shared" si="44"/>
        <v>0</v>
      </c>
      <c r="AK112" s="66">
        <f t="shared" si="54"/>
        <v>1.3045977011494347E-2</v>
      </c>
    </row>
    <row r="113" spans="1:37" ht="12.75" customHeight="1" x14ac:dyDescent="0.25">
      <c r="A113" s="55" t="s">
        <v>634</v>
      </c>
      <c r="B113" s="55" t="s">
        <v>421</v>
      </c>
      <c r="C113" s="55" t="s">
        <v>427</v>
      </c>
      <c r="D113" s="128">
        <v>2017</v>
      </c>
      <c r="E113" s="55" t="s">
        <v>675</v>
      </c>
      <c r="F113" s="57">
        <f>SIM_Parametres!$C$23</f>
        <v>1269170000</v>
      </c>
      <c r="G113" s="129">
        <f>SIM_Districts!D42*(1+SIM_Parametres!$B$6)^(2017-2023)</f>
        <v>81601.116034228558</v>
      </c>
      <c r="H113" s="129">
        <f>MAX(0,MIN(100,SIM_Districts!F42+(2017-2022)*SIM_Parametres!$B$7))</f>
        <v>51.15</v>
      </c>
      <c r="I113" s="129">
        <f>SIM_Districts!G42*(1+SIM_Parametres!$B$8)^(2017-2023)</f>
        <v>57.981957027848154</v>
      </c>
      <c r="J113" s="129">
        <f>SIM_Districts!H42*(1+SIM_Parametres!$B$9)^(2017-2023)</f>
        <v>33.870175616860564</v>
      </c>
      <c r="K113" s="129">
        <f>MAX(0,MIN(100,SIM_Districts!I42+(2017-2023)*SIM_Parametres!$B$10))</f>
        <v>81.8</v>
      </c>
      <c r="L113" s="129">
        <f>SIM_Districts!E42</f>
        <v>2889</v>
      </c>
      <c r="M113" s="68">
        <f t="shared" si="27"/>
        <v>28.245453802086729</v>
      </c>
      <c r="N113" s="129">
        <f>SIM_Districts!J42</f>
        <v>97480</v>
      </c>
      <c r="O113" s="56">
        <v>15330000</v>
      </c>
      <c r="P113" s="130">
        <f>SIM_Parametres!$D$23</f>
        <v>0</v>
      </c>
      <c r="Q113" s="130">
        <f>SIM_Parametres!$B$12</f>
        <v>0.2</v>
      </c>
      <c r="R113" s="59">
        <f t="shared" si="55"/>
        <v>5.375367668395933E-3</v>
      </c>
      <c r="S113" s="59">
        <f t="shared" si="56"/>
        <v>0.66843971631205668</v>
      </c>
      <c r="T113" s="59">
        <f t="shared" si="57"/>
        <v>0.71270718232044206</v>
      </c>
      <c r="U113" s="59">
        <f t="shared" si="58"/>
        <v>0.59932709011759788</v>
      </c>
      <c r="V113" s="59">
        <f t="shared" si="59"/>
        <v>0.26413981218637</v>
      </c>
      <c r="W113" s="59">
        <f t="shared" si="60"/>
        <v>1.5937433946311558E-2</v>
      </c>
      <c r="X113" s="59">
        <f t="shared" si="61"/>
        <v>1.4103755534904065E-2</v>
      </c>
      <c r="Y113" s="59">
        <f t="shared" si="62"/>
        <v>1.5312633029150603E-2</v>
      </c>
      <c r="Z113" s="59">
        <f t="shared" si="63"/>
        <v>9.6948159470131197E-3</v>
      </c>
      <c r="AA113" s="59">
        <f t="shared" si="37"/>
        <v>8.9817714720280897E-3</v>
      </c>
      <c r="AB113" s="59">
        <f t="shared" si="38"/>
        <v>1.2078760134576141E-2</v>
      </c>
      <c r="AC113" s="60">
        <f t="shared" si="39"/>
        <v>12694642.679886492</v>
      </c>
      <c r="AD113" s="60">
        <f t="shared" si="40"/>
        <v>15330000</v>
      </c>
      <c r="AE113" s="59">
        <f>0</f>
        <v>0</v>
      </c>
      <c r="AF113" s="60">
        <f t="shared" si="41"/>
        <v>15330000</v>
      </c>
      <c r="AG113" s="60">
        <f>1</f>
        <v>1</v>
      </c>
      <c r="AH113" s="60">
        <f t="shared" si="42"/>
        <v>15330000</v>
      </c>
      <c r="AI113" s="60">
        <f t="shared" si="43"/>
        <v>187.86507764881119</v>
      </c>
      <c r="AJ113" s="60">
        <f t="shared" si="44"/>
        <v>0</v>
      </c>
      <c r="AK113" s="59">
        <f t="shared" si="54"/>
        <v>-2.3566878980891715E-2</v>
      </c>
    </row>
    <row r="114" spans="1:37" ht="12.75" customHeight="1" x14ac:dyDescent="0.25">
      <c r="A114" s="62" t="s">
        <v>635</v>
      </c>
      <c r="B114" s="62" t="s">
        <v>421</v>
      </c>
      <c r="C114" s="62" t="s">
        <v>428</v>
      </c>
      <c r="D114" s="124">
        <v>2017</v>
      </c>
      <c r="E114" s="62" t="s">
        <v>675</v>
      </c>
      <c r="F114" s="64">
        <f>SIM_Parametres!$C$23</f>
        <v>1269170000</v>
      </c>
      <c r="G114" s="125">
        <f>SIM_Districts!D43*(1+SIM_Parametres!$B$6)^(2017-2023)</f>
        <v>118740.1928811219</v>
      </c>
      <c r="H114" s="125">
        <f>MAX(0,MIN(100,SIM_Districts!F43+(2017-2022)*SIM_Parametres!$B$7))</f>
        <v>51.15</v>
      </c>
      <c r="I114" s="125">
        <f>SIM_Districts!G43*(1+SIM_Parametres!$B$8)^(2017-2023)</f>
        <v>57.981957027848154</v>
      </c>
      <c r="J114" s="125">
        <f>SIM_Districts!H43*(1+SIM_Parametres!$B$9)^(2017-2023)</f>
        <v>33.870175616860564</v>
      </c>
      <c r="K114" s="125">
        <f>MAX(0,MIN(100,SIM_Districts!I43+(2017-2023)*SIM_Parametres!$B$10))</f>
        <v>81.8</v>
      </c>
      <c r="L114" s="125">
        <f>SIM_Districts!E43</f>
        <v>8907</v>
      </c>
      <c r="M114" s="61">
        <f t="shared" si="27"/>
        <v>13.331109563390804</v>
      </c>
      <c r="N114" s="125">
        <f>SIM_Districts!J43</f>
        <v>97480</v>
      </c>
      <c r="O114" s="63">
        <v>17100000</v>
      </c>
      <c r="P114" s="126">
        <f>SIM_Parametres!$D$23</f>
        <v>0</v>
      </c>
      <c r="Q114" s="126">
        <f>SIM_Parametres!$B$12</f>
        <v>0.2</v>
      </c>
      <c r="R114" s="66">
        <f t="shared" si="55"/>
        <v>7.8218561800619084E-3</v>
      </c>
      <c r="S114" s="66">
        <f t="shared" si="56"/>
        <v>0.66843971631205668</v>
      </c>
      <c r="T114" s="66">
        <f t="shared" si="57"/>
        <v>0.71270718232044206</v>
      </c>
      <c r="U114" s="66">
        <f t="shared" si="58"/>
        <v>0.80804507507275991</v>
      </c>
      <c r="V114" s="66">
        <f t="shared" si="59"/>
        <v>0.26413981218637</v>
      </c>
      <c r="W114" s="66">
        <f t="shared" si="60"/>
        <v>1.5937433946311558E-2</v>
      </c>
      <c r="X114" s="66">
        <f t="shared" si="61"/>
        <v>1.4103755534904065E-2</v>
      </c>
      <c r="Y114" s="66">
        <f t="shared" si="62"/>
        <v>2.0645316905621231E-2</v>
      </c>
      <c r="Z114" s="66">
        <f t="shared" si="63"/>
        <v>9.6948159470131197E-3</v>
      </c>
      <c r="AA114" s="66">
        <f t="shared" si="37"/>
        <v>1.0716298772851206E-2</v>
      </c>
      <c r="AB114" s="66">
        <f t="shared" si="38"/>
        <v>1.347337236146458E-2</v>
      </c>
      <c r="AC114" s="67">
        <f t="shared" si="39"/>
        <v>14455770.691395031</v>
      </c>
      <c r="AD114" s="67">
        <f t="shared" si="40"/>
        <v>17100000</v>
      </c>
      <c r="AE114" s="66">
        <f>0</f>
        <v>0</v>
      </c>
      <c r="AF114" s="67">
        <f t="shared" si="41"/>
        <v>17100000</v>
      </c>
      <c r="AG114" s="67">
        <f>1</f>
        <v>1</v>
      </c>
      <c r="AH114" s="67">
        <f t="shared" si="42"/>
        <v>17100000</v>
      </c>
      <c r="AI114" s="67">
        <f t="shared" si="43"/>
        <v>144.01189340428192</v>
      </c>
      <c r="AJ114" s="67">
        <f t="shared" si="44"/>
        <v>0</v>
      </c>
      <c r="AK114" s="66">
        <f t="shared" si="54"/>
        <v>8.8495575221239076E-3</v>
      </c>
    </row>
    <row r="115" spans="1:37" ht="12.75" customHeight="1" x14ac:dyDescent="0.25">
      <c r="A115" s="55" t="s">
        <v>636</v>
      </c>
      <c r="B115" s="55" t="s">
        <v>421</v>
      </c>
      <c r="C115" s="55" t="s">
        <v>421</v>
      </c>
      <c r="D115" s="128">
        <v>2017</v>
      </c>
      <c r="E115" s="55" t="s">
        <v>675</v>
      </c>
      <c r="F115" s="57">
        <f>SIM_Parametres!$C$23</f>
        <v>1269170000</v>
      </c>
      <c r="G115" s="129">
        <f>SIM_Districts!D44*(1+SIM_Parametres!$B$6)^(2017-2023)</f>
        <v>175184.95681308684</v>
      </c>
      <c r="H115" s="129">
        <f>MAX(0,MIN(100,SIM_Districts!F44+(2017-2022)*SIM_Parametres!$B$7))</f>
        <v>51.15</v>
      </c>
      <c r="I115" s="129">
        <f>SIM_Districts!G44*(1+SIM_Parametres!$B$8)^(2017-2023)</f>
        <v>57.981957027848154</v>
      </c>
      <c r="J115" s="129">
        <f>SIM_Districts!H44*(1+SIM_Parametres!$B$9)^(2017-2023)</f>
        <v>33.870175616860564</v>
      </c>
      <c r="K115" s="129">
        <f>MAX(0,MIN(100,SIM_Districts!I44+(2017-2023)*SIM_Parametres!$B$10))</f>
        <v>81.8</v>
      </c>
      <c r="L115" s="129">
        <f>SIM_Districts!E44</f>
        <v>759</v>
      </c>
      <c r="M115" s="68">
        <f t="shared" si="27"/>
        <v>230.81021978008806</v>
      </c>
      <c r="N115" s="129">
        <f>SIM_Districts!J44</f>
        <v>97480</v>
      </c>
      <c r="O115" s="56">
        <v>20000000</v>
      </c>
      <c r="P115" s="130">
        <f>SIM_Parametres!$D$23</f>
        <v>0</v>
      </c>
      <c r="Q115" s="130">
        <f>SIM_Parametres!$B$12</f>
        <v>0.2</v>
      </c>
      <c r="R115" s="59">
        <f t="shared" si="55"/>
        <v>1.1540081785736907E-2</v>
      </c>
      <c r="S115" s="59">
        <f t="shared" si="56"/>
        <v>0.66843971631205668</v>
      </c>
      <c r="T115" s="59">
        <f t="shared" si="57"/>
        <v>0.71270718232044206</v>
      </c>
      <c r="U115" s="59">
        <f t="shared" si="58"/>
        <v>0.52212219334654875</v>
      </c>
      <c r="V115" s="59">
        <f t="shared" si="59"/>
        <v>0.26413981218637</v>
      </c>
      <c r="W115" s="59">
        <f t="shared" si="60"/>
        <v>1.5937433946311558E-2</v>
      </c>
      <c r="X115" s="59">
        <f t="shared" si="61"/>
        <v>1.4103755534904065E-2</v>
      </c>
      <c r="Y115" s="59">
        <f t="shared" si="62"/>
        <v>1.3340070347099038E-2</v>
      </c>
      <c r="Z115" s="59">
        <f t="shared" si="63"/>
        <v>9.6948159470131197E-3</v>
      </c>
      <c r="AA115" s="59">
        <f t="shared" si="37"/>
        <v>1.2581971808330095E-2</v>
      </c>
      <c r="AB115" s="59">
        <f t="shared" si="38"/>
        <v>1.5758330247326993E-2</v>
      </c>
      <c r="AC115" s="60">
        <f t="shared" si="39"/>
        <v>16350055.688546026</v>
      </c>
      <c r="AD115" s="60">
        <f t="shared" si="40"/>
        <v>20000000</v>
      </c>
      <c r="AE115" s="59">
        <f>0</f>
        <v>0</v>
      </c>
      <c r="AF115" s="60">
        <f t="shared" si="41"/>
        <v>20000000</v>
      </c>
      <c r="AG115" s="60">
        <f>1</f>
        <v>1</v>
      </c>
      <c r="AH115" s="60">
        <f t="shared" si="42"/>
        <v>20000000</v>
      </c>
      <c r="AI115" s="60">
        <f t="shared" si="43"/>
        <v>114.16505368859355</v>
      </c>
      <c r="AJ115" s="60">
        <f t="shared" si="44"/>
        <v>0</v>
      </c>
      <c r="AK115" s="59">
        <f t="shared" si="54"/>
        <v>-9.9009900990099098E-3</v>
      </c>
    </row>
    <row r="116" spans="1:37" ht="12.75" customHeight="1" x14ac:dyDescent="0.25">
      <c r="A116" s="62" t="s">
        <v>637</v>
      </c>
      <c r="B116" s="62" t="s">
        <v>421</v>
      </c>
      <c r="C116" s="62" t="s">
        <v>429</v>
      </c>
      <c r="D116" s="124">
        <v>2017</v>
      </c>
      <c r="E116" s="62" t="s">
        <v>675</v>
      </c>
      <c r="F116" s="64">
        <f>SIM_Parametres!$C$23</f>
        <v>1269170000</v>
      </c>
      <c r="G116" s="125">
        <f>SIM_Districts!D45*(1+SIM_Parametres!$B$6)^(2017-2023)</f>
        <v>77336.646199195384</v>
      </c>
      <c r="H116" s="125">
        <f>MAX(0,MIN(100,SIM_Districts!F45+(2017-2022)*SIM_Parametres!$B$7))</f>
        <v>51.15</v>
      </c>
      <c r="I116" s="125">
        <f>SIM_Districts!G45*(1+SIM_Parametres!$B$8)^(2017-2023)</f>
        <v>57.981957027848154</v>
      </c>
      <c r="J116" s="125">
        <f>SIM_Districts!H45*(1+SIM_Parametres!$B$9)^(2017-2023)</f>
        <v>33.870175616860564</v>
      </c>
      <c r="K116" s="125">
        <f>MAX(0,MIN(100,SIM_Districts!I45+(2017-2023)*SIM_Parametres!$B$10))</f>
        <v>81.8</v>
      </c>
      <c r="L116" s="125">
        <f>SIM_Districts!E45</f>
        <v>1185</v>
      </c>
      <c r="M116" s="61">
        <f t="shared" si="27"/>
        <v>65.262992573160659</v>
      </c>
      <c r="N116" s="125">
        <f>SIM_Districts!J45</f>
        <v>97480</v>
      </c>
      <c r="O116" s="63">
        <v>16150000</v>
      </c>
      <c r="P116" s="126">
        <f>SIM_Parametres!$D$23</f>
        <v>0</v>
      </c>
      <c r="Q116" s="126">
        <f>SIM_Parametres!$B$12</f>
        <v>0.2</v>
      </c>
      <c r="R116" s="66">
        <f t="shared" si="55"/>
        <v>5.0944512497470545E-3</v>
      </c>
      <c r="S116" s="66">
        <f t="shared" si="56"/>
        <v>0.66843971631205668</v>
      </c>
      <c r="T116" s="66">
        <f t="shared" si="57"/>
        <v>0.71270718232044206</v>
      </c>
      <c r="U116" s="66">
        <f t="shared" si="58"/>
        <v>0.53967466644845508</v>
      </c>
      <c r="V116" s="66">
        <f t="shared" si="59"/>
        <v>0.26413981218637</v>
      </c>
      <c r="W116" s="66">
        <f t="shared" si="60"/>
        <v>1.5937433946311558E-2</v>
      </c>
      <c r="X116" s="66">
        <f t="shared" si="61"/>
        <v>1.4103755534904065E-2</v>
      </c>
      <c r="Y116" s="66">
        <f t="shared" si="62"/>
        <v>1.3788530935307707E-2</v>
      </c>
      <c r="Z116" s="66">
        <f t="shared" si="63"/>
        <v>9.6948159470131197E-3</v>
      </c>
      <c r="AA116" s="66">
        <f t="shared" si="37"/>
        <v>8.7370165161466187E-3</v>
      </c>
      <c r="AB116" s="66">
        <f t="shared" si="38"/>
        <v>1.2724851674716547E-2</v>
      </c>
      <c r="AC116" s="67">
        <f t="shared" si="39"/>
        <v>12446134.162001623</v>
      </c>
      <c r="AD116" s="67">
        <f t="shared" si="40"/>
        <v>16150000</v>
      </c>
      <c r="AE116" s="66">
        <f>0</f>
        <v>0</v>
      </c>
      <c r="AF116" s="67">
        <f t="shared" si="41"/>
        <v>16150000</v>
      </c>
      <c r="AG116" s="67">
        <f>1</f>
        <v>1</v>
      </c>
      <c r="AH116" s="67">
        <f t="shared" si="42"/>
        <v>16150000</v>
      </c>
      <c r="AI116" s="67">
        <f t="shared" si="43"/>
        <v>208.82726099089652</v>
      </c>
      <c r="AJ116" s="67">
        <f t="shared" si="44"/>
        <v>0</v>
      </c>
      <c r="AK116" s="66">
        <f t="shared" si="54"/>
        <v>-2.7108433734939763E-2</v>
      </c>
    </row>
    <row r="117" spans="1:37" ht="12.75" customHeight="1" x14ac:dyDescent="0.25">
      <c r="A117" s="55" t="s">
        <v>638</v>
      </c>
      <c r="B117" s="55" t="s">
        <v>430</v>
      </c>
      <c r="C117" s="55" t="s">
        <v>432</v>
      </c>
      <c r="D117" s="128">
        <v>2017</v>
      </c>
      <c r="E117" s="55" t="s">
        <v>675</v>
      </c>
      <c r="F117" s="57">
        <f>SIM_Parametres!$C$23</f>
        <v>1269170000</v>
      </c>
      <c r="G117" s="129">
        <f>SIM_Districts!D46*(1+SIM_Parametres!$B$6)^(2017-2023)</f>
        <v>295416.70915536233</v>
      </c>
      <c r="H117" s="129">
        <f>MAX(0,MIN(100,SIM_Districts!F46+(2017-2022)*SIM_Parametres!$B$7))</f>
        <v>48.85</v>
      </c>
      <c r="I117" s="129">
        <f>SIM_Districts!G46*(1+SIM_Parametres!$B$8)^(2017-2023)</f>
        <v>57.981957027848154</v>
      </c>
      <c r="J117" s="129">
        <f>SIM_Districts!H46*(1+SIM_Parametres!$B$9)^(2017-2023)</f>
        <v>47.606413505920685</v>
      </c>
      <c r="K117" s="129">
        <f>MAX(0,MIN(100,SIM_Districts!I46+(2017-2023)*SIM_Parametres!$B$10))</f>
        <v>69.7</v>
      </c>
      <c r="L117" s="129">
        <f>SIM_Districts!E46</f>
        <v>8704</v>
      </c>
      <c r="M117" s="68">
        <f t="shared" si="27"/>
        <v>33.940338827592178</v>
      </c>
      <c r="N117" s="129">
        <f>SIM_Districts!J46</f>
        <v>133963</v>
      </c>
      <c r="O117" s="56">
        <v>20365000</v>
      </c>
      <c r="P117" s="130">
        <f>SIM_Parametres!$D$23</f>
        <v>0</v>
      </c>
      <c r="Q117" s="130">
        <f>SIM_Parametres!$B$12</f>
        <v>0.2</v>
      </c>
      <c r="R117" s="59">
        <f t="shared" si="55"/>
        <v>1.9460192510499061E-2</v>
      </c>
      <c r="S117" s="59">
        <f t="shared" si="56"/>
        <v>0.62765957446808518</v>
      </c>
      <c r="T117" s="59">
        <f t="shared" si="57"/>
        <v>0.91436464088397795</v>
      </c>
      <c r="U117" s="59">
        <f t="shared" si="58"/>
        <v>0.80066503267175948</v>
      </c>
      <c r="V117" s="59">
        <f t="shared" si="59"/>
        <v>0.51735506215340199</v>
      </c>
      <c r="W117" s="59">
        <f t="shared" si="60"/>
        <v>1.4965123652504754E-2</v>
      </c>
      <c r="X117" s="59">
        <f t="shared" si="61"/>
        <v>1.8094353031214129E-2</v>
      </c>
      <c r="Y117" s="59">
        <f t="shared" si="62"/>
        <v>2.0456758966409912E-2</v>
      </c>
      <c r="Z117" s="59">
        <f t="shared" si="63"/>
        <v>1.8988663864475865E-2</v>
      </c>
      <c r="AA117" s="59">
        <f t="shared" si="37"/>
        <v>1.8607308150401559E-2</v>
      </c>
      <c r="AB117" s="59">
        <f t="shared" si="38"/>
        <v>1.6045919774340712E-2</v>
      </c>
      <c r="AC117" s="60">
        <f t="shared" si="39"/>
        <v>22467796.588759501</v>
      </c>
      <c r="AD117" s="60">
        <f t="shared" si="40"/>
        <v>20365000</v>
      </c>
      <c r="AE117" s="59">
        <f>0</f>
        <v>0</v>
      </c>
      <c r="AF117" s="60">
        <f t="shared" si="41"/>
        <v>20365000</v>
      </c>
      <c r="AG117" s="60">
        <f>1</f>
        <v>1</v>
      </c>
      <c r="AH117" s="60">
        <f t="shared" si="42"/>
        <v>20365000</v>
      </c>
      <c r="AI117" s="60">
        <f t="shared" si="43"/>
        <v>68.936520409513676</v>
      </c>
      <c r="AJ117" s="60">
        <f t="shared" si="44"/>
        <v>0</v>
      </c>
      <c r="AK117" s="59">
        <f t="shared" si="54"/>
        <v>-1.7156862745097978E-3</v>
      </c>
    </row>
    <row r="118" spans="1:37" ht="12.75" customHeight="1" x14ac:dyDescent="0.25">
      <c r="A118" s="62" t="s">
        <v>640</v>
      </c>
      <c r="B118" s="62" t="s">
        <v>430</v>
      </c>
      <c r="C118" s="62" t="s">
        <v>430</v>
      </c>
      <c r="D118" s="124">
        <v>2017</v>
      </c>
      <c r="E118" s="62" t="s">
        <v>675</v>
      </c>
      <c r="F118" s="64">
        <f>SIM_Parametres!$C$23</f>
        <v>1269170000</v>
      </c>
      <c r="G118" s="125">
        <f>SIM_Districts!D47*(1+SIM_Parametres!$B$6)^(2017-2023)</f>
        <v>239649.46998705444</v>
      </c>
      <c r="H118" s="125">
        <f>MAX(0,MIN(100,SIM_Districts!F47+(2017-2022)*SIM_Parametres!$B$7))</f>
        <v>48.85</v>
      </c>
      <c r="I118" s="125">
        <f>SIM_Districts!G47*(1+SIM_Parametres!$B$8)^(2017-2023)</f>
        <v>57.981957027848154</v>
      </c>
      <c r="J118" s="125">
        <f>SIM_Districts!H47*(1+SIM_Parametres!$B$9)^(2017-2023)</f>
        <v>47.606413505920685</v>
      </c>
      <c r="K118" s="125">
        <f>MAX(0,MIN(100,SIM_Districts!I47+(2017-2023)*SIM_Parametres!$B$10))</f>
        <v>69.7</v>
      </c>
      <c r="L118" s="125">
        <f>SIM_Districts!E47</f>
        <v>3957</v>
      </c>
      <c r="M118" s="61">
        <f t="shared" si="27"/>
        <v>60.563424308075419</v>
      </c>
      <c r="N118" s="125">
        <f>SIM_Districts!J47</f>
        <v>133963</v>
      </c>
      <c r="O118" s="63">
        <v>18381000</v>
      </c>
      <c r="P118" s="126">
        <f>SIM_Parametres!$D$23</f>
        <v>0</v>
      </c>
      <c r="Q118" s="126">
        <f>SIM_Parametres!$B$12</f>
        <v>0.2</v>
      </c>
      <c r="R118" s="66">
        <f t="shared" si="55"/>
        <v>1.578659796976651E-2</v>
      </c>
      <c r="S118" s="66">
        <f t="shared" si="56"/>
        <v>0.62765957446808518</v>
      </c>
      <c r="T118" s="66">
        <f t="shared" si="57"/>
        <v>0.91436464088397795</v>
      </c>
      <c r="U118" s="66">
        <f t="shared" si="58"/>
        <v>0.63577730793030052</v>
      </c>
      <c r="V118" s="66">
        <f t="shared" si="59"/>
        <v>0.51735506215340199</v>
      </c>
      <c r="W118" s="66">
        <f t="shared" si="60"/>
        <v>1.4965123652504754E-2</v>
      </c>
      <c r="X118" s="66">
        <f t="shared" si="61"/>
        <v>1.8094353031214129E-2</v>
      </c>
      <c r="Y118" s="66">
        <f t="shared" si="62"/>
        <v>1.6243925504331402E-2</v>
      </c>
      <c r="Z118" s="66">
        <f t="shared" si="63"/>
        <v>1.8988663864475865E-2</v>
      </c>
      <c r="AA118" s="66">
        <f t="shared" si="37"/>
        <v>1.61925097528581E-2</v>
      </c>
      <c r="AB118" s="66">
        <f t="shared" si="38"/>
        <v>1.4482693413805873E-2</v>
      </c>
      <c r="AC118" s="67">
        <f t="shared" si="39"/>
        <v>20015964.842991311</v>
      </c>
      <c r="AD118" s="67">
        <f t="shared" si="40"/>
        <v>18381000</v>
      </c>
      <c r="AE118" s="66">
        <f>0</f>
        <v>0</v>
      </c>
      <c r="AF118" s="67">
        <f t="shared" si="41"/>
        <v>18381000</v>
      </c>
      <c r="AG118" s="67">
        <f>1</f>
        <v>1</v>
      </c>
      <c r="AH118" s="67">
        <f t="shared" si="42"/>
        <v>18381000</v>
      </c>
      <c r="AI118" s="67">
        <f t="shared" si="43"/>
        <v>76.699522853077525</v>
      </c>
      <c r="AJ118" s="67">
        <f t="shared" si="44"/>
        <v>0</v>
      </c>
      <c r="AK118" s="66">
        <f t="shared" si="54"/>
        <v>-6.4324324324324111E-3</v>
      </c>
    </row>
    <row r="119" spans="1:37" ht="12.75" customHeight="1" x14ac:dyDescent="0.25">
      <c r="A119" s="55" t="s">
        <v>641</v>
      </c>
      <c r="B119" s="55" t="s">
        <v>430</v>
      </c>
      <c r="C119" s="55" t="s">
        <v>433</v>
      </c>
      <c r="D119" s="128">
        <v>2017</v>
      </c>
      <c r="E119" s="55" t="s">
        <v>675</v>
      </c>
      <c r="F119" s="57">
        <f>SIM_Parametres!$C$23</f>
        <v>1269170000</v>
      </c>
      <c r="G119" s="129">
        <f>SIM_Districts!D48*(1+SIM_Parametres!$B$6)^(2017-2023)</f>
        <v>63529.043259251972</v>
      </c>
      <c r="H119" s="129">
        <f>MAX(0,MIN(100,SIM_Districts!F48+(2017-2022)*SIM_Parametres!$B$7))</f>
        <v>48.85</v>
      </c>
      <c r="I119" s="129">
        <f>SIM_Districts!G48*(1+SIM_Parametres!$B$8)^(2017-2023)</f>
        <v>57.981957027848154</v>
      </c>
      <c r="J119" s="129">
        <f>SIM_Districts!H48*(1+SIM_Parametres!$B$9)^(2017-2023)</f>
        <v>47.606413505920685</v>
      </c>
      <c r="K119" s="129">
        <f>MAX(0,MIN(100,SIM_Districts!I48+(2017-2023)*SIM_Parametres!$B$10))</f>
        <v>69.7</v>
      </c>
      <c r="L119" s="129">
        <f>SIM_Districts!E48</f>
        <v>14444</v>
      </c>
      <c r="M119" s="68">
        <f t="shared" si="27"/>
        <v>4.3982998656363872</v>
      </c>
      <c r="N119" s="129">
        <f>SIM_Districts!J48</f>
        <v>133963</v>
      </c>
      <c r="O119" s="56">
        <v>16585000</v>
      </c>
      <c r="P119" s="130">
        <f>SIM_Parametres!$D$23</f>
        <v>0</v>
      </c>
      <c r="Q119" s="130">
        <f>SIM_Parametres!$B$12</f>
        <v>0.2</v>
      </c>
      <c r="R119" s="59">
        <f t="shared" si="55"/>
        <v>4.1848933168593767E-3</v>
      </c>
      <c r="S119" s="59">
        <f t="shared" si="56"/>
        <v>0.62765957446808518</v>
      </c>
      <c r="T119" s="59">
        <f t="shared" si="57"/>
        <v>0.91436464088397795</v>
      </c>
      <c r="U119" s="59">
        <f t="shared" si="58"/>
        <v>1</v>
      </c>
      <c r="V119" s="59">
        <f t="shared" si="59"/>
        <v>0.51735506215340199</v>
      </c>
      <c r="W119" s="59">
        <f t="shared" si="60"/>
        <v>1.4965123652504754E-2</v>
      </c>
      <c r="X119" s="59">
        <f t="shared" si="61"/>
        <v>1.8094353031214129E-2</v>
      </c>
      <c r="Y119" s="59">
        <f t="shared" si="62"/>
        <v>2.5549709468574183E-2</v>
      </c>
      <c r="Z119" s="59">
        <f t="shared" si="63"/>
        <v>1.8988663864475865E-2</v>
      </c>
      <c r="AA119" s="59">
        <f t="shared" si="37"/>
        <v>9.6967761593259594E-3</v>
      </c>
      <c r="AB119" s="59">
        <f t="shared" si="38"/>
        <v>1.3067595357595909E-2</v>
      </c>
      <c r="AC119" s="60">
        <f t="shared" si="39"/>
        <v>13420612.679068765</v>
      </c>
      <c r="AD119" s="60">
        <f t="shared" si="40"/>
        <v>16585000</v>
      </c>
      <c r="AE119" s="59">
        <f>0</f>
        <v>0</v>
      </c>
      <c r="AF119" s="60">
        <f t="shared" si="41"/>
        <v>16585000</v>
      </c>
      <c r="AG119" s="60">
        <f>1</f>
        <v>1</v>
      </c>
      <c r="AH119" s="60">
        <f t="shared" si="42"/>
        <v>16585000</v>
      </c>
      <c r="AI119" s="60">
        <f t="shared" si="43"/>
        <v>261.06169948631589</v>
      </c>
      <c r="AJ119" s="60">
        <f t="shared" si="44"/>
        <v>0</v>
      </c>
      <c r="AK119" s="59">
        <f t="shared" si="54"/>
        <v>-2.8981264637002346E-2</v>
      </c>
    </row>
    <row r="120" spans="1:37" ht="12.75" customHeight="1" x14ac:dyDescent="0.25">
      <c r="A120" s="62" t="s">
        <v>642</v>
      </c>
      <c r="B120" s="62" t="s">
        <v>430</v>
      </c>
      <c r="C120" s="62" t="s">
        <v>434</v>
      </c>
      <c r="D120" s="124">
        <v>2017</v>
      </c>
      <c r="E120" s="62" t="s">
        <v>675</v>
      </c>
      <c r="F120" s="64">
        <f>SIM_Parametres!$C$23</f>
        <v>1269170000</v>
      </c>
      <c r="G120" s="125">
        <f>SIM_Districts!D49*(1+SIM_Parametres!$B$6)^(2017-2023)</f>
        <v>97881.809984158797</v>
      </c>
      <c r="H120" s="125">
        <f>MAX(0,MIN(100,SIM_Districts!F49+(2017-2022)*SIM_Parametres!$B$7))</f>
        <v>48.85</v>
      </c>
      <c r="I120" s="125">
        <f>SIM_Districts!G49*(1+SIM_Parametres!$B$8)^(2017-2023)</f>
        <v>57.981957027848154</v>
      </c>
      <c r="J120" s="125">
        <f>SIM_Districts!H49*(1+SIM_Parametres!$B$9)^(2017-2023)</f>
        <v>47.606413505920685</v>
      </c>
      <c r="K120" s="125">
        <f>MAX(0,MIN(100,SIM_Districts!I49+(2017-2023)*SIM_Parametres!$B$10))</f>
        <v>69.7</v>
      </c>
      <c r="L120" s="125">
        <f>SIM_Districts!E49</f>
        <v>1898</v>
      </c>
      <c r="M120" s="61">
        <f t="shared" si="27"/>
        <v>51.571027388914011</v>
      </c>
      <c r="N120" s="125">
        <f>SIM_Districts!J49</f>
        <v>133963</v>
      </c>
      <c r="O120" s="63">
        <v>16647000</v>
      </c>
      <c r="P120" s="126">
        <f>SIM_Parametres!$D$23</f>
        <v>0</v>
      </c>
      <c r="Q120" s="126">
        <f>SIM_Parametres!$B$12</f>
        <v>0.2</v>
      </c>
      <c r="R120" s="66">
        <f t="shared" si="55"/>
        <v>6.4478372635519013E-3</v>
      </c>
      <c r="S120" s="66">
        <f t="shared" si="56"/>
        <v>0.62765957446808518</v>
      </c>
      <c r="T120" s="66">
        <f t="shared" si="57"/>
        <v>0.91436464088397795</v>
      </c>
      <c r="U120" s="66">
        <f t="shared" si="58"/>
        <v>0.5646045152795196</v>
      </c>
      <c r="V120" s="66">
        <f t="shared" si="59"/>
        <v>0.51735506215340199</v>
      </c>
      <c r="W120" s="66">
        <f t="shared" si="60"/>
        <v>1.4965123652504754E-2</v>
      </c>
      <c r="X120" s="66">
        <f t="shared" si="61"/>
        <v>1.8094353031214129E-2</v>
      </c>
      <c r="Y120" s="66">
        <f t="shared" si="62"/>
        <v>1.442548133003688E-2</v>
      </c>
      <c r="Z120" s="66">
        <f t="shared" si="63"/>
        <v>1.8988663864475865E-2</v>
      </c>
      <c r="AA120" s="66">
        <f t="shared" si="37"/>
        <v>1.0498331120414612E-2</v>
      </c>
      <c r="AB120" s="66">
        <f t="shared" si="38"/>
        <v>1.3116446181362623E-2</v>
      </c>
      <c r="AC120" s="67">
        <f t="shared" si="39"/>
        <v>14234460.287040669</v>
      </c>
      <c r="AD120" s="67">
        <f t="shared" si="40"/>
        <v>16647000</v>
      </c>
      <c r="AE120" s="66">
        <f>0</f>
        <v>0</v>
      </c>
      <c r="AF120" s="67">
        <f t="shared" si="41"/>
        <v>16647000</v>
      </c>
      <c r="AG120" s="67">
        <f>1</f>
        <v>1</v>
      </c>
      <c r="AH120" s="67">
        <f t="shared" si="42"/>
        <v>16647000</v>
      </c>
      <c r="AI120" s="67">
        <f t="shared" si="43"/>
        <v>170.0724578212658</v>
      </c>
      <c r="AJ120" s="67">
        <f t="shared" si="44"/>
        <v>0</v>
      </c>
      <c r="AK120" s="66">
        <f t="shared" si="54"/>
        <v>2.83132530120489E-3</v>
      </c>
    </row>
    <row r="121" spans="1:37" ht="12.75" customHeight="1" x14ac:dyDescent="0.25">
      <c r="A121" s="55" t="s">
        <v>643</v>
      </c>
      <c r="B121" s="55" t="s">
        <v>435</v>
      </c>
      <c r="C121" s="55" t="s">
        <v>437</v>
      </c>
      <c r="D121" s="128">
        <v>2017</v>
      </c>
      <c r="E121" s="55" t="s">
        <v>675</v>
      </c>
      <c r="F121" s="57">
        <f>SIM_Parametres!$C$23</f>
        <v>1269170000</v>
      </c>
      <c r="G121" s="129">
        <f>SIM_Districts!D50*(1+SIM_Parametres!$B$6)^(2017-2023)</f>
        <v>82366.57664483742</v>
      </c>
      <c r="H121" s="129">
        <f>MAX(0,MIN(100,SIM_Districts!F50+(2017-2022)*SIM_Parametres!$B$7))</f>
        <v>41.449999999999996</v>
      </c>
      <c r="I121" s="129">
        <f>SIM_Districts!G50*(1+SIM_Parametres!$B$8)^(2017-2023)</f>
        <v>57.981957027848154</v>
      </c>
      <c r="J121" s="129">
        <f>SIM_Districts!H50*(1+SIM_Parametres!$B$9)^(2017-2023)</f>
        <v>43.09039009033927</v>
      </c>
      <c r="K121" s="129">
        <f>MAX(0,MIN(100,SIM_Districts!I50+(2017-2023)*SIM_Parametres!$B$10))</f>
        <v>73.900000000000006</v>
      </c>
      <c r="L121" s="129">
        <f>SIM_Districts!E50</f>
        <v>2448</v>
      </c>
      <c r="M121" s="68">
        <f t="shared" si="27"/>
        <v>33.646477387596988</v>
      </c>
      <c r="N121" s="129">
        <f>SIM_Districts!J50</f>
        <v>89545</v>
      </c>
      <c r="O121" s="56">
        <v>16008000</v>
      </c>
      <c r="P121" s="130">
        <f>SIM_Parametres!$D$23</f>
        <v>0</v>
      </c>
      <c r="Q121" s="130">
        <f>SIM_Parametres!$B$12</f>
        <v>0.2</v>
      </c>
      <c r="R121" s="59">
        <f t="shared" si="55"/>
        <v>5.4257913931887603E-3</v>
      </c>
      <c r="S121" s="59">
        <f t="shared" si="56"/>
        <v>0.49645390070921974</v>
      </c>
      <c r="T121" s="59">
        <f t="shared" si="57"/>
        <v>0.84806629834254132</v>
      </c>
      <c r="U121" s="59">
        <f t="shared" si="58"/>
        <v>0.58395945065622235</v>
      </c>
      <c r="V121" s="59">
        <f t="shared" si="59"/>
        <v>0.20906585970196906</v>
      </c>
      <c r="W121" s="59">
        <f t="shared" si="60"/>
        <v>1.1836820968082851E-2</v>
      </c>
      <c r="X121" s="59">
        <f t="shared" si="61"/>
        <v>1.6782375772153281E-2</v>
      </c>
      <c r="Y121" s="59">
        <f t="shared" si="62"/>
        <v>1.4919994305694663E-2</v>
      </c>
      <c r="Z121" s="59">
        <f t="shared" si="63"/>
        <v>7.6734173990574452E-3</v>
      </c>
      <c r="AA121" s="59">
        <f t="shared" si="37"/>
        <v>8.6780249321862825E-3</v>
      </c>
      <c r="AB121" s="59">
        <f t="shared" si="38"/>
        <v>1.2612967529960526E-2</v>
      </c>
      <c r="AC121" s="60">
        <f t="shared" si="39"/>
        <v>12386237.883109672</v>
      </c>
      <c r="AD121" s="60">
        <f t="shared" si="40"/>
        <v>16008000</v>
      </c>
      <c r="AE121" s="59">
        <f>0</f>
        <v>0</v>
      </c>
      <c r="AF121" s="60">
        <f t="shared" si="41"/>
        <v>16008000</v>
      </c>
      <c r="AG121" s="60">
        <f>1</f>
        <v>1</v>
      </c>
      <c r="AH121" s="60">
        <f t="shared" si="42"/>
        <v>16008000</v>
      </c>
      <c r="AI121" s="60">
        <f t="shared" si="43"/>
        <v>194.35067781226465</v>
      </c>
      <c r="AJ121" s="60">
        <f t="shared" si="44"/>
        <v>0</v>
      </c>
      <c r="AK121" s="59">
        <f t="shared" si="54"/>
        <v>6.7924528301885889E-3</v>
      </c>
    </row>
    <row r="122" spans="1:37" ht="12.75" customHeight="1" x14ac:dyDescent="0.25">
      <c r="A122" s="62" t="s">
        <v>645</v>
      </c>
      <c r="B122" s="62" t="s">
        <v>435</v>
      </c>
      <c r="C122" s="62" t="s">
        <v>438</v>
      </c>
      <c r="D122" s="124">
        <v>2017</v>
      </c>
      <c r="E122" s="62" t="s">
        <v>675</v>
      </c>
      <c r="F122" s="64">
        <f>SIM_Parametres!$C$23</f>
        <v>1269170000</v>
      </c>
      <c r="G122" s="125">
        <f>SIM_Districts!D51*(1+SIM_Parametres!$B$6)^(2017-2023)</f>
        <v>155333.22999265749</v>
      </c>
      <c r="H122" s="125">
        <f>MAX(0,MIN(100,SIM_Districts!F51+(2017-2022)*SIM_Parametres!$B$7))</f>
        <v>41.449999999999996</v>
      </c>
      <c r="I122" s="125">
        <f>SIM_Districts!G51*(1+SIM_Parametres!$B$8)^(2017-2023)</f>
        <v>57.981957027848154</v>
      </c>
      <c r="J122" s="125">
        <f>SIM_Districts!H51*(1+SIM_Parametres!$B$9)^(2017-2023)</f>
        <v>43.09039009033927</v>
      </c>
      <c r="K122" s="125">
        <f>MAX(0,MIN(100,SIM_Districts!I51+(2017-2023)*SIM_Parametres!$B$10))</f>
        <v>73.900000000000006</v>
      </c>
      <c r="L122" s="125">
        <f>SIM_Districts!E51</f>
        <v>6989</v>
      </c>
      <c r="M122" s="61">
        <f t="shared" si="27"/>
        <v>22.225387035721489</v>
      </c>
      <c r="N122" s="125">
        <f>SIM_Districts!J51</f>
        <v>89545</v>
      </c>
      <c r="O122" s="63">
        <v>16147000</v>
      </c>
      <c r="P122" s="126">
        <f>SIM_Parametres!$D$23</f>
        <v>0</v>
      </c>
      <c r="Q122" s="126">
        <f>SIM_Parametres!$B$12</f>
        <v>0.2</v>
      </c>
      <c r="R122" s="66">
        <f t="shared" si="55"/>
        <v>1.0232375032466481E-2</v>
      </c>
      <c r="S122" s="66">
        <f t="shared" si="56"/>
        <v>0.49645390070921974</v>
      </c>
      <c r="T122" s="66">
        <f t="shared" si="57"/>
        <v>0.84806629834254132</v>
      </c>
      <c r="U122" s="66">
        <f t="shared" si="58"/>
        <v>0.74145452539080825</v>
      </c>
      <c r="V122" s="66">
        <f t="shared" si="59"/>
        <v>0.20906585970196906</v>
      </c>
      <c r="W122" s="66">
        <f t="shared" si="60"/>
        <v>1.1836820968082851E-2</v>
      </c>
      <c r="X122" s="66">
        <f t="shared" si="61"/>
        <v>1.6782375772153281E-2</v>
      </c>
      <c r="Y122" s="66">
        <f t="shared" si="62"/>
        <v>1.8943947707894711E-2</v>
      </c>
      <c r="Z122" s="66">
        <f t="shared" si="63"/>
        <v>7.6734173990574452E-3</v>
      </c>
      <c r="AA122" s="66">
        <f t="shared" si="37"/>
        <v>1.1763172785862917E-2</v>
      </c>
      <c r="AB122" s="66">
        <f t="shared" si="38"/>
        <v>1.2722487925179448E-2</v>
      </c>
      <c r="AC122" s="67">
        <f t="shared" si="39"/>
        <v>15518699.564270291</v>
      </c>
      <c r="AD122" s="67">
        <f t="shared" si="40"/>
        <v>16147000</v>
      </c>
      <c r="AE122" s="66">
        <f>0</f>
        <v>0</v>
      </c>
      <c r="AF122" s="67">
        <f t="shared" si="41"/>
        <v>16147000</v>
      </c>
      <c r="AG122" s="67">
        <f>1</f>
        <v>1</v>
      </c>
      <c r="AH122" s="67">
        <f t="shared" si="42"/>
        <v>16147000</v>
      </c>
      <c r="AI122" s="67">
        <f t="shared" si="43"/>
        <v>103.95071293349955</v>
      </c>
      <c r="AJ122" s="67">
        <f t="shared" si="44"/>
        <v>0</v>
      </c>
      <c r="AK122" s="66">
        <f t="shared" si="54"/>
        <v>-2.7289156626505995E-2</v>
      </c>
    </row>
    <row r="123" spans="1:37" ht="12.75" customHeight="1" x14ac:dyDescent="0.25">
      <c r="A123" s="55" t="s">
        <v>646</v>
      </c>
      <c r="B123" s="55" t="s">
        <v>435</v>
      </c>
      <c r="C123" s="55" t="s">
        <v>439</v>
      </c>
      <c r="D123" s="128">
        <v>2017</v>
      </c>
      <c r="E123" s="55" t="s">
        <v>675</v>
      </c>
      <c r="F123" s="57">
        <f>SIM_Parametres!$C$23</f>
        <v>1269170000</v>
      </c>
      <c r="G123" s="129">
        <f>SIM_Districts!D52*(1+SIM_Parametres!$B$6)^(2017-2023)</f>
        <v>255425.16093020447</v>
      </c>
      <c r="H123" s="129">
        <f>MAX(0,MIN(100,SIM_Districts!F52+(2017-2022)*SIM_Parametres!$B$7))</f>
        <v>41.449999999999996</v>
      </c>
      <c r="I123" s="129">
        <f>SIM_Districts!G52*(1+SIM_Parametres!$B$8)^(2017-2023)</f>
        <v>57.981957027848154</v>
      </c>
      <c r="J123" s="129">
        <f>SIM_Districts!H52*(1+SIM_Parametres!$B$9)^(2017-2023)</f>
        <v>43.09039009033927</v>
      </c>
      <c r="K123" s="129">
        <f>MAX(0,MIN(100,SIM_Districts!I52+(2017-2023)*SIM_Parametres!$B$10))</f>
        <v>73.900000000000006</v>
      </c>
      <c r="L123" s="129">
        <f>SIM_Districts!E52</f>
        <v>5859</v>
      </c>
      <c r="M123" s="68">
        <f t="shared" si="27"/>
        <v>43.595350901212576</v>
      </c>
      <c r="N123" s="129">
        <f>SIM_Districts!J52</f>
        <v>89545</v>
      </c>
      <c r="O123" s="56">
        <v>19204000</v>
      </c>
      <c r="P123" s="130">
        <f>SIM_Parametres!$D$23</f>
        <v>0</v>
      </c>
      <c r="Q123" s="130">
        <f>SIM_Parametres!$B$12</f>
        <v>0.2</v>
      </c>
      <c r="R123" s="59">
        <f t="shared" si="55"/>
        <v>1.6825801146924585E-2</v>
      </c>
      <c r="S123" s="59">
        <f t="shared" si="56"/>
        <v>0.49645390070921974</v>
      </c>
      <c r="T123" s="59">
        <f t="shared" si="57"/>
        <v>0.84806629834254132</v>
      </c>
      <c r="U123" s="59">
        <f t="shared" si="58"/>
        <v>0.70194995546768002</v>
      </c>
      <c r="V123" s="59">
        <f t="shared" si="59"/>
        <v>0.20906585970196906</v>
      </c>
      <c r="W123" s="59">
        <f t="shared" si="60"/>
        <v>1.1836820968082851E-2</v>
      </c>
      <c r="X123" s="59">
        <f t="shared" si="61"/>
        <v>1.6782375772153281E-2</v>
      </c>
      <c r="Y123" s="59">
        <f t="shared" si="62"/>
        <v>1.7934617423677812E-2</v>
      </c>
      <c r="Z123" s="59">
        <f t="shared" si="63"/>
        <v>7.6734173990574452E-3</v>
      </c>
      <c r="AA123" s="59">
        <f t="shared" si="37"/>
        <v>1.5668761940326934E-2</v>
      </c>
      <c r="AB123" s="59">
        <f t="shared" si="38"/>
        <v>1.513114870348338E-2</v>
      </c>
      <c r="AC123" s="60">
        <f t="shared" si="39"/>
        <v>19484184.83400717</v>
      </c>
      <c r="AD123" s="60">
        <f t="shared" si="40"/>
        <v>19204000</v>
      </c>
      <c r="AE123" s="59">
        <f>0</f>
        <v>0</v>
      </c>
      <c r="AF123" s="60">
        <f t="shared" si="41"/>
        <v>19204000</v>
      </c>
      <c r="AG123" s="60">
        <f>1</f>
        <v>1</v>
      </c>
      <c r="AH123" s="60">
        <f t="shared" si="42"/>
        <v>19204000</v>
      </c>
      <c r="AI123" s="60">
        <f t="shared" si="43"/>
        <v>75.184449057653879</v>
      </c>
      <c r="AJ123" s="60">
        <f t="shared" si="44"/>
        <v>0</v>
      </c>
      <c r="AK123" s="59">
        <f t="shared" si="54"/>
        <v>-3.7393483709273201E-2</v>
      </c>
    </row>
    <row r="124" spans="1:37" ht="12.75" customHeight="1" x14ac:dyDescent="0.25">
      <c r="A124" s="62" t="s">
        <v>647</v>
      </c>
      <c r="B124" s="62" t="s">
        <v>435</v>
      </c>
      <c r="C124" s="62" t="s">
        <v>440</v>
      </c>
      <c r="D124" s="124">
        <v>2017</v>
      </c>
      <c r="E124" s="62" t="s">
        <v>675</v>
      </c>
      <c r="F124" s="64">
        <f>SIM_Parametres!$C$23</f>
        <v>1269170000</v>
      </c>
      <c r="G124" s="125">
        <f>SIM_Districts!D53*(1+SIM_Parametres!$B$6)^(2017-2023)</f>
        <v>185409.80210293757</v>
      </c>
      <c r="H124" s="125">
        <f>MAX(0,MIN(100,SIM_Districts!F53+(2017-2022)*SIM_Parametres!$B$7))</f>
        <v>41.449999999999996</v>
      </c>
      <c r="I124" s="125">
        <f>SIM_Districts!G53*(1+SIM_Parametres!$B$8)^(2017-2023)</f>
        <v>57.981957027848154</v>
      </c>
      <c r="J124" s="125">
        <f>SIM_Districts!H53*(1+SIM_Parametres!$B$9)^(2017-2023)</f>
        <v>43.09039009033927</v>
      </c>
      <c r="K124" s="125">
        <f>MAX(0,MIN(100,SIM_Districts!I53+(2017-2023)*SIM_Parametres!$B$10))</f>
        <v>73.900000000000006</v>
      </c>
      <c r="L124" s="125">
        <f>SIM_Districts!E53</f>
        <v>3143</v>
      </c>
      <c r="M124" s="61">
        <f t="shared" si="27"/>
        <v>58.991346517002093</v>
      </c>
      <c r="N124" s="125">
        <f>SIM_Districts!J53</f>
        <v>89545</v>
      </c>
      <c r="O124" s="63">
        <v>17627000</v>
      </c>
      <c r="P124" s="126">
        <f>SIM_Parametres!$D$23</f>
        <v>0</v>
      </c>
      <c r="Q124" s="126">
        <f>SIM_Parametres!$B$12</f>
        <v>0.2</v>
      </c>
      <c r="R124" s="66">
        <f t="shared" si="55"/>
        <v>1.2213630205863409E-2</v>
      </c>
      <c r="S124" s="66">
        <f t="shared" si="56"/>
        <v>0.49645390070921974</v>
      </c>
      <c r="T124" s="66">
        <f t="shared" si="57"/>
        <v>0.84806629834254132</v>
      </c>
      <c r="U124" s="66">
        <f t="shared" si="58"/>
        <v>0.6076065442079609</v>
      </c>
      <c r="V124" s="66">
        <f t="shared" si="59"/>
        <v>0.20906585970196906</v>
      </c>
      <c r="W124" s="66">
        <f t="shared" si="60"/>
        <v>1.1836820968082851E-2</v>
      </c>
      <c r="X124" s="66">
        <f t="shared" si="61"/>
        <v>1.6782375772153281E-2</v>
      </c>
      <c r="Y124" s="66">
        <f t="shared" si="62"/>
        <v>1.5524170675717777E-2</v>
      </c>
      <c r="Z124" s="66">
        <f t="shared" si="63"/>
        <v>7.6734173990574452E-3</v>
      </c>
      <c r="AA124" s="66">
        <f t="shared" si="37"/>
        <v>1.2780937038292226E-2</v>
      </c>
      <c r="AB124" s="66">
        <f t="shared" si="38"/>
        <v>1.3888604363481645E-2</v>
      </c>
      <c r="AC124" s="67">
        <f t="shared" si="39"/>
        <v>16552072.249274855</v>
      </c>
      <c r="AD124" s="67">
        <f t="shared" si="40"/>
        <v>17627000</v>
      </c>
      <c r="AE124" s="66">
        <f>0</f>
        <v>0</v>
      </c>
      <c r="AF124" s="67">
        <f t="shared" si="41"/>
        <v>17627000</v>
      </c>
      <c r="AG124" s="67">
        <f>1</f>
        <v>1</v>
      </c>
      <c r="AH124" s="67">
        <f t="shared" si="42"/>
        <v>17627000</v>
      </c>
      <c r="AI124" s="67">
        <f t="shared" si="43"/>
        <v>95.070486026481362</v>
      </c>
      <c r="AJ124" s="67">
        <f t="shared" si="44"/>
        <v>0</v>
      </c>
      <c r="AK124" s="66">
        <f t="shared" si="54"/>
        <v>1.3045977011494347E-2</v>
      </c>
    </row>
    <row r="125" spans="1:37" ht="12.75" customHeight="1" x14ac:dyDescent="0.25">
      <c r="A125" s="55" t="s">
        <v>648</v>
      </c>
      <c r="B125" s="55" t="s">
        <v>435</v>
      </c>
      <c r="C125" s="55" t="s">
        <v>435</v>
      </c>
      <c r="D125" s="128">
        <v>2017</v>
      </c>
      <c r="E125" s="55" t="s">
        <v>675</v>
      </c>
      <c r="F125" s="57">
        <f>SIM_Parametres!$C$23</f>
        <v>1269170000</v>
      </c>
      <c r="G125" s="129">
        <f>SIM_Districts!D54*(1+SIM_Parametres!$B$6)^(2017-2023)</f>
        <v>328490.6374203132</v>
      </c>
      <c r="H125" s="129">
        <f>MAX(0,MIN(100,SIM_Districts!F54+(2017-2022)*SIM_Parametres!$B$7))</f>
        <v>41.449999999999996</v>
      </c>
      <c r="I125" s="129">
        <f>SIM_Districts!G54*(1+SIM_Parametres!$B$8)^(2017-2023)</f>
        <v>57.981957027848154</v>
      </c>
      <c r="J125" s="129">
        <f>SIM_Districts!H54*(1+SIM_Parametres!$B$9)^(2017-2023)</f>
        <v>43.09039009033927</v>
      </c>
      <c r="K125" s="129">
        <f>MAX(0,MIN(100,SIM_Districts!I54+(2017-2023)*SIM_Parametres!$B$10))</f>
        <v>73.900000000000006</v>
      </c>
      <c r="L125" s="129">
        <f>SIM_Districts!E54</f>
        <v>802</v>
      </c>
      <c r="M125" s="68">
        <f t="shared" si="27"/>
        <v>409.58932346672469</v>
      </c>
      <c r="N125" s="129">
        <f>SIM_Districts!J54</f>
        <v>89545</v>
      </c>
      <c r="O125" s="56">
        <v>17200000</v>
      </c>
      <c r="P125" s="130">
        <f>SIM_Parametres!$D$23</f>
        <v>0</v>
      </c>
      <c r="Q125" s="130">
        <f>SIM_Parametres!$B$12</f>
        <v>0.2</v>
      </c>
      <c r="R125" s="59">
        <f t="shared" si="55"/>
        <v>2.1638894632510352E-2</v>
      </c>
      <c r="S125" s="59">
        <f t="shared" si="56"/>
        <v>0.49645390070921974</v>
      </c>
      <c r="T125" s="59">
        <f t="shared" si="57"/>
        <v>0.84806629834254132</v>
      </c>
      <c r="U125" s="59">
        <f t="shared" si="58"/>
        <v>0.52059263207206896</v>
      </c>
      <c r="V125" s="59">
        <f t="shared" si="59"/>
        <v>0.20906585970196906</v>
      </c>
      <c r="W125" s="59">
        <f t="shared" si="60"/>
        <v>1.1836820968082851E-2</v>
      </c>
      <c r="X125" s="59">
        <f t="shared" si="61"/>
        <v>1.6782375772153281E-2</v>
      </c>
      <c r="Y125" s="59">
        <f t="shared" si="62"/>
        <v>1.3300990500921697E-2</v>
      </c>
      <c r="Z125" s="59">
        <f t="shared" si="63"/>
        <v>7.6734173990574452E-3</v>
      </c>
      <c r="AA125" s="59">
        <f t="shared" si="37"/>
        <v>1.832493668554059E-2</v>
      </c>
      <c r="AB125" s="59">
        <f t="shared" si="38"/>
        <v>1.3552164012701214E-2</v>
      </c>
      <c r="AC125" s="60">
        <f t="shared" si="39"/>
        <v>22181094.675113421</v>
      </c>
      <c r="AD125" s="60">
        <f t="shared" si="40"/>
        <v>17200000</v>
      </c>
      <c r="AE125" s="59">
        <f>0</f>
        <v>0</v>
      </c>
      <c r="AF125" s="60">
        <f t="shared" si="41"/>
        <v>17200000</v>
      </c>
      <c r="AG125" s="60">
        <f>1</f>
        <v>1</v>
      </c>
      <c r="AH125" s="60">
        <f t="shared" si="42"/>
        <v>17200000</v>
      </c>
      <c r="AI125" s="60">
        <f t="shared" si="43"/>
        <v>52.360700856116352</v>
      </c>
      <c r="AJ125" s="60">
        <f t="shared" si="44"/>
        <v>0</v>
      </c>
      <c r="AK125" s="59">
        <f t="shared" si="54"/>
        <v>-8.753315649867377E-2</v>
      </c>
    </row>
    <row r="126" spans="1:37" ht="12.75" customHeight="1" x14ac:dyDescent="0.25">
      <c r="A126" s="62" t="s">
        <v>649</v>
      </c>
      <c r="B126" s="62" t="s">
        <v>441</v>
      </c>
      <c r="C126" s="62" t="s">
        <v>443</v>
      </c>
      <c r="D126" s="124">
        <v>2017</v>
      </c>
      <c r="E126" s="62" t="s">
        <v>675</v>
      </c>
      <c r="F126" s="64">
        <f>SIM_Parametres!$C$23</f>
        <v>1269170000</v>
      </c>
      <c r="G126" s="125">
        <f>SIM_Districts!D55*(1+SIM_Parametres!$B$6)^(2017-2023)</f>
        <v>241964.27647252809</v>
      </c>
      <c r="H126" s="125">
        <f>MAX(0,MIN(100,SIM_Districts!F55+(2017-2022)*SIM_Parametres!$B$7))</f>
        <v>68.550000000000011</v>
      </c>
      <c r="I126" s="125">
        <f>SIM_Districts!G55*(1+SIM_Parametres!$B$8)^(2017-2023)</f>
        <v>57.981957027848154</v>
      </c>
      <c r="J126" s="125">
        <f>SIM_Districts!H55*(1+SIM_Parametres!$B$9)^(2017-2023)</f>
        <v>46.101072367393549</v>
      </c>
      <c r="K126" s="125">
        <f>MAX(0,MIN(100,SIM_Districts!I55+(2017-2023)*SIM_Parametres!$B$10))</f>
        <v>69.599999999999994</v>
      </c>
      <c r="L126" s="125">
        <f>SIM_Districts!E55</f>
        <v>2865</v>
      </c>
      <c r="M126" s="61">
        <f t="shared" si="27"/>
        <v>84.455244842069135</v>
      </c>
      <c r="N126" s="125">
        <f>SIM_Districts!J55</f>
        <v>178218</v>
      </c>
      <c r="O126" s="63">
        <v>15600000</v>
      </c>
      <c r="P126" s="126">
        <f>SIM_Parametres!$D$23</f>
        <v>0</v>
      </c>
      <c r="Q126" s="126">
        <f>SIM_Parametres!$B$12</f>
        <v>0.2</v>
      </c>
      <c r="R126" s="66">
        <f t="shared" si="55"/>
        <v>1.593908284430412E-2</v>
      </c>
      <c r="S126" s="66">
        <f t="shared" si="56"/>
        <v>0.97695035460992918</v>
      </c>
      <c r="T126" s="66">
        <f t="shared" si="57"/>
        <v>0.89226519337016574</v>
      </c>
      <c r="U126" s="66">
        <f t="shared" si="58"/>
        <v>0.59754648703547397</v>
      </c>
      <c r="V126" s="66">
        <f t="shared" si="59"/>
        <v>0.82451294081719062</v>
      </c>
      <c r="W126" s="66">
        <f t="shared" si="60"/>
        <v>2.3293172690763048E-2</v>
      </c>
      <c r="X126" s="66">
        <f t="shared" si="61"/>
        <v>1.7657027278193845E-2</v>
      </c>
      <c r="Y126" s="66">
        <f t="shared" si="62"/>
        <v>1.526713913772349E-2</v>
      </c>
      <c r="Z126" s="66">
        <f t="shared" si="63"/>
        <v>3.0262386957075536E-2</v>
      </c>
      <c r="AA126" s="66">
        <f t="shared" si="37"/>
        <v>1.7982456006665957E-2</v>
      </c>
      <c r="AB126" s="66">
        <f t="shared" si="38"/>
        <v>1.2291497592915054E-2</v>
      </c>
      <c r="AC126" s="67">
        <f t="shared" si="39"/>
        <v>21833361.712547567</v>
      </c>
      <c r="AD126" s="67">
        <f t="shared" si="40"/>
        <v>15600000</v>
      </c>
      <c r="AE126" s="66">
        <f>0</f>
        <v>0</v>
      </c>
      <c r="AF126" s="67">
        <f t="shared" si="41"/>
        <v>15600000</v>
      </c>
      <c r="AG126" s="67">
        <f>1</f>
        <v>1</v>
      </c>
      <c r="AH126" s="67">
        <f t="shared" si="42"/>
        <v>15600000</v>
      </c>
      <c r="AI126" s="67">
        <f t="shared" si="43"/>
        <v>64.472327185749577</v>
      </c>
      <c r="AJ126" s="67">
        <f t="shared" si="44"/>
        <v>0</v>
      </c>
      <c r="AK126" s="66">
        <f t="shared" si="54"/>
        <v>-2.5000000000000022E-2</v>
      </c>
    </row>
    <row r="127" spans="1:37" ht="12.75" customHeight="1" x14ac:dyDescent="0.25">
      <c r="A127" s="55" t="s">
        <v>651</v>
      </c>
      <c r="B127" s="55" t="s">
        <v>441</v>
      </c>
      <c r="C127" s="55" t="s">
        <v>441</v>
      </c>
      <c r="D127" s="128">
        <v>2017</v>
      </c>
      <c r="E127" s="55" t="s">
        <v>675</v>
      </c>
      <c r="F127" s="57">
        <f>SIM_Parametres!$C$23</f>
        <v>1269170000</v>
      </c>
      <c r="G127" s="129">
        <f>SIM_Districts!D56*(1+SIM_Parametres!$B$6)^(2017-2023)</f>
        <v>251536.72152642225</v>
      </c>
      <c r="H127" s="129">
        <f>MAX(0,MIN(100,SIM_Districts!F56+(2017-2022)*SIM_Parametres!$B$7))</f>
        <v>68.550000000000011</v>
      </c>
      <c r="I127" s="129">
        <f>SIM_Districts!G56*(1+SIM_Parametres!$B$8)^(2017-2023)</f>
        <v>57.981957027848154</v>
      </c>
      <c r="J127" s="129">
        <f>SIM_Districts!H56*(1+SIM_Parametres!$B$9)^(2017-2023)</f>
        <v>46.101072367393549</v>
      </c>
      <c r="K127" s="129">
        <f>MAX(0,MIN(100,SIM_Districts!I56+(2017-2023)*SIM_Parametres!$B$10))</f>
        <v>69.599999999999994</v>
      </c>
      <c r="L127" s="129">
        <f>SIM_Districts!E56</f>
        <v>2749</v>
      </c>
      <c r="M127" s="68">
        <f t="shared" si="27"/>
        <v>91.501171890295467</v>
      </c>
      <c r="N127" s="129">
        <f>SIM_Districts!J56</f>
        <v>178218</v>
      </c>
      <c r="O127" s="56">
        <v>18432000</v>
      </c>
      <c r="P127" s="130">
        <f>SIM_Parametres!$D$23</f>
        <v>0</v>
      </c>
      <c r="Q127" s="130">
        <f>SIM_Parametres!$B$12</f>
        <v>0.2</v>
      </c>
      <c r="R127" s="59">
        <f t="shared" si="55"/>
        <v>1.6569655245159711E-2</v>
      </c>
      <c r="S127" s="59">
        <f t="shared" si="56"/>
        <v>0.97695035460992918</v>
      </c>
      <c r="T127" s="59">
        <f t="shared" si="57"/>
        <v>0.89226519337016574</v>
      </c>
      <c r="U127" s="59">
        <f t="shared" si="58"/>
        <v>0.59340921006518599</v>
      </c>
      <c r="V127" s="59">
        <f t="shared" si="59"/>
        <v>0.82451294081719062</v>
      </c>
      <c r="W127" s="59">
        <f t="shared" si="60"/>
        <v>2.3293172690763048E-2</v>
      </c>
      <c r="X127" s="59">
        <f t="shared" si="61"/>
        <v>1.7657027278193845E-2</v>
      </c>
      <c r="Y127" s="59">
        <f t="shared" si="62"/>
        <v>1.516143291314161E-2</v>
      </c>
      <c r="Z127" s="59">
        <f t="shared" si="63"/>
        <v>3.0262386957075536E-2</v>
      </c>
      <c r="AA127" s="59">
        <f t="shared" si="37"/>
        <v>1.8355514135950216E-2</v>
      </c>
      <c r="AB127" s="59">
        <f t="shared" si="38"/>
        <v>1.4522877155936557E-2</v>
      </c>
      <c r="AC127" s="60">
        <f t="shared" si="39"/>
        <v>22212141.061302532</v>
      </c>
      <c r="AD127" s="60">
        <f t="shared" si="40"/>
        <v>18432000</v>
      </c>
      <c r="AE127" s="59">
        <f>0</f>
        <v>0</v>
      </c>
      <c r="AF127" s="60">
        <f t="shared" si="41"/>
        <v>18432000</v>
      </c>
      <c r="AG127" s="60">
        <f>1</f>
        <v>1</v>
      </c>
      <c r="AH127" s="60">
        <f t="shared" si="42"/>
        <v>18432000</v>
      </c>
      <c r="AI127" s="60">
        <f t="shared" si="43"/>
        <v>73.277571116246904</v>
      </c>
      <c r="AJ127" s="60">
        <f t="shared" si="44"/>
        <v>0</v>
      </c>
      <c r="AK127" s="59">
        <f t="shared" si="54"/>
        <v>-8.7524752475247491E-2</v>
      </c>
    </row>
    <row r="128" spans="1:37" ht="12.75" customHeight="1" x14ac:dyDescent="0.25">
      <c r="A128" s="62" t="s">
        <v>652</v>
      </c>
      <c r="B128" s="62" t="s">
        <v>444</v>
      </c>
      <c r="C128" s="62" t="s">
        <v>446</v>
      </c>
      <c r="D128" s="124">
        <v>2017</v>
      </c>
      <c r="E128" s="62" t="s">
        <v>675</v>
      </c>
      <c r="F128" s="64">
        <f>SIM_Parametres!$C$23</f>
        <v>1269170000</v>
      </c>
      <c r="G128" s="125">
        <f>SIM_Districts!D57*(1+SIM_Parametres!$B$6)^(2017-2023)</f>
        <v>126809.35369426891</v>
      </c>
      <c r="H128" s="125">
        <f>MAX(0,MIN(100,SIM_Districts!F57+(2017-2022)*SIM_Parametres!$B$7))</f>
        <v>66.95</v>
      </c>
      <c r="I128" s="125">
        <f>SIM_Districts!G57*(1+SIM_Parametres!$B$8)^(2017-2023)</f>
        <v>57.981957027848154</v>
      </c>
      <c r="J128" s="125">
        <f>SIM_Districts!H57*(1+SIM_Parametres!$B$9)^(2017-2023)</f>
        <v>44.219395944234627</v>
      </c>
      <c r="K128" s="125">
        <f>MAX(0,MIN(100,SIM_Districts!I57+(2017-2023)*SIM_Parametres!$B$10))</f>
        <v>73.599999999999994</v>
      </c>
      <c r="L128" s="125">
        <f>SIM_Districts!E57</f>
        <v>1360</v>
      </c>
      <c r="M128" s="61">
        <f t="shared" si="27"/>
        <v>93.242171834021264</v>
      </c>
      <c r="N128" s="125">
        <f>SIM_Districts!J57</f>
        <v>71159</v>
      </c>
      <c r="O128" s="63">
        <v>18381000</v>
      </c>
      <c r="P128" s="126">
        <f>SIM_Parametres!$D$23</f>
        <v>0</v>
      </c>
      <c r="Q128" s="126">
        <f>SIM_Parametres!$B$12</f>
        <v>0.2</v>
      </c>
      <c r="R128" s="66">
        <f t="shared" si="55"/>
        <v>8.3534016815705377E-3</v>
      </c>
      <c r="S128" s="66">
        <f t="shared" si="56"/>
        <v>0.9485815602836879</v>
      </c>
      <c r="T128" s="66">
        <f t="shared" si="57"/>
        <v>0.86464088397790062</v>
      </c>
      <c r="U128" s="66">
        <f t="shared" si="58"/>
        <v>0.54526424876049673</v>
      </c>
      <c r="V128" s="66">
        <f t="shared" si="59"/>
        <v>8.1455312710388056E-2</v>
      </c>
      <c r="W128" s="66">
        <f t="shared" si="60"/>
        <v>2.2616782921158311E-2</v>
      </c>
      <c r="X128" s="66">
        <f t="shared" si="61"/>
        <v>1.7110370086918496E-2</v>
      </c>
      <c r="Y128" s="66">
        <f t="shared" si="62"/>
        <v>1.3931343139431052E-2</v>
      </c>
      <c r="Z128" s="66">
        <f t="shared" si="63"/>
        <v>2.9896828429499429E-3</v>
      </c>
      <c r="AA128" s="66">
        <f t="shared" si="37"/>
        <v>1.1817165259272892E-2</v>
      </c>
      <c r="AB128" s="66">
        <f t="shared" si="38"/>
        <v>1.4482693413805873E-2</v>
      </c>
      <c r="AC128" s="67">
        <f t="shared" si="39"/>
        <v>15573520.066252483</v>
      </c>
      <c r="AD128" s="67">
        <f t="shared" si="40"/>
        <v>18381000</v>
      </c>
      <c r="AE128" s="66">
        <f>0</f>
        <v>0</v>
      </c>
      <c r="AF128" s="67">
        <f t="shared" si="41"/>
        <v>18381000</v>
      </c>
      <c r="AG128" s="67">
        <f>1</f>
        <v>1</v>
      </c>
      <c r="AH128" s="67">
        <f t="shared" si="42"/>
        <v>18381000</v>
      </c>
      <c r="AI128" s="67">
        <f t="shared" si="43"/>
        <v>144.94987526169152</v>
      </c>
      <c r="AJ128" s="67">
        <f t="shared" si="44"/>
        <v>0</v>
      </c>
      <c r="AK128" s="66">
        <f t="shared" si="54"/>
        <v>-6.4324324324324111E-3</v>
      </c>
    </row>
    <row r="129" spans="1:37" ht="12.75" customHeight="1" x14ac:dyDescent="0.25">
      <c r="A129" s="55" t="s">
        <v>654</v>
      </c>
      <c r="B129" s="55" t="s">
        <v>444</v>
      </c>
      <c r="C129" s="55" t="s">
        <v>447</v>
      </c>
      <c r="D129" s="128">
        <v>2017</v>
      </c>
      <c r="E129" s="55" t="s">
        <v>675</v>
      </c>
      <c r="F129" s="57">
        <f>SIM_Parametres!$C$23</f>
        <v>1269170000</v>
      </c>
      <c r="G129" s="129">
        <f>SIM_Districts!D58*(1+SIM_Parametres!$B$6)^(2017-2023)</f>
        <v>62185.718511531391</v>
      </c>
      <c r="H129" s="129">
        <f>MAX(0,MIN(100,SIM_Districts!F58+(2017-2022)*SIM_Parametres!$B$7))</f>
        <v>66.95</v>
      </c>
      <c r="I129" s="129">
        <f>SIM_Districts!G58*(1+SIM_Parametres!$B$8)^(2017-2023)</f>
        <v>57.981957027848154</v>
      </c>
      <c r="J129" s="129">
        <f>SIM_Districts!H58*(1+SIM_Parametres!$B$9)^(2017-2023)</f>
        <v>44.219395944234627</v>
      </c>
      <c r="K129" s="129">
        <f>MAX(0,MIN(100,SIM_Districts!I58+(2017-2023)*SIM_Parametres!$B$10))</f>
        <v>73.599999999999994</v>
      </c>
      <c r="L129" s="129">
        <f>SIM_Districts!E58</f>
        <v>6089</v>
      </c>
      <c r="M129" s="68">
        <f t="shared" si="27"/>
        <v>10.212796602320807</v>
      </c>
      <c r="N129" s="129">
        <f>SIM_Districts!J58</f>
        <v>71159</v>
      </c>
      <c r="O129" s="56">
        <v>15326000</v>
      </c>
      <c r="P129" s="130">
        <f>SIM_Parametres!$D$23</f>
        <v>0</v>
      </c>
      <c r="Q129" s="130">
        <f>SIM_Parametres!$B$12</f>
        <v>0.2</v>
      </c>
      <c r="R129" s="59">
        <f t="shared" si="55"/>
        <v>4.0964035416211995E-3</v>
      </c>
      <c r="S129" s="59">
        <f t="shared" si="56"/>
        <v>0.9485815602836879</v>
      </c>
      <c r="T129" s="59">
        <f t="shared" si="57"/>
        <v>0.86464088397790062</v>
      </c>
      <c r="U129" s="59">
        <f t="shared" si="58"/>
        <v>0.71048099676349064</v>
      </c>
      <c r="V129" s="59">
        <f t="shared" si="59"/>
        <v>8.1455312710388056E-2</v>
      </c>
      <c r="W129" s="59">
        <f t="shared" si="60"/>
        <v>2.2616782921158311E-2</v>
      </c>
      <c r="X129" s="59">
        <f t="shared" si="61"/>
        <v>1.7110370086918496E-2</v>
      </c>
      <c r="Y129" s="59">
        <f t="shared" si="62"/>
        <v>1.8152583050250179E-2</v>
      </c>
      <c r="Z129" s="59">
        <f t="shared" si="63"/>
        <v>2.9896828429499429E-3</v>
      </c>
      <c r="AA129" s="59">
        <f t="shared" si="37"/>
        <v>9.4740283708442466E-3</v>
      </c>
      <c r="AB129" s="59">
        <f t="shared" si="38"/>
        <v>1.2075608468526676E-2</v>
      </c>
      <c r="AC129" s="60">
        <f t="shared" si="39"/>
        <v>13194448.830502896</v>
      </c>
      <c r="AD129" s="60">
        <f t="shared" si="40"/>
        <v>15326000</v>
      </c>
      <c r="AE129" s="59">
        <f>0</f>
        <v>0</v>
      </c>
      <c r="AF129" s="60">
        <f t="shared" si="41"/>
        <v>15326000</v>
      </c>
      <c r="AG129" s="60">
        <f>1</f>
        <v>1</v>
      </c>
      <c r="AH129" s="60">
        <f t="shared" si="42"/>
        <v>15326000</v>
      </c>
      <c r="AI129" s="60">
        <f t="shared" si="43"/>
        <v>246.45530142355801</v>
      </c>
      <c r="AJ129" s="60">
        <f t="shared" si="44"/>
        <v>0</v>
      </c>
      <c r="AK129" s="59">
        <f t="shared" si="54"/>
        <v>-2.3821656050955431E-2</v>
      </c>
    </row>
    <row r="130" spans="1:37" ht="12.75" customHeight="1" x14ac:dyDescent="0.25">
      <c r="A130" s="62" t="s">
        <v>655</v>
      </c>
      <c r="B130" s="62" t="s">
        <v>444</v>
      </c>
      <c r="C130" s="62" t="s">
        <v>448</v>
      </c>
      <c r="D130" s="124">
        <v>2017</v>
      </c>
      <c r="E130" s="62" t="s">
        <v>675</v>
      </c>
      <c r="F130" s="64">
        <f>SIM_Parametres!$C$23</f>
        <v>1269170000</v>
      </c>
      <c r="G130" s="125">
        <f>SIM_Districts!D59*(1+SIM_Parametres!$B$6)^(2017-2023)</f>
        <v>109547.12819550541</v>
      </c>
      <c r="H130" s="125">
        <f>MAX(0,MIN(100,SIM_Districts!F59+(2017-2022)*SIM_Parametres!$B$7))</f>
        <v>66.95</v>
      </c>
      <c r="I130" s="125">
        <f>SIM_Districts!G59*(1+SIM_Parametres!$B$8)^(2017-2023)</f>
        <v>57.981957027848154</v>
      </c>
      <c r="J130" s="125">
        <f>SIM_Districts!H59*(1+SIM_Parametres!$B$9)^(2017-2023)</f>
        <v>44.219395944234627</v>
      </c>
      <c r="K130" s="125">
        <f>MAX(0,MIN(100,SIM_Districts!I59+(2017-2023)*SIM_Parametres!$B$10))</f>
        <v>73.599999999999994</v>
      </c>
      <c r="L130" s="125">
        <f>SIM_Districts!E59</f>
        <v>9596</v>
      </c>
      <c r="M130" s="61">
        <f t="shared" si="27"/>
        <v>11.415915818622906</v>
      </c>
      <c r="N130" s="125">
        <f>SIM_Districts!J59</f>
        <v>71159</v>
      </c>
      <c r="O130" s="63">
        <v>16076000</v>
      </c>
      <c r="P130" s="126">
        <f>SIM_Parametres!$D$23</f>
        <v>0</v>
      </c>
      <c r="Q130" s="126">
        <f>SIM_Parametres!$B$12</f>
        <v>0.2</v>
      </c>
      <c r="R130" s="66">
        <f t="shared" si="55"/>
        <v>7.2162749688465247E-3</v>
      </c>
      <c r="S130" s="66">
        <f t="shared" si="56"/>
        <v>0.9485815602836879</v>
      </c>
      <c r="T130" s="66">
        <f t="shared" si="57"/>
        <v>0.86464088397790062</v>
      </c>
      <c r="U130" s="66">
        <f t="shared" si="58"/>
        <v>0.83194467542502504</v>
      </c>
      <c r="V130" s="66">
        <f t="shared" si="59"/>
        <v>8.1455312710388056E-2</v>
      </c>
      <c r="W130" s="66">
        <f t="shared" si="60"/>
        <v>2.2616782921158311E-2</v>
      </c>
      <c r="X130" s="66">
        <f t="shared" si="61"/>
        <v>1.7110370086918496E-2</v>
      </c>
      <c r="Y130" s="66">
        <f t="shared" si="62"/>
        <v>2.1255944751036638E-2</v>
      </c>
      <c r="Z130" s="66">
        <f t="shared" si="63"/>
        <v>2.9896828429499429E-3</v>
      </c>
      <c r="AA130" s="66">
        <f t="shared" si="37"/>
        <v>1.1501119312218764E-2</v>
      </c>
      <c r="AB130" s="66">
        <f t="shared" si="38"/>
        <v>1.2666545852801437E-2</v>
      </c>
      <c r="AC130" s="67">
        <f t="shared" si="39"/>
        <v>15252627.238554331</v>
      </c>
      <c r="AD130" s="67">
        <f t="shared" si="40"/>
        <v>16076000</v>
      </c>
      <c r="AE130" s="66">
        <f>0</f>
        <v>0</v>
      </c>
      <c r="AF130" s="67">
        <f t="shared" si="41"/>
        <v>16076000</v>
      </c>
      <c r="AG130" s="67">
        <f>1</f>
        <v>1</v>
      </c>
      <c r="AH130" s="67">
        <f t="shared" si="42"/>
        <v>16076000</v>
      </c>
      <c r="AI130" s="67">
        <f t="shared" si="43"/>
        <v>146.74962515959024</v>
      </c>
      <c r="AJ130" s="67">
        <f t="shared" si="44"/>
        <v>0</v>
      </c>
      <c r="AK130" s="66">
        <f t="shared" si="54"/>
        <v>2.3949044585987345E-2</v>
      </c>
    </row>
    <row r="131" spans="1:37" ht="12.75" customHeight="1" x14ac:dyDescent="0.25">
      <c r="A131" s="55" t="s">
        <v>656</v>
      </c>
      <c r="B131" s="55" t="s">
        <v>444</v>
      </c>
      <c r="C131" s="55" t="s">
        <v>449</v>
      </c>
      <c r="D131" s="128">
        <v>2017</v>
      </c>
      <c r="E131" s="55" t="s">
        <v>675</v>
      </c>
      <c r="F131" s="57">
        <f>SIM_Parametres!$C$23</f>
        <v>1269170000</v>
      </c>
      <c r="G131" s="129">
        <f>SIM_Districts!D60*(1+SIM_Parametres!$B$6)^(2017-2023)</f>
        <v>80842.355297673159</v>
      </c>
      <c r="H131" s="129">
        <f>MAX(0,MIN(100,SIM_Districts!F60+(2017-2022)*SIM_Parametres!$B$7))</f>
        <v>66.95</v>
      </c>
      <c r="I131" s="129">
        <f>SIM_Districts!G60*(1+SIM_Parametres!$B$8)^(2017-2023)</f>
        <v>57.981957027848154</v>
      </c>
      <c r="J131" s="129">
        <f>SIM_Districts!H60*(1+SIM_Parametres!$B$9)^(2017-2023)</f>
        <v>44.219395944234627</v>
      </c>
      <c r="K131" s="129">
        <f>MAX(0,MIN(100,SIM_Districts!I60+(2017-2023)*SIM_Parametres!$B$10))</f>
        <v>73.599999999999994</v>
      </c>
      <c r="L131" s="129">
        <f>SIM_Districts!E60</f>
        <v>5363</v>
      </c>
      <c r="M131" s="68">
        <f t="shared" si="27"/>
        <v>15.074091981665703</v>
      </c>
      <c r="N131" s="129">
        <f>SIM_Districts!J60</f>
        <v>71159</v>
      </c>
      <c r="O131" s="56">
        <v>16786000</v>
      </c>
      <c r="P131" s="130">
        <f>SIM_Parametres!$D$23</f>
        <v>0</v>
      </c>
      <c r="Q131" s="130">
        <f>SIM_Parametres!$B$12</f>
        <v>0.2</v>
      </c>
      <c r="R131" s="59">
        <f t="shared" si="55"/>
        <v>5.3253852891155156E-3</v>
      </c>
      <c r="S131" s="59">
        <f t="shared" si="56"/>
        <v>0.9485815602836879</v>
      </c>
      <c r="T131" s="59">
        <f t="shared" si="57"/>
        <v>0.86464088397790062</v>
      </c>
      <c r="U131" s="59">
        <f t="shared" si="58"/>
        <v>0.68524994865574662</v>
      </c>
      <c r="V131" s="59">
        <f t="shared" si="59"/>
        <v>8.1455312710388056E-2</v>
      </c>
      <c r="W131" s="59">
        <f t="shared" si="60"/>
        <v>2.2616782921158311E-2</v>
      </c>
      <c r="X131" s="59">
        <f t="shared" si="61"/>
        <v>1.7110370086918496E-2</v>
      </c>
      <c r="Y131" s="59">
        <f t="shared" si="62"/>
        <v>1.7507937101509701E-2</v>
      </c>
      <c r="Z131" s="59">
        <f t="shared" si="63"/>
        <v>2.9896828429499429E-3</v>
      </c>
      <c r="AA131" s="59">
        <f t="shared" si="37"/>
        <v>1.0179185121903812E-2</v>
      </c>
      <c r="AB131" s="59">
        <f t="shared" si="38"/>
        <v>1.3225966576581545E-2</v>
      </c>
      <c r="AC131" s="60">
        <f t="shared" si="39"/>
        <v>13910419.86549671</v>
      </c>
      <c r="AD131" s="60">
        <f t="shared" si="40"/>
        <v>16786000</v>
      </c>
      <c r="AE131" s="59">
        <f>0</f>
        <v>0</v>
      </c>
      <c r="AF131" s="60">
        <f t="shared" si="41"/>
        <v>16786000</v>
      </c>
      <c r="AG131" s="60">
        <f>1</f>
        <v>1</v>
      </c>
      <c r="AH131" s="60">
        <f t="shared" si="42"/>
        <v>16786000</v>
      </c>
      <c r="AI131" s="60">
        <f t="shared" si="43"/>
        <v>207.63868071621044</v>
      </c>
      <c r="AJ131" s="60">
        <f t="shared" si="44"/>
        <v>0</v>
      </c>
      <c r="AK131" s="59">
        <f t="shared" si="54"/>
        <v>-2.971098265895955E-2</v>
      </c>
    </row>
    <row r="132" spans="1:37" ht="12.75" customHeight="1" x14ac:dyDescent="0.25">
      <c r="A132" s="62" t="s">
        <v>657</v>
      </c>
      <c r="B132" s="62" t="s">
        <v>444</v>
      </c>
      <c r="C132" s="62" t="s">
        <v>450</v>
      </c>
      <c r="D132" s="124">
        <v>2017</v>
      </c>
      <c r="E132" s="62" t="s">
        <v>675</v>
      </c>
      <c r="F132" s="64">
        <f>SIM_Parametres!$C$23</f>
        <v>1269170000</v>
      </c>
      <c r="G132" s="125">
        <f>SIM_Districts!D61*(1+SIM_Parametres!$B$6)^(2017-2023)</f>
        <v>102725.81892481705</v>
      </c>
      <c r="H132" s="125">
        <f>MAX(0,MIN(100,SIM_Districts!F61+(2017-2022)*SIM_Parametres!$B$7))</f>
        <v>66.95</v>
      </c>
      <c r="I132" s="125">
        <f>SIM_Districts!G61*(1+SIM_Parametres!$B$8)^(2017-2023)</f>
        <v>57.981957027848154</v>
      </c>
      <c r="J132" s="125">
        <f>SIM_Districts!H61*(1+SIM_Parametres!$B$9)^(2017-2023)</f>
        <v>44.219395944234627</v>
      </c>
      <c r="K132" s="125">
        <f>MAX(0,MIN(100,SIM_Districts!I61+(2017-2023)*SIM_Parametres!$B$10))</f>
        <v>73.599999999999994</v>
      </c>
      <c r="L132" s="125">
        <f>SIM_Districts!E61</f>
        <v>2477</v>
      </c>
      <c r="M132" s="61">
        <f t="shared" ref="M132:M195" si="64">IFERROR(G132/L132,0)</f>
        <v>41.471868762542208</v>
      </c>
      <c r="N132" s="125">
        <f>SIM_Districts!J61</f>
        <v>71159</v>
      </c>
      <c r="O132" s="63">
        <v>16397000</v>
      </c>
      <c r="P132" s="126">
        <f>SIM_Parametres!$D$23</f>
        <v>0</v>
      </c>
      <c r="Q132" s="126">
        <f>SIM_Parametres!$B$12</f>
        <v>0.2</v>
      </c>
      <c r="R132" s="66">
        <f t="shared" si="55"/>
        <v>6.7669300690242325E-3</v>
      </c>
      <c r="S132" s="66">
        <f t="shared" si="56"/>
        <v>0.9485815602836879</v>
      </c>
      <c r="T132" s="66">
        <f t="shared" si="57"/>
        <v>0.86464088397790062</v>
      </c>
      <c r="U132" s="66">
        <f t="shared" si="58"/>
        <v>0.58483187330804909</v>
      </c>
      <c r="V132" s="66">
        <f t="shared" si="59"/>
        <v>8.1455312710388056E-2</v>
      </c>
      <c r="W132" s="66">
        <f t="shared" si="60"/>
        <v>2.2616782921158311E-2</v>
      </c>
      <c r="X132" s="66">
        <f t="shared" si="61"/>
        <v>1.7110370086918496E-2</v>
      </c>
      <c r="Y132" s="66">
        <f t="shared" si="62"/>
        <v>1.4942284450982639E-2</v>
      </c>
      <c r="Z132" s="66">
        <f t="shared" si="63"/>
        <v>2.9896828429499429E-3</v>
      </c>
      <c r="AA132" s="66">
        <f t="shared" ref="AA132:AA195" si="65">0.6*R132+0.15*W132+0.15*X132+0.05*Y132+0.05*Z132</f>
        <v>1.0915829357322691E-2</v>
      </c>
      <c r="AB132" s="66">
        <f t="shared" ref="AB132:AB195" si="66">IFERROR(O132/F132,1/71)</f>
        <v>1.2919467053271036E-2</v>
      </c>
      <c r="AC132" s="67">
        <f t="shared" ref="AC132:AC195" si="67">F132*(Q132/71+(1-Q132)*AA132)</f>
        <v>14658361.276909972</v>
      </c>
      <c r="AD132" s="67">
        <f t="shared" ref="AD132:AD195" si="68">O132</f>
        <v>16397000</v>
      </c>
      <c r="AE132" s="66">
        <f>0</f>
        <v>0</v>
      </c>
      <c r="AF132" s="67">
        <f t="shared" ref="AF132:AF195" si="69">O132</f>
        <v>16397000</v>
      </c>
      <c r="AG132" s="67">
        <f>1</f>
        <v>1</v>
      </c>
      <c r="AH132" s="67">
        <f t="shared" ref="AH132:AH195" si="70">O132</f>
        <v>16397000</v>
      </c>
      <c r="AI132" s="67">
        <f t="shared" ref="AI132:AI195" si="71">IFERROR(AH132/G132,0)</f>
        <v>159.6190730978804</v>
      </c>
      <c r="AJ132" s="67">
        <f t="shared" ref="AJ132:AJ195" si="72">AH132-F132*AB132</f>
        <v>0</v>
      </c>
      <c r="AK132" s="66">
        <f t="shared" si="54"/>
        <v>-1.2228915662650608E-2</v>
      </c>
    </row>
    <row r="133" spans="1:37" ht="12.75" customHeight="1" x14ac:dyDescent="0.25">
      <c r="A133" s="55" t="s">
        <v>658</v>
      </c>
      <c r="B133" s="55" t="s">
        <v>444</v>
      </c>
      <c r="C133" s="55" t="s">
        <v>451</v>
      </c>
      <c r="D133" s="128">
        <v>2017</v>
      </c>
      <c r="E133" s="55" t="s">
        <v>675</v>
      </c>
      <c r="F133" s="57">
        <f>SIM_Parametres!$C$23</f>
        <v>1269170000</v>
      </c>
      <c r="G133" s="129">
        <f>SIM_Districts!D62*(1+SIM_Parametres!$B$6)^(2017-2023)</f>
        <v>344613.88432998693</v>
      </c>
      <c r="H133" s="129">
        <f>MAX(0,MIN(100,SIM_Districts!F62+(2017-2022)*SIM_Parametres!$B$7))</f>
        <v>66.95</v>
      </c>
      <c r="I133" s="129">
        <f>SIM_Districts!G62*(1+SIM_Parametres!$B$8)^(2017-2023)</f>
        <v>57.981957027848154</v>
      </c>
      <c r="J133" s="129">
        <f>SIM_Districts!H62*(1+SIM_Parametres!$B$9)^(2017-2023)</f>
        <v>44.219395944234627</v>
      </c>
      <c r="K133" s="129">
        <f>MAX(0,MIN(100,SIM_Districts!I62+(2017-2023)*SIM_Parametres!$B$10))</f>
        <v>73.599999999999994</v>
      </c>
      <c r="L133" s="129">
        <f>SIM_Districts!E62</f>
        <v>11599</v>
      </c>
      <c r="M133" s="68">
        <f t="shared" si="64"/>
        <v>29.710654740062672</v>
      </c>
      <c r="N133" s="129">
        <f>SIM_Districts!J62</f>
        <v>71159</v>
      </c>
      <c r="O133" s="56">
        <v>17791000</v>
      </c>
      <c r="P133" s="130">
        <f>SIM_Parametres!$D$23</f>
        <v>0</v>
      </c>
      <c r="Q133" s="130">
        <f>SIM_Parametres!$B$12</f>
        <v>0.2</v>
      </c>
      <c r="R133" s="59">
        <f t="shared" si="55"/>
        <v>2.2700992608124689E-2</v>
      </c>
      <c r="S133" s="59">
        <f t="shared" si="56"/>
        <v>0.9485815602836879</v>
      </c>
      <c r="T133" s="59">
        <f t="shared" si="57"/>
        <v>0.86464088397790062</v>
      </c>
      <c r="U133" s="59">
        <f t="shared" si="58"/>
        <v>0.90102051224376711</v>
      </c>
      <c r="V133" s="59">
        <f t="shared" si="59"/>
        <v>8.1455312710388056E-2</v>
      </c>
      <c r="W133" s="59">
        <f t="shared" si="60"/>
        <v>2.2616782921158311E-2</v>
      </c>
      <c r="X133" s="59">
        <f t="shared" si="61"/>
        <v>1.7110370086918496E-2</v>
      </c>
      <c r="Y133" s="59">
        <f t="shared" si="62"/>
        <v>2.3020812313054136E-2</v>
      </c>
      <c r="Z133" s="59">
        <f t="shared" si="63"/>
        <v>2.9896828429499429E-3</v>
      </c>
      <c r="AA133" s="59">
        <f t="shared" si="65"/>
        <v>2.0880193273886537E-2</v>
      </c>
      <c r="AB133" s="59">
        <f t="shared" si="66"/>
        <v>1.4017822671509727E-2</v>
      </c>
      <c r="AC133" s="60">
        <f t="shared" si="67"/>
        <v>24775538.678498242</v>
      </c>
      <c r="AD133" s="60">
        <f t="shared" si="68"/>
        <v>17791000</v>
      </c>
      <c r="AE133" s="59">
        <f>0</f>
        <v>0</v>
      </c>
      <c r="AF133" s="60">
        <f t="shared" si="69"/>
        <v>17791000</v>
      </c>
      <c r="AG133" s="60">
        <f>1</f>
        <v>1</v>
      </c>
      <c r="AH133" s="60">
        <f t="shared" si="70"/>
        <v>17791000</v>
      </c>
      <c r="AI133" s="60">
        <f t="shared" si="71"/>
        <v>51.625894396536061</v>
      </c>
      <c r="AJ133" s="60">
        <f t="shared" si="72"/>
        <v>0</v>
      </c>
      <c r="AK133" s="59">
        <f t="shared" si="54"/>
        <v>1.200227531285547E-2</v>
      </c>
    </row>
    <row r="134" spans="1:37" ht="12.75" customHeight="1" x14ac:dyDescent="0.25">
      <c r="A134" s="62" t="s">
        <v>659</v>
      </c>
      <c r="B134" s="62" t="s">
        <v>452</v>
      </c>
      <c r="C134" s="62" t="s">
        <v>454</v>
      </c>
      <c r="D134" s="124">
        <v>2017</v>
      </c>
      <c r="E134" s="62" t="s">
        <v>675</v>
      </c>
      <c r="F134" s="64">
        <f>SIM_Parametres!$C$23</f>
        <v>1269170000</v>
      </c>
      <c r="G134" s="125">
        <f>SIM_Districts!D63*(1+SIM_Parametres!$B$6)^(2017-2023)</f>
        <v>102230.02824486032</v>
      </c>
      <c r="H134" s="125">
        <f>MAX(0,MIN(100,SIM_Districts!F63+(2017-2022)*SIM_Parametres!$B$7))</f>
        <v>34.049999999999997</v>
      </c>
      <c r="I134" s="125">
        <f>SIM_Districts!G63*(1+SIM_Parametres!$B$8)^(2017-2023)</f>
        <v>57.981957027848154</v>
      </c>
      <c r="J134" s="125">
        <f>SIM_Districts!H63*(1+SIM_Parametres!$B$9)^(2017-2023)</f>
        <v>29.918655128226831</v>
      </c>
      <c r="K134" s="125">
        <f>MAX(0,MIN(100,SIM_Districts!I63+(2017-2023)*SIM_Parametres!$B$10))</f>
        <v>85.3</v>
      </c>
      <c r="L134" s="125">
        <f>SIM_Districts!E63</f>
        <v>393</v>
      </c>
      <c r="M134" s="61">
        <f t="shared" si="64"/>
        <v>260.12729833297794</v>
      </c>
      <c r="N134" s="125">
        <f>SIM_Districts!J63</f>
        <v>153373</v>
      </c>
      <c r="O134" s="63">
        <v>20713000</v>
      </c>
      <c r="P134" s="126">
        <f>SIM_Parametres!$D$23</f>
        <v>0</v>
      </c>
      <c r="Q134" s="126">
        <f>SIM_Parametres!$B$12</f>
        <v>0.2</v>
      </c>
      <c r="R134" s="66">
        <f t="shared" si="55"/>
        <v>6.7342705011059021E-3</v>
      </c>
      <c r="S134" s="66">
        <f t="shared" si="56"/>
        <v>0.36524822695035453</v>
      </c>
      <c r="T134" s="66">
        <f t="shared" si="57"/>
        <v>0.65469613259668513</v>
      </c>
      <c r="U134" s="66">
        <f t="shared" si="58"/>
        <v>0.5089487082445231</v>
      </c>
      <c r="V134" s="66">
        <f t="shared" si="59"/>
        <v>0.65207282116061327</v>
      </c>
      <c r="W134" s="66">
        <f t="shared" si="60"/>
        <v>8.708518283660956E-3</v>
      </c>
      <c r="X134" s="66">
        <f t="shared" si="61"/>
        <v>1.2955775433225826E-2</v>
      </c>
      <c r="Y134" s="66">
        <f t="shared" si="62"/>
        <v>1.3003491630053692E-2</v>
      </c>
      <c r="Z134" s="66">
        <f t="shared" si="63"/>
        <v>2.3933256909947777E-2</v>
      </c>
      <c r="AA134" s="66">
        <f t="shared" si="65"/>
        <v>9.1370437851966309E-3</v>
      </c>
      <c r="AB134" s="66">
        <f t="shared" si="66"/>
        <v>1.6320114720644201E-2</v>
      </c>
      <c r="AC134" s="67">
        <f t="shared" si="67"/>
        <v>12852296.249249786</v>
      </c>
      <c r="AD134" s="67">
        <f t="shared" si="68"/>
        <v>20713000</v>
      </c>
      <c r="AE134" s="66">
        <f>0</f>
        <v>0</v>
      </c>
      <c r="AF134" s="67">
        <f t="shared" si="69"/>
        <v>20713000</v>
      </c>
      <c r="AG134" s="67">
        <f>1</f>
        <v>1</v>
      </c>
      <c r="AH134" s="67">
        <f t="shared" si="70"/>
        <v>20713000</v>
      </c>
      <c r="AI134" s="67">
        <f t="shared" si="71"/>
        <v>202.6117018219777</v>
      </c>
      <c r="AJ134" s="67">
        <f t="shared" si="72"/>
        <v>0</v>
      </c>
      <c r="AK134" s="66">
        <f t="shared" si="54"/>
        <v>-8.7533039647577082E-2</v>
      </c>
    </row>
    <row r="135" spans="1:37" ht="12.75" customHeight="1" x14ac:dyDescent="0.25">
      <c r="A135" s="55" t="s">
        <v>661</v>
      </c>
      <c r="B135" s="55" t="s">
        <v>452</v>
      </c>
      <c r="C135" s="55" t="s">
        <v>455</v>
      </c>
      <c r="D135" s="128">
        <v>2017</v>
      </c>
      <c r="E135" s="55" t="s">
        <v>675</v>
      </c>
      <c r="F135" s="57">
        <f>SIM_Parametres!$C$23</f>
        <v>1269170000</v>
      </c>
      <c r="G135" s="129">
        <f>SIM_Districts!D64*(1+SIM_Parametres!$B$6)^(2017-2023)</f>
        <v>177184.86921804742</v>
      </c>
      <c r="H135" s="129">
        <f>MAX(0,MIN(100,SIM_Districts!F64+(2017-2022)*SIM_Parametres!$B$7))</f>
        <v>34.049999999999997</v>
      </c>
      <c r="I135" s="129">
        <f>SIM_Districts!G64*(1+SIM_Parametres!$B$8)^(2017-2023)</f>
        <v>57.981957027848154</v>
      </c>
      <c r="J135" s="129">
        <f>SIM_Districts!H64*(1+SIM_Parametres!$B$9)^(2017-2023)</f>
        <v>29.918655128226831</v>
      </c>
      <c r="K135" s="129">
        <f>MAX(0,MIN(100,SIM_Districts!I64+(2017-2023)*SIM_Parametres!$B$10))</f>
        <v>85.3</v>
      </c>
      <c r="L135" s="129">
        <f>SIM_Districts!E64</f>
        <v>537</v>
      </c>
      <c r="M135" s="68">
        <f t="shared" si="64"/>
        <v>329.95320152336575</v>
      </c>
      <c r="N135" s="129">
        <f>SIM_Districts!J64</f>
        <v>153373</v>
      </c>
      <c r="O135" s="56">
        <v>17891000</v>
      </c>
      <c r="P135" s="130">
        <f>SIM_Parametres!$D$23</f>
        <v>0</v>
      </c>
      <c r="Q135" s="130">
        <f>SIM_Parametres!$B$12</f>
        <v>0.2</v>
      </c>
      <c r="R135" s="59">
        <f t="shared" si="55"/>
        <v>1.1671823421191252E-2</v>
      </c>
      <c r="S135" s="59">
        <f t="shared" si="56"/>
        <v>0.36524822695035453</v>
      </c>
      <c r="T135" s="59">
        <f t="shared" si="57"/>
        <v>0.65469613259668513</v>
      </c>
      <c r="U135" s="59">
        <f t="shared" si="58"/>
        <v>0.51275775815315705</v>
      </c>
      <c r="V135" s="59">
        <f t="shared" si="59"/>
        <v>0.65207282116061327</v>
      </c>
      <c r="W135" s="59">
        <f t="shared" si="60"/>
        <v>8.708518283660956E-3</v>
      </c>
      <c r="X135" s="59">
        <f t="shared" si="61"/>
        <v>1.2955775433225826E-2</v>
      </c>
      <c r="Y135" s="59">
        <f t="shared" si="62"/>
        <v>1.3100811748570588E-2</v>
      </c>
      <c r="Z135" s="59">
        <f t="shared" si="63"/>
        <v>2.3933256909947777E-2</v>
      </c>
      <c r="AA135" s="59">
        <f t="shared" si="65"/>
        <v>1.2104441543173687E-2</v>
      </c>
      <c r="AB135" s="59">
        <f t="shared" si="66"/>
        <v>1.4096614322746361E-2</v>
      </c>
      <c r="AC135" s="60">
        <f t="shared" si="67"/>
        <v>15865202.019243179</v>
      </c>
      <c r="AD135" s="60">
        <f t="shared" si="68"/>
        <v>17891000</v>
      </c>
      <c r="AE135" s="59">
        <f>0</f>
        <v>0</v>
      </c>
      <c r="AF135" s="60">
        <f t="shared" si="69"/>
        <v>17891000</v>
      </c>
      <c r="AG135" s="60">
        <f>1</f>
        <v>1</v>
      </c>
      <c r="AH135" s="60">
        <f t="shared" si="70"/>
        <v>17891000</v>
      </c>
      <c r="AI135" s="60">
        <f t="shared" si="71"/>
        <v>100.97363323943287</v>
      </c>
      <c r="AJ135" s="60">
        <f t="shared" si="72"/>
        <v>0</v>
      </c>
      <c r="AK135" s="59">
        <f t="shared" si="54"/>
        <v>-5.5883905013192625E-2</v>
      </c>
    </row>
    <row r="136" spans="1:37" ht="12.75" customHeight="1" x14ac:dyDescent="0.25">
      <c r="A136" s="62" t="s">
        <v>662</v>
      </c>
      <c r="B136" s="62" t="s">
        <v>452</v>
      </c>
      <c r="C136" s="62" t="s">
        <v>456</v>
      </c>
      <c r="D136" s="124">
        <v>2017</v>
      </c>
      <c r="E136" s="62" t="s">
        <v>675</v>
      </c>
      <c r="F136" s="64">
        <f>SIM_Parametres!$C$23</f>
        <v>1269170000</v>
      </c>
      <c r="G136" s="125">
        <f>SIM_Districts!D65*(1+SIM_Parametres!$B$6)^(2017-2023)</f>
        <v>461344.95247932471</v>
      </c>
      <c r="H136" s="125">
        <f>MAX(0,MIN(100,SIM_Districts!F65+(2017-2022)*SIM_Parametres!$B$7))</f>
        <v>34.049999999999997</v>
      </c>
      <c r="I136" s="125">
        <f>SIM_Districts!G65*(1+SIM_Parametres!$B$8)^(2017-2023)</f>
        <v>57.981957027848154</v>
      </c>
      <c r="J136" s="125">
        <f>SIM_Districts!H65*(1+SIM_Parametres!$B$9)^(2017-2023)</f>
        <v>29.918655128226831</v>
      </c>
      <c r="K136" s="125">
        <f>MAX(0,MIN(100,SIM_Districts!I65+(2017-2023)*SIM_Parametres!$B$10))</f>
        <v>85.3</v>
      </c>
      <c r="L136" s="125">
        <f>SIM_Districts!E65</f>
        <v>487</v>
      </c>
      <c r="M136" s="61">
        <f t="shared" si="64"/>
        <v>947.32023096370574</v>
      </c>
      <c r="N136" s="125">
        <f>SIM_Districts!J65</f>
        <v>153373</v>
      </c>
      <c r="O136" s="63">
        <v>16396000</v>
      </c>
      <c r="P136" s="126">
        <f>SIM_Parametres!$D$23</f>
        <v>0</v>
      </c>
      <c r="Q136" s="126">
        <f>SIM_Parametres!$B$12</f>
        <v>0.2</v>
      </c>
      <c r="R136" s="66">
        <f t="shared" si="55"/>
        <v>3.0390500302652688E-2</v>
      </c>
      <c r="S136" s="66">
        <f t="shared" si="56"/>
        <v>0.36524822695035453</v>
      </c>
      <c r="T136" s="66">
        <f t="shared" si="57"/>
        <v>0.65469613259668513</v>
      </c>
      <c r="U136" s="66">
        <f t="shared" si="58"/>
        <v>0.50060006219339392</v>
      </c>
      <c r="V136" s="66">
        <f t="shared" si="59"/>
        <v>0.65207282116061327</v>
      </c>
      <c r="W136" s="66">
        <f t="shared" si="60"/>
        <v>8.708518283660956E-3</v>
      </c>
      <c r="X136" s="66">
        <f t="shared" si="61"/>
        <v>1.2955775433225826E-2</v>
      </c>
      <c r="Y136" s="66">
        <f t="shared" si="62"/>
        <v>1.2790186148991382E-2</v>
      </c>
      <c r="Z136" s="66">
        <f t="shared" si="63"/>
        <v>2.3933256909947777E-2</v>
      </c>
      <c r="AA136" s="66">
        <f t="shared" si="65"/>
        <v>2.3320116392071585E-2</v>
      </c>
      <c r="AB136" s="66">
        <f t="shared" si="66"/>
        <v>1.2918679136758669E-2</v>
      </c>
      <c r="AC136" s="67">
        <f t="shared" si="67"/>
        <v>27252880.457623776</v>
      </c>
      <c r="AD136" s="67">
        <f t="shared" si="68"/>
        <v>16396000</v>
      </c>
      <c r="AE136" s="66">
        <f>0</f>
        <v>0</v>
      </c>
      <c r="AF136" s="67">
        <f t="shared" si="69"/>
        <v>16396000</v>
      </c>
      <c r="AG136" s="67">
        <f>1</f>
        <v>1</v>
      </c>
      <c r="AH136" s="67">
        <f t="shared" si="70"/>
        <v>16396000</v>
      </c>
      <c r="AI136" s="67">
        <f t="shared" si="71"/>
        <v>35.539567327844104</v>
      </c>
      <c r="AJ136" s="67">
        <f t="shared" si="72"/>
        <v>0</v>
      </c>
      <c r="AK136" s="66">
        <f t="shared" si="54"/>
        <v>-7.6281690140845071E-2</v>
      </c>
    </row>
    <row r="137" spans="1:37" ht="12.75" customHeight="1" x14ac:dyDescent="0.25">
      <c r="A137" s="55" t="s">
        <v>663</v>
      </c>
      <c r="B137" s="55" t="s">
        <v>452</v>
      </c>
      <c r="C137" s="55" t="s">
        <v>457</v>
      </c>
      <c r="D137" s="128">
        <v>2017</v>
      </c>
      <c r="E137" s="55" t="s">
        <v>675</v>
      </c>
      <c r="F137" s="57">
        <f>SIM_Parametres!$C$23</f>
        <v>1269170000</v>
      </c>
      <c r="G137" s="129">
        <f>SIM_Districts!D66*(1+SIM_Parametres!$B$6)^(2017-2023)</f>
        <v>92470.8242017257</v>
      </c>
      <c r="H137" s="129">
        <f>MAX(0,MIN(100,SIM_Districts!F66+(2017-2022)*SIM_Parametres!$B$7))</f>
        <v>34.049999999999997</v>
      </c>
      <c r="I137" s="129">
        <f>SIM_Districts!G66*(1+SIM_Parametres!$B$8)^(2017-2023)</f>
        <v>57.981957027848154</v>
      </c>
      <c r="J137" s="129">
        <f>SIM_Districts!H66*(1+SIM_Parametres!$B$9)^(2017-2023)</f>
        <v>29.918655128226831</v>
      </c>
      <c r="K137" s="129">
        <f>MAX(0,MIN(100,SIM_Districts!I66+(2017-2023)*SIM_Parametres!$B$10))</f>
        <v>85.3</v>
      </c>
      <c r="L137" s="129">
        <f>SIM_Districts!E66</f>
        <v>230</v>
      </c>
      <c r="M137" s="68">
        <f t="shared" si="64"/>
        <v>402.04706174663346</v>
      </c>
      <c r="N137" s="129">
        <f>SIM_Districts!J66</f>
        <v>153373</v>
      </c>
      <c r="O137" s="56">
        <v>15695000</v>
      </c>
      <c r="P137" s="130">
        <f>SIM_Parametres!$D$23</f>
        <v>0</v>
      </c>
      <c r="Q137" s="130">
        <f>SIM_Parametres!$B$12</f>
        <v>0.2</v>
      </c>
      <c r="R137" s="59">
        <f t="shared" si="55"/>
        <v>6.0913955940918845E-3</v>
      </c>
      <c r="S137" s="59">
        <f t="shared" si="56"/>
        <v>0.36524822695035453</v>
      </c>
      <c r="T137" s="59">
        <f t="shared" si="57"/>
        <v>0.65469613259668513</v>
      </c>
      <c r="U137" s="59">
        <f t="shared" si="58"/>
        <v>0.50090567337352976</v>
      </c>
      <c r="V137" s="59">
        <f t="shared" si="59"/>
        <v>0.65207282116061327</v>
      </c>
      <c r="W137" s="59">
        <f t="shared" si="60"/>
        <v>8.708518283660956E-3</v>
      </c>
      <c r="X137" s="59">
        <f t="shared" si="61"/>
        <v>1.2955775433225826E-2</v>
      </c>
      <c r="Y137" s="59">
        <f t="shared" si="62"/>
        <v>1.2797994425854201E-2</v>
      </c>
      <c r="Z137" s="59">
        <f t="shared" si="63"/>
        <v>2.3933256909947777E-2</v>
      </c>
      <c r="AA137" s="59">
        <f t="shared" si="65"/>
        <v>8.7410439807782472E-3</v>
      </c>
      <c r="AB137" s="59">
        <f t="shared" si="66"/>
        <v>1.2366349661589858E-2</v>
      </c>
      <c r="AC137" s="60">
        <f t="shared" si="67"/>
        <v>12450223.391830843</v>
      </c>
      <c r="AD137" s="60">
        <f t="shared" si="68"/>
        <v>15695000</v>
      </c>
      <c r="AE137" s="59">
        <f>0</f>
        <v>0</v>
      </c>
      <c r="AF137" s="60">
        <f t="shared" si="69"/>
        <v>15695000</v>
      </c>
      <c r="AG137" s="60">
        <f>1</f>
        <v>1</v>
      </c>
      <c r="AH137" s="60">
        <f t="shared" si="70"/>
        <v>15695000</v>
      </c>
      <c r="AI137" s="60">
        <f t="shared" si="71"/>
        <v>169.72921065093198</v>
      </c>
      <c r="AJ137" s="60">
        <f t="shared" si="72"/>
        <v>0</v>
      </c>
      <c r="AK137" s="59">
        <f t="shared" si="54"/>
        <v>-8.7500000000000022E-2</v>
      </c>
    </row>
    <row r="138" spans="1:37" ht="12.75" customHeight="1" x14ac:dyDescent="0.25">
      <c r="A138" s="62" t="s">
        <v>664</v>
      </c>
      <c r="B138" s="62" t="s">
        <v>452</v>
      </c>
      <c r="C138" s="62" t="s">
        <v>458</v>
      </c>
      <c r="D138" s="124">
        <v>2017</v>
      </c>
      <c r="E138" s="62" t="s">
        <v>675</v>
      </c>
      <c r="F138" s="64">
        <f>SIM_Parametres!$C$23</f>
        <v>1269170000</v>
      </c>
      <c r="G138" s="125">
        <f>SIM_Districts!D67*(1+SIM_Parametres!$B$6)^(2017-2023)</f>
        <v>153216.06979176123</v>
      </c>
      <c r="H138" s="125">
        <f>MAX(0,MIN(100,SIM_Districts!F67+(2017-2022)*SIM_Parametres!$B$7))</f>
        <v>34.049999999999997</v>
      </c>
      <c r="I138" s="125">
        <f>SIM_Districts!G67*(1+SIM_Parametres!$B$8)^(2017-2023)</f>
        <v>57.981957027848154</v>
      </c>
      <c r="J138" s="125">
        <f>SIM_Districts!H67*(1+SIM_Parametres!$B$9)^(2017-2023)</f>
        <v>29.918655128226831</v>
      </c>
      <c r="K138" s="125">
        <f>MAX(0,MIN(100,SIM_Districts!I67+(2017-2023)*SIM_Parametres!$B$10))</f>
        <v>85.3</v>
      </c>
      <c r="L138" s="125">
        <f>SIM_Districts!E67</f>
        <v>557</v>
      </c>
      <c r="M138" s="61">
        <f t="shared" si="64"/>
        <v>275.07373391698604</v>
      </c>
      <c r="N138" s="125">
        <f>SIM_Districts!J67</f>
        <v>153373</v>
      </c>
      <c r="O138" s="63">
        <v>15508000</v>
      </c>
      <c r="P138" s="126">
        <f>SIM_Parametres!$D$23</f>
        <v>0</v>
      </c>
      <c r="Q138" s="126">
        <f>SIM_Parametres!$B$12</f>
        <v>0.2</v>
      </c>
      <c r="R138" s="66">
        <f t="shared" si="55"/>
        <v>1.0092909850544965E-2</v>
      </c>
      <c r="S138" s="66">
        <f t="shared" si="56"/>
        <v>0.36524822695035453</v>
      </c>
      <c r="T138" s="66">
        <f t="shared" si="57"/>
        <v>0.65469613259668513</v>
      </c>
      <c r="U138" s="66">
        <f t="shared" si="58"/>
        <v>0.51437733390901985</v>
      </c>
      <c r="V138" s="66">
        <f t="shared" si="59"/>
        <v>0.65207282116061327</v>
      </c>
      <c r="W138" s="66">
        <f t="shared" si="60"/>
        <v>8.708518283660956E-3</v>
      </c>
      <c r="X138" s="66">
        <f t="shared" si="61"/>
        <v>1.2955775433225826E-2</v>
      </c>
      <c r="Y138" s="66">
        <f t="shared" si="62"/>
        <v>1.3142191438595229E-2</v>
      </c>
      <c r="Z138" s="66">
        <f t="shared" si="63"/>
        <v>2.3933256909947777E-2</v>
      </c>
      <c r="AA138" s="66">
        <f t="shared" si="65"/>
        <v>1.1159162385287146E-2</v>
      </c>
      <c r="AB138" s="66">
        <f t="shared" si="66"/>
        <v>1.2219009273777351E-2</v>
      </c>
      <c r="AC138" s="67">
        <f t="shared" si="67"/>
        <v>14905426.060191289</v>
      </c>
      <c r="AD138" s="67">
        <f t="shared" si="68"/>
        <v>15508000</v>
      </c>
      <c r="AE138" s="66">
        <f>0</f>
        <v>0</v>
      </c>
      <c r="AF138" s="67">
        <f t="shared" si="69"/>
        <v>15508000</v>
      </c>
      <c r="AG138" s="67">
        <f>1</f>
        <v>1</v>
      </c>
      <c r="AH138" s="67">
        <f t="shared" si="70"/>
        <v>15508000</v>
      </c>
      <c r="AI138" s="67">
        <f t="shared" si="71"/>
        <v>101.21653701910778</v>
      </c>
      <c r="AJ138" s="67">
        <f t="shared" si="72"/>
        <v>0</v>
      </c>
      <c r="AK138" s="66">
        <f t="shared" si="54"/>
        <v>-2.4654088050314438E-2</v>
      </c>
    </row>
    <row r="139" spans="1:37" ht="12.75" customHeight="1" x14ac:dyDescent="0.25">
      <c r="A139" s="55" t="s">
        <v>665</v>
      </c>
      <c r="B139" s="55" t="s">
        <v>452</v>
      </c>
      <c r="C139" s="55" t="s">
        <v>459</v>
      </c>
      <c r="D139" s="128">
        <v>2017</v>
      </c>
      <c r="E139" s="55" t="s">
        <v>675</v>
      </c>
      <c r="F139" s="57">
        <f>SIM_Parametres!$C$23</f>
        <v>1269170000</v>
      </c>
      <c r="G139" s="129">
        <f>SIM_Districts!D68*(1+SIM_Parametres!$B$6)^(2017-2023)</f>
        <v>194614.59156814762</v>
      </c>
      <c r="H139" s="129">
        <f>MAX(0,MIN(100,SIM_Districts!F68+(2017-2022)*SIM_Parametres!$B$7))</f>
        <v>34.049999999999997</v>
      </c>
      <c r="I139" s="129">
        <f>SIM_Districts!G68*(1+SIM_Parametres!$B$8)^(2017-2023)</f>
        <v>57.981957027848154</v>
      </c>
      <c r="J139" s="129">
        <f>SIM_Districts!H68*(1+SIM_Parametres!$B$9)^(2017-2023)</f>
        <v>29.918655128226831</v>
      </c>
      <c r="K139" s="129">
        <f>MAX(0,MIN(100,SIM_Districts!I68+(2017-2023)*SIM_Parametres!$B$10))</f>
        <v>85.3</v>
      </c>
      <c r="L139" s="129">
        <f>SIM_Districts!E68</f>
        <v>793</v>
      </c>
      <c r="M139" s="68">
        <f t="shared" si="64"/>
        <v>245.41562618934125</v>
      </c>
      <c r="N139" s="129">
        <f>SIM_Districts!J68</f>
        <v>153373</v>
      </c>
      <c r="O139" s="56">
        <v>15996000</v>
      </c>
      <c r="P139" s="130">
        <f>SIM_Parametres!$D$23</f>
        <v>0</v>
      </c>
      <c r="Q139" s="130">
        <f>SIM_Parametres!$B$12</f>
        <v>0.2</v>
      </c>
      <c r="R139" s="59">
        <f t="shared" ref="R139:R145" si="73">IFERROR(G139/SUM($G$75:$G$145),1/71)</f>
        <v>1.281998377172551E-2</v>
      </c>
      <c r="S139" s="59">
        <f t="shared" ref="S139:S145" si="74">IF(MAX($H$75:$H$145)=MIN($H$75:$H$145),1,(H139-MIN($H$75:$H$145))/(MAX($H$75:$H$145)-MIN($H$75:$H$145)))</f>
        <v>0.36524822695035453</v>
      </c>
      <c r="T139" s="59">
        <f t="shared" ref="T139:T145" si="75">(IF(MAX($I$75:$I$145)=MIN($I$75:$I$145),1,(I139-MIN($I$75:$I$145))/(MAX($I$75:$I$145)-MIN($I$75:$I$145)))+IF(MAX($J$75:$J$145)=MIN($J$75:$J$145),1,(J139-MIN($J$75:$J$145))/(MAX($J$75:$J$145)-MIN($J$75:$J$145))))/2</f>
        <v>0.65469613259668513</v>
      </c>
      <c r="U139" s="59">
        <f t="shared" ref="U139:U145" si="76">(IF(MAX($L$75:$L$145)=MIN($L$75:$L$145),1,(L139-MIN($L$75:$L$145))/(MAX($L$75:$L$145)-MIN($L$75:$L$145)))+IF(MAX($M$75:$M$145)=MIN($M$75:$M$145),1,(MAX($M$75:$M$145)-M139)/(MAX($M$75:$M$145)-MIN($M$75:$M$145))))/2</f>
        <v>0.52305332187907927</v>
      </c>
      <c r="V139" s="59">
        <f t="shared" ref="V139:V145" si="77">IF(MAX($N$75:$N$145)=MIN($N$75:$N$145),1,(N139-MIN($N$75:$N$145))/(MAX($N$75:$N$145)-MIN($N$75:$N$145)))</f>
        <v>0.65207282116061327</v>
      </c>
      <c r="W139" s="59">
        <f t="shared" ref="W139:W145" si="78">IFERROR(S139/SUM($S$75:$S$145),1/71)</f>
        <v>8.708518283660956E-3</v>
      </c>
      <c r="X139" s="59">
        <f t="shared" ref="X139:X145" si="79">IFERROR(T139/SUM($T$75:$T$145),1/71)</f>
        <v>1.2955775433225826E-2</v>
      </c>
      <c r="Y139" s="59">
        <f t="shared" ref="Y139:Y145" si="80">IFERROR(U139/SUM($U$75:$U$145),1/71)</f>
        <v>1.3363860410583092E-2</v>
      </c>
      <c r="Z139" s="59">
        <f t="shared" ref="Z139:Z145" si="81">IFERROR(V139/SUM($V$75:$V$145),1/71)</f>
        <v>2.3933256909947777E-2</v>
      </c>
      <c r="AA139" s="59">
        <f t="shared" si="65"/>
        <v>1.2806490186594865E-2</v>
      </c>
      <c r="AB139" s="59">
        <f t="shared" si="66"/>
        <v>1.260351253181213E-2</v>
      </c>
      <c r="AC139" s="60">
        <f t="shared" si="67"/>
        <v>16578017.280659864</v>
      </c>
      <c r="AD139" s="60">
        <f t="shared" si="68"/>
        <v>15996000</v>
      </c>
      <c r="AE139" s="59">
        <f>0</f>
        <v>0</v>
      </c>
      <c r="AF139" s="60">
        <f t="shared" si="69"/>
        <v>15996000</v>
      </c>
      <c r="AG139" s="60">
        <f>1</f>
        <v>1</v>
      </c>
      <c r="AH139" s="60">
        <f t="shared" si="70"/>
        <v>15996000</v>
      </c>
      <c r="AI139" s="60">
        <f t="shared" si="71"/>
        <v>82.19322030845116</v>
      </c>
      <c r="AJ139" s="60">
        <f t="shared" si="72"/>
        <v>0</v>
      </c>
      <c r="AK139" s="59">
        <f t="shared" ref="AK139:AK202" si="82">IFERROR(AH139/AH68-1,0)</f>
        <v>-8.7507130633200259E-2</v>
      </c>
    </row>
    <row r="140" spans="1:37" ht="12.75" customHeight="1" x14ac:dyDescent="0.25">
      <c r="A140" s="62" t="s">
        <v>666</v>
      </c>
      <c r="B140" s="62" t="s">
        <v>452</v>
      </c>
      <c r="C140" s="62" t="s">
        <v>452</v>
      </c>
      <c r="D140" s="124">
        <v>2017</v>
      </c>
      <c r="E140" s="62" t="s">
        <v>675</v>
      </c>
      <c r="F140" s="64">
        <f>SIM_Parametres!$C$23</f>
        <v>1269170000</v>
      </c>
      <c r="G140" s="125">
        <f>SIM_Districts!D69*(1+SIM_Parametres!$B$6)^(2017-2023)</f>
        <v>518899.38305139553</v>
      </c>
      <c r="H140" s="125">
        <f>MAX(0,MIN(100,SIM_Districts!F69+(2017-2022)*SIM_Parametres!$B$7))</f>
        <v>34.049999999999997</v>
      </c>
      <c r="I140" s="125">
        <f>SIM_Districts!G69*(1+SIM_Parametres!$B$8)^(2017-2023)</f>
        <v>57.981957027848154</v>
      </c>
      <c r="J140" s="125">
        <f>SIM_Districts!H69*(1+SIM_Parametres!$B$9)^(2017-2023)</f>
        <v>29.918655128226831</v>
      </c>
      <c r="K140" s="125">
        <f>MAX(0,MIN(100,SIM_Districts!I69+(2017-2023)*SIM_Parametres!$B$10))</f>
        <v>85.3</v>
      </c>
      <c r="L140" s="125">
        <f>SIM_Districts!E69</f>
        <v>503</v>
      </c>
      <c r="M140" s="61">
        <f t="shared" si="64"/>
        <v>1031.6091114341859</v>
      </c>
      <c r="N140" s="125">
        <f>SIM_Districts!J69</f>
        <v>153373</v>
      </c>
      <c r="O140" s="63">
        <v>20281000</v>
      </c>
      <c r="P140" s="126">
        <f>SIM_Parametres!$D$23</f>
        <v>0</v>
      </c>
      <c r="Q140" s="126">
        <f>SIM_Parametres!$B$12</f>
        <v>0.2</v>
      </c>
      <c r="R140" s="66">
        <f t="shared" si="73"/>
        <v>3.4181823758820576E-2</v>
      </c>
      <c r="S140" s="66">
        <f t="shared" si="74"/>
        <v>0.36524822695035453</v>
      </c>
      <c r="T140" s="66">
        <f t="shared" si="75"/>
        <v>0.65469613259668513</v>
      </c>
      <c r="U140" s="66">
        <f t="shared" si="76"/>
        <v>0.49973089584614416</v>
      </c>
      <c r="V140" s="66">
        <f t="shared" si="77"/>
        <v>0.65207282116061327</v>
      </c>
      <c r="W140" s="66">
        <f t="shared" si="78"/>
        <v>8.708518283660956E-3</v>
      </c>
      <c r="X140" s="66">
        <f t="shared" si="79"/>
        <v>1.2955775433225826E-2</v>
      </c>
      <c r="Y140" s="66">
        <f t="shared" si="80"/>
        <v>1.2767979201339289E-2</v>
      </c>
      <c r="Z140" s="66">
        <f t="shared" si="81"/>
        <v>2.3933256909947777E-2</v>
      </c>
      <c r="AA140" s="66">
        <f t="shared" si="65"/>
        <v>2.5593800118389715E-2</v>
      </c>
      <c r="AB140" s="66">
        <f t="shared" si="66"/>
        <v>1.5979734787301938E-2</v>
      </c>
      <c r="AC140" s="67">
        <f t="shared" si="67"/>
        <v>29561433.397568721</v>
      </c>
      <c r="AD140" s="67">
        <f t="shared" si="68"/>
        <v>20281000</v>
      </c>
      <c r="AE140" s="66">
        <f>0</f>
        <v>0</v>
      </c>
      <c r="AF140" s="67">
        <f t="shared" si="69"/>
        <v>20281000</v>
      </c>
      <c r="AG140" s="67">
        <f>1</f>
        <v>1</v>
      </c>
      <c r="AH140" s="67">
        <f t="shared" si="70"/>
        <v>20281000</v>
      </c>
      <c r="AI140" s="67">
        <f t="shared" si="71"/>
        <v>39.084648512660159</v>
      </c>
      <c r="AJ140" s="67">
        <f t="shared" si="72"/>
        <v>0</v>
      </c>
      <c r="AK140" s="66">
        <f t="shared" si="82"/>
        <v>-4.0179839091339375E-2</v>
      </c>
    </row>
    <row r="141" spans="1:37" ht="12.75" customHeight="1" x14ac:dyDescent="0.25">
      <c r="A141" s="55" t="s">
        <v>667</v>
      </c>
      <c r="B141" s="55" t="s">
        <v>452</v>
      </c>
      <c r="C141" s="55" t="s">
        <v>460</v>
      </c>
      <c r="D141" s="128">
        <v>2017</v>
      </c>
      <c r="E141" s="55" t="s">
        <v>675</v>
      </c>
      <c r="F141" s="57">
        <f>SIM_Parametres!$C$23</f>
        <v>1269170000</v>
      </c>
      <c r="G141" s="129">
        <f>SIM_Districts!D70*(1+SIM_Parametres!$B$6)^(2017-2023)</f>
        <v>363329.98249835323</v>
      </c>
      <c r="H141" s="129">
        <f>MAX(0,MIN(100,SIM_Districts!F70+(2017-2022)*SIM_Parametres!$B$7))</f>
        <v>34.049999999999997</v>
      </c>
      <c r="I141" s="129">
        <f>SIM_Districts!G70*(1+SIM_Parametres!$B$8)^(2017-2023)</f>
        <v>57.981957027848154</v>
      </c>
      <c r="J141" s="129">
        <f>SIM_Districts!H70*(1+SIM_Parametres!$B$9)^(2017-2023)</f>
        <v>29.918655128226831</v>
      </c>
      <c r="K141" s="129">
        <f>MAX(0,MIN(100,SIM_Districts!I70+(2017-2023)*SIM_Parametres!$B$10))</f>
        <v>85.3</v>
      </c>
      <c r="L141" s="129">
        <f>SIM_Districts!E70</f>
        <v>1739</v>
      </c>
      <c r="M141" s="68">
        <f t="shared" si="64"/>
        <v>208.93040971728189</v>
      </c>
      <c r="N141" s="129">
        <f>SIM_Districts!J70</f>
        <v>153373</v>
      </c>
      <c r="O141" s="56">
        <v>17818000</v>
      </c>
      <c r="P141" s="130">
        <f>SIM_Parametres!$D$23</f>
        <v>0</v>
      </c>
      <c r="Q141" s="130">
        <f>SIM_Parametres!$B$12</f>
        <v>0.2</v>
      </c>
      <c r="R141" s="59">
        <f t="shared" si="73"/>
        <v>2.3933891297041644E-2</v>
      </c>
      <c r="S141" s="59">
        <f t="shared" si="74"/>
        <v>0.36524822695035453</v>
      </c>
      <c r="T141" s="59">
        <f t="shared" si="75"/>
        <v>0.65469613259668513</v>
      </c>
      <c r="U141" s="59">
        <f t="shared" si="76"/>
        <v>0.55643930835847477</v>
      </c>
      <c r="V141" s="59">
        <f t="shared" si="77"/>
        <v>0.65207282116061327</v>
      </c>
      <c r="W141" s="59">
        <f t="shared" si="78"/>
        <v>8.708518283660956E-3</v>
      </c>
      <c r="X141" s="59">
        <f t="shared" si="79"/>
        <v>1.2955775433225826E-2</v>
      </c>
      <c r="Y141" s="59">
        <f t="shared" si="80"/>
        <v>1.4216862665453392E-2</v>
      </c>
      <c r="Z141" s="59">
        <f t="shared" si="81"/>
        <v>2.3933256909947777E-2</v>
      </c>
      <c r="AA141" s="59">
        <f t="shared" si="65"/>
        <v>1.9517484814528061E-2</v>
      </c>
      <c r="AB141" s="59">
        <f t="shared" si="66"/>
        <v>1.4039096417343619E-2</v>
      </c>
      <c r="AC141" s="60">
        <f t="shared" si="67"/>
        <v>23391931.722207043</v>
      </c>
      <c r="AD141" s="60">
        <f t="shared" si="68"/>
        <v>17818000</v>
      </c>
      <c r="AE141" s="59">
        <f>0</f>
        <v>0</v>
      </c>
      <c r="AF141" s="60">
        <f t="shared" si="69"/>
        <v>17818000</v>
      </c>
      <c r="AG141" s="60">
        <f>1</f>
        <v>1</v>
      </c>
      <c r="AH141" s="60">
        <f t="shared" si="70"/>
        <v>17818000</v>
      </c>
      <c r="AI141" s="60">
        <f t="shared" si="71"/>
        <v>49.040819250530085</v>
      </c>
      <c r="AJ141" s="60">
        <f t="shared" si="72"/>
        <v>0</v>
      </c>
      <c r="AK141" s="59">
        <f t="shared" si="82"/>
        <v>-4.4611260053619262E-2</v>
      </c>
    </row>
    <row r="142" spans="1:37" ht="12.75" customHeight="1" x14ac:dyDescent="0.25">
      <c r="A142" s="62" t="s">
        <v>668</v>
      </c>
      <c r="B142" s="62" t="s">
        <v>461</v>
      </c>
      <c r="C142" s="62" t="s">
        <v>463</v>
      </c>
      <c r="D142" s="124">
        <v>2017</v>
      </c>
      <c r="E142" s="62" t="s">
        <v>675</v>
      </c>
      <c r="F142" s="64">
        <f>SIM_Parametres!$C$23</f>
        <v>1269170000</v>
      </c>
      <c r="G142" s="125">
        <f>SIM_Districts!D71*(1+SIM_Parametres!$B$6)^(2017-2023)</f>
        <v>133727.81113873256</v>
      </c>
      <c r="H142" s="125">
        <f>MAX(0,MIN(100,SIM_Districts!F71+(2017-2022)*SIM_Parametres!$B$7))</f>
        <v>52.449999999999996</v>
      </c>
      <c r="I142" s="125">
        <f>SIM_Districts!G71*(1+SIM_Parametres!$B$8)^(2017-2023)</f>
        <v>57.981957027848154</v>
      </c>
      <c r="J142" s="125">
        <f>SIM_Districts!H71*(1+SIM_Parametres!$B$9)^(2017-2023)</f>
        <v>19.381267158536879</v>
      </c>
      <c r="K142" s="125">
        <f>MAX(0,MIN(100,SIM_Districts!I71+(2017-2023)*SIM_Parametres!$B$10))</f>
        <v>84.3</v>
      </c>
      <c r="L142" s="125">
        <f>SIM_Districts!E71</f>
        <v>2537</v>
      </c>
      <c r="M142" s="61">
        <f t="shared" si="64"/>
        <v>52.711001631349056</v>
      </c>
      <c r="N142" s="125">
        <f>SIM_Districts!J71</f>
        <v>69419</v>
      </c>
      <c r="O142" s="63">
        <v>22126000</v>
      </c>
      <c r="P142" s="126">
        <f>SIM_Parametres!$D$23</f>
        <v>0</v>
      </c>
      <c r="Q142" s="126">
        <f>SIM_Parametres!$B$12</f>
        <v>0.2</v>
      </c>
      <c r="R142" s="66">
        <f t="shared" si="73"/>
        <v>8.8091460913227726E-3</v>
      </c>
      <c r="S142" s="66">
        <f t="shared" si="74"/>
        <v>0.6914893617021276</v>
      </c>
      <c r="T142" s="66">
        <f t="shared" si="75"/>
        <v>0.5</v>
      </c>
      <c r="U142" s="66">
        <f t="shared" si="76"/>
        <v>0.58672050041788648</v>
      </c>
      <c r="V142" s="66">
        <f t="shared" si="77"/>
        <v>6.9378604793203735E-2</v>
      </c>
      <c r="W142" s="66">
        <f t="shared" si="78"/>
        <v>1.6487000634115404E-2</v>
      </c>
      <c r="X142" s="66">
        <f t="shared" si="79"/>
        <v>9.8944951620838582E-3</v>
      </c>
      <c r="Y142" s="66">
        <f t="shared" si="80"/>
        <v>1.4990538324933458E-2</v>
      </c>
      <c r="Z142" s="66">
        <f t="shared" si="81"/>
        <v>2.5464272067252584E-3</v>
      </c>
      <c r="AA142" s="66">
        <f t="shared" si="65"/>
        <v>1.0119560300806487E-2</v>
      </c>
      <c r="AB142" s="66">
        <f t="shared" si="66"/>
        <v>1.7433440752617851E-2</v>
      </c>
      <c r="AC142" s="67">
        <f t="shared" si="67"/>
        <v>13849880.638143037</v>
      </c>
      <c r="AD142" s="67">
        <f t="shared" si="68"/>
        <v>22126000</v>
      </c>
      <c r="AE142" s="66">
        <f>0</f>
        <v>0</v>
      </c>
      <c r="AF142" s="67">
        <f t="shared" si="69"/>
        <v>22126000</v>
      </c>
      <c r="AG142" s="67">
        <f>1</f>
        <v>1</v>
      </c>
      <c r="AH142" s="67">
        <f t="shared" si="70"/>
        <v>22126000</v>
      </c>
      <c r="AI142" s="67">
        <f t="shared" si="71"/>
        <v>165.45548612207477</v>
      </c>
      <c r="AJ142" s="67">
        <f t="shared" si="72"/>
        <v>0</v>
      </c>
      <c r="AK142" s="66">
        <f t="shared" si="82"/>
        <v>-9.1356918943126253E-3</v>
      </c>
    </row>
    <row r="143" spans="1:37" ht="12.75" customHeight="1" x14ac:dyDescent="0.25">
      <c r="A143" s="55" t="s">
        <v>670</v>
      </c>
      <c r="B143" s="55" t="s">
        <v>461</v>
      </c>
      <c r="C143" s="55" t="s">
        <v>464</v>
      </c>
      <c r="D143" s="128">
        <v>2017</v>
      </c>
      <c r="E143" s="55" t="s">
        <v>675</v>
      </c>
      <c r="F143" s="57">
        <f>SIM_Parametres!$C$23</f>
        <v>1269170000</v>
      </c>
      <c r="G143" s="129">
        <f>SIM_Districts!D72*(1+SIM_Parametres!$B$6)^(2017-2023)</f>
        <v>81670.627227533303</v>
      </c>
      <c r="H143" s="129">
        <f>MAX(0,MIN(100,SIM_Districts!F72+(2017-2022)*SIM_Parametres!$B$7))</f>
        <v>52.449999999999996</v>
      </c>
      <c r="I143" s="129">
        <f>SIM_Districts!G72*(1+SIM_Parametres!$B$8)^(2017-2023)</f>
        <v>57.981957027848154</v>
      </c>
      <c r="J143" s="129">
        <f>SIM_Districts!H72*(1+SIM_Parametres!$B$9)^(2017-2023)</f>
        <v>19.381267158536879</v>
      </c>
      <c r="K143" s="129">
        <f>MAX(0,MIN(100,SIM_Districts!I72+(2017-2023)*SIM_Parametres!$B$10))</f>
        <v>84.3</v>
      </c>
      <c r="L143" s="129">
        <f>SIM_Districts!E72</f>
        <v>1893</v>
      </c>
      <c r="M143" s="68">
        <f t="shared" si="64"/>
        <v>43.143490347349868</v>
      </c>
      <c r="N143" s="129">
        <f>SIM_Districts!J72</f>
        <v>69419</v>
      </c>
      <c r="O143" s="56">
        <v>15417000</v>
      </c>
      <c r="P143" s="130">
        <f>SIM_Parametres!$D$23</f>
        <v>0</v>
      </c>
      <c r="Q143" s="130">
        <f>SIM_Parametres!$B$12</f>
        <v>0.2</v>
      </c>
      <c r="R143" s="59">
        <f t="shared" si="73"/>
        <v>5.3799466280871856E-3</v>
      </c>
      <c r="S143" s="59">
        <f t="shared" si="74"/>
        <v>0.6914893617021276</v>
      </c>
      <c r="T143" s="59">
        <f t="shared" si="75"/>
        <v>0.5</v>
      </c>
      <c r="U143" s="59">
        <f t="shared" si="76"/>
        <v>0.56457363162952034</v>
      </c>
      <c r="V143" s="59">
        <f t="shared" si="77"/>
        <v>6.9378604793203735E-2</v>
      </c>
      <c r="W143" s="59">
        <f t="shared" si="78"/>
        <v>1.6487000634115404E-2</v>
      </c>
      <c r="X143" s="59">
        <f t="shared" si="79"/>
        <v>9.8944951620838582E-3</v>
      </c>
      <c r="Y143" s="59">
        <f t="shared" si="80"/>
        <v>1.4424692261752069E-2</v>
      </c>
      <c r="Z143" s="59">
        <f t="shared" si="81"/>
        <v>2.5464272067252584E-3</v>
      </c>
      <c r="AA143" s="59">
        <f t="shared" si="65"/>
        <v>8.0337483197060657E-3</v>
      </c>
      <c r="AB143" s="59">
        <f t="shared" si="66"/>
        <v>1.2147308871152012E-2</v>
      </c>
      <c r="AC143" s="60">
        <f t="shared" si="67"/>
        <v>11732080.644500459</v>
      </c>
      <c r="AD143" s="60">
        <f t="shared" si="68"/>
        <v>15417000</v>
      </c>
      <c r="AE143" s="59">
        <f>0</f>
        <v>0</v>
      </c>
      <c r="AF143" s="60">
        <f t="shared" si="69"/>
        <v>15417000</v>
      </c>
      <c r="AG143" s="60">
        <f>1</f>
        <v>1</v>
      </c>
      <c r="AH143" s="60">
        <f t="shared" si="70"/>
        <v>15417000</v>
      </c>
      <c r="AI143" s="60">
        <f t="shared" si="71"/>
        <v>188.77043710033522</v>
      </c>
      <c r="AJ143" s="60">
        <f t="shared" si="72"/>
        <v>0</v>
      </c>
      <c r="AK143" s="59">
        <f t="shared" si="82"/>
        <v>-2.4240506329113898E-2</v>
      </c>
    </row>
    <row r="144" spans="1:37" ht="12.75" customHeight="1" x14ac:dyDescent="0.25">
      <c r="A144" s="62" t="s">
        <v>671</v>
      </c>
      <c r="B144" s="62" t="s">
        <v>461</v>
      </c>
      <c r="C144" s="62" t="s">
        <v>465</v>
      </c>
      <c r="D144" s="124">
        <v>2017</v>
      </c>
      <c r="E144" s="62" t="s">
        <v>675</v>
      </c>
      <c r="F144" s="64">
        <f>SIM_Parametres!$C$23</f>
        <v>1269170000</v>
      </c>
      <c r="G144" s="125">
        <f>SIM_Districts!D73*(1+SIM_Parametres!$B$6)^(2017-2023)</f>
        <v>49179.58800523424</v>
      </c>
      <c r="H144" s="125">
        <f>MAX(0,MIN(100,SIM_Districts!F73+(2017-2022)*SIM_Parametres!$B$7))</f>
        <v>52.449999999999996</v>
      </c>
      <c r="I144" s="125">
        <f>SIM_Districts!G73*(1+SIM_Parametres!$B$8)^(2017-2023)</f>
        <v>57.981957027848154</v>
      </c>
      <c r="J144" s="125">
        <f>SIM_Districts!H73*(1+SIM_Parametres!$B$9)^(2017-2023)</f>
        <v>19.381267158536879</v>
      </c>
      <c r="K144" s="125">
        <f>MAX(0,MIN(100,SIM_Districts!I73+(2017-2023)*SIM_Parametres!$B$10))</f>
        <v>84.3</v>
      </c>
      <c r="L144" s="125">
        <f>SIM_Districts!E73</f>
        <v>877</v>
      </c>
      <c r="M144" s="61">
        <f t="shared" si="64"/>
        <v>56.077067280768802</v>
      </c>
      <c r="N144" s="125">
        <f>SIM_Districts!J73</f>
        <v>69419</v>
      </c>
      <c r="O144" s="63">
        <v>16560000</v>
      </c>
      <c r="P144" s="126">
        <f>SIM_Parametres!$D$23</f>
        <v>0</v>
      </c>
      <c r="Q144" s="126">
        <f>SIM_Parametres!$B$12</f>
        <v>0.2</v>
      </c>
      <c r="R144" s="66">
        <f t="shared" si="73"/>
        <v>3.239641565655552E-3</v>
      </c>
      <c r="S144" s="66">
        <f t="shared" si="74"/>
        <v>0.6914893617021276</v>
      </c>
      <c r="T144" s="66">
        <f t="shared" si="75"/>
        <v>0.5</v>
      </c>
      <c r="U144" s="66">
        <f t="shared" si="76"/>
        <v>0.52916053895252124</v>
      </c>
      <c r="V144" s="66">
        <f t="shared" si="77"/>
        <v>6.9378604793203735E-2</v>
      </c>
      <c r="W144" s="66">
        <f t="shared" si="78"/>
        <v>1.6487000634115404E-2</v>
      </c>
      <c r="X144" s="66">
        <f t="shared" si="79"/>
        <v>9.8944951620838582E-3</v>
      </c>
      <c r="Y144" s="66">
        <f t="shared" si="80"/>
        <v>1.3519898032471051E-2</v>
      </c>
      <c r="Z144" s="66">
        <f t="shared" si="81"/>
        <v>2.5464272067252584E-3</v>
      </c>
      <c r="AA144" s="66">
        <f t="shared" si="65"/>
        <v>6.7043255707830368E-3</v>
      </c>
      <c r="AB144" s="66">
        <f t="shared" si="66"/>
        <v>1.304789744478675E-2</v>
      </c>
      <c r="AC144" s="67">
        <f t="shared" si="67"/>
        <v>10382269.868299946</v>
      </c>
      <c r="AD144" s="67">
        <f t="shared" si="68"/>
        <v>16560000</v>
      </c>
      <c r="AE144" s="66">
        <f>0</f>
        <v>0</v>
      </c>
      <c r="AF144" s="67">
        <f t="shared" si="69"/>
        <v>16560000</v>
      </c>
      <c r="AG144" s="67">
        <f>1</f>
        <v>1</v>
      </c>
      <c r="AH144" s="67">
        <f t="shared" si="70"/>
        <v>16560000</v>
      </c>
      <c r="AI144" s="67">
        <f t="shared" si="71"/>
        <v>336.72506565605022</v>
      </c>
      <c r="AJ144" s="67">
        <f t="shared" si="72"/>
        <v>0</v>
      </c>
      <c r="AK144" s="66">
        <f t="shared" si="82"/>
        <v>3.6363636363636598E-3</v>
      </c>
    </row>
    <row r="145" spans="1:37" ht="12.75" customHeight="1" x14ac:dyDescent="0.25">
      <c r="A145" s="55" t="s">
        <v>672</v>
      </c>
      <c r="B145" s="55" t="s">
        <v>461</v>
      </c>
      <c r="C145" s="55" t="s">
        <v>461</v>
      </c>
      <c r="D145" s="128">
        <v>2017</v>
      </c>
      <c r="E145" s="55" t="s">
        <v>675</v>
      </c>
      <c r="F145" s="57">
        <f>SIM_Parametres!$C$23</f>
        <v>1269170000</v>
      </c>
      <c r="G145" s="129">
        <f>SIM_Districts!D74*(1+SIM_Parametres!$B$6)^(2017-2023)</f>
        <v>252624.61357585431</v>
      </c>
      <c r="H145" s="129">
        <f>MAX(0,MIN(100,SIM_Districts!F74+(2017-2022)*SIM_Parametres!$B$7))</f>
        <v>52.449999999999996</v>
      </c>
      <c r="I145" s="129">
        <f>SIM_Districts!G74*(1+SIM_Parametres!$B$8)^(2017-2023)</f>
        <v>57.981957027848154</v>
      </c>
      <c r="J145" s="129">
        <f>SIM_Districts!H74*(1+SIM_Parametres!$B$9)^(2017-2023)</f>
        <v>19.381267158536879</v>
      </c>
      <c r="K145" s="129">
        <f>MAX(0,MIN(100,SIM_Districts!I74+(2017-2023)*SIM_Parametres!$B$10))</f>
        <v>84.3</v>
      </c>
      <c r="L145" s="129">
        <f>SIM_Districts!E74</f>
        <v>1136</v>
      </c>
      <c r="M145" s="68">
        <f t="shared" si="64"/>
        <v>222.38082180973092</v>
      </c>
      <c r="N145" s="129">
        <f>SIM_Districts!J74</f>
        <v>69419</v>
      </c>
      <c r="O145" s="56">
        <v>19731000</v>
      </c>
      <c r="P145" s="130">
        <f>SIM_Parametres!$D$23</f>
        <v>0</v>
      </c>
      <c r="Q145" s="130">
        <f>SIM_Parametres!$B$12</f>
        <v>0.2</v>
      </c>
      <c r="R145" s="59">
        <f t="shared" si="73"/>
        <v>1.6641318722737261E-2</v>
      </c>
      <c r="S145" s="59">
        <f t="shared" si="74"/>
        <v>0.6914893617021276</v>
      </c>
      <c r="T145" s="59">
        <f t="shared" si="75"/>
        <v>0.5</v>
      </c>
      <c r="U145" s="59">
        <f t="shared" si="76"/>
        <v>0.53532398626606015</v>
      </c>
      <c r="V145" s="59">
        <f t="shared" si="77"/>
        <v>6.9378604793203735E-2</v>
      </c>
      <c r="W145" s="59">
        <f t="shared" si="78"/>
        <v>1.6487000634115404E-2</v>
      </c>
      <c r="X145" s="59">
        <f t="shared" si="79"/>
        <v>9.8944951620838582E-3</v>
      </c>
      <c r="Y145" s="59">
        <f t="shared" si="80"/>
        <v>1.3677372320656833E-2</v>
      </c>
      <c r="Z145" s="59">
        <f t="shared" si="81"/>
        <v>2.5464272067252584E-3</v>
      </c>
      <c r="AA145" s="59">
        <f t="shared" si="65"/>
        <v>1.4753205579441351E-2</v>
      </c>
      <c r="AB145" s="59">
        <f t="shared" si="66"/>
        <v>1.5546380705500445E-2</v>
      </c>
      <c r="AC145" s="60">
        <f t="shared" si="67"/>
        <v>18554587.500771046</v>
      </c>
      <c r="AD145" s="60">
        <f t="shared" si="68"/>
        <v>19731000</v>
      </c>
      <c r="AE145" s="59">
        <f>0</f>
        <v>0</v>
      </c>
      <c r="AF145" s="60">
        <f t="shared" si="69"/>
        <v>19731000</v>
      </c>
      <c r="AG145" s="60">
        <f>1</f>
        <v>1</v>
      </c>
      <c r="AH145" s="60">
        <f t="shared" si="70"/>
        <v>19731000</v>
      </c>
      <c r="AI145" s="60">
        <f t="shared" si="71"/>
        <v>78.104028426650018</v>
      </c>
      <c r="AJ145" s="60">
        <f t="shared" si="72"/>
        <v>0</v>
      </c>
      <c r="AK145" s="59">
        <f t="shared" si="82"/>
        <v>-1.2462462462462409E-2</v>
      </c>
    </row>
    <row r="146" spans="1:37" ht="12.75" customHeight="1" x14ac:dyDescent="0.25">
      <c r="A146" s="62" t="s">
        <v>587</v>
      </c>
      <c r="B146" s="62" t="s">
        <v>376</v>
      </c>
      <c r="C146" s="62" t="s">
        <v>379</v>
      </c>
      <c r="D146" s="124">
        <v>2018</v>
      </c>
      <c r="E146" s="62" t="s">
        <v>675</v>
      </c>
      <c r="F146" s="64">
        <f>SIM_Parametres!$C$24</f>
        <v>1190274000</v>
      </c>
      <c r="G146" s="125">
        <f>SIM_Districts!D4*(1+SIM_Parametres!$B$6)^(2018-2023)</f>
        <v>391592.4715853883</v>
      </c>
      <c r="H146" s="125">
        <f>MAX(0,MIN(100,SIM_Districts!F4+(2018-2022)*SIM_Parametres!$B$7))</f>
        <v>12.620000000000001</v>
      </c>
      <c r="I146" s="125">
        <f>SIM_Districts!G4*(1+SIM_Parametres!$B$8)^(2018-2023)</f>
        <v>54.503039606177268</v>
      </c>
      <c r="J146" s="125">
        <f>SIM_Districts!H4*(1+SIM_Parametres!$B$9)^(2018-2023)</f>
        <v>17.612491320767493</v>
      </c>
      <c r="K146" s="125">
        <f>MAX(0,MIN(100,SIM_Districts!I4+(2018-2023)*SIM_Parametres!$B$10))</f>
        <v>88.9</v>
      </c>
      <c r="L146" s="125">
        <f>SIM_Districts!E4</f>
        <v>13</v>
      </c>
      <c r="M146" s="61">
        <f t="shared" si="64"/>
        <v>30122.497814260638</v>
      </c>
      <c r="N146" s="125">
        <f>SIM_Districts!J4</f>
        <v>73189</v>
      </c>
      <c r="O146" s="63">
        <v>18468000</v>
      </c>
      <c r="P146" s="126">
        <f>SIM_Parametres!$D$24</f>
        <v>0</v>
      </c>
      <c r="Q146" s="126">
        <f>SIM_Parametres!$B$12</f>
        <v>0.2</v>
      </c>
      <c r="R146" s="66">
        <f t="shared" ref="R146:R177" si="83">IFERROR(G146/SUM($G$146:$G$216),1/71)</f>
        <v>2.5044316606264844E-2</v>
      </c>
      <c r="S146" s="66">
        <f t="shared" ref="S146:S177" si="84">IF(MAX($H$146:$H$216)=MIN($H$146:$H$216),1,(H146-MIN($H$146:$H$216))/(MAX($H$146:$H$216)-MIN($H$146:$H$216)))</f>
        <v>0</v>
      </c>
      <c r="T146" s="66">
        <f t="shared" ref="T146:T177" si="85">(IF(MAX($I$146:$I$216)=MIN($I$146:$I$216),1,(I146-MIN($I$146:$I$216))/(MAX($I$146:$I$216)-MIN($I$146:$I$216)))+IF(MAX($J$146:$J$216)=MIN($J$146:$J$216),1,(J146-MIN($J$146:$J$216))/(MAX($J$146:$J$216)-MIN($J$146:$J$216))))/2</f>
        <v>0.50276243093922646</v>
      </c>
      <c r="U146" s="66">
        <f t="shared" ref="U146:U177" si="86">(IF(MAX($L$146:$L$216)=MIN($L$146:$L$216),1,(L146-MIN($L$146:$L$216))/(MAX($L$146:$L$216)-MIN($L$146:$L$216)))+IF(MAX($M$146:$M$216)=MIN($M$146:$M$216),1,(MAX($M$146:$M$216)-M146)/(MAX($M$146:$M$216)-MIN($M$146:$M$216))))/2</f>
        <v>6.3061112543856216E-3</v>
      </c>
      <c r="V146" s="66">
        <f t="shared" ref="V146:V177" si="87">IF(MAX($N$146:$N$216)=MIN($N$146:$N$216),1,(N146-MIN($N$146:$N$216))/(MAX($N$146:$N$216)-MIN($N$146:$N$216)))</f>
        <v>9.5544805280436421E-2</v>
      </c>
      <c r="W146" s="66">
        <f t="shared" ref="W146:W177" si="88">IFERROR(S146/SUM($S$146:$S$216),1/71)</f>
        <v>0</v>
      </c>
      <c r="X146" s="66">
        <f t="shared" ref="X146:X177" si="89">IFERROR(T146/SUM($T$146:$T$216),1/71)</f>
        <v>9.9491608812113923E-3</v>
      </c>
      <c r="Y146" s="66">
        <f t="shared" ref="Y146:Y177" si="90">IFERROR(U146/SUM($U$146:$U$216),1/71)</f>
        <v>1.6111931042605854E-4</v>
      </c>
      <c r="Z146" s="66">
        <f t="shared" ref="Z146:Z177" si="91">IFERROR(V146/SUM($V$146:$V$216),1/71)</f>
        <v>3.506814418545408E-3</v>
      </c>
      <c r="AA146" s="66">
        <f t="shared" si="65"/>
        <v>1.6702360782389184E-2</v>
      </c>
      <c r="AB146" s="66">
        <f t="shared" si="66"/>
        <v>1.5515755195862466E-2</v>
      </c>
      <c r="AC146" s="67">
        <f t="shared" si="67"/>
        <v>19257193.129360259</v>
      </c>
      <c r="AD146" s="67">
        <f t="shared" si="68"/>
        <v>18468000</v>
      </c>
      <c r="AE146" s="66">
        <f>0</f>
        <v>0</v>
      </c>
      <c r="AF146" s="67">
        <f t="shared" si="69"/>
        <v>18468000</v>
      </c>
      <c r="AG146" s="67">
        <f>1</f>
        <v>1</v>
      </c>
      <c r="AH146" s="67">
        <f t="shared" si="70"/>
        <v>18468000</v>
      </c>
      <c r="AI146" s="67">
        <f t="shared" si="71"/>
        <v>47.161274386177723</v>
      </c>
      <c r="AJ146" s="67">
        <f t="shared" si="72"/>
        <v>0</v>
      </c>
      <c r="AK146" s="66">
        <f t="shared" si="82"/>
        <v>-5.1950718685831676E-2</v>
      </c>
    </row>
    <row r="147" spans="1:37" ht="12.75" customHeight="1" x14ac:dyDescent="0.25">
      <c r="A147" s="55" t="s">
        <v>590</v>
      </c>
      <c r="B147" s="55" t="s">
        <v>376</v>
      </c>
      <c r="C147" s="55" t="s">
        <v>381</v>
      </c>
      <c r="D147" s="128">
        <v>2018</v>
      </c>
      <c r="E147" s="55" t="s">
        <v>675</v>
      </c>
      <c r="F147" s="57">
        <f>SIM_Parametres!$C$24</f>
        <v>1190274000</v>
      </c>
      <c r="G147" s="129">
        <f>SIM_Districts!D5*(1+SIM_Parametres!$B$6)^(2018-2023)</f>
        <v>205249.134156368</v>
      </c>
      <c r="H147" s="129">
        <f>MAX(0,MIN(100,SIM_Districts!F5+(2018-2022)*SIM_Parametres!$B$7))</f>
        <v>12.620000000000001</v>
      </c>
      <c r="I147" s="129">
        <f>SIM_Districts!G5*(1+SIM_Parametres!$B$8)^(2018-2023)</f>
        <v>54.503039606177268</v>
      </c>
      <c r="J147" s="129">
        <f>SIM_Districts!H5*(1+SIM_Parametres!$B$9)^(2018-2023)</f>
        <v>17.612491320767493</v>
      </c>
      <c r="K147" s="129">
        <f>MAX(0,MIN(100,SIM_Districts!I5+(2018-2023)*SIM_Parametres!$B$10))</f>
        <v>88.9</v>
      </c>
      <c r="L147" s="129">
        <f>SIM_Districts!E5</f>
        <v>10</v>
      </c>
      <c r="M147" s="68">
        <f t="shared" si="64"/>
        <v>20524.913415636802</v>
      </c>
      <c r="N147" s="129">
        <f>SIM_Districts!J5</f>
        <v>73189</v>
      </c>
      <c r="O147" s="56">
        <v>16688000</v>
      </c>
      <c r="P147" s="130">
        <f>SIM_Parametres!$D$24</f>
        <v>0</v>
      </c>
      <c r="Q147" s="130">
        <f>SIM_Parametres!$B$12</f>
        <v>0.2</v>
      </c>
      <c r="R147" s="59">
        <f t="shared" si="83"/>
        <v>1.3126718902850358E-2</v>
      </c>
      <c r="S147" s="59">
        <f t="shared" si="84"/>
        <v>0</v>
      </c>
      <c r="T147" s="59">
        <f t="shared" si="85"/>
        <v>0.50276243093922646</v>
      </c>
      <c r="U147" s="59">
        <f t="shared" si="86"/>
        <v>0.16355896203869916</v>
      </c>
      <c r="V147" s="59">
        <f t="shared" si="87"/>
        <v>9.5544805280436421E-2</v>
      </c>
      <c r="W147" s="59">
        <f t="shared" si="88"/>
        <v>0</v>
      </c>
      <c r="X147" s="59">
        <f t="shared" si="89"/>
        <v>9.9491608812113923E-3</v>
      </c>
      <c r="Y147" s="59">
        <f t="shared" si="90"/>
        <v>4.1788839610703175E-3</v>
      </c>
      <c r="Z147" s="59">
        <f t="shared" si="91"/>
        <v>3.506814418545408E-3</v>
      </c>
      <c r="AA147" s="59">
        <f t="shared" si="65"/>
        <v>9.7526903928727097E-3</v>
      </c>
      <c r="AB147" s="59">
        <f t="shared" si="66"/>
        <v>1.4020301207957159E-2</v>
      </c>
      <c r="AC147" s="60">
        <f t="shared" si="67"/>
        <v>12639583.550791191</v>
      </c>
      <c r="AD147" s="60">
        <f t="shared" si="68"/>
        <v>16688000</v>
      </c>
      <c r="AE147" s="59">
        <f>0</f>
        <v>0</v>
      </c>
      <c r="AF147" s="60">
        <f t="shared" si="69"/>
        <v>16688000</v>
      </c>
      <c r="AG147" s="60">
        <f>1</f>
        <v>1</v>
      </c>
      <c r="AH147" s="60">
        <f t="shared" si="70"/>
        <v>16688000</v>
      </c>
      <c r="AI147" s="60">
        <f t="shared" si="71"/>
        <v>81.306067714206932</v>
      </c>
      <c r="AJ147" s="60">
        <f t="shared" si="72"/>
        <v>0</v>
      </c>
      <c r="AK147" s="59">
        <f t="shared" si="82"/>
        <v>-0.20567375886524819</v>
      </c>
    </row>
    <row r="148" spans="1:37" ht="12.75" customHeight="1" x14ac:dyDescent="0.25">
      <c r="A148" s="62" t="s">
        <v>591</v>
      </c>
      <c r="B148" s="62" t="s">
        <v>376</v>
      </c>
      <c r="C148" s="62" t="s">
        <v>382</v>
      </c>
      <c r="D148" s="124">
        <v>2018</v>
      </c>
      <c r="E148" s="62" t="s">
        <v>675</v>
      </c>
      <c r="F148" s="64">
        <f>SIM_Parametres!$C$24</f>
        <v>1190274000</v>
      </c>
      <c r="G148" s="125">
        <f>SIM_Districts!D6*(1+SIM_Parametres!$B$6)^(2018-2023)</f>
        <v>156430.65261293063</v>
      </c>
      <c r="H148" s="125">
        <f>MAX(0,MIN(100,SIM_Districts!F6+(2018-2022)*SIM_Parametres!$B$7))</f>
        <v>12.620000000000001</v>
      </c>
      <c r="I148" s="125">
        <f>SIM_Districts!G6*(1+SIM_Parametres!$B$8)^(2018-2023)</f>
        <v>54.503039606177268</v>
      </c>
      <c r="J148" s="125">
        <f>SIM_Districts!H6*(1+SIM_Parametres!$B$9)^(2018-2023)</f>
        <v>17.612491320767493</v>
      </c>
      <c r="K148" s="125">
        <f>MAX(0,MIN(100,SIM_Districts!I6+(2018-2023)*SIM_Parametres!$B$10))</f>
        <v>88.9</v>
      </c>
      <c r="L148" s="125">
        <f>SIM_Districts!E6</f>
        <v>169</v>
      </c>
      <c r="M148" s="61">
        <f t="shared" si="64"/>
        <v>925.62516339012211</v>
      </c>
      <c r="N148" s="125">
        <f>SIM_Districts!J6</f>
        <v>73189</v>
      </c>
      <c r="O148" s="63">
        <v>14430000</v>
      </c>
      <c r="P148" s="126">
        <f>SIM_Parametres!$D$24</f>
        <v>0</v>
      </c>
      <c r="Q148" s="126">
        <f>SIM_Parametres!$B$12</f>
        <v>0.2</v>
      </c>
      <c r="R148" s="66">
        <f t="shared" si="83"/>
        <v>1.0004530411684883E-2</v>
      </c>
      <c r="S148" s="66">
        <f t="shared" si="84"/>
        <v>0</v>
      </c>
      <c r="T148" s="66">
        <f t="shared" si="85"/>
        <v>0.50276243093922646</v>
      </c>
      <c r="U148" s="66">
        <f t="shared" si="86"/>
        <v>0.49040605765544515</v>
      </c>
      <c r="V148" s="66">
        <f t="shared" si="87"/>
        <v>9.5544805280436421E-2</v>
      </c>
      <c r="W148" s="66">
        <f t="shared" si="88"/>
        <v>0</v>
      </c>
      <c r="X148" s="66">
        <f t="shared" si="89"/>
        <v>9.9491608812113923E-3</v>
      </c>
      <c r="Y148" s="66">
        <f t="shared" si="90"/>
        <v>1.2529732294725465E-2</v>
      </c>
      <c r="Z148" s="66">
        <f t="shared" si="91"/>
        <v>3.506814418545408E-3</v>
      </c>
      <c r="AA148" s="66">
        <f t="shared" si="65"/>
        <v>8.2969197148561828E-3</v>
      </c>
      <c r="AB148" s="66">
        <f t="shared" si="66"/>
        <v>1.2123259014310991E-2</v>
      </c>
      <c r="AC148" s="67">
        <f t="shared" si="67"/>
        <v>11253370.760386836</v>
      </c>
      <c r="AD148" s="67">
        <f t="shared" si="68"/>
        <v>14430000</v>
      </c>
      <c r="AE148" s="66">
        <f>0</f>
        <v>0</v>
      </c>
      <c r="AF148" s="67">
        <f t="shared" si="69"/>
        <v>14430000</v>
      </c>
      <c r="AG148" s="67">
        <f>1</f>
        <v>1</v>
      </c>
      <c r="AH148" s="67">
        <f t="shared" si="70"/>
        <v>14430000</v>
      </c>
      <c r="AI148" s="67">
        <f t="shared" si="71"/>
        <v>92.24534807577227</v>
      </c>
      <c r="AJ148" s="67">
        <f t="shared" si="72"/>
        <v>0</v>
      </c>
      <c r="AK148" s="66">
        <f t="shared" si="82"/>
        <v>-5.0095451254032031E-2</v>
      </c>
    </row>
    <row r="149" spans="1:37" ht="12.75" customHeight="1" x14ac:dyDescent="0.25">
      <c r="A149" s="55" t="s">
        <v>592</v>
      </c>
      <c r="B149" s="55" t="s">
        <v>376</v>
      </c>
      <c r="C149" s="55" t="s">
        <v>383</v>
      </c>
      <c r="D149" s="128">
        <v>2018</v>
      </c>
      <c r="E149" s="55" t="s">
        <v>675</v>
      </c>
      <c r="F149" s="57">
        <f>SIM_Parametres!$C$24</f>
        <v>1190274000</v>
      </c>
      <c r="G149" s="129">
        <f>SIM_Districts!D7*(1+SIM_Parametres!$B$6)^(2018-2023)</f>
        <v>396510.20426516241</v>
      </c>
      <c r="H149" s="129">
        <f>MAX(0,MIN(100,SIM_Districts!F7+(2018-2022)*SIM_Parametres!$B$7))</f>
        <v>12.620000000000001</v>
      </c>
      <c r="I149" s="129">
        <f>SIM_Districts!G7*(1+SIM_Parametres!$B$8)^(2018-2023)</f>
        <v>54.503039606177268</v>
      </c>
      <c r="J149" s="129">
        <f>SIM_Districts!H7*(1+SIM_Parametres!$B$9)^(2018-2023)</f>
        <v>17.612491320767493</v>
      </c>
      <c r="K149" s="129">
        <f>MAX(0,MIN(100,SIM_Districts!I7+(2018-2023)*SIM_Parametres!$B$10))</f>
        <v>88.9</v>
      </c>
      <c r="L149" s="129">
        <f>SIM_Districts!E7</f>
        <v>13</v>
      </c>
      <c r="M149" s="68">
        <f t="shared" si="64"/>
        <v>30500.784943474031</v>
      </c>
      <c r="N149" s="129">
        <f>SIM_Districts!J7</f>
        <v>73189</v>
      </c>
      <c r="O149" s="56">
        <v>19297000</v>
      </c>
      <c r="P149" s="130">
        <f>SIM_Parametres!$D$24</f>
        <v>0</v>
      </c>
      <c r="Q149" s="130">
        <f>SIM_Parametres!$B$12</f>
        <v>0.2</v>
      </c>
      <c r="R149" s="59">
        <f t="shared" si="83"/>
        <v>2.535883045204592E-2</v>
      </c>
      <c r="S149" s="59">
        <f t="shared" si="84"/>
        <v>0</v>
      </c>
      <c r="T149" s="59">
        <f t="shared" si="85"/>
        <v>0.50276243093922646</v>
      </c>
      <c r="U149" s="59">
        <f t="shared" si="86"/>
        <v>1.0392129693778578E-4</v>
      </c>
      <c r="V149" s="59">
        <f t="shared" si="87"/>
        <v>9.5544805280436421E-2</v>
      </c>
      <c r="W149" s="59">
        <f t="shared" si="88"/>
        <v>0</v>
      </c>
      <c r="X149" s="59">
        <f t="shared" si="89"/>
        <v>9.9491608812113923E-3</v>
      </c>
      <c r="Y149" s="59">
        <f t="shared" si="90"/>
        <v>2.6551589443578546E-6</v>
      </c>
      <c r="Z149" s="59">
        <f t="shared" si="91"/>
        <v>3.506814418545408E-3</v>
      </c>
      <c r="AA149" s="59">
        <f t="shared" si="65"/>
        <v>1.6883145882283748E-2</v>
      </c>
      <c r="AB149" s="59">
        <f t="shared" si="66"/>
        <v>1.6212233485735219E-2</v>
      </c>
      <c r="AC149" s="60">
        <f t="shared" si="67"/>
        <v>19429340.172553781</v>
      </c>
      <c r="AD149" s="60">
        <f t="shared" si="68"/>
        <v>19297000</v>
      </c>
      <c r="AE149" s="59">
        <f>0</f>
        <v>0</v>
      </c>
      <c r="AF149" s="60">
        <f t="shared" si="69"/>
        <v>19297000</v>
      </c>
      <c r="AG149" s="60">
        <f>1</f>
        <v>1</v>
      </c>
      <c r="AH149" s="60">
        <f t="shared" si="70"/>
        <v>19297000</v>
      </c>
      <c r="AI149" s="60">
        <f t="shared" si="71"/>
        <v>48.667095556247816</v>
      </c>
      <c r="AJ149" s="60">
        <f t="shared" si="72"/>
        <v>0</v>
      </c>
      <c r="AK149" s="59">
        <f t="shared" si="82"/>
        <v>-6.7462426907649919E-2</v>
      </c>
    </row>
    <row r="150" spans="1:37" ht="12.75" customHeight="1" x14ac:dyDescent="0.25">
      <c r="A150" s="62" t="s">
        <v>593</v>
      </c>
      <c r="B150" s="62" t="s">
        <v>376</v>
      </c>
      <c r="C150" s="62" t="s">
        <v>384</v>
      </c>
      <c r="D150" s="124">
        <v>2018</v>
      </c>
      <c r="E150" s="62" t="s">
        <v>675</v>
      </c>
      <c r="F150" s="64">
        <f>SIM_Parametres!$C$24</f>
        <v>1190274000</v>
      </c>
      <c r="G150" s="125">
        <f>SIM_Districts!D8*(1+SIM_Parametres!$B$6)^(2018-2023)</f>
        <v>281191.48631598102</v>
      </c>
      <c r="H150" s="125">
        <f>MAX(0,MIN(100,SIM_Districts!F8+(2018-2022)*SIM_Parametres!$B$7))</f>
        <v>12.620000000000001</v>
      </c>
      <c r="I150" s="125">
        <f>SIM_Districts!G8*(1+SIM_Parametres!$B$8)^(2018-2023)</f>
        <v>54.503039606177268</v>
      </c>
      <c r="J150" s="125">
        <f>SIM_Districts!H8*(1+SIM_Parametres!$B$9)^(2018-2023)</f>
        <v>17.612491320767493</v>
      </c>
      <c r="K150" s="125">
        <f>MAX(0,MIN(100,SIM_Districts!I8+(2018-2023)*SIM_Parametres!$B$10))</f>
        <v>88.9</v>
      </c>
      <c r="L150" s="125">
        <f>SIM_Districts!E8</f>
        <v>34</v>
      </c>
      <c r="M150" s="61">
        <f t="shared" si="64"/>
        <v>8270.3378328229719</v>
      </c>
      <c r="N150" s="125">
        <f>SIM_Districts!J8</f>
        <v>73189</v>
      </c>
      <c r="O150" s="63">
        <v>13706000</v>
      </c>
      <c r="P150" s="126">
        <f>SIM_Parametres!$D$24</f>
        <v>0</v>
      </c>
      <c r="Q150" s="126">
        <f>SIM_Parametres!$B$12</f>
        <v>0.2</v>
      </c>
      <c r="R150" s="66">
        <f t="shared" si="83"/>
        <v>1.7983615930542797E-2</v>
      </c>
      <c r="S150" s="66">
        <f t="shared" si="84"/>
        <v>0</v>
      </c>
      <c r="T150" s="66">
        <f t="shared" si="85"/>
        <v>0.50276243093922646</v>
      </c>
      <c r="U150" s="66">
        <f t="shared" si="86"/>
        <v>0.36530968637307903</v>
      </c>
      <c r="V150" s="66">
        <f t="shared" si="87"/>
        <v>9.5544805280436421E-2</v>
      </c>
      <c r="W150" s="66">
        <f t="shared" si="88"/>
        <v>0</v>
      </c>
      <c r="X150" s="66">
        <f t="shared" si="89"/>
        <v>9.9491608812113923E-3</v>
      </c>
      <c r="Y150" s="66">
        <f t="shared" si="90"/>
        <v>9.333556352888123E-3</v>
      </c>
      <c r="Z150" s="66">
        <f t="shared" si="91"/>
        <v>3.506814418545408E-3</v>
      </c>
      <c r="AA150" s="66">
        <f t="shared" si="65"/>
        <v>1.2924562229079064E-2</v>
      </c>
      <c r="AB150" s="66">
        <f t="shared" si="66"/>
        <v>1.1514995706870855E-2</v>
      </c>
      <c r="AC150" s="67">
        <f t="shared" si="67"/>
        <v>15659900.813166138</v>
      </c>
      <c r="AD150" s="67">
        <f t="shared" si="68"/>
        <v>13706000</v>
      </c>
      <c r="AE150" s="66">
        <f>0</f>
        <v>0</v>
      </c>
      <c r="AF150" s="67">
        <f t="shared" si="69"/>
        <v>13706000</v>
      </c>
      <c r="AG150" s="67">
        <f>1</f>
        <v>1</v>
      </c>
      <c r="AH150" s="67">
        <f t="shared" si="70"/>
        <v>13706000</v>
      </c>
      <c r="AI150" s="67">
        <f t="shared" si="71"/>
        <v>48.742585273717246</v>
      </c>
      <c r="AJ150" s="67">
        <f t="shared" si="72"/>
        <v>0</v>
      </c>
      <c r="AK150" s="66">
        <f t="shared" si="82"/>
        <v>-0.1805572163099366</v>
      </c>
    </row>
    <row r="151" spans="1:37" ht="12.75" customHeight="1" x14ac:dyDescent="0.25">
      <c r="A151" s="55" t="s">
        <v>594</v>
      </c>
      <c r="B151" s="55" t="s">
        <v>376</v>
      </c>
      <c r="C151" s="55" t="s">
        <v>385</v>
      </c>
      <c r="D151" s="128">
        <v>2018</v>
      </c>
      <c r="E151" s="55" t="s">
        <v>675</v>
      </c>
      <c r="F151" s="57">
        <f>SIM_Parametres!$C$24</f>
        <v>1190274000</v>
      </c>
      <c r="G151" s="129">
        <f>SIM_Districts!D9*(1+SIM_Parametres!$B$6)^(2018-2023)</f>
        <v>412557.315481061</v>
      </c>
      <c r="H151" s="129">
        <f>MAX(0,MIN(100,SIM_Districts!F9+(2018-2022)*SIM_Parametres!$B$7))</f>
        <v>12.620000000000001</v>
      </c>
      <c r="I151" s="129">
        <f>SIM_Districts!G9*(1+SIM_Parametres!$B$8)^(2018-2023)</f>
        <v>54.503039606177268</v>
      </c>
      <c r="J151" s="129">
        <f>SIM_Districts!H9*(1+SIM_Parametres!$B$9)^(2018-2023)</f>
        <v>17.612491320767493</v>
      </c>
      <c r="K151" s="129">
        <f>MAX(0,MIN(100,SIM_Districts!I9+(2018-2023)*SIM_Parametres!$B$10))</f>
        <v>88.9</v>
      </c>
      <c r="L151" s="129">
        <f>SIM_Districts!E9</f>
        <v>28</v>
      </c>
      <c r="M151" s="68">
        <f t="shared" si="64"/>
        <v>14734.189838609322</v>
      </c>
      <c r="N151" s="129">
        <f>SIM_Districts!J9</f>
        <v>73189</v>
      </c>
      <c r="O151" s="56">
        <v>13608000</v>
      </c>
      <c r="P151" s="130">
        <f>SIM_Parametres!$D$24</f>
        <v>0</v>
      </c>
      <c r="Q151" s="130">
        <f>SIM_Parametres!$B$12</f>
        <v>0.2</v>
      </c>
      <c r="R151" s="59">
        <f t="shared" si="83"/>
        <v>2.6385124272966007E-2</v>
      </c>
      <c r="S151" s="59">
        <f t="shared" si="84"/>
        <v>0</v>
      </c>
      <c r="T151" s="59">
        <f t="shared" si="85"/>
        <v>0.50276243093922646</v>
      </c>
      <c r="U151" s="59">
        <f t="shared" si="86"/>
        <v>0.25912404305391834</v>
      </c>
      <c r="V151" s="59">
        <f t="shared" si="87"/>
        <v>9.5544805280436421E-2</v>
      </c>
      <c r="W151" s="59">
        <f t="shared" si="88"/>
        <v>0</v>
      </c>
      <c r="X151" s="59">
        <f t="shared" si="89"/>
        <v>9.9491608812113923E-3</v>
      </c>
      <c r="Y151" s="59">
        <f t="shared" si="90"/>
        <v>6.6205440163499222E-3</v>
      </c>
      <c r="Z151" s="59">
        <f t="shared" si="91"/>
        <v>3.506814418545408E-3</v>
      </c>
      <c r="AA151" s="59">
        <f t="shared" si="65"/>
        <v>1.7829816617706076E-2</v>
      </c>
      <c r="AB151" s="59">
        <f t="shared" si="66"/>
        <v>1.143266172326708E-2</v>
      </c>
      <c r="AC151" s="60">
        <f t="shared" si="67"/>
        <v>20330778.222901043</v>
      </c>
      <c r="AD151" s="60">
        <f t="shared" si="68"/>
        <v>13608000</v>
      </c>
      <c r="AE151" s="59">
        <f>0</f>
        <v>0</v>
      </c>
      <c r="AF151" s="60">
        <f t="shared" si="69"/>
        <v>13608000</v>
      </c>
      <c r="AG151" s="60">
        <f>1</f>
        <v>1</v>
      </c>
      <c r="AH151" s="60">
        <f t="shared" si="70"/>
        <v>13608000</v>
      </c>
      <c r="AI151" s="60">
        <f t="shared" si="71"/>
        <v>32.984507823191642</v>
      </c>
      <c r="AJ151" s="60">
        <f t="shared" si="72"/>
        <v>0</v>
      </c>
      <c r="AK151" s="59">
        <f t="shared" si="82"/>
        <v>-0.15013739695228578</v>
      </c>
    </row>
    <row r="152" spans="1:37" ht="12.75" customHeight="1" x14ac:dyDescent="0.25">
      <c r="A152" s="62" t="s">
        <v>595</v>
      </c>
      <c r="B152" s="62" t="s">
        <v>376</v>
      </c>
      <c r="C152" s="62" t="s">
        <v>386</v>
      </c>
      <c r="D152" s="124">
        <v>2018</v>
      </c>
      <c r="E152" s="62" t="s">
        <v>675</v>
      </c>
      <c r="F152" s="64">
        <f>SIM_Parametres!$C$24</f>
        <v>1190274000</v>
      </c>
      <c r="G152" s="125">
        <f>SIM_Districts!D10*(1+SIM_Parametres!$B$6)^(2018-2023)</f>
        <v>527457.66816981602</v>
      </c>
      <c r="H152" s="125">
        <f>MAX(0,MIN(100,SIM_Districts!F10+(2018-2022)*SIM_Parametres!$B$7))</f>
        <v>12.620000000000001</v>
      </c>
      <c r="I152" s="125">
        <f>SIM_Districts!G10*(1+SIM_Parametres!$B$8)^(2018-2023)</f>
        <v>54.503039606177268</v>
      </c>
      <c r="J152" s="125">
        <f>SIM_Districts!H10*(1+SIM_Parametres!$B$9)^(2018-2023)</f>
        <v>17.612491320767493</v>
      </c>
      <c r="K152" s="125">
        <f>MAX(0,MIN(100,SIM_Districts!I10+(2018-2023)*SIM_Parametres!$B$10))</f>
        <v>88.9</v>
      </c>
      <c r="L152" s="125">
        <f>SIM_Districts!E10</f>
        <v>22</v>
      </c>
      <c r="M152" s="61">
        <f t="shared" si="64"/>
        <v>23975.348553173455</v>
      </c>
      <c r="N152" s="125">
        <f>SIM_Districts!J10</f>
        <v>73189</v>
      </c>
      <c r="O152" s="63">
        <v>21955000</v>
      </c>
      <c r="P152" s="126">
        <f>SIM_Parametres!$D$24</f>
        <v>0</v>
      </c>
      <c r="Q152" s="126">
        <f>SIM_Parametres!$B$12</f>
        <v>0.2</v>
      </c>
      <c r="R152" s="66">
        <f t="shared" si="83"/>
        <v>3.3733582222779279E-2</v>
      </c>
      <c r="S152" s="66">
        <f t="shared" si="84"/>
        <v>0</v>
      </c>
      <c r="T152" s="66">
        <f t="shared" si="85"/>
        <v>0.50276243093922646</v>
      </c>
      <c r="U152" s="66">
        <f t="shared" si="86"/>
        <v>0.10740318997556667</v>
      </c>
      <c r="V152" s="66">
        <f t="shared" si="87"/>
        <v>9.5544805280436421E-2</v>
      </c>
      <c r="W152" s="66">
        <f t="shared" si="88"/>
        <v>0</v>
      </c>
      <c r="X152" s="66">
        <f t="shared" si="89"/>
        <v>9.9491608812113923E-3</v>
      </c>
      <c r="Y152" s="66">
        <f t="shared" si="90"/>
        <v>2.7441202998738073E-3</v>
      </c>
      <c r="Z152" s="66">
        <f t="shared" si="91"/>
        <v>3.506814418545408E-3</v>
      </c>
      <c r="AA152" s="66">
        <f t="shared" si="65"/>
        <v>2.2045070201770236E-2</v>
      </c>
      <c r="AB152" s="66">
        <f t="shared" si="66"/>
        <v>1.8445332755315163E-2</v>
      </c>
      <c r="AC152" s="67">
        <f t="shared" si="67"/>
        <v>24344623.618515749</v>
      </c>
      <c r="AD152" s="67">
        <f t="shared" si="68"/>
        <v>21955000</v>
      </c>
      <c r="AE152" s="66">
        <f>0</f>
        <v>0</v>
      </c>
      <c r="AF152" s="67">
        <f t="shared" si="69"/>
        <v>21955000</v>
      </c>
      <c r="AG152" s="67">
        <f>1</f>
        <v>1</v>
      </c>
      <c r="AH152" s="67">
        <f t="shared" si="70"/>
        <v>21955000</v>
      </c>
      <c r="AI152" s="67">
        <f t="shared" si="71"/>
        <v>41.624193418554199</v>
      </c>
      <c r="AJ152" s="67">
        <f t="shared" si="72"/>
        <v>0</v>
      </c>
      <c r="AK152" s="66">
        <f t="shared" si="82"/>
        <v>-5.0799827064418546E-2</v>
      </c>
    </row>
    <row r="153" spans="1:37" ht="12.75" customHeight="1" x14ac:dyDescent="0.25">
      <c r="A153" s="55" t="s">
        <v>596</v>
      </c>
      <c r="B153" s="55" t="s">
        <v>376</v>
      </c>
      <c r="C153" s="55" t="s">
        <v>387</v>
      </c>
      <c r="D153" s="128">
        <v>2018</v>
      </c>
      <c r="E153" s="55" t="s">
        <v>675</v>
      </c>
      <c r="F153" s="57">
        <f>SIM_Parametres!$C$24</f>
        <v>1190274000</v>
      </c>
      <c r="G153" s="129">
        <f>SIM_Districts!D11*(1+SIM_Parametres!$B$6)^(2018-2023)</f>
        <v>254168.54092757835</v>
      </c>
      <c r="H153" s="129">
        <f>MAX(0,MIN(100,SIM_Districts!F11+(2018-2022)*SIM_Parametres!$B$7))</f>
        <v>12.620000000000001</v>
      </c>
      <c r="I153" s="129">
        <f>SIM_Districts!G11*(1+SIM_Parametres!$B$8)^(2018-2023)</f>
        <v>54.503039606177268</v>
      </c>
      <c r="J153" s="129">
        <f>SIM_Districts!H11*(1+SIM_Parametres!$B$9)^(2018-2023)</f>
        <v>17.612491320767493</v>
      </c>
      <c r="K153" s="129">
        <f>MAX(0,MIN(100,SIM_Districts!I11+(2018-2023)*SIM_Parametres!$B$10))</f>
        <v>88.9</v>
      </c>
      <c r="L153" s="129">
        <f>SIM_Districts!E11</f>
        <v>34</v>
      </c>
      <c r="M153" s="68">
        <f t="shared" si="64"/>
        <v>7475.5453213993633</v>
      </c>
      <c r="N153" s="129">
        <f>SIM_Districts!J11</f>
        <v>73189</v>
      </c>
      <c r="O153" s="56">
        <v>15147000</v>
      </c>
      <c r="P153" s="130">
        <f>SIM_Parametres!$D$24</f>
        <v>0</v>
      </c>
      <c r="Q153" s="130">
        <f>SIM_Parametres!$B$12</f>
        <v>0.2</v>
      </c>
      <c r="R153" s="59">
        <f t="shared" si="83"/>
        <v>1.6255362072134828E-2</v>
      </c>
      <c r="S153" s="59">
        <f t="shared" si="84"/>
        <v>0</v>
      </c>
      <c r="T153" s="59">
        <f t="shared" si="85"/>
        <v>0.50276243093922646</v>
      </c>
      <c r="U153" s="59">
        <f t="shared" si="86"/>
        <v>0.37834067197086158</v>
      </c>
      <c r="V153" s="59">
        <f t="shared" si="87"/>
        <v>9.5544805280436421E-2</v>
      </c>
      <c r="W153" s="59">
        <f t="shared" si="88"/>
        <v>0</v>
      </c>
      <c r="X153" s="59">
        <f t="shared" si="89"/>
        <v>9.9491608812113923E-3</v>
      </c>
      <c r="Y153" s="59">
        <f t="shared" si="90"/>
        <v>9.6664942490006407E-3</v>
      </c>
      <c r="Z153" s="59">
        <f t="shared" si="91"/>
        <v>3.506814418545408E-3</v>
      </c>
      <c r="AA153" s="59">
        <f t="shared" si="65"/>
        <v>1.1904256808839908E-2</v>
      </c>
      <c r="AB153" s="59">
        <f t="shared" si="66"/>
        <v>1.2725641322922285E-2</v>
      </c>
      <c r="AC153" s="60">
        <f t="shared" si="67"/>
        <v>14688346.402150344</v>
      </c>
      <c r="AD153" s="60">
        <f t="shared" si="68"/>
        <v>15147000</v>
      </c>
      <c r="AE153" s="59">
        <f>0</f>
        <v>0</v>
      </c>
      <c r="AF153" s="60">
        <f t="shared" si="69"/>
        <v>15147000</v>
      </c>
      <c r="AG153" s="60">
        <f>1</f>
        <v>1</v>
      </c>
      <c r="AH153" s="60">
        <f t="shared" si="70"/>
        <v>15147000</v>
      </c>
      <c r="AI153" s="60">
        <f t="shared" si="71"/>
        <v>59.594314641464301</v>
      </c>
      <c r="AJ153" s="60">
        <f t="shared" si="72"/>
        <v>0</v>
      </c>
      <c r="AK153" s="59">
        <f t="shared" si="82"/>
        <v>-5.8315200497357833E-2</v>
      </c>
    </row>
    <row r="154" spans="1:37" ht="12.75" customHeight="1" x14ac:dyDescent="0.25">
      <c r="A154" s="62" t="s">
        <v>597</v>
      </c>
      <c r="B154" s="62" t="s">
        <v>376</v>
      </c>
      <c r="C154" s="62" t="s">
        <v>388</v>
      </c>
      <c r="D154" s="124">
        <v>2018</v>
      </c>
      <c r="E154" s="62" t="s">
        <v>675</v>
      </c>
      <c r="F154" s="64">
        <f>SIM_Parametres!$C$24</f>
        <v>1190274000</v>
      </c>
      <c r="G154" s="125">
        <f>SIM_Districts!D12*(1+SIM_Parametres!$B$6)^(2018-2023)</f>
        <v>395324.97979541856</v>
      </c>
      <c r="H154" s="125">
        <f>MAX(0,MIN(100,SIM_Districts!F12+(2018-2022)*SIM_Parametres!$B$7))</f>
        <v>12.620000000000001</v>
      </c>
      <c r="I154" s="125">
        <f>SIM_Districts!G12*(1+SIM_Parametres!$B$8)^(2018-2023)</f>
        <v>54.503039606177268</v>
      </c>
      <c r="J154" s="125">
        <f>SIM_Districts!H12*(1+SIM_Parametres!$B$9)^(2018-2023)</f>
        <v>17.612491320767493</v>
      </c>
      <c r="K154" s="125">
        <f>MAX(0,MIN(100,SIM_Districts!I12+(2018-2023)*SIM_Parametres!$B$10))</f>
        <v>88.9</v>
      </c>
      <c r="L154" s="125">
        <f>SIM_Districts!E12</f>
        <v>18</v>
      </c>
      <c r="M154" s="61">
        <f t="shared" si="64"/>
        <v>21962.498877523252</v>
      </c>
      <c r="N154" s="125">
        <f>SIM_Districts!J12</f>
        <v>73189</v>
      </c>
      <c r="O154" s="63">
        <v>20977000</v>
      </c>
      <c r="P154" s="126">
        <f>SIM_Parametres!$D$24</f>
        <v>0</v>
      </c>
      <c r="Q154" s="126">
        <f>SIM_Parametres!$B$12</f>
        <v>0.2</v>
      </c>
      <c r="R154" s="66">
        <f t="shared" si="83"/>
        <v>2.5283029360289526E-2</v>
      </c>
      <c r="S154" s="66">
        <f t="shared" si="84"/>
        <v>0</v>
      </c>
      <c r="T154" s="66">
        <f t="shared" si="85"/>
        <v>0.50276243093922646</v>
      </c>
      <c r="U154" s="66">
        <f t="shared" si="86"/>
        <v>0.14026621640536649</v>
      </c>
      <c r="V154" s="66">
        <f t="shared" si="87"/>
        <v>9.5544805280436421E-2</v>
      </c>
      <c r="W154" s="66">
        <f t="shared" si="88"/>
        <v>0</v>
      </c>
      <c r="X154" s="66">
        <f t="shared" si="89"/>
        <v>9.9491608812113923E-3</v>
      </c>
      <c r="Y154" s="66">
        <f t="shared" si="90"/>
        <v>3.5837610774132676E-3</v>
      </c>
      <c r="Z154" s="66">
        <f t="shared" si="91"/>
        <v>3.506814418545408E-3</v>
      </c>
      <c r="AA154" s="66">
        <f t="shared" si="65"/>
        <v>1.7016720523153357E-2</v>
      </c>
      <c r="AB154" s="66">
        <f t="shared" si="66"/>
        <v>1.7623673204657079E-2</v>
      </c>
      <c r="AC154" s="67">
        <f t="shared" si="67"/>
        <v>19556532.510222923</v>
      </c>
      <c r="AD154" s="67">
        <f t="shared" si="68"/>
        <v>20977000</v>
      </c>
      <c r="AE154" s="66">
        <f>0</f>
        <v>0</v>
      </c>
      <c r="AF154" s="67">
        <f t="shared" si="69"/>
        <v>20977000</v>
      </c>
      <c r="AG154" s="67">
        <f>1</f>
        <v>1</v>
      </c>
      <c r="AH154" s="67">
        <f t="shared" si="70"/>
        <v>20977000</v>
      </c>
      <c r="AI154" s="67">
        <f t="shared" si="71"/>
        <v>53.062672667069101</v>
      </c>
      <c r="AJ154" s="67">
        <f t="shared" si="72"/>
        <v>0</v>
      </c>
      <c r="AK154" s="66">
        <f t="shared" si="82"/>
        <v>-6.3526785714285716E-2</v>
      </c>
    </row>
    <row r="155" spans="1:37" ht="12.75" customHeight="1" x14ac:dyDescent="0.25">
      <c r="A155" s="55" t="s">
        <v>598</v>
      </c>
      <c r="B155" s="55" t="s">
        <v>376</v>
      </c>
      <c r="C155" s="55" t="s">
        <v>389</v>
      </c>
      <c r="D155" s="128">
        <v>2018</v>
      </c>
      <c r="E155" s="55" t="s">
        <v>675</v>
      </c>
      <c r="F155" s="57">
        <f>SIM_Parametres!$C$24</f>
        <v>1190274000</v>
      </c>
      <c r="G155" s="129">
        <f>SIM_Districts!D13*(1+SIM_Parametres!$B$6)^(2018-2023)</f>
        <v>433770.59070663637</v>
      </c>
      <c r="H155" s="129">
        <f>MAX(0,MIN(100,SIM_Districts!F13+(2018-2022)*SIM_Parametres!$B$7))</f>
        <v>12.620000000000001</v>
      </c>
      <c r="I155" s="129">
        <f>SIM_Districts!G13*(1+SIM_Parametres!$B$8)^(2018-2023)</f>
        <v>54.503039606177268</v>
      </c>
      <c r="J155" s="129">
        <f>SIM_Districts!H13*(1+SIM_Parametres!$B$9)^(2018-2023)</f>
        <v>17.612491320767493</v>
      </c>
      <c r="K155" s="129">
        <f>MAX(0,MIN(100,SIM_Districts!I13+(2018-2023)*SIM_Parametres!$B$10))</f>
        <v>88.9</v>
      </c>
      <c r="L155" s="129">
        <f>SIM_Districts!E13</f>
        <v>203</v>
      </c>
      <c r="M155" s="68">
        <f t="shared" si="64"/>
        <v>2136.8009394415585</v>
      </c>
      <c r="N155" s="129">
        <f>SIM_Districts!J13</f>
        <v>73189</v>
      </c>
      <c r="O155" s="56">
        <v>23728000</v>
      </c>
      <c r="P155" s="130">
        <f>SIM_Parametres!$D$24</f>
        <v>0</v>
      </c>
      <c r="Q155" s="130">
        <f>SIM_Parametres!$B$12</f>
        <v>0.2</v>
      </c>
      <c r="R155" s="59">
        <f t="shared" si="83"/>
        <v>2.7741820378113926E-2</v>
      </c>
      <c r="S155" s="59">
        <f t="shared" si="84"/>
        <v>0</v>
      </c>
      <c r="T155" s="59">
        <f t="shared" si="85"/>
        <v>0.50276243093922646</v>
      </c>
      <c r="U155" s="59">
        <f t="shared" si="86"/>
        <v>0.47172605328939682</v>
      </c>
      <c r="V155" s="59">
        <f t="shared" si="87"/>
        <v>9.5544805280436421E-2</v>
      </c>
      <c r="W155" s="59">
        <f t="shared" si="88"/>
        <v>0</v>
      </c>
      <c r="X155" s="59">
        <f t="shared" si="89"/>
        <v>9.9491608812113923E-3</v>
      </c>
      <c r="Y155" s="59">
        <f t="shared" si="90"/>
        <v>1.2052463610301233E-2</v>
      </c>
      <c r="Z155" s="59">
        <f t="shared" si="91"/>
        <v>3.506814418545408E-3</v>
      </c>
      <c r="AA155" s="59">
        <f t="shared" si="65"/>
        <v>1.8915430260492392E-2</v>
      </c>
      <c r="AB155" s="59">
        <f t="shared" si="66"/>
        <v>1.9934905744391627E-2</v>
      </c>
      <c r="AC155" s="60">
        <f t="shared" si="67"/>
        <v>21364520.377344113</v>
      </c>
      <c r="AD155" s="60">
        <f t="shared" si="68"/>
        <v>23728000</v>
      </c>
      <c r="AE155" s="59">
        <f>0</f>
        <v>0</v>
      </c>
      <c r="AF155" s="60">
        <f t="shared" si="69"/>
        <v>23728000</v>
      </c>
      <c r="AG155" s="60">
        <f>1</f>
        <v>1</v>
      </c>
      <c r="AH155" s="60">
        <f t="shared" si="70"/>
        <v>23728000</v>
      </c>
      <c r="AI155" s="60">
        <f t="shared" si="71"/>
        <v>54.701726000708739</v>
      </c>
      <c r="AJ155" s="60">
        <f t="shared" si="72"/>
        <v>0</v>
      </c>
      <c r="AK155" s="59">
        <f t="shared" si="82"/>
        <v>-6.7881835323695738E-2</v>
      </c>
    </row>
    <row r="156" spans="1:37" ht="12.75" customHeight="1" x14ac:dyDescent="0.25">
      <c r="A156" s="62" t="s">
        <v>599</v>
      </c>
      <c r="B156" s="62" t="s">
        <v>390</v>
      </c>
      <c r="C156" s="62" t="s">
        <v>392</v>
      </c>
      <c r="D156" s="124">
        <v>2018</v>
      </c>
      <c r="E156" s="62" t="s">
        <v>675</v>
      </c>
      <c r="F156" s="64">
        <f>SIM_Parametres!$C$24</f>
        <v>1190274000</v>
      </c>
      <c r="G156" s="125">
        <f>SIM_Districts!D14*(1+SIM_Parametres!$B$6)^(2018-2023)</f>
        <v>748786.69267588924</v>
      </c>
      <c r="H156" s="125">
        <f>MAX(0,MIN(100,SIM_Districts!F14+(2018-2022)*SIM_Parametres!$B$7))</f>
        <v>40.72</v>
      </c>
      <c r="I156" s="125">
        <f>SIM_Districts!G14*(1+SIM_Parametres!$B$8)^(2018-2023)</f>
        <v>54.503039606177268</v>
      </c>
      <c r="J156" s="125">
        <f>SIM_Districts!H14*(1+SIM_Parametres!$B$9)^(2018-2023)</f>
        <v>29.636403664752994</v>
      </c>
      <c r="K156" s="125">
        <f>MAX(0,MIN(100,SIM_Districts!I14+(2018-2023)*SIM_Parametres!$B$10))</f>
        <v>84.2</v>
      </c>
      <c r="L156" s="125">
        <f>SIM_Districts!E14</f>
        <v>1335</v>
      </c>
      <c r="M156" s="61">
        <f t="shared" si="64"/>
        <v>560.88890837145266</v>
      </c>
      <c r="N156" s="125">
        <f>SIM_Districts!J14</f>
        <v>203502</v>
      </c>
      <c r="O156" s="63">
        <v>15683000</v>
      </c>
      <c r="P156" s="126">
        <f>SIM_Parametres!$D$24</f>
        <v>0</v>
      </c>
      <c r="Q156" s="126">
        <f>SIM_Parametres!$B$12</f>
        <v>0.2</v>
      </c>
      <c r="R156" s="66">
        <f t="shared" si="83"/>
        <v>4.7888691337733671E-2</v>
      </c>
      <c r="S156" s="66">
        <f t="shared" si="84"/>
        <v>0.49822695035460995</v>
      </c>
      <c r="T156" s="66">
        <f t="shared" si="85"/>
        <v>0.69889502762430933</v>
      </c>
      <c r="U156" s="66">
        <f t="shared" si="86"/>
        <v>0.53677681892865114</v>
      </c>
      <c r="V156" s="66">
        <f t="shared" si="87"/>
        <v>1</v>
      </c>
      <c r="W156" s="66">
        <f t="shared" si="88"/>
        <v>1.1879095328683149E-2</v>
      </c>
      <c r="X156" s="66">
        <f t="shared" si="89"/>
        <v>1.3830426939266385E-2</v>
      </c>
      <c r="Y156" s="66">
        <f t="shared" si="90"/>
        <v>1.3714491773092488E-2</v>
      </c>
      <c r="Z156" s="66">
        <f t="shared" si="91"/>
        <v>3.6703349891733537E-2</v>
      </c>
      <c r="AA156" s="66">
        <f t="shared" si="65"/>
        <v>3.5110535226073929E-2</v>
      </c>
      <c r="AB156" s="66">
        <f t="shared" si="66"/>
        <v>1.3175957804673545E-2</v>
      </c>
      <c r="AC156" s="67">
        <f t="shared" si="67"/>
        <v>36785810.271586195</v>
      </c>
      <c r="AD156" s="67">
        <f t="shared" si="68"/>
        <v>15683000</v>
      </c>
      <c r="AE156" s="66">
        <f>0</f>
        <v>0</v>
      </c>
      <c r="AF156" s="67">
        <f t="shared" si="69"/>
        <v>15683000</v>
      </c>
      <c r="AG156" s="67">
        <f>1</f>
        <v>1</v>
      </c>
      <c r="AH156" s="67">
        <f t="shared" si="70"/>
        <v>15683000</v>
      </c>
      <c r="AI156" s="67">
        <f t="shared" si="71"/>
        <v>20.944549567186758</v>
      </c>
      <c r="AJ156" s="67">
        <f t="shared" si="72"/>
        <v>0</v>
      </c>
      <c r="AK156" s="66">
        <f t="shared" si="82"/>
        <v>-7.5621831899092329E-2</v>
      </c>
    </row>
    <row r="157" spans="1:37" ht="12.75" customHeight="1" x14ac:dyDescent="0.25">
      <c r="A157" s="55" t="s">
        <v>601</v>
      </c>
      <c r="B157" s="55" t="s">
        <v>390</v>
      </c>
      <c r="C157" s="55" t="s">
        <v>390</v>
      </c>
      <c r="D157" s="128">
        <v>2018</v>
      </c>
      <c r="E157" s="55" t="s">
        <v>675</v>
      </c>
      <c r="F157" s="57">
        <f>SIM_Parametres!$C$24</f>
        <v>1190274000</v>
      </c>
      <c r="G157" s="129">
        <f>SIM_Districts!D15*(1+SIM_Parametres!$B$6)^(2018-2023)</f>
        <v>670622.26028770267</v>
      </c>
      <c r="H157" s="129">
        <f>MAX(0,MIN(100,SIM_Districts!F15+(2018-2022)*SIM_Parametres!$B$7))</f>
        <v>40.72</v>
      </c>
      <c r="I157" s="129">
        <f>SIM_Districts!G15*(1+SIM_Parametres!$B$8)^(2018-2023)</f>
        <v>54.503039606177268</v>
      </c>
      <c r="J157" s="129">
        <f>SIM_Districts!H15*(1+SIM_Parametres!$B$9)^(2018-2023)</f>
        <v>29.636403664752994</v>
      </c>
      <c r="K157" s="129">
        <f>MAX(0,MIN(100,SIM_Districts!I15+(2018-2023)*SIM_Parametres!$B$10))</f>
        <v>84.2</v>
      </c>
      <c r="L157" s="129">
        <f>SIM_Districts!E15</f>
        <v>1292</v>
      </c>
      <c r="M157" s="68">
        <f t="shared" si="64"/>
        <v>519.05747700286588</v>
      </c>
      <c r="N157" s="129">
        <f>SIM_Districts!J15</f>
        <v>203502</v>
      </c>
      <c r="O157" s="56">
        <v>15975000</v>
      </c>
      <c r="P157" s="130">
        <f>SIM_Parametres!$D$24</f>
        <v>0</v>
      </c>
      <c r="Q157" s="130">
        <f>SIM_Parametres!$B$12</f>
        <v>0.2</v>
      </c>
      <c r="R157" s="59">
        <f t="shared" si="83"/>
        <v>4.2889681055045259E-2</v>
      </c>
      <c r="S157" s="59">
        <f t="shared" si="84"/>
        <v>0.49822695035460995</v>
      </c>
      <c r="T157" s="59">
        <f t="shared" si="85"/>
        <v>0.69889502762430933</v>
      </c>
      <c r="U157" s="59">
        <f t="shared" si="86"/>
        <v>0.53597312572887279</v>
      </c>
      <c r="V157" s="59">
        <f t="shared" si="87"/>
        <v>1</v>
      </c>
      <c r="W157" s="59">
        <f t="shared" si="88"/>
        <v>1.1879095328683149E-2</v>
      </c>
      <c r="X157" s="59">
        <f t="shared" si="89"/>
        <v>1.3830426939266385E-2</v>
      </c>
      <c r="Y157" s="59">
        <f t="shared" si="90"/>
        <v>1.3693957645336282E-2</v>
      </c>
      <c r="Z157" s="59">
        <f t="shared" si="91"/>
        <v>3.6703349891733537E-2</v>
      </c>
      <c r="AA157" s="59">
        <f t="shared" si="65"/>
        <v>3.2110102350073076E-2</v>
      </c>
      <c r="AB157" s="59">
        <f t="shared" si="66"/>
        <v>1.3421279470105203E-2</v>
      </c>
      <c r="AC157" s="60">
        <f t="shared" si="67"/>
        <v>33928740.478746958</v>
      </c>
      <c r="AD157" s="60">
        <f t="shared" si="68"/>
        <v>15975000</v>
      </c>
      <c r="AE157" s="59">
        <f>0</f>
        <v>0</v>
      </c>
      <c r="AF157" s="60">
        <f t="shared" si="69"/>
        <v>15975000</v>
      </c>
      <c r="AG157" s="60">
        <f>1</f>
        <v>1</v>
      </c>
      <c r="AH157" s="60">
        <f t="shared" si="70"/>
        <v>15975000</v>
      </c>
      <c r="AI157" s="60">
        <f t="shared" si="71"/>
        <v>23.821159758619686</v>
      </c>
      <c r="AJ157" s="60">
        <f t="shared" si="72"/>
        <v>0</v>
      </c>
      <c r="AK157" s="59">
        <f t="shared" si="82"/>
        <v>-0.10649365177023329</v>
      </c>
    </row>
    <row r="158" spans="1:37" ht="12.75" customHeight="1" x14ac:dyDescent="0.25">
      <c r="A158" s="62" t="s">
        <v>602</v>
      </c>
      <c r="B158" s="62" t="s">
        <v>390</v>
      </c>
      <c r="C158" s="62" t="s">
        <v>393</v>
      </c>
      <c r="D158" s="124">
        <v>2018</v>
      </c>
      <c r="E158" s="62" t="s">
        <v>675</v>
      </c>
      <c r="F158" s="64">
        <f>SIM_Parametres!$C$24</f>
        <v>1190274000</v>
      </c>
      <c r="G158" s="125">
        <f>SIM_Districts!D16*(1+SIM_Parametres!$B$6)^(2018-2023)</f>
        <v>375104.56728066941</v>
      </c>
      <c r="H158" s="125">
        <f>MAX(0,MIN(100,SIM_Districts!F16+(2018-2022)*SIM_Parametres!$B$7))</f>
        <v>40.72</v>
      </c>
      <c r="I158" s="125">
        <f>SIM_Districts!G16*(1+SIM_Parametres!$B$8)^(2018-2023)</f>
        <v>54.503039606177268</v>
      </c>
      <c r="J158" s="125">
        <f>SIM_Districts!H16*(1+SIM_Parametres!$B$9)^(2018-2023)</f>
        <v>29.636403664752994</v>
      </c>
      <c r="K158" s="125">
        <f>MAX(0,MIN(100,SIM_Districts!I16+(2018-2023)*SIM_Parametres!$B$10))</f>
        <v>84.2</v>
      </c>
      <c r="L158" s="125">
        <f>SIM_Districts!E16</f>
        <v>1729</v>
      </c>
      <c r="M158" s="61">
        <f t="shared" si="64"/>
        <v>216.94885325660462</v>
      </c>
      <c r="N158" s="125">
        <f>SIM_Districts!J16</f>
        <v>203502</v>
      </c>
      <c r="O158" s="63">
        <v>14580000</v>
      </c>
      <c r="P158" s="126">
        <f>SIM_Parametres!$D$24</f>
        <v>0</v>
      </c>
      <c r="Q158" s="126">
        <f>SIM_Parametres!$B$12</f>
        <v>0.2</v>
      </c>
      <c r="R158" s="66">
        <f t="shared" si="83"/>
        <v>2.3989831840739578E-2</v>
      </c>
      <c r="S158" s="66">
        <f t="shared" si="84"/>
        <v>0.49822695035460995</v>
      </c>
      <c r="T158" s="66">
        <f t="shared" si="85"/>
        <v>0.69889502762430933</v>
      </c>
      <c r="U158" s="66">
        <f t="shared" si="86"/>
        <v>0.55606420327741435</v>
      </c>
      <c r="V158" s="66">
        <f t="shared" si="87"/>
        <v>1</v>
      </c>
      <c r="W158" s="66">
        <f t="shared" si="88"/>
        <v>1.1879095328683149E-2</v>
      </c>
      <c r="X158" s="66">
        <f t="shared" si="89"/>
        <v>1.3830426939266385E-2</v>
      </c>
      <c r="Y158" s="66">
        <f t="shared" si="90"/>
        <v>1.4207278839612113E-2</v>
      </c>
      <c r="Z158" s="66">
        <f t="shared" si="91"/>
        <v>3.6703349891733537E-2</v>
      </c>
      <c r="AA158" s="66">
        <f t="shared" si="65"/>
        <v>2.0795858881203461E-2</v>
      </c>
      <c r="AB158" s="66">
        <f t="shared" si="66"/>
        <v>1.2249280417786158E-2</v>
      </c>
      <c r="AC158" s="67">
        <f t="shared" si="67"/>
        <v>23155100.614214707</v>
      </c>
      <c r="AD158" s="67">
        <f t="shared" si="68"/>
        <v>14580000</v>
      </c>
      <c r="AE158" s="66">
        <f>0</f>
        <v>0</v>
      </c>
      <c r="AF158" s="67">
        <f t="shared" si="69"/>
        <v>14580000</v>
      </c>
      <c r="AG158" s="67">
        <f>1</f>
        <v>1</v>
      </c>
      <c r="AH158" s="67">
        <f t="shared" si="70"/>
        <v>14580000</v>
      </c>
      <c r="AI158" s="67">
        <f t="shared" si="71"/>
        <v>38.869161486617188</v>
      </c>
      <c r="AJ158" s="67">
        <f t="shared" si="72"/>
        <v>0</v>
      </c>
      <c r="AK158" s="66">
        <f t="shared" si="82"/>
        <v>-6.5384615384615374E-2</v>
      </c>
    </row>
    <row r="159" spans="1:37" ht="12.75" customHeight="1" x14ac:dyDescent="0.25">
      <c r="A159" s="55" t="s">
        <v>603</v>
      </c>
      <c r="B159" s="55" t="s">
        <v>394</v>
      </c>
      <c r="C159" s="55" t="s">
        <v>396</v>
      </c>
      <c r="D159" s="128">
        <v>2018</v>
      </c>
      <c r="E159" s="55" t="s">
        <v>675</v>
      </c>
      <c r="F159" s="57">
        <f>SIM_Parametres!$C$24</f>
        <v>1190274000</v>
      </c>
      <c r="G159" s="129">
        <f>SIM_Districts!D17*(1+SIM_Parametres!$B$6)^(2018-2023)</f>
        <v>83122.707680826818</v>
      </c>
      <c r="H159" s="129">
        <f>MAX(0,MIN(100,SIM_Districts!F17+(2018-2022)*SIM_Parametres!$B$7))</f>
        <v>49.82</v>
      </c>
      <c r="I159" s="129">
        <f>SIM_Districts!G17*(1+SIM_Parametres!$B$8)^(2018-2023)</f>
        <v>54.503039606177268</v>
      </c>
      <c r="J159" s="129">
        <f>SIM_Districts!H17*(1+SIM_Parametres!$B$9)^(2018-2023)</f>
        <v>26.92678961540415</v>
      </c>
      <c r="K159" s="129">
        <f>MAX(0,MIN(100,SIM_Districts!I17+(2018-2023)*SIM_Parametres!$B$10))</f>
        <v>81.5</v>
      </c>
      <c r="L159" s="129">
        <f>SIM_Districts!E17</f>
        <v>978</v>
      </c>
      <c r="M159" s="68">
        <f t="shared" si="64"/>
        <v>84.992543640927209</v>
      </c>
      <c r="N159" s="129">
        <f>SIM_Districts!J17</f>
        <v>95110</v>
      </c>
      <c r="O159" s="56">
        <v>14042000</v>
      </c>
      <c r="P159" s="130">
        <f>SIM_Parametres!$D$24</f>
        <v>0</v>
      </c>
      <c r="Q159" s="130">
        <f>SIM_Parametres!$B$12</f>
        <v>0.2</v>
      </c>
      <c r="R159" s="59">
        <f t="shared" si="83"/>
        <v>5.3161170333549052E-3</v>
      </c>
      <c r="S159" s="59">
        <f t="shared" si="84"/>
        <v>0.65957446808510656</v>
      </c>
      <c r="T159" s="59">
        <f t="shared" si="85"/>
        <v>0.65469613259668513</v>
      </c>
      <c r="U159" s="59">
        <f t="shared" si="86"/>
        <v>0.53221272247018292</v>
      </c>
      <c r="V159" s="59">
        <f t="shared" si="87"/>
        <v>0.24769050312675686</v>
      </c>
      <c r="W159" s="59">
        <f t="shared" si="88"/>
        <v>1.5726062143310078E-2</v>
      </c>
      <c r="X159" s="59">
        <f t="shared" si="89"/>
        <v>1.2955775433225826E-2</v>
      </c>
      <c r="Y159" s="59">
        <f t="shared" si="90"/>
        <v>1.3597880434592077E-2</v>
      </c>
      <c r="Z159" s="59">
        <f t="shared" si="91"/>
        <v>9.0910712011208778E-3</v>
      </c>
      <c r="AA159" s="59">
        <f t="shared" si="65"/>
        <v>8.6263934382789769E-3</v>
      </c>
      <c r="AB159" s="59">
        <f t="shared" si="66"/>
        <v>1.1797283650655228E-2</v>
      </c>
      <c r="AC159" s="60">
        <f t="shared" si="67"/>
        <v>11567101.965725509</v>
      </c>
      <c r="AD159" s="60">
        <f t="shared" si="68"/>
        <v>14042000</v>
      </c>
      <c r="AE159" s="59">
        <f>0</f>
        <v>0</v>
      </c>
      <c r="AF159" s="60">
        <f t="shared" si="69"/>
        <v>14042000</v>
      </c>
      <c r="AG159" s="60">
        <f>1</f>
        <v>1</v>
      </c>
      <c r="AH159" s="60">
        <f t="shared" si="70"/>
        <v>14042000</v>
      </c>
      <c r="AI159" s="60">
        <f t="shared" si="71"/>
        <v>168.93097436043874</v>
      </c>
      <c r="AJ159" s="60">
        <f t="shared" si="72"/>
        <v>0</v>
      </c>
      <c r="AK159" s="59">
        <f t="shared" si="82"/>
        <v>-5.8847184986595136E-2</v>
      </c>
    </row>
    <row r="160" spans="1:37" ht="12.75" customHeight="1" x14ac:dyDescent="0.25">
      <c r="A160" s="62" t="s">
        <v>605</v>
      </c>
      <c r="B160" s="62" t="s">
        <v>394</v>
      </c>
      <c r="C160" s="62" t="s">
        <v>394</v>
      </c>
      <c r="D160" s="124">
        <v>2018</v>
      </c>
      <c r="E160" s="62" t="s">
        <v>675</v>
      </c>
      <c r="F160" s="64">
        <f>SIM_Parametres!$C$24</f>
        <v>1190274000</v>
      </c>
      <c r="G160" s="125">
        <f>SIM_Districts!D18*(1+SIM_Parametres!$B$6)^(2018-2023)</f>
        <v>203190.94959682738</v>
      </c>
      <c r="H160" s="125">
        <f>MAX(0,MIN(100,SIM_Districts!F18+(2018-2022)*SIM_Parametres!$B$7))</f>
        <v>49.82</v>
      </c>
      <c r="I160" s="125">
        <f>SIM_Districts!G18*(1+SIM_Parametres!$B$8)^(2018-2023)</f>
        <v>54.503039606177268</v>
      </c>
      <c r="J160" s="125">
        <f>SIM_Districts!H18*(1+SIM_Parametres!$B$9)^(2018-2023)</f>
        <v>26.92678961540415</v>
      </c>
      <c r="K160" s="125">
        <f>MAX(0,MIN(100,SIM_Districts!I18+(2018-2023)*SIM_Parametres!$B$10))</f>
        <v>81.5</v>
      </c>
      <c r="L160" s="125">
        <f>SIM_Districts!E18</f>
        <v>1155</v>
      </c>
      <c r="M160" s="61">
        <f t="shared" si="64"/>
        <v>175.92290008383324</v>
      </c>
      <c r="N160" s="125">
        <f>SIM_Districts!J18</f>
        <v>95110</v>
      </c>
      <c r="O160" s="63">
        <v>16239000</v>
      </c>
      <c r="P160" s="126">
        <f>SIM_Parametres!$D$24</f>
        <v>0</v>
      </c>
      <c r="Q160" s="126">
        <f>SIM_Parametres!$B$12</f>
        <v>0.2</v>
      </c>
      <c r="R160" s="66">
        <f t="shared" si="83"/>
        <v>1.2995087603774115E-2</v>
      </c>
      <c r="S160" s="66">
        <f t="shared" si="84"/>
        <v>0.65957446808510656</v>
      </c>
      <c r="T160" s="66">
        <f t="shared" si="85"/>
        <v>0.65469613259668513</v>
      </c>
      <c r="U160" s="66">
        <f t="shared" si="86"/>
        <v>0.53685323433738241</v>
      </c>
      <c r="V160" s="66">
        <f t="shared" si="87"/>
        <v>0.24769050312675686</v>
      </c>
      <c r="W160" s="66">
        <f t="shared" si="88"/>
        <v>1.5726062143310078E-2</v>
      </c>
      <c r="X160" s="66">
        <f t="shared" si="89"/>
        <v>1.2955775433225826E-2</v>
      </c>
      <c r="Y160" s="66">
        <f t="shared" si="90"/>
        <v>1.3716444164584495E-2</v>
      </c>
      <c r="Z160" s="66">
        <f t="shared" si="91"/>
        <v>9.0910712011208778E-3</v>
      </c>
      <c r="AA160" s="66">
        <f t="shared" si="65"/>
        <v>1.3239703967030121E-2</v>
      </c>
      <c r="AB160" s="66">
        <f t="shared" si="66"/>
        <v>1.3643077140221496E-2</v>
      </c>
      <c r="AC160" s="67">
        <f t="shared" si="67"/>
        <v>15959984.826764503</v>
      </c>
      <c r="AD160" s="67">
        <f t="shared" si="68"/>
        <v>16239000</v>
      </c>
      <c r="AE160" s="66">
        <f>0</f>
        <v>0</v>
      </c>
      <c r="AF160" s="67">
        <f t="shared" si="69"/>
        <v>16239000</v>
      </c>
      <c r="AG160" s="67">
        <f>1</f>
        <v>1</v>
      </c>
      <c r="AH160" s="67">
        <f t="shared" si="70"/>
        <v>16239000</v>
      </c>
      <c r="AI160" s="67">
        <f t="shared" si="71"/>
        <v>79.919898165846035</v>
      </c>
      <c r="AJ160" s="67">
        <f t="shared" si="72"/>
        <v>0</v>
      </c>
      <c r="AK160" s="66">
        <f t="shared" si="82"/>
        <v>-6.5650172612197966E-2</v>
      </c>
    </row>
    <row r="161" spans="1:37" ht="12.75" customHeight="1" x14ac:dyDescent="0.25">
      <c r="A161" s="55" t="s">
        <v>606</v>
      </c>
      <c r="B161" s="55" t="s">
        <v>394</v>
      </c>
      <c r="C161" s="55" t="s">
        <v>397</v>
      </c>
      <c r="D161" s="128">
        <v>2018</v>
      </c>
      <c r="E161" s="55" t="s">
        <v>675</v>
      </c>
      <c r="F161" s="57">
        <f>SIM_Parametres!$C$24</f>
        <v>1190274000</v>
      </c>
      <c r="G161" s="129">
        <f>SIM_Districts!D19*(1+SIM_Parametres!$B$6)^(2018-2023)</f>
        <v>55516.638754180414</v>
      </c>
      <c r="H161" s="129">
        <f>MAX(0,MIN(100,SIM_Districts!F19+(2018-2022)*SIM_Parametres!$B$7))</f>
        <v>49.82</v>
      </c>
      <c r="I161" s="129">
        <f>SIM_Districts!G19*(1+SIM_Parametres!$B$8)^(2018-2023)</f>
        <v>54.503039606177268</v>
      </c>
      <c r="J161" s="129">
        <f>SIM_Districts!H19*(1+SIM_Parametres!$B$9)^(2018-2023)</f>
        <v>26.92678961540415</v>
      </c>
      <c r="K161" s="129">
        <f>MAX(0,MIN(100,SIM_Districts!I19+(2018-2023)*SIM_Parametres!$B$10))</f>
        <v>81.5</v>
      </c>
      <c r="L161" s="129">
        <f>SIM_Districts!E19</f>
        <v>733</v>
      </c>
      <c r="M161" s="68">
        <f t="shared" si="64"/>
        <v>75.738934180327988</v>
      </c>
      <c r="N161" s="129">
        <f>SIM_Districts!J19</f>
        <v>95110</v>
      </c>
      <c r="O161" s="56">
        <v>15159000</v>
      </c>
      <c r="P161" s="130">
        <f>SIM_Parametres!$D$24</f>
        <v>0</v>
      </c>
      <c r="Q161" s="130">
        <f>SIM_Parametres!$B$12</f>
        <v>0.2</v>
      </c>
      <c r="R161" s="59">
        <f t="shared" si="83"/>
        <v>3.5505694791482982E-3</v>
      </c>
      <c r="S161" s="59">
        <f t="shared" si="84"/>
        <v>0.65957446808510656</v>
      </c>
      <c r="T161" s="59">
        <f t="shared" si="85"/>
        <v>0.65469613259668513</v>
      </c>
      <c r="U161" s="59">
        <f t="shared" si="86"/>
        <v>0.52387753369973955</v>
      </c>
      <c r="V161" s="59">
        <f t="shared" si="87"/>
        <v>0.24769050312675686</v>
      </c>
      <c r="W161" s="59">
        <f t="shared" si="88"/>
        <v>1.5726062143310078E-2</v>
      </c>
      <c r="X161" s="59">
        <f t="shared" si="89"/>
        <v>1.2955775433225826E-2</v>
      </c>
      <c r="Y161" s="59">
        <f t="shared" si="90"/>
        <v>1.3384918783141526E-2</v>
      </c>
      <c r="Z161" s="59">
        <f t="shared" si="91"/>
        <v>9.0910712011208778E-3</v>
      </c>
      <c r="AA161" s="59">
        <f t="shared" si="65"/>
        <v>7.5564168231824855E-3</v>
      </c>
      <c r="AB161" s="59">
        <f t="shared" si="66"/>
        <v>1.2735723035200298E-2</v>
      </c>
      <c r="AC161" s="60">
        <f t="shared" si="67"/>
        <v>10548249.689279621</v>
      </c>
      <c r="AD161" s="60">
        <f t="shared" si="68"/>
        <v>15159000</v>
      </c>
      <c r="AE161" s="59">
        <f>0</f>
        <v>0</v>
      </c>
      <c r="AF161" s="60">
        <f t="shared" si="69"/>
        <v>15159000</v>
      </c>
      <c r="AG161" s="60">
        <f>1</f>
        <v>1</v>
      </c>
      <c r="AH161" s="60">
        <f t="shared" si="70"/>
        <v>15159000</v>
      </c>
      <c r="AI161" s="60">
        <f t="shared" si="71"/>
        <v>273.05327448086047</v>
      </c>
      <c r="AJ161" s="60">
        <f t="shared" si="72"/>
        <v>0</v>
      </c>
      <c r="AK161" s="59">
        <f t="shared" si="82"/>
        <v>-5.8447204968944066E-2</v>
      </c>
    </row>
    <row r="162" spans="1:37" ht="12.75" customHeight="1" x14ac:dyDescent="0.25">
      <c r="A162" s="62" t="s">
        <v>607</v>
      </c>
      <c r="B162" s="62" t="s">
        <v>394</v>
      </c>
      <c r="C162" s="62" t="s">
        <v>398</v>
      </c>
      <c r="D162" s="124">
        <v>2018</v>
      </c>
      <c r="E162" s="62" t="s">
        <v>675</v>
      </c>
      <c r="F162" s="64">
        <f>SIM_Parametres!$C$24</f>
        <v>1190274000</v>
      </c>
      <c r="G162" s="125">
        <f>SIM_Districts!D20*(1+SIM_Parametres!$B$6)^(2018-2023)</f>
        <v>104816.45599930416</v>
      </c>
      <c r="H162" s="125">
        <f>MAX(0,MIN(100,SIM_Districts!F20+(2018-2022)*SIM_Parametres!$B$7))</f>
        <v>49.82</v>
      </c>
      <c r="I162" s="125">
        <f>SIM_Districts!G20*(1+SIM_Parametres!$B$8)^(2018-2023)</f>
        <v>54.503039606177268</v>
      </c>
      <c r="J162" s="125">
        <f>SIM_Districts!H20*(1+SIM_Parametres!$B$9)^(2018-2023)</f>
        <v>26.92678961540415</v>
      </c>
      <c r="K162" s="125">
        <f>MAX(0,MIN(100,SIM_Districts!I20+(2018-2023)*SIM_Parametres!$B$10))</f>
        <v>81.5</v>
      </c>
      <c r="L162" s="125">
        <f>SIM_Districts!E20</f>
        <v>1476</v>
      </c>
      <c r="M162" s="61">
        <f t="shared" si="64"/>
        <v>71.013859078119353</v>
      </c>
      <c r="N162" s="125">
        <f>SIM_Districts!J20</f>
        <v>95110</v>
      </c>
      <c r="O162" s="63">
        <v>16050000</v>
      </c>
      <c r="P162" s="126">
        <f>SIM_Parametres!$D$24</f>
        <v>0</v>
      </c>
      <c r="Q162" s="126">
        <f>SIM_Parametres!$B$12</f>
        <v>0.2</v>
      </c>
      <c r="R162" s="66">
        <f t="shared" si="83"/>
        <v>6.703541819804361E-3</v>
      </c>
      <c r="S162" s="66">
        <f t="shared" si="84"/>
        <v>0.65957446808510656</v>
      </c>
      <c r="T162" s="66">
        <f t="shared" si="85"/>
        <v>0.65469613259668513</v>
      </c>
      <c r="U162" s="66">
        <f t="shared" si="86"/>
        <v>0.54969284466862123</v>
      </c>
      <c r="V162" s="66">
        <f t="shared" si="87"/>
        <v>0.24769050312675686</v>
      </c>
      <c r="W162" s="66">
        <f t="shared" si="88"/>
        <v>1.5726062143310078E-2</v>
      </c>
      <c r="X162" s="66">
        <f t="shared" si="89"/>
        <v>1.2955775433225826E-2</v>
      </c>
      <c r="Y162" s="66">
        <f t="shared" si="90"/>
        <v>1.4044492478237349E-2</v>
      </c>
      <c r="Z162" s="66">
        <f t="shared" si="91"/>
        <v>9.0910712011208778E-3</v>
      </c>
      <c r="AA162" s="66">
        <f t="shared" si="65"/>
        <v>9.4811789123309138E-3</v>
      </c>
      <c r="AB162" s="66">
        <f t="shared" si="66"/>
        <v>1.3484290171842786E-2</v>
      </c>
      <c r="AC162" s="67">
        <f t="shared" si="67"/>
        <v>12381045.105998868</v>
      </c>
      <c r="AD162" s="67">
        <f t="shared" si="68"/>
        <v>16050000</v>
      </c>
      <c r="AE162" s="66">
        <f>0</f>
        <v>0</v>
      </c>
      <c r="AF162" s="67">
        <f t="shared" si="69"/>
        <v>16050000</v>
      </c>
      <c r="AG162" s="67">
        <f>1</f>
        <v>1</v>
      </c>
      <c r="AH162" s="67">
        <f t="shared" si="70"/>
        <v>16050000</v>
      </c>
      <c r="AI162" s="67">
        <f t="shared" si="71"/>
        <v>153.12481086086854</v>
      </c>
      <c r="AJ162" s="67">
        <f t="shared" si="72"/>
        <v>0</v>
      </c>
      <c r="AK162" s="66">
        <f t="shared" si="82"/>
        <v>-7.4927953890489896E-2</v>
      </c>
    </row>
    <row r="163" spans="1:37" ht="12.75" customHeight="1" x14ac:dyDescent="0.25">
      <c r="A163" s="55" t="s">
        <v>608</v>
      </c>
      <c r="B163" s="55" t="s">
        <v>394</v>
      </c>
      <c r="C163" s="55" t="s">
        <v>399</v>
      </c>
      <c r="D163" s="128">
        <v>2018</v>
      </c>
      <c r="E163" s="55" t="s">
        <v>675</v>
      </c>
      <c r="F163" s="57">
        <f>SIM_Parametres!$C$24</f>
        <v>1190274000</v>
      </c>
      <c r="G163" s="129">
        <f>SIM_Districts!D21*(1+SIM_Parametres!$B$6)^(2018-2023)</f>
        <v>85178.304414014288</v>
      </c>
      <c r="H163" s="129">
        <f>MAX(0,MIN(100,SIM_Districts!F21+(2018-2022)*SIM_Parametres!$B$7))</f>
        <v>49.82</v>
      </c>
      <c r="I163" s="129">
        <f>SIM_Districts!G21*(1+SIM_Parametres!$B$8)^(2018-2023)</f>
        <v>54.503039606177268</v>
      </c>
      <c r="J163" s="129">
        <f>SIM_Districts!H21*(1+SIM_Parametres!$B$9)^(2018-2023)</f>
        <v>26.92678961540415</v>
      </c>
      <c r="K163" s="129">
        <f>MAX(0,MIN(100,SIM_Districts!I21+(2018-2023)*SIM_Parametres!$B$10))</f>
        <v>81.5</v>
      </c>
      <c r="L163" s="129">
        <f>SIM_Districts!E21</f>
        <v>406</v>
      </c>
      <c r="M163" s="68">
        <f t="shared" si="64"/>
        <v>209.79877934486277</v>
      </c>
      <c r="N163" s="129">
        <f>SIM_Districts!J21</f>
        <v>95110</v>
      </c>
      <c r="O163" s="56">
        <v>13152000</v>
      </c>
      <c r="P163" s="130">
        <f>SIM_Parametres!$D$24</f>
        <v>0</v>
      </c>
      <c r="Q163" s="130">
        <f>SIM_Parametres!$B$12</f>
        <v>0.2</v>
      </c>
      <c r="R163" s="59">
        <f t="shared" si="83"/>
        <v>5.4475828278639938E-3</v>
      </c>
      <c r="S163" s="59">
        <f t="shared" si="84"/>
        <v>0.65957446808510656</v>
      </c>
      <c r="T163" s="59">
        <f t="shared" si="85"/>
        <v>0.65469613259668513</v>
      </c>
      <c r="U163" s="59">
        <f t="shared" si="86"/>
        <v>0.51035214004959617</v>
      </c>
      <c r="V163" s="59">
        <f t="shared" si="87"/>
        <v>0.24769050312675686</v>
      </c>
      <c r="W163" s="59">
        <f t="shared" si="88"/>
        <v>1.5726062143310078E-2</v>
      </c>
      <c r="X163" s="59">
        <f t="shared" si="89"/>
        <v>1.2955775433225826E-2</v>
      </c>
      <c r="Y163" s="59">
        <f t="shared" si="90"/>
        <v>1.3039348904932265E-2</v>
      </c>
      <c r="Z163" s="59">
        <f t="shared" si="91"/>
        <v>9.0910712011208778E-3</v>
      </c>
      <c r="AA163" s="59">
        <f t="shared" si="65"/>
        <v>8.6773463385014377E-3</v>
      </c>
      <c r="AB163" s="59">
        <f t="shared" si="66"/>
        <v>1.1049556656702575E-2</v>
      </c>
      <c r="AC163" s="60">
        <f t="shared" si="67"/>
        <v>11615620.295613023</v>
      </c>
      <c r="AD163" s="60">
        <f t="shared" si="68"/>
        <v>13152000</v>
      </c>
      <c r="AE163" s="59">
        <f>0</f>
        <v>0</v>
      </c>
      <c r="AF163" s="60">
        <f t="shared" si="69"/>
        <v>13152000</v>
      </c>
      <c r="AG163" s="60">
        <f>1</f>
        <v>1</v>
      </c>
      <c r="AH163" s="60">
        <f t="shared" si="70"/>
        <v>13152000</v>
      </c>
      <c r="AI163" s="60">
        <f t="shared" si="71"/>
        <v>154.40551547109825</v>
      </c>
      <c r="AJ163" s="60">
        <f t="shared" si="72"/>
        <v>0</v>
      </c>
      <c r="AK163" s="59">
        <f t="shared" si="82"/>
        <v>-4.0000000000000036E-2</v>
      </c>
    </row>
    <row r="164" spans="1:37" ht="12.75" customHeight="1" x14ac:dyDescent="0.25">
      <c r="A164" s="62" t="s">
        <v>609</v>
      </c>
      <c r="B164" s="62" t="s">
        <v>394</v>
      </c>
      <c r="C164" s="62" t="s">
        <v>400</v>
      </c>
      <c r="D164" s="124">
        <v>2018</v>
      </c>
      <c r="E164" s="62" t="s">
        <v>675</v>
      </c>
      <c r="F164" s="64">
        <f>SIM_Parametres!$C$24</f>
        <v>1190274000</v>
      </c>
      <c r="G164" s="125">
        <f>SIM_Districts!D22*(1+SIM_Parametres!$B$6)^(2018-2023)</f>
        <v>89513.776164329087</v>
      </c>
      <c r="H164" s="125">
        <f>MAX(0,MIN(100,SIM_Districts!F22+(2018-2022)*SIM_Parametres!$B$7))</f>
        <v>49.82</v>
      </c>
      <c r="I164" s="125">
        <f>SIM_Districts!G22*(1+SIM_Parametres!$B$8)^(2018-2023)</f>
        <v>54.503039606177268</v>
      </c>
      <c r="J164" s="125">
        <f>SIM_Districts!H22*(1+SIM_Parametres!$B$9)^(2018-2023)</f>
        <v>26.92678961540415</v>
      </c>
      <c r="K164" s="125">
        <f>MAX(0,MIN(100,SIM_Districts!I22+(2018-2023)*SIM_Parametres!$B$10))</f>
        <v>81.5</v>
      </c>
      <c r="L164" s="125">
        <f>SIM_Districts!E22</f>
        <v>866</v>
      </c>
      <c r="M164" s="61">
        <f t="shared" si="64"/>
        <v>103.36463760315137</v>
      </c>
      <c r="N164" s="125">
        <f>SIM_Districts!J22</f>
        <v>95110</v>
      </c>
      <c r="O164" s="63">
        <v>14902000</v>
      </c>
      <c r="P164" s="126">
        <f>SIM_Parametres!$D$24</f>
        <v>0</v>
      </c>
      <c r="Q164" s="126">
        <f>SIM_Parametres!$B$12</f>
        <v>0.2</v>
      </c>
      <c r="R164" s="66">
        <f t="shared" si="83"/>
        <v>5.7248581460354895E-3</v>
      </c>
      <c r="S164" s="66">
        <f t="shared" si="84"/>
        <v>0.65957446808510656</v>
      </c>
      <c r="T164" s="66">
        <f t="shared" si="85"/>
        <v>0.65469613259668513</v>
      </c>
      <c r="U164" s="66">
        <f t="shared" si="86"/>
        <v>0.52803177519419786</v>
      </c>
      <c r="V164" s="66">
        <f t="shared" si="87"/>
        <v>0.24769050312675686</v>
      </c>
      <c r="W164" s="66">
        <f t="shared" si="88"/>
        <v>1.5726062143310078E-2</v>
      </c>
      <c r="X164" s="66">
        <f t="shared" si="89"/>
        <v>1.2955775433225826E-2</v>
      </c>
      <c r="Y164" s="66">
        <f t="shared" si="90"/>
        <v>1.3491058446387231E-2</v>
      </c>
      <c r="Z164" s="66">
        <f t="shared" si="91"/>
        <v>9.0910712011208778E-3</v>
      </c>
      <c r="AA164" s="66">
        <f t="shared" si="65"/>
        <v>8.8662970064770832E-3</v>
      </c>
      <c r="AB164" s="66">
        <f t="shared" si="66"/>
        <v>1.2519806363912847E-2</v>
      </c>
      <c r="AC164" s="67">
        <f t="shared" si="67"/>
        <v>11795542.749512257</v>
      </c>
      <c r="AD164" s="67">
        <f t="shared" si="68"/>
        <v>14902000</v>
      </c>
      <c r="AE164" s="66">
        <f>0</f>
        <v>0</v>
      </c>
      <c r="AF164" s="67">
        <f t="shared" si="69"/>
        <v>14902000</v>
      </c>
      <c r="AG164" s="67">
        <f>1</f>
        <v>1</v>
      </c>
      <c r="AH164" s="67">
        <f t="shared" si="70"/>
        <v>14902000</v>
      </c>
      <c r="AI164" s="67">
        <f t="shared" si="71"/>
        <v>166.47716852703164</v>
      </c>
      <c r="AJ164" s="67">
        <f t="shared" si="72"/>
        <v>0</v>
      </c>
      <c r="AK164" s="66">
        <f t="shared" si="82"/>
        <v>-5.5759726270434684E-2</v>
      </c>
    </row>
    <row r="165" spans="1:37" ht="12.75" customHeight="1" x14ac:dyDescent="0.25">
      <c r="A165" s="55" t="s">
        <v>610</v>
      </c>
      <c r="B165" s="55" t="s">
        <v>394</v>
      </c>
      <c r="C165" s="55" t="s">
        <v>401</v>
      </c>
      <c r="D165" s="128">
        <v>2018</v>
      </c>
      <c r="E165" s="55" t="s">
        <v>675</v>
      </c>
      <c r="F165" s="57">
        <f>SIM_Parametres!$C$24</f>
        <v>1190274000</v>
      </c>
      <c r="G165" s="129">
        <f>SIM_Districts!D23*(1+SIM_Parametres!$B$6)^(2018-2023)</f>
        <v>160976.60090663517</v>
      </c>
      <c r="H165" s="129">
        <f>MAX(0,MIN(100,SIM_Districts!F23+(2018-2022)*SIM_Parametres!$B$7))</f>
        <v>49.82</v>
      </c>
      <c r="I165" s="129">
        <f>SIM_Districts!G23*(1+SIM_Parametres!$B$8)^(2018-2023)</f>
        <v>54.503039606177268</v>
      </c>
      <c r="J165" s="129">
        <f>SIM_Districts!H23*(1+SIM_Parametres!$B$9)^(2018-2023)</f>
        <v>26.92678961540415</v>
      </c>
      <c r="K165" s="129">
        <f>MAX(0,MIN(100,SIM_Districts!I23+(2018-2023)*SIM_Parametres!$B$10))</f>
        <v>81.5</v>
      </c>
      <c r="L165" s="129">
        <f>SIM_Districts!E23</f>
        <v>1459</v>
      </c>
      <c r="M165" s="68">
        <f t="shared" si="64"/>
        <v>110.33351672833116</v>
      </c>
      <c r="N165" s="129">
        <f>SIM_Districts!J23</f>
        <v>95110</v>
      </c>
      <c r="O165" s="56">
        <v>16251000</v>
      </c>
      <c r="P165" s="130">
        <f>SIM_Parametres!$D$24</f>
        <v>0</v>
      </c>
      <c r="Q165" s="130">
        <f>SIM_Parametres!$B$12</f>
        <v>0.2</v>
      </c>
      <c r="R165" s="59">
        <f t="shared" si="83"/>
        <v>1.029526676798488E-2</v>
      </c>
      <c r="S165" s="59">
        <f t="shared" si="84"/>
        <v>0.65957446808510656</v>
      </c>
      <c r="T165" s="59">
        <f t="shared" si="85"/>
        <v>0.65469613259668513</v>
      </c>
      <c r="U165" s="59">
        <f t="shared" si="86"/>
        <v>0.54845929360496004</v>
      </c>
      <c r="V165" s="59">
        <f t="shared" si="87"/>
        <v>0.24769050312675686</v>
      </c>
      <c r="W165" s="59">
        <f t="shared" si="88"/>
        <v>1.5726062143310078E-2</v>
      </c>
      <c r="X165" s="59">
        <f t="shared" si="89"/>
        <v>1.2955775433225826E-2</v>
      </c>
      <c r="Y165" s="59">
        <f t="shared" si="90"/>
        <v>1.4012975606946155E-2</v>
      </c>
      <c r="Z165" s="59">
        <f t="shared" si="91"/>
        <v>9.0910712011208778E-3</v>
      </c>
      <c r="AA165" s="59">
        <f t="shared" si="65"/>
        <v>1.1634638037674665E-2</v>
      </c>
      <c r="AB165" s="59">
        <f t="shared" si="66"/>
        <v>1.3653158852499509E-2</v>
      </c>
      <c r="AC165" s="60">
        <f t="shared" si="67"/>
        <v>14431610.231566392</v>
      </c>
      <c r="AD165" s="60">
        <f t="shared" si="68"/>
        <v>16251000</v>
      </c>
      <c r="AE165" s="59">
        <f>0</f>
        <v>0</v>
      </c>
      <c r="AF165" s="60">
        <f t="shared" si="69"/>
        <v>16251000</v>
      </c>
      <c r="AG165" s="60">
        <f>1</f>
        <v>1</v>
      </c>
      <c r="AH165" s="60">
        <f t="shared" si="70"/>
        <v>16251000</v>
      </c>
      <c r="AI165" s="60">
        <f t="shared" si="71"/>
        <v>100.95256023840022</v>
      </c>
      <c r="AJ165" s="60">
        <f t="shared" si="72"/>
        <v>0</v>
      </c>
      <c r="AK165" s="59">
        <f t="shared" si="82"/>
        <v>-6.0635838150289056E-2</v>
      </c>
    </row>
    <row r="166" spans="1:37" ht="12.75" customHeight="1" x14ac:dyDescent="0.25">
      <c r="A166" s="62" t="s">
        <v>611</v>
      </c>
      <c r="B166" s="62" t="s">
        <v>402</v>
      </c>
      <c r="C166" s="62" t="s">
        <v>404</v>
      </c>
      <c r="D166" s="124">
        <v>2018</v>
      </c>
      <c r="E166" s="62" t="s">
        <v>675</v>
      </c>
      <c r="F166" s="64">
        <f>SIM_Parametres!$C$24</f>
        <v>1190274000</v>
      </c>
      <c r="G166" s="125">
        <f>SIM_Districts!D24*(1+SIM_Parametres!$B$6)^(2018-2023)</f>
        <v>126330.78169062961</v>
      </c>
      <c r="H166" s="125">
        <f>MAX(0,MIN(100,SIM_Districts!F24+(2018-2022)*SIM_Parametres!$B$7))</f>
        <v>61.52</v>
      </c>
      <c r="I166" s="125">
        <f>SIM_Districts!G24*(1+SIM_Parametres!$B$8)^(2018-2023)</f>
        <v>54.503039606177268</v>
      </c>
      <c r="J166" s="125">
        <f>SIM_Districts!H24*(1+SIM_Parametres!$B$9)^(2018-2023)</f>
        <v>48.095649375942003</v>
      </c>
      <c r="K166" s="125">
        <f>MAX(0,MIN(100,SIM_Districts!I24+(2018-2023)*SIM_Parametres!$B$10))</f>
        <v>75.400000000000006</v>
      </c>
      <c r="L166" s="125">
        <f>SIM_Districts!E24</f>
        <v>1150</v>
      </c>
      <c r="M166" s="61">
        <f t="shared" si="64"/>
        <v>109.85285364402574</v>
      </c>
      <c r="N166" s="125">
        <f>SIM_Districts!J24</f>
        <v>169739</v>
      </c>
      <c r="O166" s="63">
        <v>13530000</v>
      </c>
      <c r="P166" s="126">
        <f>SIM_Parametres!$D$24</f>
        <v>0</v>
      </c>
      <c r="Q166" s="126">
        <f>SIM_Parametres!$B$12</f>
        <v>0.2</v>
      </c>
      <c r="R166" s="66">
        <f t="shared" si="83"/>
        <v>8.0794916229311609E-3</v>
      </c>
      <c r="S166" s="66">
        <f t="shared" si="84"/>
        <v>0.86702127659574491</v>
      </c>
      <c r="T166" s="66">
        <f t="shared" si="85"/>
        <v>1</v>
      </c>
      <c r="U166" s="66">
        <f t="shared" si="86"/>
        <v>0.53776328071078594</v>
      </c>
      <c r="V166" s="66">
        <f t="shared" si="87"/>
        <v>0.76566328194948607</v>
      </c>
      <c r="W166" s="66">
        <f t="shared" si="88"/>
        <v>2.06721623335447E-2</v>
      </c>
      <c r="X166" s="66">
        <f t="shared" si="89"/>
        <v>1.9788990324167716E-2</v>
      </c>
      <c r="Y166" s="66">
        <f t="shared" si="90"/>
        <v>1.3739695585027883E-2</v>
      </c>
      <c r="Z166" s="66">
        <f t="shared" si="91"/>
        <v>2.8102407336645013E-2</v>
      </c>
      <c r="AA166" s="66">
        <f t="shared" si="65"/>
        <v>1.3008973018499206E-2</v>
      </c>
      <c r="AB166" s="66">
        <f t="shared" si="66"/>
        <v>1.1367130593459993E-2</v>
      </c>
      <c r="AC166" s="67">
        <f t="shared" si="67"/>
        <v>15740278.387539152</v>
      </c>
      <c r="AD166" s="67">
        <f t="shared" si="68"/>
        <v>13530000</v>
      </c>
      <c r="AE166" s="66">
        <f>0</f>
        <v>0</v>
      </c>
      <c r="AF166" s="67">
        <f t="shared" si="69"/>
        <v>13530000</v>
      </c>
      <c r="AG166" s="67">
        <f>1</f>
        <v>1</v>
      </c>
      <c r="AH166" s="67">
        <f t="shared" si="70"/>
        <v>13530000</v>
      </c>
      <c r="AI166" s="67">
        <f t="shared" si="71"/>
        <v>107.09978849916011</v>
      </c>
      <c r="AJ166" s="67">
        <f t="shared" si="72"/>
        <v>0</v>
      </c>
      <c r="AK166" s="66">
        <f t="shared" si="82"/>
        <v>-3.90625E-2</v>
      </c>
    </row>
    <row r="167" spans="1:37" ht="12.75" customHeight="1" x14ac:dyDescent="0.25">
      <c r="A167" s="55" t="s">
        <v>613</v>
      </c>
      <c r="B167" s="55" t="s">
        <v>402</v>
      </c>
      <c r="C167" s="55" t="s">
        <v>402</v>
      </c>
      <c r="D167" s="128">
        <v>2018</v>
      </c>
      <c r="E167" s="55" t="s">
        <v>675</v>
      </c>
      <c r="F167" s="57">
        <f>SIM_Parametres!$C$24</f>
        <v>1190274000</v>
      </c>
      <c r="G167" s="129">
        <f>SIM_Districts!D25*(1+SIM_Parametres!$B$6)^(2018-2023)</f>
        <v>259210.48927230379</v>
      </c>
      <c r="H167" s="129">
        <f>MAX(0,MIN(100,SIM_Districts!F25+(2018-2022)*SIM_Parametres!$B$7))</f>
        <v>61.52</v>
      </c>
      <c r="I167" s="129">
        <f>SIM_Districts!G25*(1+SIM_Parametres!$B$8)^(2018-2023)</f>
        <v>54.503039606177268</v>
      </c>
      <c r="J167" s="129">
        <f>SIM_Districts!H25*(1+SIM_Parametres!$B$9)^(2018-2023)</f>
        <v>48.095649375942003</v>
      </c>
      <c r="K167" s="129">
        <f>MAX(0,MIN(100,SIM_Districts!I25+(2018-2023)*SIM_Parametres!$B$10))</f>
        <v>75.400000000000006</v>
      </c>
      <c r="L167" s="129">
        <f>SIM_Districts!E25</f>
        <v>2609</v>
      </c>
      <c r="M167" s="68">
        <f t="shared" si="64"/>
        <v>99.352429770909851</v>
      </c>
      <c r="N167" s="129">
        <f>SIM_Districts!J25</f>
        <v>169739</v>
      </c>
      <c r="O167" s="56">
        <v>15742000</v>
      </c>
      <c r="P167" s="130">
        <f>SIM_Parametres!$D$24</f>
        <v>0</v>
      </c>
      <c r="Q167" s="130">
        <f>SIM_Parametres!$B$12</f>
        <v>0.2</v>
      </c>
      <c r="R167" s="59">
        <f t="shared" si="83"/>
        <v>1.6577820137139283E-2</v>
      </c>
      <c r="S167" s="59">
        <f t="shared" si="84"/>
        <v>0.86702127659574491</v>
      </c>
      <c r="T167" s="59">
        <f t="shared" si="85"/>
        <v>1</v>
      </c>
      <c r="U167" s="59">
        <f t="shared" si="86"/>
        <v>0.58847583069176324</v>
      </c>
      <c r="V167" s="59">
        <f t="shared" si="87"/>
        <v>0.76566328194948607</v>
      </c>
      <c r="W167" s="59">
        <f t="shared" si="88"/>
        <v>2.06721623335447E-2</v>
      </c>
      <c r="X167" s="59">
        <f t="shared" si="89"/>
        <v>1.9788990324167716E-2</v>
      </c>
      <c r="Y167" s="59">
        <f t="shared" si="90"/>
        <v>1.5035386503452401E-2</v>
      </c>
      <c r="Z167" s="59">
        <f t="shared" si="91"/>
        <v>2.8102407336645013E-2</v>
      </c>
      <c r="AA167" s="59">
        <f t="shared" si="65"/>
        <v>1.8172754672945303E-2</v>
      </c>
      <c r="AB167" s="59">
        <f t="shared" si="66"/>
        <v>1.3225526223373777E-2</v>
      </c>
      <c r="AC167" s="60">
        <f t="shared" si="67"/>
        <v>20657330.423510492</v>
      </c>
      <c r="AD167" s="60">
        <f t="shared" si="68"/>
        <v>15742000</v>
      </c>
      <c r="AE167" s="59">
        <f>0</f>
        <v>0</v>
      </c>
      <c r="AF167" s="60">
        <f t="shared" si="69"/>
        <v>15742000</v>
      </c>
      <c r="AG167" s="60">
        <f>1</f>
        <v>1</v>
      </c>
      <c r="AH167" s="60">
        <f t="shared" si="70"/>
        <v>15742000</v>
      </c>
      <c r="AI167" s="60">
        <f t="shared" si="71"/>
        <v>60.730567054571765</v>
      </c>
      <c r="AJ167" s="60">
        <f t="shared" si="72"/>
        <v>0</v>
      </c>
      <c r="AK167" s="59">
        <f t="shared" si="82"/>
        <v>-2.363083793338705E-2</v>
      </c>
    </row>
    <row r="168" spans="1:37" ht="12.75" customHeight="1" x14ac:dyDescent="0.25">
      <c r="A168" s="62" t="s">
        <v>614</v>
      </c>
      <c r="B168" s="62" t="s">
        <v>402</v>
      </c>
      <c r="C168" s="62" t="s">
        <v>405</v>
      </c>
      <c r="D168" s="124">
        <v>2018</v>
      </c>
      <c r="E168" s="62" t="s">
        <v>675</v>
      </c>
      <c r="F168" s="64">
        <f>SIM_Parametres!$C$24</f>
        <v>1190274000</v>
      </c>
      <c r="G168" s="125">
        <f>SIM_Districts!D26*(1+SIM_Parametres!$B$6)^(2018-2023)</f>
        <v>203993.17576630466</v>
      </c>
      <c r="H168" s="125">
        <f>MAX(0,MIN(100,SIM_Districts!F26+(2018-2022)*SIM_Parametres!$B$7))</f>
        <v>61.52</v>
      </c>
      <c r="I168" s="125">
        <f>SIM_Districts!G26*(1+SIM_Parametres!$B$8)^(2018-2023)</f>
        <v>54.503039606177268</v>
      </c>
      <c r="J168" s="125">
        <f>SIM_Districts!H26*(1+SIM_Parametres!$B$9)^(2018-2023)</f>
        <v>48.095649375942003</v>
      </c>
      <c r="K168" s="125">
        <f>MAX(0,MIN(100,SIM_Districts!I26+(2018-2023)*SIM_Parametres!$B$10))</f>
        <v>75.400000000000006</v>
      </c>
      <c r="L168" s="125">
        <f>SIM_Districts!E26</f>
        <v>4537</v>
      </c>
      <c r="M168" s="61">
        <f t="shared" si="64"/>
        <v>44.962128227089408</v>
      </c>
      <c r="N168" s="125">
        <f>SIM_Districts!J26</f>
        <v>169739</v>
      </c>
      <c r="O168" s="63">
        <v>23067000</v>
      </c>
      <c r="P168" s="126">
        <f>SIM_Parametres!$D$24</f>
        <v>0</v>
      </c>
      <c r="Q168" s="126">
        <f>SIM_Parametres!$B$12</f>
        <v>0.2</v>
      </c>
      <c r="R168" s="66">
        <f t="shared" si="83"/>
        <v>1.3046394019591762E-2</v>
      </c>
      <c r="S168" s="66">
        <f t="shared" si="84"/>
        <v>0.86702127659574491</v>
      </c>
      <c r="T168" s="66">
        <f t="shared" si="85"/>
        <v>1</v>
      </c>
      <c r="U168" s="66">
        <f t="shared" si="86"/>
        <v>0.65615433798264988</v>
      </c>
      <c r="V168" s="66">
        <f t="shared" si="87"/>
        <v>0.76566328194948607</v>
      </c>
      <c r="W168" s="66">
        <f t="shared" si="88"/>
        <v>2.06721623335447E-2</v>
      </c>
      <c r="X168" s="66">
        <f t="shared" si="89"/>
        <v>1.9788990324167716E-2</v>
      </c>
      <c r="Y168" s="66">
        <f t="shared" si="90"/>
        <v>1.6764552702001334E-2</v>
      </c>
      <c r="Z168" s="66">
        <f t="shared" si="91"/>
        <v>2.8102407336645013E-2</v>
      </c>
      <c r="AA168" s="66">
        <f t="shared" si="65"/>
        <v>1.6140357312344238E-2</v>
      </c>
      <c r="AB168" s="66">
        <f t="shared" si="66"/>
        <v>1.9379571426411061E-2</v>
      </c>
      <c r="AC168" s="67">
        <f t="shared" si="67"/>
        <v>18722042.634716835</v>
      </c>
      <c r="AD168" s="67">
        <f t="shared" si="68"/>
        <v>23067000</v>
      </c>
      <c r="AE168" s="66">
        <f>0</f>
        <v>0</v>
      </c>
      <c r="AF168" s="67">
        <f t="shared" si="69"/>
        <v>23067000</v>
      </c>
      <c r="AG168" s="67">
        <f>1</f>
        <v>1</v>
      </c>
      <c r="AH168" s="67">
        <f t="shared" si="70"/>
        <v>23067000</v>
      </c>
      <c r="AI168" s="67">
        <f t="shared" si="71"/>
        <v>113.07731208825162</v>
      </c>
      <c r="AJ168" s="67">
        <f t="shared" si="72"/>
        <v>0</v>
      </c>
      <c r="AK168" s="66">
        <f t="shared" si="82"/>
        <v>-4.0873180873180925E-2</v>
      </c>
    </row>
    <row r="169" spans="1:37" ht="12.75" customHeight="1" x14ac:dyDescent="0.25">
      <c r="A169" s="55" t="s">
        <v>615</v>
      </c>
      <c r="B169" s="55" t="s">
        <v>402</v>
      </c>
      <c r="C169" s="55" t="s">
        <v>406</v>
      </c>
      <c r="D169" s="128">
        <v>2018</v>
      </c>
      <c r="E169" s="55" t="s">
        <v>675</v>
      </c>
      <c r="F169" s="57">
        <f>SIM_Parametres!$C$24</f>
        <v>1190274000</v>
      </c>
      <c r="G169" s="129">
        <f>SIM_Districts!D27*(1+SIM_Parametres!$B$6)^(2018-2023)</f>
        <v>118154.11302345211</v>
      </c>
      <c r="H169" s="129">
        <f>MAX(0,MIN(100,SIM_Districts!F27+(2018-2022)*SIM_Parametres!$B$7))</f>
        <v>61.52</v>
      </c>
      <c r="I169" s="129">
        <f>SIM_Districts!G27*(1+SIM_Parametres!$B$8)^(2018-2023)</f>
        <v>54.503039606177268</v>
      </c>
      <c r="J169" s="129">
        <f>SIM_Districts!H27*(1+SIM_Parametres!$B$9)^(2018-2023)</f>
        <v>48.095649375942003</v>
      </c>
      <c r="K169" s="129">
        <f>MAX(0,MIN(100,SIM_Districts!I27+(2018-2023)*SIM_Parametres!$B$10))</f>
        <v>75.400000000000006</v>
      </c>
      <c r="L169" s="129">
        <f>SIM_Districts!E27</f>
        <v>2765</v>
      </c>
      <c r="M169" s="68">
        <f t="shared" si="64"/>
        <v>42.732048109747602</v>
      </c>
      <c r="N169" s="129">
        <f>SIM_Districts!J27</f>
        <v>169739</v>
      </c>
      <c r="O169" s="56">
        <v>15285000</v>
      </c>
      <c r="P169" s="130">
        <f>SIM_Parametres!$D$24</f>
        <v>0</v>
      </c>
      <c r="Q169" s="130">
        <f>SIM_Parametres!$B$12</f>
        <v>0.2</v>
      </c>
      <c r="R169" s="59">
        <f t="shared" si="83"/>
        <v>7.5565523589145251E-3</v>
      </c>
      <c r="S169" s="59">
        <f t="shared" si="84"/>
        <v>0.86702127659574491</v>
      </c>
      <c r="T169" s="59">
        <f t="shared" si="85"/>
        <v>1</v>
      </c>
      <c r="U169" s="59">
        <f t="shared" si="86"/>
        <v>0.59480805510502444</v>
      </c>
      <c r="V169" s="59">
        <f t="shared" si="87"/>
        <v>0.76566328194948607</v>
      </c>
      <c r="W169" s="59">
        <f t="shared" si="88"/>
        <v>2.06721623335447E-2</v>
      </c>
      <c r="X169" s="59">
        <f t="shared" si="89"/>
        <v>1.9788990324167716E-2</v>
      </c>
      <c r="Y169" s="59">
        <f t="shared" si="90"/>
        <v>1.5197172997501038E-2</v>
      </c>
      <c r="Z169" s="59">
        <f t="shared" si="91"/>
        <v>2.8102407336645013E-2</v>
      </c>
      <c r="AA169" s="59">
        <f t="shared" si="65"/>
        <v>1.276808333071288E-2</v>
      </c>
      <c r="AB169" s="59">
        <f t="shared" si="66"/>
        <v>1.2841581014119438E-2</v>
      </c>
      <c r="AC169" s="60">
        <f t="shared" si="67"/>
        <v>15510898.601747008</v>
      </c>
      <c r="AD169" s="60">
        <f t="shared" si="68"/>
        <v>15285000</v>
      </c>
      <c r="AE169" s="59">
        <f>0</f>
        <v>0</v>
      </c>
      <c r="AF169" s="60">
        <f t="shared" si="69"/>
        <v>15285000</v>
      </c>
      <c r="AG169" s="60">
        <f>1</f>
        <v>1</v>
      </c>
      <c r="AH169" s="60">
        <f t="shared" si="70"/>
        <v>15285000</v>
      </c>
      <c r="AI169" s="60">
        <f t="shared" si="71"/>
        <v>129.36494218331714</v>
      </c>
      <c r="AJ169" s="60">
        <f t="shared" si="72"/>
        <v>0</v>
      </c>
      <c r="AK169" s="59">
        <f t="shared" si="82"/>
        <v>-7.1667172790768285E-2</v>
      </c>
    </row>
    <row r="170" spans="1:37" ht="12.75" customHeight="1" x14ac:dyDescent="0.25">
      <c r="A170" s="62" t="s">
        <v>616</v>
      </c>
      <c r="B170" s="62" t="s">
        <v>407</v>
      </c>
      <c r="C170" s="62" t="s">
        <v>409</v>
      </c>
      <c r="D170" s="124">
        <v>2018</v>
      </c>
      <c r="E170" s="62" t="s">
        <v>675</v>
      </c>
      <c r="F170" s="64">
        <f>SIM_Parametres!$C$24</f>
        <v>1190274000</v>
      </c>
      <c r="G170" s="125">
        <f>SIM_Districts!D28*(1+SIM_Parametres!$B$6)^(2018-2023)</f>
        <v>138221.8437833653</v>
      </c>
      <c r="H170" s="125">
        <f>MAX(0,MIN(100,SIM_Districts!F28+(2018-2022)*SIM_Parametres!$B$7))</f>
        <v>52.92</v>
      </c>
      <c r="I170" s="125">
        <f>SIM_Districts!G28*(1+SIM_Parametres!$B$8)^(2018-2023)</f>
        <v>54.503039606177268</v>
      </c>
      <c r="J170" s="125">
        <f>SIM_Districts!H28*(1+SIM_Parametres!$B$9)^(2018-2023)</f>
        <v>24.725228200308212</v>
      </c>
      <c r="K170" s="125">
        <f>MAX(0,MIN(100,SIM_Districts!I28+(2018-2023)*SIM_Parametres!$B$10))</f>
        <v>83.1</v>
      </c>
      <c r="L170" s="125">
        <f>SIM_Districts!E28</f>
        <v>1066</v>
      </c>
      <c r="M170" s="61">
        <f t="shared" si="64"/>
        <v>129.66401855850404</v>
      </c>
      <c r="N170" s="125">
        <f>SIM_Districts!J28</f>
        <v>190293</v>
      </c>
      <c r="O170" s="63">
        <v>14410000</v>
      </c>
      <c r="P170" s="126">
        <f>SIM_Parametres!$D$24</f>
        <v>0</v>
      </c>
      <c r="Q170" s="126">
        <f>SIM_Parametres!$B$12</f>
        <v>0.2</v>
      </c>
      <c r="R170" s="66">
        <f t="shared" si="83"/>
        <v>8.8399851090024059E-3</v>
      </c>
      <c r="S170" s="66">
        <f t="shared" si="84"/>
        <v>0.71453900709219864</v>
      </c>
      <c r="T170" s="66">
        <f t="shared" si="85"/>
        <v>0.61878453038674031</v>
      </c>
      <c r="U170" s="66">
        <f t="shared" si="86"/>
        <v>0.53452867131516979</v>
      </c>
      <c r="V170" s="66">
        <f t="shared" si="87"/>
        <v>0.90832112938040932</v>
      </c>
      <c r="W170" s="66">
        <f t="shared" si="88"/>
        <v>1.7036567321919251E-2</v>
      </c>
      <c r="X170" s="66">
        <f t="shared" si="89"/>
        <v>1.2245121084567868E-2</v>
      </c>
      <c r="Y170" s="66">
        <f t="shared" si="90"/>
        <v>1.3657052254725572E-2</v>
      </c>
      <c r="Z170" s="66">
        <f t="shared" si="91"/>
        <v>3.333842822570373E-2</v>
      </c>
      <c r="AA170" s="66">
        <f t="shared" si="65"/>
        <v>1.2046018350395976E-2</v>
      </c>
      <c r="AB170" s="66">
        <f t="shared" si="66"/>
        <v>1.2106456160514301E-2</v>
      </c>
      <c r="AC170" s="67">
        <f t="shared" si="67"/>
        <v>14823334.463841632</v>
      </c>
      <c r="AD170" s="67">
        <f t="shared" si="68"/>
        <v>14410000</v>
      </c>
      <c r="AE170" s="66">
        <f>0</f>
        <v>0</v>
      </c>
      <c r="AF170" s="67">
        <f t="shared" si="69"/>
        <v>14410000</v>
      </c>
      <c r="AG170" s="67">
        <f>1</f>
        <v>1</v>
      </c>
      <c r="AH170" s="67">
        <f t="shared" si="70"/>
        <v>14410000</v>
      </c>
      <c r="AI170" s="67">
        <f t="shared" si="71"/>
        <v>104.25269700919887</v>
      </c>
      <c r="AJ170" s="67">
        <f t="shared" si="72"/>
        <v>0</v>
      </c>
      <c r="AK170" s="66">
        <f t="shared" si="82"/>
        <v>-7.1221398646471146E-2</v>
      </c>
    </row>
    <row r="171" spans="1:37" ht="12.75" customHeight="1" x14ac:dyDescent="0.25">
      <c r="A171" s="55" t="s">
        <v>618</v>
      </c>
      <c r="B171" s="55" t="s">
        <v>407</v>
      </c>
      <c r="C171" s="55" t="s">
        <v>410</v>
      </c>
      <c r="D171" s="128">
        <v>2018</v>
      </c>
      <c r="E171" s="55" t="s">
        <v>675</v>
      </c>
      <c r="F171" s="57">
        <f>SIM_Parametres!$C$24</f>
        <v>1190274000</v>
      </c>
      <c r="G171" s="129">
        <f>SIM_Districts!D29*(1+SIM_Parametres!$B$6)^(2018-2023)</f>
        <v>375740.30995476048</v>
      </c>
      <c r="H171" s="129">
        <f>MAX(0,MIN(100,SIM_Districts!F29+(2018-2022)*SIM_Parametres!$B$7))</f>
        <v>52.92</v>
      </c>
      <c r="I171" s="129">
        <f>SIM_Districts!G29*(1+SIM_Parametres!$B$8)^(2018-2023)</f>
        <v>54.503039606177268</v>
      </c>
      <c r="J171" s="129">
        <f>SIM_Districts!H29*(1+SIM_Parametres!$B$9)^(2018-2023)</f>
        <v>24.725228200308212</v>
      </c>
      <c r="K171" s="129">
        <f>MAX(0,MIN(100,SIM_Districts!I29+(2018-2023)*SIM_Parametres!$B$10))</f>
        <v>83.1</v>
      </c>
      <c r="L171" s="129">
        <f>SIM_Districts!E29</f>
        <v>535</v>
      </c>
      <c r="M171" s="68">
        <f t="shared" si="64"/>
        <v>702.31833636403826</v>
      </c>
      <c r="N171" s="129">
        <f>SIM_Districts!J29</f>
        <v>190293</v>
      </c>
      <c r="O171" s="56">
        <v>16947000</v>
      </c>
      <c r="P171" s="130">
        <f>SIM_Parametres!$D$24</f>
        <v>0</v>
      </c>
      <c r="Q171" s="130">
        <f>SIM_Parametres!$B$12</f>
        <v>0.2</v>
      </c>
      <c r="R171" s="59">
        <f t="shared" si="83"/>
        <v>2.4030490796070333E-2</v>
      </c>
      <c r="S171" s="59">
        <f t="shared" si="84"/>
        <v>0.71453900709219864</v>
      </c>
      <c r="T171" s="59">
        <f t="shared" si="85"/>
        <v>0.61878453038674031</v>
      </c>
      <c r="U171" s="59">
        <f t="shared" si="86"/>
        <v>0.50674567312414043</v>
      </c>
      <c r="V171" s="59">
        <f t="shared" si="87"/>
        <v>0.90832112938040932</v>
      </c>
      <c r="W171" s="59">
        <f t="shared" si="88"/>
        <v>1.7036567321919251E-2</v>
      </c>
      <c r="X171" s="59">
        <f t="shared" si="89"/>
        <v>1.2245121084567868E-2</v>
      </c>
      <c r="Y171" s="59">
        <f t="shared" si="90"/>
        <v>1.2947204722778849E-2</v>
      </c>
      <c r="Z171" s="59">
        <f t="shared" si="91"/>
        <v>3.333842822570373E-2</v>
      </c>
      <c r="AA171" s="59">
        <f t="shared" si="65"/>
        <v>2.1124829386039393E-2</v>
      </c>
      <c r="AB171" s="59">
        <f t="shared" si="66"/>
        <v>1.423789816462428E-2</v>
      </c>
      <c r="AC171" s="60">
        <f t="shared" si="67"/>
        <v>23468352.645153176</v>
      </c>
      <c r="AD171" s="60">
        <f t="shared" si="68"/>
        <v>16947000</v>
      </c>
      <c r="AE171" s="59">
        <f>0</f>
        <v>0</v>
      </c>
      <c r="AF171" s="60">
        <f t="shared" si="69"/>
        <v>16947000</v>
      </c>
      <c r="AG171" s="60">
        <f>1</f>
        <v>1</v>
      </c>
      <c r="AH171" s="60">
        <f t="shared" si="70"/>
        <v>16947000</v>
      </c>
      <c r="AI171" s="60">
        <f t="shared" si="71"/>
        <v>45.102959546822206</v>
      </c>
      <c r="AJ171" s="60">
        <f t="shared" si="72"/>
        <v>0</v>
      </c>
      <c r="AK171" s="59">
        <f t="shared" si="82"/>
        <v>-5.682324131789851E-2</v>
      </c>
    </row>
    <row r="172" spans="1:37" ht="12.75" customHeight="1" x14ac:dyDescent="0.25">
      <c r="A172" s="62" t="s">
        <v>619</v>
      </c>
      <c r="B172" s="62" t="s">
        <v>407</v>
      </c>
      <c r="C172" s="62" t="s">
        <v>411</v>
      </c>
      <c r="D172" s="124">
        <v>2018</v>
      </c>
      <c r="E172" s="62" t="s">
        <v>675</v>
      </c>
      <c r="F172" s="64">
        <f>SIM_Parametres!$C$24</f>
        <v>1190274000</v>
      </c>
      <c r="G172" s="125">
        <f>SIM_Districts!D30*(1+SIM_Parametres!$B$6)^(2018-2023)</f>
        <v>210783.63211697681</v>
      </c>
      <c r="H172" s="125">
        <f>MAX(0,MIN(100,SIM_Districts!F30+(2018-2022)*SIM_Parametres!$B$7))</f>
        <v>52.92</v>
      </c>
      <c r="I172" s="125">
        <f>SIM_Districts!G30*(1+SIM_Parametres!$B$8)^(2018-2023)</f>
        <v>54.503039606177268</v>
      </c>
      <c r="J172" s="125">
        <f>SIM_Districts!H30*(1+SIM_Parametres!$B$9)^(2018-2023)</f>
        <v>24.725228200308212</v>
      </c>
      <c r="K172" s="125">
        <f>MAX(0,MIN(100,SIM_Districts!I30+(2018-2023)*SIM_Parametres!$B$10))</f>
        <v>83.1</v>
      </c>
      <c r="L172" s="125">
        <f>SIM_Districts!E30</f>
        <v>1359</v>
      </c>
      <c r="M172" s="61">
        <f t="shared" si="64"/>
        <v>155.10201038776808</v>
      </c>
      <c r="N172" s="125">
        <f>SIM_Districts!J30</f>
        <v>190293</v>
      </c>
      <c r="O172" s="63">
        <v>15499000</v>
      </c>
      <c r="P172" s="126">
        <f>SIM_Parametres!$D$24</f>
        <v>0</v>
      </c>
      <c r="Q172" s="126">
        <f>SIM_Parametres!$B$12</f>
        <v>0.2</v>
      </c>
      <c r="R172" s="66">
        <f t="shared" si="83"/>
        <v>1.3480678003803068E-2</v>
      </c>
      <c r="S172" s="66">
        <f t="shared" si="84"/>
        <v>0.71453900709219864</v>
      </c>
      <c r="T172" s="66">
        <f t="shared" si="85"/>
        <v>0.61878453038674031</v>
      </c>
      <c r="U172" s="66">
        <f t="shared" si="86"/>
        <v>0.54426125050867202</v>
      </c>
      <c r="V172" s="66">
        <f t="shared" si="87"/>
        <v>0.90832112938040932</v>
      </c>
      <c r="W172" s="66">
        <f t="shared" si="88"/>
        <v>1.7036567321919251E-2</v>
      </c>
      <c r="X172" s="66">
        <f t="shared" si="89"/>
        <v>1.2245121084567868E-2</v>
      </c>
      <c r="Y172" s="66">
        <f t="shared" si="90"/>
        <v>1.3905716825499443E-2</v>
      </c>
      <c r="Z172" s="66">
        <f t="shared" si="91"/>
        <v>3.333842822570373E-2</v>
      </c>
      <c r="AA172" s="66">
        <f t="shared" si="65"/>
        <v>1.4842867315815068E-2</v>
      </c>
      <c r="AB172" s="66">
        <f t="shared" si="66"/>
        <v>1.3021371549744009E-2</v>
      </c>
      <c r="AC172" s="67">
        <f t="shared" si="67"/>
        <v>17486547.748213824</v>
      </c>
      <c r="AD172" s="67">
        <f t="shared" si="68"/>
        <v>15499000</v>
      </c>
      <c r="AE172" s="66">
        <f>0</f>
        <v>0</v>
      </c>
      <c r="AF172" s="67">
        <f t="shared" si="69"/>
        <v>15499000</v>
      </c>
      <c r="AG172" s="67">
        <f>1</f>
        <v>1</v>
      </c>
      <c r="AH172" s="67">
        <f t="shared" si="70"/>
        <v>15499000</v>
      </c>
      <c r="AI172" s="67">
        <f t="shared" si="71"/>
        <v>73.530377308417627</v>
      </c>
      <c r="AJ172" s="67">
        <f t="shared" si="72"/>
        <v>0</v>
      </c>
      <c r="AK172" s="66">
        <f t="shared" si="82"/>
        <v>-6.3843923653056245E-2</v>
      </c>
    </row>
    <row r="173" spans="1:37" ht="12.75" customHeight="1" x14ac:dyDescent="0.25">
      <c r="A173" s="55" t="s">
        <v>620</v>
      </c>
      <c r="B173" s="55" t="s">
        <v>407</v>
      </c>
      <c r="C173" s="55" t="s">
        <v>412</v>
      </c>
      <c r="D173" s="128">
        <v>2018</v>
      </c>
      <c r="E173" s="55" t="s">
        <v>675</v>
      </c>
      <c r="F173" s="57">
        <f>SIM_Parametres!$C$24</f>
        <v>1190274000</v>
      </c>
      <c r="G173" s="129">
        <f>SIM_Districts!D31*(1+SIM_Parametres!$B$6)^(2018-2023)</f>
        <v>428320.62840689725</v>
      </c>
      <c r="H173" s="129">
        <f>MAX(0,MIN(100,SIM_Districts!F31+(2018-2022)*SIM_Parametres!$B$7))</f>
        <v>52.92</v>
      </c>
      <c r="I173" s="129">
        <f>SIM_Districts!G31*(1+SIM_Parametres!$B$8)^(2018-2023)</f>
        <v>54.503039606177268</v>
      </c>
      <c r="J173" s="129">
        <f>SIM_Districts!H31*(1+SIM_Parametres!$B$9)^(2018-2023)</f>
        <v>24.725228200308212</v>
      </c>
      <c r="K173" s="129">
        <f>MAX(0,MIN(100,SIM_Districts!I31+(2018-2023)*SIM_Parametres!$B$10))</f>
        <v>83.1</v>
      </c>
      <c r="L173" s="129">
        <f>SIM_Districts!E31</f>
        <v>2302</v>
      </c>
      <c r="M173" s="68">
        <f t="shared" si="64"/>
        <v>186.06456490308307</v>
      </c>
      <c r="N173" s="129">
        <f>SIM_Districts!J31</f>
        <v>190293</v>
      </c>
      <c r="O173" s="56">
        <v>21033000</v>
      </c>
      <c r="P173" s="130">
        <f>SIM_Parametres!$D$24</f>
        <v>0</v>
      </c>
      <c r="Q173" s="130">
        <f>SIM_Parametres!$B$12</f>
        <v>0.2</v>
      </c>
      <c r="R173" s="59">
        <f t="shared" si="83"/>
        <v>2.7393267759688238E-2</v>
      </c>
      <c r="S173" s="59">
        <f t="shared" si="84"/>
        <v>0.71453900709219864</v>
      </c>
      <c r="T173" s="59">
        <f t="shared" si="85"/>
        <v>0.61878453038674031</v>
      </c>
      <c r="U173" s="59">
        <f t="shared" si="86"/>
        <v>0.5764195329812869</v>
      </c>
      <c r="V173" s="59">
        <f t="shared" si="87"/>
        <v>0.90832112938040932</v>
      </c>
      <c r="W173" s="59">
        <f t="shared" si="88"/>
        <v>1.7036567321919251E-2</v>
      </c>
      <c r="X173" s="59">
        <f t="shared" si="89"/>
        <v>1.2245121084567868E-2</v>
      </c>
      <c r="Y173" s="59">
        <f t="shared" si="90"/>
        <v>1.4727351599683094E-2</v>
      </c>
      <c r="Z173" s="59">
        <f t="shared" si="91"/>
        <v>3.333842822570373E-2</v>
      </c>
      <c r="AA173" s="59">
        <f t="shared" si="65"/>
        <v>2.3231502908055354E-2</v>
      </c>
      <c r="AB173" s="59">
        <f t="shared" si="66"/>
        <v>1.7670721195287807E-2</v>
      </c>
      <c r="AC173" s="60">
        <f t="shared" si="67"/>
        <v>25474367.620948397</v>
      </c>
      <c r="AD173" s="60">
        <f t="shared" si="68"/>
        <v>21033000</v>
      </c>
      <c r="AE173" s="59">
        <f>0</f>
        <v>0</v>
      </c>
      <c r="AF173" s="60">
        <f t="shared" si="69"/>
        <v>21033000</v>
      </c>
      <c r="AG173" s="60">
        <f>1</f>
        <v>1</v>
      </c>
      <c r="AH173" s="60">
        <f t="shared" si="70"/>
        <v>21033000</v>
      </c>
      <c r="AI173" s="60">
        <f t="shared" si="71"/>
        <v>49.105736695966485</v>
      </c>
      <c r="AJ173" s="60">
        <f t="shared" si="72"/>
        <v>0</v>
      </c>
      <c r="AK173" s="59">
        <f t="shared" si="82"/>
        <v>-4.5603049278518881E-2</v>
      </c>
    </row>
    <row r="174" spans="1:37" ht="12.75" customHeight="1" x14ac:dyDescent="0.25">
      <c r="A174" s="62" t="s">
        <v>621</v>
      </c>
      <c r="B174" s="62" t="s">
        <v>413</v>
      </c>
      <c r="C174" s="62" t="s">
        <v>413</v>
      </c>
      <c r="D174" s="124">
        <v>2018</v>
      </c>
      <c r="E174" s="62" t="s">
        <v>675</v>
      </c>
      <c r="F174" s="64">
        <f>SIM_Parametres!$C$24</f>
        <v>1190274000</v>
      </c>
      <c r="G174" s="125">
        <f>SIM_Districts!D32*(1+SIM_Parametres!$B$6)^(2018-2023)</f>
        <v>109705.72258919361</v>
      </c>
      <c r="H174" s="125">
        <f>MAX(0,MIN(100,SIM_Districts!F32+(2018-2022)*SIM_Parametres!$B$7))</f>
        <v>69.02</v>
      </c>
      <c r="I174" s="125">
        <f>SIM_Districts!G32*(1+SIM_Parametres!$B$8)^(2018-2023)</f>
        <v>54.503039606177268</v>
      </c>
      <c r="J174" s="125">
        <f>SIM_Districts!H32*(1+SIM_Parametres!$B$9)^(2018-2023)</f>
        <v>36.071737031956502</v>
      </c>
      <c r="K174" s="125">
        <f>MAX(0,MIN(100,SIM_Districts!I32+(2018-2023)*SIM_Parametres!$B$10))</f>
        <v>77.599999999999994</v>
      </c>
      <c r="L174" s="125">
        <f>SIM_Districts!E32</f>
        <v>7061</v>
      </c>
      <c r="M174" s="61">
        <f t="shared" si="64"/>
        <v>15.536853503638806</v>
      </c>
      <c r="N174" s="125">
        <f>SIM_Districts!J32</f>
        <v>59423</v>
      </c>
      <c r="O174" s="63">
        <v>21149000</v>
      </c>
      <c r="P174" s="126">
        <f>SIM_Parametres!$D$24</f>
        <v>0</v>
      </c>
      <c r="Q174" s="126">
        <f>SIM_Parametres!$B$12</f>
        <v>0.2</v>
      </c>
      <c r="R174" s="66">
        <f t="shared" si="83"/>
        <v>7.0162351153467495E-3</v>
      </c>
      <c r="S174" s="66">
        <f t="shared" si="84"/>
        <v>1</v>
      </c>
      <c r="T174" s="66">
        <f t="shared" si="85"/>
        <v>0.80386740331491713</v>
      </c>
      <c r="U174" s="66">
        <f t="shared" si="86"/>
        <v>0.74406922993471691</v>
      </c>
      <c r="V174" s="66">
        <f t="shared" si="87"/>
        <v>0</v>
      </c>
      <c r="W174" s="66">
        <f t="shared" si="88"/>
        <v>2.3842739378566888E-2</v>
      </c>
      <c r="X174" s="66">
        <f t="shared" si="89"/>
        <v>1.590772426611272E-2</v>
      </c>
      <c r="Y174" s="66">
        <f t="shared" si="90"/>
        <v>1.9010752649337739E-2</v>
      </c>
      <c r="Z174" s="66">
        <f t="shared" si="91"/>
        <v>0</v>
      </c>
      <c r="AA174" s="66">
        <f t="shared" si="65"/>
        <v>1.1122848248376878E-2</v>
      </c>
      <c r="AB174" s="66">
        <f t="shared" si="66"/>
        <v>1.7768177747308603E-2</v>
      </c>
      <c r="AC174" s="67">
        <f t="shared" si="67"/>
        <v>13944274.167833086</v>
      </c>
      <c r="AD174" s="67">
        <f t="shared" si="68"/>
        <v>21149000</v>
      </c>
      <c r="AE174" s="66">
        <f>0</f>
        <v>0</v>
      </c>
      <c r="AF174" s="67">
        <f t="shared" si="69"/>
        <v>21149000</v>
      </c>
      <c r="AG174" s="67">
        <f>1</f>
        <v>1</v>
      </c>
      <c r="AH174" s="67">
        <f t="shared" si="70"/>
        <v>21149000</v>
      </c>
      <c r="AI174" s="67">
        <f t="shared" si="71"/>
        <v>192.77936921481296</v>
      </c>
      <c r="AJ174" s="67">
        <f t="shared" si="72"/>
        <v>0</v>
      </c>
      <c r="AK174" s="66">
        <f t="shared" si="82"/>
        <v>-4.0034496845354317E-2</v>
      </c>
    </row>
    <row r="175" spans="1:37" ht="12.75" customHeight="1" x14ac:dyDescent="0.25">
      <c r="A175" s="55" t="s">
        <v>623</v>
      </c>
      <c r="B175" s="55" t="s">
        <v>413</v>
      </c>
      <c r="C175" s="55" t="s">
        <v>415</v>
      </c>
      <c r="D175" s="128">
        <v>2018</v>
      </c>
      <c r="E175" s="55" t="s">
        <v>675</v>
      </c>
      <c r="F175" s="57">
        <f>SIM_Parametres!$C$24</f>
        <v>1190274000</v>
      </c>
      <c r="G175" s="129">
        <f>SIM_Districts!D33*(1+SIM_Parametres!$B$6)^(2018-2023)</f>
        <v>30891.745786365685</v>
      </c>
      <c r="H175" s="129">
        <f>MAX(0,MIN(100,SIM_Districts!F33+(2018-2022)*SIM_Parametres!$B$7))</f>
        <v>69.02</v>
      </c>
      <c r="I175" s="129">
        <f>SIM_Districts!G33*(1+SIM_Parametres!$B$8)^(2018-2023)</f>
        <v>54.503039606177268</v>
      </c>
      <c r="J175" s="129">
        <f>SIM_Districts!H33*(1+SIM_Parametres!$B$9)^(2018-2023)</f>
        <v>36.071737031956502</v>
      </c>
      <c r="K175" s="129">
        <f>MAX(0,MIN(100,SIM_Districts!I33+(2018-2023)*SIM_Parametres!$B$10))</f>
        <v>77.599999999999994</v>
      </c>
      <c r="L175" s="129">
        <f>SIM_Districts!E33</f>
        <v>1931</v>
      </c>
      <c r="M175" s="68">
        <f t="shared" si="64"/>
        <v>15.997796885740904</v>
      </c>
      <c r="N175" s="129">
        <f>SIM_Districts!J33</f>
        <v>59423</v>
      </c>
      <c r="O175" s="56">
        <v>15318000</v>
      </c>
      <c r="P175" s="130">
        <f>SIM_Parametres!$D$24</f>
        <v>0</v>
      </c>
      <c r="Q175" s="130">
        <f>SIM_Parametres!$B$12</f>
        <v>0.2</v>
      </c>
      <c r="R175" s="59">
        <f t="shared" si="83"/>
        <v>1.975683186302753E-3</v>
      </c>
      <c r="S175" s="59">
        <f t="shared" si="84"/>
        <v>1</v>
      </c>
      <c r="T175" s="59">
        <f t="shared" si="85"/>
        <v>0.80386740331491713</v>
      </c>
      <c r="U175" s="59">
        <f t="shared" si="86"/>
        <v>0.56635625479419383</v>
      </c>
      <c r="V175" s="59">
        <f t="shared" si="87"/>
        <v>0</v>
      </c>
      <c r="W175" s="59">
        <f t="shared" si="88"/>
        <v>2.3842739378566888E-2</v>
      </c>
      <c r="X175" s="59">
        <f t="shared" si="89"/>
        <v>1.590772426611272E-2</v>
      </c>
      <c r="Y175" s="59">
        <f t="shared" si="90"/>
        <v>1.4470237765701426E-2</v>
      </c>
      <c r="Z175" s="59">
        <f t="shared" si="91"/>
        <v>0</v>
      </c>
      <c r="AA175" s="59">
        <f t="shared" si="65"/>
        <v>7.8714913467686637E-3</v>
      </c>
      <c r="AB175" s="59">
        <f t="shared" si="66"/>
        <v>1.2869305722883974E-2</v>
      </c>
      <c r="AC175" s="60">
        <f t="shared" si="67"/>
        <v>10848269.700069234</v>
      </c>
      <c r="AD175" s="60">
        <f t="shared" si="68"/>
        <v>15318000</v>
      </c>
      <c r="AE175" s="59">
        <f>0</f>
        <v>0</v>
      </c>
      <c r="AF175" s="60">
        <f t="shared" si="69"/>
        <v>15318000</v>
      </c>
      <c r="AG175" s="60">
        <f>1</f>
        <v>1</v>
      </c>
      <c r="AH175" s="60">
        <f t="shared" si="70"/>
        <v>15318000</v>
      </c>
      <c r="AI175" s="60">
        <f t="shared" si="71"/>
        <v>495.86061292659997</v>
      </c>
      <c r="AJ175" s="60">
        <f t="shared" si="72"/>
        <v>0</v>
      </c>
      <c r="AK175" s="59">
        <f t="shared" si="82"/>
        <v>-0.14852695942190108</v>
      </c>
    </row>
    <row r="176" spans="1:37" ht="12.75" customHeight="1" x14ac:dyDescent="0.25">
      <c r="A176" s="62" t="s">
        <v>624</v>
      </c>
      <c r="B176" s="62" t="s">
        <v>413</v>
      </c>
      <c r="C176" s="62" t="s">
        <v>416</v>
      </c>
      <c r="D176" s="124">
        <v>2018</v>
      </c>
      <c r="E176" s="62" t="s">
        <v>675</v>
      </c>
      <c r="F176" s="64">
        <f>SIM_Parametres!$C$24</f>
        <v>1190274000</v>
      </c>
      <c r="G176" s="125">
        <f>SIM_Districts!D34*(1+SIM_Parametres!$B$6)^(2018-2023)</f>
        <v>70868.487289865385</v>
      </c>
      <c r="H176" s="125">
        <f>MAX(0,MIN(100,SIM_Districts!F34+(2018-2022)*SIM_Parametres!$B$7))</f>
        <v>69.02</v>
      </c>
      <c r="I176" s="125">
        <f>SIM_Districts!G34*(1+SIM_Parametres!$B$8)^(2018-2023)</f>
        <v>54.503039606177268</v>
      </c>
      <c r="J176" s="125">
        <f>SIM_Districts!H34*(1+SIM_Parametres!$B$9)^(2018-2023)</f>
        <v>36.071737031956502</v>
      </c>
      <c r="K176" s="125">
        <f>MAX(0,MIN(100,SIM_Districts!I34+(2018-2023)*SIM_Parametres!$B$10))</f>
        <v>77.599999999999994</v>
      </c>
      <c r="L176" s="125">
        <f>SIM_Districts!E34</f>
        <v>7918</v>
      </c>
      <c r="M176" s="61">
        <f t="shared" si="64"/>
        <v>8.9503015016248284</v>
      </c>
      <c r="N176" s="125">
        <f>SIM_Districts!J34</f>
        <v>59423</v>
      </c>
      <c r="O176" s="63">
        <v>15377000</v>
      </c>
      <c r="P176" s="126">
        <f>SIM_Parametres!$D$24</f>
        <v>0</v>
      </c>
      <c r="Q176" s="126">
        <f>SIM_Parametres!$B$12</f>
        <v>0.2</v>
      </c>
      <c r="R176" s="66">
        <f t="shared" si="83"/>
        <v>4.5323977396930903E-3</v>
      </c>
      <c r="S176" s="66">
        <f t="shared" si="84"/>
        <v>1</v>
      </c>
      <c r="T176" s="66">
        <f t="shared" si="85"/>
        <v>0.80386740331491713</v>
      </c>
      <c r="U176" s="66">
        <f t="shared" si="86"/>
        <v>0.77386406994971768</v>
      </c>
      <c r="V176" s="66">
        <f t="shared" si="87"/>
        <v>0</v>
      </c>
      <c r="W176" s="66">
        <f t="shared" si="88"/>
        <v>2.3842739378566888E-2</v>
      </c>
      <c r="X176" s="66">
        <f t="shared" si="89"/>
        <v>1.590772426611272E-2</v>
      </c>
      <c r="Y176" s="66">
        <f t="shared" si="90"/>
        <v>1.9772002155383658E-2</v>
      </c>
      <c r="Z176" s="66">
        <f t="shared" si="91"/>
        <v>0</v>
      </c>
      <c r="AA176" s="66">
        <f t="shared" si="65"/>
        <v>9.6706082982869774E-3</v>
      </c>
      <c r="AB176" s="66">
        <f t="shared" si="66"/>
        <v>1.2918874141584206E-2</v>
      </c>
      <c r="AC176" s="67">
        <f t="shared" si="67"/>
        <v>12561423.404350441</v>
      </c>
      <c r="AD176" s="67">
        <f t="shared" si="68"/>
        <v>15377000</v>
      </c>
      <c r="AE176" s="66">
        <f>0</f>
        <v>0</v>
      </c>
      <c r="AF176" s="67">
        <f t="shared" si="69"/>
        <v>15377000</v>
      </c>
      <c r="AG176" s="67">
        <f>1</f>
        <v>1</v>
      </c>
      <c r="AH176" s="67">
        <f t="shared" si="70"/>
        <v>15377000</v>
      </c>
      <c r="AI176" s="67">
        <f t="shared" si="71"/>
        <v>216.97937388031426</v>
      </c>
      <c r="AJ176" s="67">
        <f t="shared" si="72"/>
        <v>0</v>
      </c>
      <c r="AK176" s="66">
        <f t="shared" si="82"/>
        <v>-5.3140394088669995E-2</v>
      </c>
    </row>
    <row r="177" spans="1:37" ht="12.75" customHeight="1" x14ac:dyDescent="0.25">
      <c r="A177" s="55" t="s">
        <v>625</v>
      </c>
      <c r="B177" s="55" t="s">
        <v>417</v>
      </c>
      <c r="C177" s="55" t="s">
        <v>417</v>
      </c>
      <c r="D177" s="128">
        <v>2018</v>
      </c>
      <c r="E177" s="55" t="s">
        <v>675</v>
      </c>
      <c r="F177" s="57">
        <f>SIM_Parametres!$C$24</f>
        <v>1190274000</v>
      </c>
      <c r="G177" s="129">
        <f>SIM_Districts!D35*(1+SIM_Parametres!$B$6)^(2018-2023)</f>
        <v>293020.44057624106</v>
      </c>
      <c r="H177" s="129">
        <f>MAX(0,MIN(100,SIM_Districts!F35+(2018-2022)*SIM_Parametres!$B$7))</f>
        <v>65.819999999999993</v>
      </c>
      <c r="I177" s="129">
        <f>SIM_Districts!G35*(1+SIM_Parametres!$B$8)^(2018-2023)</f>
        <v>54.503039606177268</v>
      </c>
      <c r="J177" s="129">
        <f>SIM_Districts!H35*(1+SIM_Parametres!$B$9)^(2018-2023)</f>
        <v>30.313807177090204</v>
      </c>
      <c r="K177" s="129">
        <f>MAX(0,MIN(100,SIM_Districts!I35+(2018-2023)*SIM_Parametres!$B$10))</f>
        <v>78.5</v>
      </c>
      <c r="L177" s="129">
        <f>SIM_Districts!E35</f>
        <v>3571</v>
      </c>
      <c r="M177" s="68">
        <f t="shared" si="64"/>
        <v>82.055570029751067</v>
      </c>
      <c r="N177" s="129">
        <f>SIM_Districts!J35</f>
        <v>155501</v>
      </c>
      <c r="O177" s="56">
        <v>17557000</v>
      </c>
      <c r="P177" s="130">
        <f>SIM_Parametres!$D$24</f>
        <v>0</v>
      </c>
      <c r="Q177" s="130">
        <f>SIM_Parametres!$B$12</f>
        <v>0.2</v>
      </c>
      <c r="R177" s="59">
        <f t="shared" si="83"/>
        <v>1.8740137307002355E-2</v>
      </c>
      <c r="S177" s="59">
        <f t="shared" si="84"/>
        <v>0.94326241134751765</v>
      </c>
      <c r="T177" s="59">
        <f t="shared" si="85"/>
        <v>0.70994475138121538</v>
      </c>
      <c r="U177" s="59">
        <f t="shared" si="86"/>
        <v>0.62208351647816407</v>
      </c>
      <c r="V177" s="59">
        <f t="shared" si="87"/>
        <v>0.66684249613059499</v>
      </c>
      <c r="W177" s="59">
        <f t="shared" si="88"/>
        <v>2.2489959839357417E-2</v>
      </c>
      <c r="X177" s="59">
        <f t="shared" si="89"/>
        <v>1.4049089815776525E-2</v>
      </c>
      <c r="Y177" s="59">
        <f t="shared" si="90"/>
        <v>1.5894053111206074E-2</v>
      </c>
      <c r="Z177" s="59">
        <f t="shared" si="91"/>
        <v>2.4475353458158197E-2</v>
      </c>
      <c r="AA177" s="59">
        <f t="shared" si="65"/>
        <v>1.8743410160939718E-2</v>
      </c>
      <c r="AB177" s="59">
        <f t="shared" si="66"/>
        <v>1.4750385205423289E-2</v>
      </c>
      <c r="AC177" s="60">
        <f t="shared" si="67"/>
        <v>21200719.535764143</v>
      </c>
      <c r="AD177" s="60">
        <f t="shared" si="68"/>
        <v>17557000</v>
      </c>
      <c r="AE177" s="59">
        <f>0</f>
        <v>0</v>
      </c>
      <c r="AF177" s="60">
        <f t="shared" si="69"/>
        <v>17557000</v>
      </c>
      <c r="AG177" s="60">
        <f>1</f>
        <v>1</v>
      </c>
      <c r="AH177" s="60">
        <f t="shared" si="70"/>
        <v>17557000</v>
      </c>
      <c r="AI177" s="60">
        <f t="shared" si="71"/>
        <v>59.917321690845796</v>
      </c>
      <c r="AJ177" s="60">
        <f t="shared" si="72"/>
        <v>0</v>
      </c>
      <c r="AK177" s="59">
        <f t="shared" si="82"/>
        <v>-4.7109905020352727E-2</v>
      </c>
    </row>
    <row r="178" spans="1:37" ht="12.75" customHeight="1" x14ac:dyDescent="0.25">
      <c r="A178" s="62" t="s">
        <v>627</v>
      </c>
      <c r="B178" s="62" t="s">
        <v>417</v>
      </c>
      <c r="C178" s="62" t="s">
        <v>419</v>
      </c>
      <c r="D178" s="124">
        <v>2018</v>
      </c>
      <c r="E178" s="62" t="s">
        <v>675</v>
      </c>
      <c r="F178" s="64">
        <f>SIM_Parametres!$C$24</f>
        <v>1190274000</v>
      </c>
      <c r="G178" s="125">
        <f>SIM_Districts!D36*(1+SIM_Parametres!$B$6)^(2018-2023)</f>
        <v>164485.69344150994</v>
      </c>
      <c r="H178" s="125">
        <f>MAX(0,MIN(100,SIM_Districts!F36+(2018-2022)*SIM_Parametres!$B$7))</f>
        <v>65.819999999999993</v>
      </c>
      <c r="I178" s="125">
        <f>SIM_Districts!G36*(1+SIM_Parametres!$B$8)^(2018-2023)</f>
        <v>54.503039606177268</v>
      </c>
      <c r="J178" s="125">
        <f>SIM_Districts!H36*(1+SIM_Parametres!$B$9)^(2018-2023)</f>
        <v>30.313807177090204</v>
      </c>
      <c r="K178" s="125">
        <f>MAX(0,MIN(100,SIM_Districts!I36+(2018-2023)*SIM_Parametres!$B$10))</f>
        <v>78.5</v>
      </c>
      <c r="L178" s="125">
        <f>SIM_Districts!E36</f>
        <v>4702</v>
      </c>
      <c r="M178" s="61">
        <f t="shared" si="64"/>
        <v>34.982070064123761</v>
      </c>
      <c r="N178" s="125">
        <f>SIM_Districts!J36</f>
        <v>155501</v>
      </c>
      <c r="O178" s="63">
        <v>16433000</v>
      </c>
      <c r="P178" s="126">
        <f>SIM_Parametres!$D$24</f>
        <v>0</v>
      </c>
      <c r="Q178" s="126">
        <f>SIM_Parametres!$B$12</f>
        <v>0.2</v>
      </c>
      <c r="R178" s="66">
        <f t="shared" ref="R178:R209" si="92">IFERROR(G178/SUM($G$146:$G$216),1/71)</f>
        <v>1.0519690961045295E-2</v>
      </c>
      <c r="S178" s="66">
        <f t="shared" ref="S178:S209" si="93">IF(MAX($H$146:$H$216)=MIN($H$146:$H$216),1,(H178-MIN($H$146:$H$216))/(MAX($H$146:$H$216)-MIN($H$146:$H$216)))</f>
        <v>0.94326241134751765</v>
      </c>
      <c r="T178" s="66">
        <f t="shared" ref="T178:T209" si="94">(IF(MAX($I$146:$I$216)=MIN($I$146:$I$216),1,(I178-MIN($I$146:$I$216))/(MAX($I$146:$I$216)-MIN($I$146:$I$216)))+IF(MAX($J$146:$J$216)=MIN($J$146:$J$216),1,(J178-MIN($J$146:$J$216))/(MAX($J$146:$J$216)-MIN($J$146:$J$216))))/2</f>
        <v>0.70994475138121538</v>
      </c>
      <c r="U178" s="66">
        <f t="shared" ref="U178:U209" si="95">(IF(MAX($L$146:$L$216)=MIN($L$146:$L$216),1,(L178-MIN($L$146:$L$216))/(MAX($L$146:$L$216)-MIN($L$146:$L$216)))+IF(MAX($M$146:$M$216)=MIN($M$146:$M$216),1,(MAX($M$146:$M$216)-M178)/(MAX($M$146:$M$216)-MIN($M$146:$M$216))))/2</f>
        <v>0.66203363691805861</v>
      </c>
      <c r="V178" s="66">
        <f t="shared" ref="V178:V209" si="96">IF(MAX($N$146:$N$216)=MIN($N$146:$N$216),1,(N178-MIN($N$146:$N$216))/(MAX($N$146:$N$216)-MIN($N$146:$N$216)))</f>
        <v>0.66684249613059499</v>
      </c>
      <c r="W178" s="66">
        <f t="shared" ref="W178:W209" si="97">IFERROR(S178/SUM($S$146:$S$216),1/71)</f>
        <v>2.2489959839357417E-2</v>
      </c>
      <c r="X178" s="66">
        <f t="shared" ref="X178:X209" si="98">IFERROR(T178/SUM($T$146:$T$216),1/71)</f>
        <v>1.4049089815776525E-2</v>
      </c>
      <c r="Y178" s="66">
        <f t="shared" ref="Y178:Y209" si="99">IFERROR(U178/SUM($U$146:$U$216),1/71)</f>
        <v>1.6914767081679924E-2</v>
      </c>
      <c r="Z178" s="66">
        <f t="shared" ref="Z178:Z209" si="100">IFERROR(V178/SUM($V$146:$V$216),1/71)</f>
        <v>2.4475353458158197E-2</v>
      </c>
      <c r="AA178" s="66">
        <f t="shared" si="65"/>
        <v>1.3862178051889176E-2</v>
      </c>
      <c r="AB178" s="66">
        <f t="shared" si="66"/>
        <v>1.3806064822049376E-2</v>
      </c>
      <c r="AC178" s="67">
        <f t="shared" si="67"/>
        <v>16552716.601869723</v>
      </c>
      <c r="AD178" s="67">
        <f t="shared" si="68"/>
        <v>16433000</v>
      </c>
      <c r="AE178" s="66">
        <f>0</f>
        <v>0</v>
      </c>
      <c r="AF178" s="67">
        <f t="shared" si="69"/>
        <v>16433000</v>
      </c>
      <c r="AG178" s="67">
        <f>1</f>
        <v>1</v>
      </c>
      <c r="AH178" s="67">
        <f t="shared" si="70"/>
        <v>16433000</v>
      </c>
      <c r="AI178" s="67">
        <f t="shared" si="71"/>
        <v>99.905345298881386</v>
      </c>
      <c r="AJ178" s="67">
        <f t="shared" si="72"/>
        <v>0</v>
      </c>
      <c r="AK178" s="66">
        <f t="shared" si="82"/>
        <v>-6.0327081427264395E-2</v>
      </c>
    </row>
    <row r="179" spans="1:37" ht="12.75" customHeight="1" x14ac:dyDescent="0.25">
      <c r="A179" s="55" t="s">
        <v>628</v>
      </c>
      <c r="B179" s="55" t="s">
        <v>417</v>
      </c>
      <c r="C179" s="55" t="s">
        <v>420</v>
      </c>
      <c r="D179" s="128">
        <v>2018</v>
      </c>
      <c r="E179" s="55" t="s">
        <v>675</v>
      </c>
      <c r="F179" s="57">
        <f>SIM_Parametres!$C$24</f>
        <v>1190274000</v>
      </c>
      <c r="G179" s="129">
        <f>SIM_Districts!D37*(1+SIM_Parametres!$B$6)^(2018-2023)</f>
        <v>331606.65671931353</v>
      </c>
      <c r="H179" s="129">
        <f>MAX(0,MIN(100,SIM_Districts!F37+(2018-2022)*SIM_Parametres!$B$7))</f>
        <v>65.819999999999993</v>
      </c>
      <c r="I179" s="129">
        <f>SIM_Districts!G37*(1+SIM_Parametres!$B$8)^(2018-2023)</f>
        <v>54.503039606177268</v>
      </c>
      <c r="J179" s="129">
        <f>SIM_Districts!H37*(1+SIM_Parametres!$B$9)^(2018-2023)</f>
        <v>30.313807177090204</v>
      </c>
      <c r="K179" s="129">
        <f>MAX(0,MIN(100,SIM_Districts!I37+(2018-2023)*SIM_Parametres!$B$10))</f>
        <v>78.5</v>
      </c>
      <c r="L179" s="129">
        <f>SIM_Districts!E37</f>
        <v>5498</v>
      </c>
      <c r="M179" s="68">
        <f t="shared" si="64"/>
        <v>60.314051785979181</v>
      </c>
      <c r="N179" s="129">
        <f>SIM_Districts!J37</f>
        <v>155501</v>
      </c>
      <c r="O179" s="56">
        <v>22219000</v>
      </c>
      <c r="P179" s="130">
        <f>SIM_Parametres!$D$24</f>
        <v>0</v>
      </c>
      <c r="Q179" s="130">
        <f>SIM_Parametres!$B$12</f>
        <v>0.2</v>
      </c>
      <c r="R179" s="59">
        <f t="shared" si="92"/>
        <v>2.1207920739642106E-2</v>
      </c>
      <c r="S179" s="59">
        <f t="shared" si="93"/>
        <v>0.94326241134751765</v>
      </c>
      <c r="T179" s="59">
        <f t="shared" si="94"/>
        <v>0.70994475138121538</v>
      </c>
      <c r="U179" s="59">
        <f t="shared" si="95"/>
        <v>0.68919209164884077</v>
      </c>
      <c r="V179" s="59">
        <f t="shared" si="96"/>
        <v>0.66684249613059499</v>
      </c>
      <c r="W179" s="59">
        <f t="shared" si="97"/>
        <v>2.2489959839357417E-2</v>
      </c>
      <c r="X179" s="59">
        <f t="shared" si="98"/>
        <v>1.4049089815776525E-2</v>
      </c>
      <c r="Y179" s="59">
        <f t="shared" si="99"/>
        <v>1.7608657709666832E-2</v>
      </c>
      <c r="Z179" s="59">
        <f t="shared" si="100"/>
        <v>2.4475353458158197E-2</v>
      </c>
      <c r="AA179" s="59">
        <f t="shared" si="65"/>
        <v>2.0309810450446601E-2</v>
      </c>
      <c r="AB179" s="59">
        <f t="shared" si="66"/>
        <v>1.8667130425431454E-2</v>
      </c>
      <c r="AC179" s="60">
        <f t="shared" si="67"/>
        <v>22692275.966318157</v>
      </c>
      <c r="AD179" s="60">
        <f t="shared" si="68"/>
        <v>22219000</v>
      </c>
      <c r="AE179" s="59">
        <f>0</f>
        <v>0</v>
      </c>
      <c r="AF179" s="60">
        <f t="shared" si="69"/>
        <v>22219000</v>
      </c>
      <c r="AG179" s="60">
        <f>1</f>
        <v>1</v>
      </c>
      <c r="AH179" s="60">
        <f t="shared" si="70"/>
        <v>22219000</v>
      </c>
      <c r="AI179" s="60">
        <f t="shared" si="71"/>
        <v>67.004083150258168</v>
      </c>
      <c r="AJ179" s="60">
        <f t="shared" si="72"/>
        <v>0</v>
      </c>
      <c r="AK179" s="59">
        <f t="shared" si="82"/>
        <v>-5.8516949152542352E-2</v>
      </c>
    </row>
    <row r="180" spans="1:37" ht="12.75" customHeight="1" x14ac:dyDescent="0.25">
      <c r="A180" s="62" t="s">
        <v>629</v>
      </c>
      <c r="B180" s="62" t="s">
        <v>421</v>
      </c>
      <c r="C180" s="62" t="s">
        <v>423</v>
      </c>
      <c r="D180" s="124">
        <v>2018</v>
      </c>
      <c r="E180" s="62" t="s">
        <v>675</v>
      </c>
      <c r="F180" s="64">
        <f>SIM_Parametres!$C$24</f>
        <v>1190274000</v>
      </c>
      <c r="G180" s="125">
        <f>SIM_Districts!D38*(1+SIM_Parametres!$B$6)^(2018-2023)</f>
        <v>70486.351598383204</v>
      </c>
      <c r="H180" s="125">
        <f>MAX(0,MIN(100,SIM_Districts!F38+(2018-2022)*SIM_Parametres!$B$7))</f>
        <v>50.32</v>
      </c>
      <c r="I180" s="125">
        <f>SIM_Districts!G38*(1+SIM_Parametres!$B$8)^(2018-2023)</f>
        <v>54.503039606177268</v>
      </c>
      <c r="J180" s="125">
        <f>SIM_Districts!H38*(1+SIM_Parametres!$B$9)^(2018-2023)</f>
        <v>30.48315805517451</v>
      </c>
      <c r="K180" s="125">
        <f>MAX(0,MIN(100,SIM_Districts!I38+(2018-2023)*SIM_Parametres!$B$10))</f>
        <v>83.8</v>
      </c>
      <c r="L180" s="125">
        <f>SIM_Districts!E38</f>
        <v>822</v>
      </c>
      <c r="M180" s="61">
        <f t="shared" si="64"/>
        <v>85.749819462753294</v>
      </c>
      <c r="N180" s="125">
        <f>SIM_Districts!J38</f>
        <v>97480</v>
      </c>
      <c r="O180" s="63">
        <v>13239000</v>
      </c>
      <c r="P180" s="126">
        <f>SIM_Parametres!$D$24</f>
        <v>0</v>
      </c>
      <c r="Q180" s="126">
        <f>SIM_Parametres!$B$12</f>
        <v>0.2</v>
      </c>
      <c r="R180" s="66">
        <f t="shared" si="92"/>
        <v>4.5079582319433945E-3</v>
      </c>
      <c r="S180" s="66">
        <f t="shared" si="93"/>
        <v>0.6684397163120569</v>
      </c>
      <c r="T180" s="66">
        <f t="shared" si="94"/>
        <v>0.71270718232044206</v>
      </c>
      <c r="U180" s="66">
        <f t="shared" si="95"/>
        <v>0.52679639914705145</v>
      </c>
      <c r="V180" s="66">
        <f t="shared" si="96"/>
        <v>0.26413981218637</v>
      </c>
      <c r="W180" s="66">
        <f t="shared" si="97"/>
        <v>1.5937433946311558E-2</v>
      </c>
      <c r="X180" s="66">
        <f t="shared" si="98"/>
        <v>1.4103755534904065E-2</v>
      </c>
      <c r="Y180" s="66">
        <f t="shared" si="99"/>
        <v>1.3459494947298206E-2</v>
      </c>
      <c r="Z180" s="66">
        <f t="shared" si="100"/>
        <v>9.6948159470131197E-3</v>
      </c>
      <c r="AA180" s="66">
        <f t="shared" si="65"/>
        <v>8.3686689060639453E-3</v>
      </c>
      <c r="AB180" s="66">
        <f t="shared" si="66"/>
        <v>1.1122649070718171E-2</v>
      </c>
      <c r="AC180" s="67">
        <f t="shared" si="67"/>
        <v>11321691.717839338</v>
      </c>
      <c r="AD180" s="67">
        <f t="shared" si="68"/>
        <v>13239000</v>
      </c>
      <c r="AE180" s="66">
        <f>0</f>
        <v>0</v>
      </c>
      <c r="AF180" s="67">
        <f t="shared" si="69"/>
        <v>13239000</v>
      </c>
      <c r="AG180" s="67">
        <f>1</f>
        <v>1</v>
      </c>
      <c r="AH180" s="67">
        <f t="shared" si="70"/>
        <v>13239000</v>
      </c>
      <c r="AI180" s="67">
        <f t="shared" si="71"/>
        <v>187.82359562930864</v>
      </c>
      <c r="AJ180" s="67">
        <f t="shared" si="72"/>
        <v>0</v>
      </c>
      <c r="AK180" s="66">
        <f t="shared" si="82"/>
        <v>-6.7676056338028201E-2</v>
      </c>
    </row>
    <row r="181" spans="1:37" ht="12.75" customHeight="1" x14ac:dyDescent="0.25">
      <c r="A181" s="55" t="s">
        <v>631</v>
      </c>
      <c r="B181" s="55" t="s">
        <v>421</v>
      </c>
      <c r="C181" s="55" t="s">
        <v>424</v>
      </c>
      <c r="D181" s="128">
        <v>2018</v>
      </c>
      <c r="E181" s="55" t="s">
        <v>675</v>
      </c>
      <c r="F181" s="57">
        <f>SIM_Parametres!$C$24</f>
        <v>1190274000</v>
      </c>
      <c r="G181" s="129">
        <f>SIM_Districts!D39*(1+SIM_Parametres!$B$6)^(2018-2023)</f>
        <v>146443.36810733078</v>
      </c>
      <c r="H181" s="129">
        <f>MAX(0,MIN(100,SIM_Districts!F39+(2018-2022)*SIM_Parametres!$B$7))</f>
        <v>50.32</v>
      </c>
      <c r="I181" s="129">
        <f>SIM_Districts!G39*(1+SIM_Parametres!$B$8)^(2018-2023)</f>
        <v>54.503039606177268</v>
      </c>
      <c r="J181" s="129">
        <f>SIM_Districts!H39*(1+SIM_Parametres!$B$9)^(2018-2023)</f>
        <v>30.48315805517451</v>
      </c>
      <c r="K181" s="129">
        <f>MAX(0,MIN(100,SIM_Districts!I39+(2018-2023)*SIM_Parametres!$B$10))</f>
        <v>83.8</v>
      </c>
      <c r="L181" s="129">
        <f>SIM_Districts!E39</f>
        <v>6832</v>
      </c>
      <c r="M181" s="68">
        <f t="shared" si="64"/>
        <v>21.434919219457083</v>
      </c>
      <c r="N181" s="129">
        <f>SIM_Districts!J39</f>
        <v>97480</v>
      </c>
      <c r="O181" s="56">
        <v>20262000</v>
      </c>
      <c r="P181" s="130">
        <f>SIM_Parametres!$D$24</f>
        <v>0</v>
      </c>
      <c r="Q181" s="130">
        <f>SIM_Parametres!$B$12</f>
        <v>0.2</v>
      </c>
      <c r="R181" s="59">
        <f t="shared" si="92"/>
        <v>9.3657931188497086E-3</v>
      </c>
      <c r="S181" s="59">
        <f t="shared" si="93"/>
        <v>0.6684397163120569</v>
      </c>
      <c r="T181" s="59">
        <f t="shared" si="94"/>
        <v>0.71270718232044206</v>
      </c>
      <c r="U181" s="59">
        <f t="shared" si="95"/>
        <v>0.73603986945859257</v>
      </c>
      <c r="V181" s="59">
        <f t="shared" si="96"/>
        <v>0.26413981218637</v>
      </c>
      <c r="W181" s="59">
        <f t="shared" si="97"/>
        <v>1.5937433946311558E-2</v>
      </c>
      <c r="X181" s="59">
        <f t="shared" si="98"/>
        <v>1.4103755534904065E-2</v>
      </c>
      <c r="Y181" s="59">
        <f t="shared" si="99"/>
        <v>1.880560482195431E-2</v>
      </c>
      <c r="Z181" s="59">
        <f t="shared" si="100"/>
        <v>9.6948159470131197E-3</v>
      </c>
      <c r="AA181" s="59">
        <f t="shared" si="65"/>
        <v>1.1550675331940541E-2</v>
      </c>
      <c r="AB181" s="59">
        <f t="shared" si="66"/>
        <v>1.7022971181425452E-2</v>
      </c>
      <c r="AC181" s="60">
        <f t="shared" si="67"/>
        <v>14351659.331082409</v>
      </c>
      <c r="AD181" s="60">
        <f t="shared" si="68"/>
        <v>20262000</v>
      </c>
      <c r="AE181" s="59">
        <f>0</f>
        <v>0</v>
      </c>
      <c r="AF181" s="60">
        <f t="shared" si="69"/>
        <v>20262000</v>
      </c>
      <c r="AG181" s="60">
        <f>1</f>
        <v>1</v>
      </c>
      <c r="AH181" s="60">
        <f t="shared" si="70"/>
        <v>20262000</v>
      </c>
      <c r="AI181" s="60">
        <f t="shared" si="71"/>
        <v>138.36065273471206</v>
      </c>
      <c r="AJ181" s="60">
        <f t="shared" si="72"/>
        <v>0</v>
      </c>
      <c r="AK181" s="59">
        <f t="shared" si="82"/>
        <v>-4.0625000000000022E-2</v>
      </c>
    </row>
    <row r="182" spans="1:37" ht="12.75" customHeight="1" x14ac:dyDescent="0.25">
      <c r="A182" s="62" t="s">
        <v>632</v>
      </c>
      <c r="B182" s="62" t="s">
        <v>421</v>
      </c>
      <c r="C182" s="62" t="s">
        <v>425</v>
      </c>
      <c r="D182" s="124">
        <v>2018</v>
      </c>
      <c r="E182" s="62" t="s">
        <v>675</v>
      </c>
      <c r="F182" s="64">
        <f>SIM_Parametres!$C$24</f>
        <v>1190274000</v>
      </c>
      <c r="G182" s="125">
        <f>SIM_Districts!D40*(1+SIM_Parametres!$B$6)^(2018-2023)</f>
        <v>92073.13642759691</v>
      </c>
      <c r="H182" s="125">
        <f>MAX(0,MIN(100,SIM_Districts!F40+(2018-2022)*SIM_Parametres!$B$7))</f>
        <v>50.32</v>
      </c>
      <c r="I182" s="125">
        <f>SIM_Districts!G40*(1+SIM_Parametres!$B$8)^(2018-2023)</f>
        <v>54.503039606177268</v>
      </c>
      <c r="J182" s="125">
        <f>SIM_Districts!H40*(1+SIM_Parametres!$B$9)^(2018-2023)</f>
        <v>30.48315805517451</v>
      </c>
      <c r="K182" s="125">
        <f>MAX(0,MIN(100,SIM_Districts!I40+(2018-2023)*SIM_Parametres!$B$10))</f>
        <v>83.8</v>
      </c>
      <c r="L182" s="125">
        <f>SIM_Districts!E40</f>
        <v>1601</v>
      </c>
      <c r="M182" s="61">
        <f t="shared" si="64"/>
        <v>57.509766663083639</v>
      </c>
      <c r="N182" s="125">
        <f>SIM_Districts!J40</f>
        <v>97480</v>
      </c>
      <c r="O182" s="63">
        <v>21257000</v>
      </c>
      <c r="P182" s="126">
        <f>SIM_Parametres!$D$24</f>
        <v>0</v>
      </c>
      <c r="Q182" s="126">
        <f>SIM_Parametres!$B$12</f>
        <v>0.2</v>
      </c>
      <c r="R182" s="66">
        <f t="shared" si="92"/>
        <v>5.8885421629504978E-3</v>
      </c>
      <c r="S182" s="66">
        <f t="shared" si="93"/>
        <v>0.6684397163120569</v>
      </c>
      <c r="T182" s="66">
        <f t="shared" si="94"/>
        <v>0.71270718232044206</v>
      </c>
      <c r="U182" s="66">
        <f t="shared" si="95"/>
        <v>0.5542443044598161</v>
      </c>
      <c r="V182" s="66">
        <f t="shared" si="96"/>
        <v>0.26413981218637</v>
      </c>
      <c r="W182" s="66">
        <f t="shared" si="97"/>
        <v>1.5937433946311558E-2</v>
      </c>
      <c r="X182" s="66">
        <f t="shared" si="98"/>
        <v>1.4103755534904065E-2</v>
      </c>
      <c r="Y182" s="66">
        <f t="shared" si="99"/>
        <v>1.4160780953560275E-2</v>
      </c>
      <c r="Z182" s="66">
        <f t="shared" si="100"/>
        <v>9.6948159470131197E-3</v>
      </c>
      <c r="AA182" s="66">
        <f t="shared" si="65"/>
        <v>9.2320835649813103E-3</v>
      </c>
      <c r="AB182" s="66">
        <f t="shared" si="66"/>
        <v>1.7858913157810723E-2</v>
      </c>
      <c r="AC182" s="67">
        <f t="shared" si="67"/>
        <v>12143851.733621906</v>
      </c>
      <c r="AD182" s="67">
        <f t="shared" si="68"/>
        <v>21257000</v>
      </c>
      <c r="AE182" s="66">
        <f>0</f>
        <v>0</v>
      </c>
      <c r="AF182" s="67">
        <f t="shared" si="69"/>
        <v>21257000</v>
      </c>
      <c r="AG182" s="67">
        <f>1</f>
        <v>1</v>
      </c>
      <c r="AH182" s="67">
        <f t="shared" si="70"/>
        <v>21257000</v>
      </c>
      <c r="AI182" s="67">
        <f t="shared" si="71"/>
        <v>230.87081449338658</v>
      </c>
      <c r="AJ182" s="67">
        <f t="shared" si="72"/>
        <v>0</v>
      </c>
      <c r="AK182" s="66">
        <f t="shared" si="82"/>
        <v>-6.8900569426193603E-2</v>
      </c>
    </row>
    <row r="183" spans="1:37" ht="12.75" customHeight="1" x14ac:dyDescent="0.25">
      <c r="A183" s="55" t="s">
        <v>633</v>
      </c>
      <c r="B183" s="55" t="s">
        <v>421</v>
      </c>
      <c r="C183" s="55" t="s">
        <v>426</v>
      </c>
      <c r="D183" s="128">
        <v>2018</v>
      </c>
      <c r="E183" s="55" t="s">
        <v>675</v>
      </c>
      <c r="F183" s="57">
        <f>SIM_Parametres!$C$24</f>
        <v>1190274000</v>
      </c>
      <c r="G183" s="129">
        <f>SIM_Districts!D41*(1+SIM_Parametres!$B$6)^(2018-2023)</f>
        <v>195766.47578963288</v>
      </c>
      <c r="H183" s="129">
        <f>MAX(0,MIN(100,SIM_Districts!F41+(2018-2022)*SIM_Parametres!$B$7))</f>
        <v>50.32</v>
      </c>
      <c r="I183" s="129">
        <f>SIM_Districts!G41*(1+SIM_Parametres!$B$8)^(2018-2023)</f>
        <v>54.503039606177268</v>
      </c>
      <c r="J183" s="129">
        <f>SIM_Districts!H41*(1+SIM_Parametres!$B$9)^(2018-2023)</f>
        <v>30.48315805517451</v>
      </c>
      <c r="K183" s="129">
        <f>MAX(0,MIN(100,SIM_Districts!I41+(2018-2023)*SIM_Parametres!$B$10))</f>
        <v>83.8</v>
      </c>
      <c r="L183" s="129">
        <f>SIM_Districts!E41</f>
        <v>2260</v>
      </c>
      <c r="M183" s="68">
        <f t="shared" si="64"/>
        <v>86.622334420191535</v>
      </c>
      <c r="N183" s="129">
        <f>SIM_Districts!J41</f>
        <v>97480</v>
      </c>
      <c r="O183" s="56">
        <v>16528000</v>
      </c>
      <c r="P183" s="130">
        <f>SIM_Parametres!$D$24</f>
        <v>0</v>
      </c>
      <c r="Q183" s="130">
        <f>SIM_Parametres!$B$12</f>
        <v>0.2</v>
      </c>
      <c r="R183" s="59">
        <f t="shared" si="92"/>
        <v>1.2520255000610154E-2</v>
      </c>
      <c r="S183" s="59">
        <f t="shared" si="93"/>
        <v>0.6684397163120569</v>
      </c>
      <c r="T183" s="59">
        <f t="shared" si="94"/>
        <v>0.71270718232044206</v>
      </c>
      <c r="U183" s="59">
        <f t="shared" si="95"/>
        <v>0.57659503553202685</v>
      </c>
      <c r="V183" s="59">
        <f t="shared" si="96"/>
        <v>0.26413981218637</v>
      </c>
      <c r="W183" s="59">
        <f t="shared" si="97"/>
        <v>1.5937433946311558E-2</v>
      </c>
      <c r="X183" s="59">
        <f t="shared" si="98"/>
        <v>1.4103755534904065E-2</v>
      </c>
      <c r="Y183" s="59">
        <f t="shared" si="99"/>
        <v>1.4731835638865494E-2</v>
      </c>
      <c r="Z183" s="59">
        <f t="shared" si="100"/>
        <v>9.6948159470131197E-3</v>
      </c>
      <c r="AA183" s="59">
        <f t="shared" si="65"/>
        <v>1.3239664001842365E-2</v>
      </c>
      <c r="AB183" s="59">
        <f t="shared" si="66"/>
        <v>1.3885878377583649E-2</v>
      </c>
      <c r="AC183" s="60">
        <f t="shared" si="67"/>
        <v>15959946.77114539</v>
      </c>
      <c r="AD183" s="60">
        <f t="shared" si="68"/>
        <v>16528000</v>
      </c>
      <c r="AE183" s="59">
        <f>0</f>
        <v>0</v>
      </c>
      <c r="AF183" s="60">
        <f t="shared" si="69"/>
        <v>16528000</v>
      </c>
      <c r="AG183" s="60">
        <f>1</f>
        <v>1</v>
      </c>
      <c r="AH183" s="60">
        <f t="shared" si="70"/>
        <v>16528000</v>
      </c>
      <c r="AI183" s="60">
        <f t="shared" si="71"/>
        <v>84.427121310395819</v>
      </c>
      <c r="AJ183" s="60">
        <f t="shared" si="72"/>
        <v>0</v>
      </c>
      <c r="AK183" s="59">
        <f t="shared" si="82"/>
        <v>-6.2347535031485823E-2</v>
      </c>
    </row>
    <row r="184" spans="1:37" ht="12.75" customHeight="1" x14ac:dyDescent="0.25">
      <c r="A184" s="62" t="s">
        <v>634</v>
      </c>
      <c r="B184" s="62" t="s">
        <v>421</v>
      </c>
      <c r="C184" s="62" t="s">
        <v>427</v>
      </c>
      <c r="D184" s="124">
        <v>2018</v>
      </c>
      <c r="E184" s="62" t="s">
        <v>675</v>
      </c>
      <c r="F184" s="64">
        <f>SIM_Parametres!$C$24</f>
        <v>1190274000</v>
      </c>
      <c r="G184" s="125">
        <f>SIM_Districts!D42*(1+SIM_Parametres!$B$6)^(2018-2023)</f>
        <v>84049.149515255413</v>
      </c>
      <c r="H184" s="125">
        <f>MAX(0,MIN(100,SIM_Districts!F42+(2018-2022)*SIM_Parametres!$B$7))</f>
        <v>50.32</v>
      </c>
      <c r="I184" s="125">
        <f>SIM_Districts!G42*(1+SIM_Parametres!$B$8)^(2018-2023)</f>
        <v>54.503039606177268</v>
      </c>
      <c r="J184" s="125">
        <f>SIM_Districts!H42*(1+SIM_Parametres!$B$9)^(2018-2023)</f>
        <v>30.48315805517451</v>
      </c>
      <c r="K184" s="125">
        <f>MAX(0,MIN(100,SIM_Districts!I42+(2018-2023)*SIM_Parametres!$B$10))</f>
        <v>83.8</v>
      </c>
      <c r="L184" s="125">
        <f>SIM_Districts!E42</f>
        <v>2889</v>
      </c>
      <c r="M184" s="61">
        <f t="shared" si="64"/>
        <v>29.09281741614933</v>
      </c>
      <c r="N184" s="125">
        <f>SIM_Districts!J42</f>
        <v>97480</v>
      </c>
      <c r="O184" s="63">
        <v>14662000</v>
      </c>
      <c r="P184" s="126">
        <f>SIM_Parametres!$D$24</f>
        <v>0</v>
      </c>
      <c r="Q184" s="126">
        <f>SIM_Parametres!$B$12</f>
        <v>0.2</v>
      </c>
      <c r="R184" s="66">
        <f t="shared" si="92"/>
        <v>5.3753676683959296E-3</v>
      </c>
      <c r="S184" s="66">
        <f t="shared" si="93"/>
        <v>0.6684397163120569</v>
      </c>
      <c r="T184" s="66">
        <f t="shared" si="94"/>
        <v>0.71270718232044206</v>
      </c>
      <c r="U184" s="66">
        <f t="shared" si="95"/>
        <v>0.59932709011759788</v>
      </c>
      <c r="V184" s="66">
        <f t="shared" si="96"/>
        <v>0.26413981218637</v>
      </c>
      <c r="W184" s="66">
        <f t="shared" si="97"/>
        <v>1.5937433946311558E-2</v>
      </c>
      <c r="X184" s="66">
        <f t="shared" si="98"/>
        <v>1.4103755534904065E-2</v>
      </c>
      <c r="Y184" s="66">
        <f t="shared" si="99"/>
        <v>1.5312633029150603E-2</v>
      </c>
      <c r="Z184" s="66">
        <f t="shared" si="100"/>
        <v>9.6948159470131197E-3</v>
      </c>
      <c r="AA184" s="66">
        <f t="shared" si="65"/>
        <v>8.9817714720280863E-3</v>
      </c>
      <c r="AB184" s="66">
        <f t="shared" si="66"/>
        <v>1.2318172118352582E-2</v>
      </c>
      <c r="AC184" s="67">
        <f t="shared" si="67"/>
        <v>11905499.752719661</v>
      </c>
      <c r="AD184" s="67">
        <f t="shared" si="68"/>
        <v>14662000</v>
      </c>
      <c r="AE184" s="66">
        <f>0</f>
        <v>0</v>
      </c>
      <c r="AF184" s="67">
        <f t="shared" si="69"/>
        <v>14662000</v>
      </c>
      <c r="AG184" s="67">
        <f>1</f>
        <v>1</v>
      </c>
      <c r="AH184" s="67">
        <f t="shared" si="70"/>
        <v>14662000</v>
      </c>
      <c r="AI184" s="67">
        <f t="shared" si="71"/>
        <v>174.44554864102179</v>
      </c>
      <c r="AJ184" s="67">
        <f t="shared" si="72"/>
        <v>0</v>
      </c>
      <c r="AK184" s="66">
        <f t="shared" si="82"/>
        <v>-4.3574690150032569E-2</v>
      </c>
    </row>
    <row r="185" spans="1:37" ht="12.75" customHeight="1" x14ac:dyDescent="0.25">
      <c r="A185" s="55" t="s">
        <v>635</v>
      </c>
      <c r="B185" s="55" t="s">
        <v>421</v>
      </c>
      <c r="C185" s="55" t="s">
        <v>428</v>
      </c>
      <c r="D185" s="128">
        <v>2018</v>
      </c>
      <c r="E185" s="55" t="s">
        <v>675</v>
      </c>
      <c r="F185" s="57">
        <f>SIM_Parametres!$C$24</f>
        <v>1190274000</v>
      </c>
      <c r="G185" s="129">
        <f>SIM_Districts!D43*(1+SIM_Parametres!$B$6)^(2018-2023)</f>
        <v>122302.39866755555</v>
      </c>
      <c r="H185" s="129">
        <f>MAX(0,MIN(100,SIM_Districts!F43+(2018-2022)*SIM_Parametres!$B$7))</f>
        <v>50.32</v>
      </c>
      <c r="I185" s="129">
        <f>SIM_Districts!G43*(1+SIM_Parametres!$B$8)^(2018-2023)</f>
        <v>54.503039606177268</v>
      </c>
      <c r="J185" s="129">
        <f>SIM_Districts!H43*(1+SIM_Parametres!$B$9)^(2018-2023)</f>
        <v>30.48315805517451</v>
      </c>
      <c r="K185" s="129">
        <f>MAX(0,MIN(100,SIM_Districts!I43+(2018-2023)*SIM_Parametres!$B$10))</f>
        <v>83.8</v>
      </c>
      <c r="L185" s="129">
        <f>SIM_Districts!E43</f>
        <v>8907</v>
      </c>
      <c r="M185" s="68">
        <f t="shared" si="64"/>
        <v>13.731042850292528</v>
      </c>
      <c r="N185" s="129">
        <f>SIM_Districts!J43</f>
        <v>97480</v>
      </c>
      <c r="O185" s="56">
        <v>16315000</v>
      </c>
      <c r="P185" s="130">
        <f>SIM_Parametres!$D$24</f>
        <v>0</v>
      </c>
      <c r="Q185" s="130">
        <f>SIM_Parametres!$B$12</f>
        <v>0.2</v>
      </c>
      <c r="R185" s="59">
        <f t="shared" si="92"/>
        <v>7.8218561800619032E-3</v>
      </c>
      <c r="S185" s="59">
        <f t="shared" si="93"/>
        <v>0.6684397163120569</v>
      </c>
      <c r="T185" s="59">
        <f t="shared" si="94"/>
        <v>0.71270718232044206</v>
      </c>
      <c r="U185" s="59">
        <f t="shared" si="95"/>
        <v>0.80804507507275991</v>
      </c>
      <c r="V185" s="59">
        <f t="shared" si="96"/>
        <v>0.26413981218637</v>
      </c>
      <c r="W185" s="59">
        <f t="shared" si="97"/>
        <v>1.5937433946311558E-2</v>
      </c>
      <c r="X185" s="59">
        <f t="shared" si="98"/>
        <v>1.4103755534904065E-2</v>
      </c>
      <c r="Y185" s="59">
        <f t="shared" si="99"/>
        <v>2.0645316905621231E-2</v>
      </c>
      <c r="Z185" s="59">
        <f t="shared" si="100"/>
        <v>9.6948159470131197E-3</v>
      </c>
      <c r="AA185" s="59">
        <f t="shared" si="65"/>
        <v>1.0716298772851202E-2</v>
      </c>
      <c r="AB185" s="59">
        <f t="shared" si="66"/>
        <v>1.3706927984648913E-2</v>
      </c>
      <c r="AC185" s="60">
        <f t="shared" si="67"/>
        <v>13557149.951487608</v>
      </c>
      <c r="AD185" s="60">
        <f t="shared" si="68"/>
        <v>16315000</v>
      </c>
      <c r="AE185" s="59">
        <f>0</f>
        <v>0</v>
      </c>
      <c r="AF185" s="60">
        <f t="shared" si="69"/>
        <v>16315000</v>
      </c>
      <c r="AG185" s="60">
        <f>1</f>
        <v>1</v>
      </c>
      <c r="AH185" s="60">
        <f t="shared" si="70"/>
        <v>16315000</v>
      </c>
      <c r="AI185" s="60">
        <f t="shared" si="71"/>
        <v>133.3988554414841</v>
      </c>
      <c r="AJ185" s="60">
        <f t="shared" si="72"/>
        <v>0</v>
      </c>
      <c r="AK185" s="59">
        <f t="shared" si="82"/>
        <v>-4.5906432748538006E-2</v>
      </c>
    </row>
    <row r="186" spans="1:37" ht="12.75" customHeight="1" x14ac:dyDescent="0.25">
      <c r="A186" s="62" t="s">
        <v>636</v>
      </c>
      <c r="B186" s="62" t="s">
        <v>421</v>
      </c>
      <c r="C186" s="62" t="s">
        <v>421</v>
      </c>
      <c r="D186" s="124">
        <v>2018</v>
      </c>
      <c r="E186" s="62" t="s">
        <v>675</v>
      </c>
      <c r="F186" s="64">
        <f>SIM_Parametres!$C$24</f>
        <v>1190274000</v>
      </c>
      <c r="G186" s="125">
        <f>SIM_Districts!D44*(1+SIM_Parametres!$B$6)^(2018-2023)</f>
        <v>180440.50551747944</v>
      </c>
      <c r="H186" s="125">
        <f>MAX(0,MIN(100,SIM_Districts!F44+(2018-2022)*SIM_Parametres!$B$7))</f>
        <v>50.32</v>
      </c>
      <c r="I186" s="125">
        <f>SIM_Districts!G44*(1+SIM_Parametres!$B$8)^(2018-2023)</f>
        <v>54.503039606177268</v>
      </c>
      <c r="J186" s="125">
        <f>SIM_Districts!H44*(1+SIM_Parametres!$B$9)^(2018-2023)</f>
        <v>30.48315805517451</v>
      </c>
      <c r="K186" s="125">
        <f>MAX(0,MIN(100,SIM_Districts!I44+(2018-2023)*SIM_Parametres!$B$10))</f>
        <v>83.8</v>
      </c>
      <c r="L186" s="125">
        <f>SIM_Districts!E44</f>
        <v>759</v>
      </c>
      <c r="M186" s="61">
        <f t="shared" si="64"/>
        <v>237.7345263734907</v>
      </c>
      <c r="N186" s="125">
        <f>SIM_Districts!J44</f>
        <v>97480</v>
      </c>
      <c r="O186" s="63">
        <v>19275000</v>
      </c>
      <c r="P186" s="126">
        <f>SIM_Parametres!$D$24</f>
        <v>0</v>
      </c>
      <c r="Q186" s="126">
        <f>SIM_Parametres!$B$12</f>
        <v>0.2</v>
      </c>
      <c r="R186" s="66">
        <f t="shared" si="92"/>
        <v>1.1540081785736898E-2</v>
      </c>
      <c r="S186" s="66">
        <f t="shared" si="93"/>
        <v>0.6684397163120569</v>
      </c>
      <c r="T186" s="66">
        <f t="shared" si="94"/>
        <v>0.71270718232044206</v>
      </c>
      <c r="U186" s="66">
        <f t="shared" si="95"/>
        <v>0.52212219334654875</v>
      </c>
      <c r="V186" s="66">
        <f t="shared" si="96"/>
        <v>0.26413981218637</v>
      </c>
      <c r="W186" s="66">
        <f t="shared" si="97"/>
        <v>1.5937433946311558E-2</v>
      </c>
      <c r="X186" s="66">
        <f t="shared" si="98"/>
        <v>1.4103755534904065E-2</v>
      </c>
      <c r="Y186" s="66">
        <f t="shared" si="99"/>
        <v>1.3340070347099038E-2</v>
      </c>
      <c r="Z186" s="66">
        <f t="shared" si="100"/>
        <v>9.6948159470131197E-3</v>
      </c>
      <c r="AA186" s="66">
        <f t="shared" si="65"/>
        <v>1.2581971808330091E-2</v>
      </c>
      <c r="AB186" s="66">
        <f t="shared" si="66"/>
        <v>1.6193750346558861E-2</v>
      </c>
      <c r="AC186" s="67">
        <f t="shared" si="67"/>
        <v>15333679.636792885</v>
      </c>
      <c r="AD186" s="67">
        <f t="shared" si="68"/>
        <v>19275000</v>
      </c>
      <c r="AE186" s="66">
        <f>0</f>
        <v>0</v>
      </c>
      <c r="AF186" s="67">
        <f t="shared" si="69"/>
        <v>19275000</v>
      </c>
      <c r="AG186" s="67">
        <f>1</f>
        <v>1</v>
      </c>
      <c r="AH186" s="67">
        <f t="shared" si="70"/>
        <v>19275000</v>
      </c>
      <c r="AI186" s="67">
        <f t="shared" si="71"/>
        <v>106.82191309940002</v>
      </c>
      <c r="AJ186" s="67">
        <f t="shared" si="72"/>
        <v>0</v>
      </c>
      <c r="AK186" s="66">
        <f t="shared" si="82"/>
        <v>-3.6250000000000004E-2</v>
      </c>
    </row>
    <row r="187" spans="1:37" ht="12.75" customHeight="1" x14ac:dyDescent="0.25">
      <c r="A187" s="55" t="s">
        <v>637</v>
      </c>
      <c r="B187" s="55" t="s">
        <v>421</v>
      </c>
      <c r="C187" s="55" t="s">
        <v>429</v>
      </c>
      <c r="D187" s="128">
        <v>2018</v>
      </c>
      <c r="E187" s="55" t="s">
        <v>675</v>
      </c>
      <c r="F187" s="57">
        <f>SIM_Parametres!$C$24</f>
        <v>1190274000</v>
      </c>
      <c r="G187" s="129">
        <f>SIM_Districts!D45*(1+SIM_Parametres!$B$6)^(2018-2023)</f>
        <v>79656.745585171244</v>
      </c>
      <c r="H187" s="129">
        <f>MAX(0,MIN(100,SIM_Districts!F45+(2018-2022)*SIM_Parametres!$B$7))</f>
        <v>50.32</v>
      </c>
      <c r="I187" s="129">
        <f>SIM_Districts!G45*(1+SIM_Parametres!$B$8)^(2018-2023)</f>
        <v>54.503039606177268</v>
      </c>
      <c r="J187" s="129">
        <f>SIM_Districts!H45*(1+SIM_Parametres!$B$9)^(2018-2023)</f>
        <v>30.48315805517451</v>
      </c>
      <c r="K187" s="129">
        <f>MAX(0,MIN(100,SIM_Districts!I45+(2018-2023)*SIM_Parametres!$B$10))</f>
        <v>83.8</v>
      </c>
      <c r="L187" s="129">
        <f>SIM_Districts!E45</f>
        <v>1185</v>
      </c>
      <c r="M187" s="68">
        <f t="shared" si="64"/>
        <v>67.220882350355481</v>
      </c>
      <c r="N187" s="129">
        <f>SIM_Districts!J45</f>
        <v>97480</v>
      </c>
      <c r="O187" s="56">
        <v>15386000</v>
      </c>
      <c r="P187" s="130">
        <f>SIM_Parametres!$D$24</f>
        <v>0</v>
      </c>
      <c r="Q187" s="130">
        <f>SIM_Parametres!$B$12</f>
        <v>0.2</v>
      </c>
      <c r="R187" s="59">
        <f t="shared" si="92"/>
        <v>5.094451249747051E-3</v>
      </c>
      <c r="S187" s="59">
        <f t="shared" si="93"/>
        <v>0.6684397163120569</v>
      </c>
      <c r="T187" s="59">
        <f t="shared" si="94"/>
        <v>0.71270718232044206</v>
      </c>
      <c r="U187" s="59">
        <f t="shared" si="95"/>
        <v>0.53967466644845508</v>
      </c>
      <c r="V187" s="59">
        <f t="shared" si="96"/>
        <v>0.26413981218637</v>
      </c>
      <c r="W187" s="59">
        <f t="shared" si="97"/>
        <v>1.5937433946311558E-2</v>
      </c>
      <c r="X187" s="59">
        <f t="shared" si="98"/>
        <v>1.4103755534904065E-2</v>
      </c>
      <c r="Y187" s="59">
        <f t="shared" si="99"/>
        <v>1.3788530935307707E-2</v>
      </c>
      <c r="Z187" s="59">
        <f t="shared" si="100"/>
        <v>9.6948159470131197E-3</v>
      </c>
      <c r="AA187" s="59">
        <f t="shared" si="65"/>
        <v>8.7370165161466153E-3</v>
      </c>
      <c r="AB187" s="59">
        <f t="shared" si="66"/>
        <v>1.2926435425792717E-2</v>
      </c>
      <c r="AC187" s="60">
        <f t="shared" si="67"/>
        <v>11672439.384434171</v>
      </c>
      <c r="AD187" s="60">
        <f t="shared" si="68"/>
        <v>15386000</v>
      </c>
      <c r="AE187" s="59">
        <f>0</f>
        <v>0</v>
      </c>
      <c r="AF187" s="60">
        <f t="shared" si="69"/>
        <v>15386000</v>
      </c>
      <c r="AG187" s="60">
        <f>1</f>
        <v>1</v>
      </c>
      <c r="AH187" s="60">
        <f t="shared" si="70"/>
        <v>15386000</v>
      </c>
      <c r="AI187" s="60">
        <f t="shared" si="71"/>
        <v>193.15376101511521</v>
      </c>
      <c r="AJ187" s="60">
        <f t="shared" si="72"/>
        <v>0</v>
      </c>
      <c r="AK187" s="59">
        <f t="shared" si="82"/>
        <v>-4.7306501547987656E-2</v>
      </c>
    </row>
    <row r="188" spans="1:37" ht="12.75" customHeight="1" x14ac:dyDescent="0.25">
      <c r="A188" s="62" t="s">
        <v>638</v>
      </c>
      <c r="B188" s="62" t="s">
        <v>430</v>
      </c>
      <c r="C188" s="62" t="s">
        <v>432</v>
      </c>
      <c r="D188" s="124">
        <v>2018</v>
      </c>
      <c r="E188" s="62" t="s">
        <v>675</v>
      </c>
      <c r="F188" s="64">
        <f>SIM_Parametres!$C$24</f>
        <v>1190274000</v>
      </c>
      <c r="G188" s="125">
        <f>SIM_Districts!D46*(1+SIM_Parametres!$B$6)^(2018-2023)</f>
        <v>304279.2104300232</v>
      </c>
      <c r="H188" s="125">
        <f>MAX(0,MIN(100,SIM_Districts!F46+(2018-2022)*SIM_Parametres!$B$7))</f>
        <v>48.02</v>
      </c>
      <c r="I188" s="125">
        <f>SIM_Districts!G46*(1+SIM_Parametres!$B$8)^(2018-2023)</f>
        <v>54.503039606177268</v>
      </c>
      <c r="J188" s="125">
        <f>SIM_Districts!H46*(1+SIM_Parametres!$B$9)^(2018-2023)</f>
        <v>42.845772155328618</v>
      </c>
      <c r="K188" s="125">
        <f>MAX(0,MIN(100,SIM_Districts!I46+(2018-2023)*SIM_Parametres!$B$10))</f>
        <v>71.7</v>
      </c>
      <c r="L188" s="125">
        <f>SIM_Districts!E46</f>
        <v>8704</v>
      </c>
      <c r="M188" s="61">
        <f t="shared" si="64"/>
        <v>34.958548992419942</v>
      </c>
      <c r="N188" s="125">
        <f>SIM_Districts!J46</f>
        <v>133963</v>
      </c>
      <c r="O188" s="63">
        <v>19476000</v>
      </c>
      <c r="P188" s="126">
        <f>SIM_Parametres!$D$24</f>
        <v>0</v>
      </c>
      <c r="Q188" s="126">
        <f>SIM_Parametres!$B$12</f>
        <v>0.2</v>
      </c>
      <c r="R188" s="66">
        <f t="shared" si="92"/>
        <v>1.9460192510499047E-2</v>
      </c>
      <c r="S188" s="66">
        <f t="shared" si="93"/>
        <v>0.62765957446808529</v>
      </c>
      <c r="T188" s="66">
        <f t="shared" si="94"/>
        <v>0.91436464088397795</v>
      </c>
      <c r="U188" s="66">
        <f t="shared" si="95"/>
        <v>0.80066503267175948</v>
      </c>
      <c r="V188" s="66">
        <f t="shared" si="96"/>
        <v>0.51735506215340199</v>
      </c>
      <c r="W188" s="66">
        <f t="shared" si="97"/>
        <v>1.4965123652504754E-2</v>
      </c>
      <c r="X188" s="66">
        <f t="shared" si="98"/>
        <v>1.8094353031214129E-2</v>
      </c>
      <c r="Y188" s="66">
        <f t="shared" si="99"/>
        <v>2.0456758966409912E-2</v>
      </c>
      <c r="Z188" s="66">
        <f t="shared" si="100"/>
        <v>1.8988663864475865E-2</v>
      </c>
      <c r="AA188" s="66">
        <f t="shared" si="65"/>
        <v>1.8607308150401552E-2</v>
      </c>
      <c r="AB188" s="66">
        <f t="shared" si="66"/>
        <v>1.6362619027215582E-2</v>
      </c>
      <c r="AC188" s="67">
        <f t="shared" si="67"/>
        <v>21071120.588171098</v>
      </c>
      <c r="AD188" s="67">
        <f t="shared" si="68"/>
        <v>19476000</v>
      </c>
      <c r="AE188" s="66">
        <f>0</f>
        <v>0</v>
      </c>
      <c r="AF188" s="67">
        <f t="shared" si="69"/>
        <v>19476000</v>
      </c>
      <c r="AG188" s="67">
        <f>1</f>
        <v>1</v>
      </c>
      <c r="AH188" s="67">
        <f t="shared" si="70"/>
        <v>19476000</v>
      </c>
      <c r="AI188" s="67">
        <f t="shared" si="71"/>
        <v>64.007001899589213</v>
      </c>
      <c r="AJ188" s="67">
        <f t="shared" si="72"/>
        <v>0</v>
      </c>
      <c r="AK188" s="66">
        <f t="shared" si="82"/>
        <v>-4.3653326786152746E-2</v>
      </c>
    </row>
    <row r="189" spans="1:37" ht="12.75" customHeight="1" x14ac:dyDescent="0.25">
      <c r="A189" s="55" t="s">
        <v>640</v>
      </c>
      <c r="B189" s="55" t="s">
        <v>430</v>
      </c>
      <c r="C189" s="55" t="s">
        <v>430</v>
      </c>
      <c r="D189" s="128">
        <v>2018</v>
      </c>
      <c r="E189" s="55" t="s">
        <v>675</v>
      </c>
      <c r="F189" s="57">
        <f>SIM_Parametres!$C$24</f>
        <v>1190274000</v>
      </c>
      <c r="G189" s="129">
        <f>SIM_Districts!D47*(1+SIM_Parametres!$B$6)^(2018-2023)</f>
        <v>246838.95408666608</v>
      </c>
      <c r="H189" s="129">
        <f>MAX(0,MIN(100,SIM_Districts!F47+(2018-2022)*SIM_Parametres!$B$7))</f>
        <v>48.02</v>
      </c>
      <c r="I189" s="129">
        <f>SIM_Districts!G47*(1+SIM_Parametres!$B$8)^(2018-2023)</f>
        <v>54.503039606177268</v>
      </c>
      <c r="J189" s="129">
        <f>SIM_Districts!H47*(1+SIM_Parametres!$B$9)^(2018-2023)</f>
        <v>42.845772155328618</v>
      </c>
      <c r="K189" s="129">
        <f>MAX(0,MIN(100,SIM_Districts!I47+(2018-2023)*SIM_Parametres!$B$10))</f>
        <v>71.7</v>
      </c>
      <c r="L189" s="129">
        <f>SIM_Districts!E47</f>
        <v>3957</v>
      </c>
      <c r="M189" s="68">
        <f t="shared" si="64"/>
        <v>62.380327037317684</v>
      </c>
      <c r="N189" s="129">
        <f>SIM_Districts!J47</f>
        <v>133963</v>
      </c>
      <c r="O189" s="56">
        <v>17210000</v>
      </c>
      <c r="P189" s="130">
        <f>SIM_Parametres!$D$24</f>
        <v>0</v>
      </c>
      <c r="Q189" s="130">
        <f>SIM_Parametres!$B$12</f>
        <v>0.2</v>
      </c>
      <c r="R189" s="59">
        <f t="shared" si="92"/>
        <v>1.5786597969766499E-2</v>
      </c>
      <c r="S189" s="59">
        <f t="shared" si="93"/>
        <v>0.62765957446808529</v>
      </c>
      <c r="T189" s="59">
        <f t="shared" si="94"/>
        <v>0.91436464088397795</v>
      </c>
      <c r="U189" s="59">
        <f t="shared" si="95"/>
        <v>0.63577730793030052</v>
      </c>
      <c r="V189" s="59">
        <f t="shared" si="96"/>
        <v>0.51735506215340199</v>
      </c>
      <c r="W189" s="59">
        <f t="shared" si="97"/>
        <v>1.4965123652504754E-2</v>
      </c>
      <c r="X189" s="59">
        <f t="shared" si="98"/>
        <v>1.8094353031214129E-2</v>
      </c>
      <c r="Y189" s="59">
        <f t="shared" si="99"/>
        <v>1.6243925504331402E-2</v>
      </c>
      <c r="Z189" s="59">
        <f t="shared" si="100"/>
        <v>1.8988663864475865E-2</v>
      </c>
      <c r="AA189" s="59">
        <f t="shared" si="65"/>
        <v>1.6192509752858093E-2</v>
      </c>
      <c r="AB189" s="59">
        <f t="shared" si="66"/>
        <v>1.4458855692050738E-2</v>
      </c>
      <c r="AC189" s="60">
        <f t="shared" si="67"/>
        <v>18771703.189900987</v>
      </c>
      <c r="AD189" s="60">
        <f t="shared" si="68"/>
        <v>17210000</v>
      </c>
      <c r="AE189" s="59">
        <f>0</f>
        <v>0</v>
      </c>
      <c r="AF189" s="60">
        <f t="shared" si="69"/>
        <v>17210000</v>
      </c>
      <c r="AG189" s="60">
        <f>1</f>
        <v>1</v>
      </c>
      <c r="AH189" s="60">
        <f t="shared" si="70"/>
        <v>17210000</v>
      </c>
      <c r="AI189" s="60">
        <f t="shared" si="71"/>
        <v>69.72157236558985</v>
      </c>
      <c r="AJ189" s="60">
        <f t="shared" si="72"/>
        <v>0</v>
      </c>
      <c r="AK189" s="59">
        <f t="shared" si="82"/>
        <v>-6.3707088841738702E-2</v>
      </c>
    </row>
    <row r="190" spans="1:37" ht="12.75" customHeight="1" x14ac:dyDescent="0.25">
      <c r="A190" s="62" t="s">
        <v>641</v>
      </c>
      <c r="B190" s="62" t="s">
        <v>430</v>
      </c>
      <c r="C190" s="62" t="s">
        <v>433</v>
      </c>
      <c r="D190" s="124">
        <v>2018</v>
      </c>
      <c r="E190" s="62" t="s">
        <v>675</v>
      </c>
      <c r="F190" s="64">
        <f>SIM_Parametres!$C$24</f>
        <v>1190274000</v>
      </c>
      <c r="G190" s="125">
        <f>SIM_Districts!D48*(1+SIM_Parametres!$B$6)^(2018-2023)</f>
        <v>65434.914557029537</v>
      </c>
      <c r="H190" s="125">
        <f>MAX(0,MIN(100,SIM_Districts!F48+(2018-2022)*SIM_Parametres!$B$7))</f>
        <v>48.02</v>
      </c>
      <c r="I190" s="125">
        <f>SIM_Districts!G48*(1+SIM_Parametres!$B$8)^(2018-2023)</f>
        <v>54.503039606177268</v>
      </c>
      <c r="J190" s="125">
        <f>SIM_Districts!H48*(1+SIM_Parametres!$B$9)^(2018-2023)</f>
        <v>42.845772155328618</v>
      </c>
      <c r="K190" s="125">
        <f>MAX(0,MIN(100,SIM_Districts!I48+(2018-2023)*SIM_Parametres!$B$10))</f>
        <v>71.7</v>
      </c>
      <c r="L190" s="125">
        <f>SIM_Districts!E48</f>
        <v>14444</v>
      </c>
      <c r="M190" s="61">
        <f t="shared" si="64"/>
        <v>4.5302488616054788</v>
      </c>
      <c r="N190" s="125">
        <f>SIM_Districts!J48</f>
        <v>133963</v>
      </c>
      <c r="O190" s="63">
        <v>16157000</v>
      </c>
      <c r="P190" s="126">
        <f>SIM_Parametres!$D$24</f>
        <v>0</v>
      </c>
      <c r="Q190" s="126">
        <f>SIM_Parametres!$B$12</f>
        <v>0.2</v>
      </c>
      <c r="R190" s="66">
        <f t="shared" si="92"/>
        <v>4.1848933168593741E-3</v>
      </c>
      <c r="S190" s="66">
        <f t="shared" si="93"/>
        <v>0.62765957446808529</v>
      </c>
      <c r="T190" s="66">
        <f t="shared" si="94"/>
        <v>0.91436464088397795</v>
      </c>
      <c r="U190" s="66">
        <f t="shared" si="95"/>
        <v>1</v>
      </c>
      <c r="V190" s="66">
        <f t="shared" si="96"/>
        <v>0.51735506215340199</v>
      </c>
      <c r="W190" s="66">
        <f t="shared" si="97"/>
        <v>1.4965123652504754E-2</v>
      </c>
      <c r="X190" s="66">
        <f t="shared" si="98"/>
        <v>1.8094353031214129E-2</v>
      </c>
      <c r="Y190" s="66">
        <f t="shared" si="99"/>
        <v>2.5549709468574183E-2</v>
      </c>
      <c r="Z190" s="66">
        <f t="shared" si="100"/>
        <v>1.8988663864475865E-2</v>
      </c>
      <c r="AA190" s="66">
        <f t="shared" si="65"/>
        <v>9.6967761593259594E-3</v>
      </c>
      <c r="AB190" s="66">
        <f t="shared" si="66"/>
        <v>1.3574185439655072E-2</v>
      </c>
      <c r="AC190" s="67">
        <f t="shared" si="67"/>
        <v>12586340.944054693</v>
      </c>
      <c r="AD190" s="67">
        <f t="shared" si="68"/>
        <v>16157000</v>
      </c>
      <c r="AE190" s="66">
        <f>0</f>
        <v>0</v>
      </c>
      <c r="AF190" s="67">
        <f t="shared" si="69"/>
        <v>16157000</v>
      </c>
      <c r="AG190" s="67">
        <f>1</f>
        <v>1</v>
      </c>
      <c r="AH190" s="67">
        <f t="shared" si="70"/>
        <v>16157000</v>
      </c>
      <c r="AI190" s="67">
        <f t="shared" si="71"/>
        <v>246.91711006848541</v>
      </c>
      <c r="AJ190" s="67">
        <f t="shared" si="72"/>
        <v>0</v>
      </c>
      <c r="AK190" s="66">
        <f t="shared" si="82"/>
        <v>-2.5806451612903181E-2</v>
      </c>
    </row>
    <row r="191" spans="1:37" ht="12.75" customHeight="1" x14ac:dyDescent="0.25">
      <c r="A191" s="55" t="s">
        <v>642</v>
      </c>
      <c r="B191" s="55" t="s">
        <v>430</v>
      </c>
      <c r="C191" s="55" t="s">
        <v>434</v>
      </c>
      <c r="D191" s="128">
        <v>2018</v>
      </c>
      <c r="E191" s="55" t="s">
        <v>675</v>
      </c>
      <c r="F191" s="57">
        <f>SIM_Parametres!$C$24</f>
        <v>1190274000</v>
      </c>
      <c r="G191" s="129">
        <f>SIM_Districts!D49*(1+SIM_Parametres!$B$6)^(2018-2023)</f>
        <v>100818.26428368356</v>
      </c>
      <c r="H191" s="129">
        <f>MAX(0,MIN(100,SIM_Districts!F49+(2018-2022)*SIM_Parametres!$B$7))</f>
        <v>48.02</v>
      </c>
      <c r="I191" s="129">
        <f>SIM_Districts!G49*(1+SIM_Parametres!$B$8)^(2018-2023)</f>
        <v>54.503039606177268</v>
      </c>
      <c r="J191" s="129">
        <f>SIM_Districts!H49*(1+SIM_Parametres!$B$9)^(2018-2023)</f>
        <v>42.845772155328618</v>
      </c>
      <c r="K191" s="129">
        <f>MAX(0,MIN(100,SIM_Districts!I49+(2018-2023)*SIM_Parametres!$B$10))</f>
        <v>71.7</v>
      </c>
      <c r="L191" s="129">
        <f>SIM_Districts!E49</f>
        <v>1898</v>
      </c>
      <c r="M191" s="68">
        <f t="shared" si="64"/>
        <v>53.118158210581434</v>
      </c>
      <c r="N191" s="129">
        <f>SIM_Districts!J49</f>
        <v>133963</v>
      </c>
      <c r="O191" s="56">
        <v>15391000</v>
      </c>
      <c r="P191" s="130">
        <f>SIM_Parametres!$D$24</f>
        <v>0</v>
      </c>
      <c r="Q191" s="130">
        <f>SIM_Parametres!$B$12</f>
        <v>0.2</v>
      </c>
      <c r="R191" s="59">
        <f t="shared" si="92"/>
        <v>6.447837263551897E-3</v>
      </c>
      <c r="S191" s="59">
        <f t="shared" si="93"/>
        <v>0.62765957446808529</v>
      </c>
      <c r="T191" s="59">
        <f t="shared" si="94"/>
        <v>0.91436464088397795</v>
      </c>
      <c r="U191" s="59">
        <f t="shared" si="95"/>
        <v>0.5646045152795196</v>
      </c>
      <c r="V191" s="59">
        <f t="shared" si="96"/>
        <v>0.51735506215340199</v>
      </c>
      <c r="W191" s="59">
        <f t="shared" si="97"/>
        <v>1.4965123652504754E-2</v>
      </c>
      <c r="X191" s="59">
        <f t="shared" si="98"/>
        <v>1.8094353031214129E-2</v>
      </c>
      <c r="Y191" s="59">
        <f t="shared" si="99"/>
        <v>1.442548133003688E-2</v>
      </c>
      <c r="Z191" s="59">
        <f t="shared" si="100"/>
        <v>1.8988663864475865E-2</v>
      </c>
      <c r="AA191" s="59">
        <f t="shared" si="65"/>
        <v>1.0498331120414608E-2</v>
      </c>
      <c r="AB191" s="59">
        <f t="shared" si="66"/>
        <v>1.2930636139241889E-2</v>
      </c>
      <c r="AC191" s="60">
        <f t="shared" si="67"/>
        <v>13349596.967858557</v>
      </c>
      <c r="AD191" s="60">
        <f t="shared" si="68"/>
        <v>15391000</v>
      </c>
      <c r="AE191" s="59">
        <f>0</f>
        <v>0</v>
      </c>
      <c r="AF191" s="60">
        <f t="shared" si="69"/>
        <v>15391000</v>
      </c>
      <c r="AG191" s="60">
        <f>1</f>
        <v>1</v>
      </c>
      <c r="AH191" s="60">
        <f t="shared" si="70"/>
        <v>15391000</v>
      </c>
      <c r="AI191" s="60">
        <f t="shared" si="71"/>
        <v>152.66083094520087</v>
      </c>
      <c r="AJ191" s="60">
        <f t="shared" si="72"/>
        <v>0</v>
      </c>
      <c r="AK191" s="59">
        <f t="shared" si="82"/>
        <v>-7.5449029855229166E-2</v>
      </c>
    </row>
    <row r="192" spans="1:37" ht="12.75" customHeight="1" x14ac:dyDescent="0.25">
      <c r="A192" s="62" t="s">
        <v>643</v>
      </c>
      <c r="B192" s="62" t="s">
        <v>435</v>
      </c>
      <c r="C192" s="62" t="s">
        <v>437</v>
      </c>
      <c r="D192" s="124">
        <v>2018</v>
      </c>
      <c r="E192" s="62" t="s">
        <v>675</v>
      </c>
      <c r="F192" s="64">
        <f>SIM_Parametres!$C$24</f>
        <v>1190274000</v>
      </c>
      <c r="G192" s="125">
        <f>SIM_Districts!D50*(1+SIM_Parametres!$B$6)^(2018-2023)</f>
        <v>84837.573944182543</v>
      </c>
      <c r="H192" s="125">
        <f>MAX(0,MIN(100,SIM_Districts!F50+(2018-2022)*SIM_Parametres!$B$7))</f>
        <v>40.619999999999997</v>
      </c>
      <c r="I192" s="125">
        <f>SIM_Districts!G50*(1+SIM_Parametres!$B$8)^(2018-2023)</f>
        <v>54.503039606177268</v>
      </c>
      <c r="J192" s="125">
        <f>SIM_Districts!H50*(1+SIM_Parametres!$B$9)^(2018-2023)</f>
        <v>38.781351081305345</v>
      </c>
      <c r="K192" s="125">
        <f>MAX(0,MIN(100,SIM_Districts!I50+(2018-2023)*SIM_Parametres!$B$10))</f>
        <v>75.900000000000006</v>
      </c>
      <c r="L192" s="125">
        <f>SIM_Districts!E50</f>
        <v>2448</v>
      </c>
      <c r="M192" s="61">
        <f t="shared" si="64"/>
        <v>34.655871709224897</v>
      </c>
      <c r="N192" s="125">
        <f>SIM_Districts!J50</f>
        <v>89545</v>
      </c>
      <c r="O192" s="63">
        <v>15262000</v>
      </c>
      <c r="P192" s="126">
        <f>SIM_Parametres!$D$24</f>
        <v>0</v>
      </c>
      <c r="Q192" s="126">
        <f>SIM_Parametres!$B$12</f>
        <v>0.2</v>
      </c>
      <c r="R192" s="66">
        <f t="shared" si="92"/>
        <v>5.425791393188756E-3</v>
      </c>
      <c r="S192" s="66">
        <f t="shared" si="93"/>
        <v>0.49645390070921985</v>
      </c>
      <c r="T192" s="66">
        <f t="shared" si="94"/>
        <v>0.84806629834254132</v>
      </c>
      <c r="U192" s="66">
        <f t="shared" si="95"/>
        <v>0.58395945065622235</v>
      </c>
      <c r="V192" s="66">
        <f t="shared" si="96"/>
        <v>0.20906585970196906</v>
      </c>
      <c r="W192" s="66">
        <f t="shared" si="97"/>
        <v>1.1836820968082853E-2</v>
      </c>
      <c r="X192" s="66">
        <f t="shared" si="98"/>
        <v>1.6782375772153281E-2</v>
      </c>
      <c r="Y192" s="66">
        <f t="shared" si="99"/>
        <v>1.4919994305694663E-2</v>
      </c>
      <c r="Z192" s="66">
        <f t="shared" si="100"/>
        <v>7.6734173990574452E-3</v>
      </c>
      <c r="AA192" s="66">
        <f t="shared" si="65"/>
        <v>8.678024932186279E-3</v>
      </c>
      <c r="AB192" s="66">
        <f t="shared" si="66"/>
        <v>1.2822257732253246E-2</v>
      </c>
      <c r="AC192" s="67">
        <f t="shared" si="67"/>
        <v>11616266.465548728</v>
      </c>
      <c r="AD192" s="67">
        <f t="shared" si="68"/>
        <v>15262000</v>
      </c>
      <c r="AE192" s="66">
        <f>0</f>
        <v>0</v>
      </c>
      <c r="AF192" s="67">
        <f t="shared" si="69"/>
        <v>15262000</v>
      </c>
      <c r="AG192" s="67">
        <f>1</f>
        <v>1</v>
      </c>
      <c r="AH192" s="67">
        <f t="shared" si="70"/>
        <v>15262000</v>
      </c>
      <c r="AI192" s="67">
        <f t="shared" si="71"/>
        <v>179.89670484968579</v>
      </c>
      <c r="AJ192" s="67">
        <f t="shared" si="72"/>
        <v>0</v>
      </c>
      <c r="AK192" s="66">
        <f t="shared" si="82"/>
        <v>-4.660169915042478E-2</v>
      </c>
    </row>
    <row r="193" spans="1:37" ht="12.75" customHeight="1" x14ac:dyDescent="0.25">
      <c r="A193" s="55" t="s">
        <v>645</v>
      </c>
      <c r="B193" s="55" t="s">
        <v>435</v>
      </c>
      <c r="C193" s="55" t="s">
        <v>438</v>
      </c>
      <c r="D193" s="128">
        <v>2018</v>
      </c>
      <c r="E193" s="55" t="s">
        <v>675</v>
      </c>
      <c r="F193" s="57">
        <f>SIM_Parametres!$C$24</f>
        <v>1190274000</v>
      </c>
      <c r="G193" s="129">
        <f>SIM_Districts!D51*(1+SIM_Parametres!$B$6)^(2018-2023)</f>
        <v>159993.22689243723</v>
      </c>
      <c r="H193" s="129">
        <f>MAX(0,MIN(100,SIM_Districts!F51+(2018-2022)*SIM_Parametres!$B$7))</f>
        <v>40.619999999999997</v>
      </c>
      <c r="I193" s="129">
        <f>SIM_Districts!G51*(1+SIM_Parametres!$B$8)^(2018-2023)</f>
        <v>54.503039606177268</v>
      </c>
      <c r="J193" s="129">
        <f>SIM_Districts!H51*(1+SIM_Parametres!$B$9)^(2018-2023)</f>
        <v>38.781351081305345</v>
      </c>
      <c r="K193" s="129">
        <f>MAX(0,MIN(100,SIM_Districts!I51+(2018-2023)*SIM_Parametres!$B$10))</f>
        <v>75.900000000000006</v>
      </c>
      <c r="L193" s="129">
        <f>SIM_Districts!E51</f>
        <v>6989</v>
      </c>
      <c r="M193" s="68">
        <f t="shared" si="64"/>
        <v>22.892148646793135</v>
      </c>
      <c r="N193" s="129">
        <f>SIM_Districts!J51</f>
        <v>89545</v>
      </c>
      <c r="O193" s="56">
        <v>15054000</v>
      </c>
      <c r="P193" s="130">
        <f>SIM_Parametres!$D$24</f>
        <v>0</v>
      </c>
      <c r="Q193" s="130">
        <f>SIM_Parametres!$B$12</f>
        <v>0.2</v>
      </c>
      <c r="R193" s="59">
        <f t="shared" si="92"/>
        <v>1.0232375032466474E-2</v>
      </c>
      <c r="S193" s="59">
        <f t="shared" si="93"/>
        <v>0.49645390070921985</v>
      </c>
      <c r="T193" s="59">
        <f t="shared" si="94"/>
        <v>0.84806629834254132</v>
      </c>
      <c r="U193" s="59">
        <f t="shared" si="95"/>
        <v>0.74145452539080836</v>
      </c>
      <c r="V193" s="59">
        <f t="shared" si="96"/>
        <v>0.20906585970196906</v>
      </c>
      <c r="W193" s="59">
        <f t="shared" si="97"/>
        <v>1.1836820968082853E-2</v>
      </c>
      <c r="X193" s="59">
        <f t="shared" si="98"/>
        <v>1.6782375772153281E-2</v>
      </c>
      <c r="Y193" s="59">
        <f t="shared" si="99"/>
        <v>1.8943947707894714E-2</v>
      </c>
      <c r="Z193" s="59">
        <f t="shared" si="100"/>
        <v>7.6734173990574452E-3</v>
      </c>
      <c r="AA193" s="59">
        <f t="shared" si="65"/>
        <v>1.1763172785862912E-2</v>
      </c>
      <c r="AB193" s="59">
        <f t="shared" si="66"/>
        <v>1.2647508052767683E-2</v>
      </c>
      <c r="AC193" s="60">
        <f t="shared" si="67"/>
        <v>14554003.486658407</v>
      </c>
      <c r="AD193" s="60">
        <f t="shared" si="68"/>
        <v>15054000</v>
      </c>
      <c r="AE193" s="59">
        <f>0</f>
        <v>0</v>
      </c>
      <c r="AF193" s="60">
        <f t="shared" si="69"/>
        <v>15054000</v>
      </c>
      <c r="AG193" s="60">
        <f>1</f>
        <v>1</v>
      </c>
      <c r="AH193" s="60">
        <f t="shared" si="70"/>
        <v>15054000</v>
      </c>
      <c r="AI193" s="60">
        <f t="shared" si="71"/>
        <v>94.091483073347476</v>
      </c>
      <c r="AJ193" s="60">
        <f t="shared" si="72"/>
        <v>0</v>
      </c>
      <c r="AK193" s="59">
        <f t="shared" si="82"/>
        <v>-6.7690592679754746E-2</v>
      </c>
    </row>
    <row r="194" spans="1:37" ht="12.75" customHeight="1" x14ac:dyDescent="0.25">
      <c r="A194" s="62" t="s">
        <v>646</v>
      </c>
      <c r="B194" s="62" t="s">
        <v>435</v>
      </c>
      <c r="C194" s="62" t="s">
        <v>439</v>
      </c>
      <c r="D194" s="124">
        <v>2018</v>
      </c>
      <c r="E194" s="62" t="s">
        <v>675</v>
      </c>
      <c r="F194" s="64">
        <f>SIM_Parametres!$C$24</f>
        <v>1190274000</v>
      </c>
      <c r="G194" s="125">
        <f>SIM_Districts!D52*(1+SIM_Parametres!$B$6)^(2018-2023)</f>
        <v>263087.91575811058</v>
      </c>
      <c r="H194" s="125">
        <f>MAX(0,MIN(100,SIM_Districts!F52+(2018-2022)*SIM_Parametres!$B$7))</f>
        <v>40.619999999999997</v>
      </c>
      <c r="I194" s="125">
        <f>SIM_Districts!G52*(1+SIM_Parametres!$B$8)^(2018-2023)</f>
        <v>54.503039606177268</v>
      </c>
      <c r="J194" s="125">
        <f>SIM_Districts!H52*(1+SIM_Parametres!$B$9)^(2018-2023)</f>
        <v>38.781351081305345</v>
      </c>
      <c r="K194" s="125">
        <f>MAX(0,MIN(100,SIM_Districts!I52+(2018-2023)*SIM_Parametres!$B$10))</f>
        <v>75.900000000000006</v>
      </c>
      <c r="L194" s="125">
        <f>SIM_Districts!E52</f>
        <v>5859</v>
      </c>
      <c r="M194" s="61">
        <f t="shared" si="64"/>
        <v>44.903211428248945</v>
      </c>
      <c r="N194" s="125">
        <f>SIM_Districts!J52</f>
        <v>89545</v>
      </c>
      <c r="O194" s="63">
        <v>18294000</v>
      </c>
      <c r="P194" s="126">
        <f>SIM_Parametres!$D$24</f>
        <v>0</v>
      </c>
      <c r="Q194" s="126">
        <f>SIM_Parametres!$B$12</f>
        <v>0.2</v>
      </c>
      <c r="R194" s="66">
        <f t="shared" si="92"/>
        <v>1.6825801146924575E-2</v>
      </c>
      <c r="S194" s="66">
        <f t="shared" si="93"/>
        <v>0.49645390070921985</v>
      </c>
      <c r="T194" s="66">
        <f t="shared" si="94"/>
        <v>0.84806629834254132</v>
      </c>
      <c r="U194" s="66">
        <f t="shared" si="95"/>
        <v>0.70194995546768002</v>
      </c>
      <c r="V194" s="66">
        <f t="shared" si="96"/>
        <v>0.20906585970196906</v>
      </c>
      <c r="W194" s="66">
        <f t="shared" si="97"/>
        <v>1.1836820968082853E-2</v>
      </c>
      <c r="X194" s="66">
        <f t="shared" si="98"/>
        <v>1.6782375772153281E-2</v>
      </c>
      <c r="Y194" s="66">
        <f t="shared" si="99"/>
        <v>1.7934617423677812E-2</v>
      </c>
      <c r="Z194" s="66">
        <f t="shared" si="100"/>
        <v>7.6734173990574452E-3</v>
      </c>
      <c r="AA194" s="66">
        <f t="shared" si="65"/>
        <v>1.5668761940326927E-2</v>
      </c>
      <c r="AB194" s="66">
        <f t="shared" si="66"/>
        <v>1.5369570367831273E-2</v>
      </c>
      <c r="AC194" s="67">
        <f t="shared" si="67"/>
        <v>18272980.466850806</v>
      </c>
      <c r="AD194" s="67">
        <f t="shared" si="68"/>
        <v>18294000</v>
      </c>
      <c r="AE194" s="66">
        <f>0</f>
        <v>0</v>
      </c>
      <c r="AF194" s="67">
        <f t="shared" si="69"/>
        <v>18294000</v>
      </c>
      <c r="AG194" s="67">
        <f>1</f>
        <v>1</v>
      </c>
      <c r="AH194" s="67">
        <f t="shared" si="70"/>
        <v>18294000</v>
      </c>
      <c r="AI194" s="67">
        <f t="shared" si="71"/>
        <v>69.535690939221809</v>
      </c>
      <c r="AJ194" s="67">
        <f t="shared" si="72"/>
        <v>0</v>
      </c>
      <c r="AK194" s="66">
        <f t="shared" si="82"/>
        <v>-4.7385961258071263E-2</v>
      </c>
    </row>
    <row r="195" spans="1:37" ht="12.75" customHeight="1" x14ac:dyDescent="0.25">
      <c r="A195" s="55" t="s">
        <v>647</v>
      </c>
      <c r="B195" s="55" t="s">
        <v>435</v>
      </c>
      <c r="C195" s="55" t="s">
        <v>440</v>
      </c>
      <c r="D195" s="128">
        <v>2018</v>
      </c>
      <c r="E195" s="55" t="s">
        <v>675</v>
      </c>
      <c r="F195" s="57">
        <f>SIM_Parametres!$C$24</f>
        <v>1190274000</v>
      </c>
      <c r="G195" s="129">
        <f>SIM_Districts!D53*(1+SIM_Parametres!$B$6)^(2018-2023)</f>
        <v>190972.0961660257</v>
      </c>
      <c r="H195" s="129">
        <f>MAX(0,MIN(100,SIM_Districts!F53+(2018-2022)*SIM_Parametres!$B$7))</f>
        <v>40.619999999999997</v>
      </c>
      <c r="I195" s="129">
        <f>SIM_Districts!G53*(1+SIM_Parametres!$B$8)^(2018-2023)</f>
        <v>54.503039606177268</v>
      </c>
      <c r="J195" s="129">
        <f>SIM_Districts!H53*(1+SIM_Parametres!$B$9)^(2018-2023)</f>
        <v>38.781351081305345</v>
      </c>
      <c r="K195" s="129">
        <f>MAX(0,MIN(100,SIM_Districts!I53+(2018-2023)*SIM_Parametres!$B$10))</f>
        <v>75.900000000000006</v>
      </c>
      <c r="L195" s="129">
        <f>SIM_Districts!E53</f>
        <v>3143</v>
      </c>
      <c r="M195" s="68">
        <f t="shared" si="64"/>
        <v>60.761086912512155</v>
      </c>
      <c r="N195" s="129">
        <f>SIM_Districts!J53</f>
        <v>89545</v>
      </c>
      <c r="O195" s="56">
        <v>16541000</v>
      </c>
      <c r="P195" s="130">
        <f>SIM_Parametres!$D$24</f>
        <v>0</v>
      </c>
      <c r="Q195" s="130">
        <f>SIM_Parametres!$B$12</f>
        <v>0.2</v>
      </c>
      <c r="R195" s="59">
        <f t="shared" si="92"/>
        <v>1.2213630205863401E-2</v>
      </c>
      <c r="S195" s="59">
        <f t="shared" si="93"/>
        <v>0.49645390070921985</v>
      </c>
      <c r="T195" s="59">
        <f t="shared" si="94"/>
        <v>0.84806629834254132</v>
      </c>
      <c r="U195" s="59">
        <f t="shared" si="95"/>
        <v>0.60760654420796101</v>
      </c>
      <c r="V195" s="59">
        <f t="shared" si="96"/>
        <v>0.20906585970196906</v>
      </c>
      <c r="W195" s="59">
        <f t="shared" si="97"/>
        <v>1.1836820968082853E-2</v>
      </c>
      <c r="X195" s="59">
        <f t="shared" si="98"/>
        <v>1.6782375772153281E-2</v>
      </c>
      <c r="Y195" s="59">
        <f t="shared" si="99"/>
        <v>1.5524170675717779E-2</v>
      </c>
      <c r="Z195" s="59">
        <f t="shared" si="100"/>
        <v>7.6734173990574452E-3</v>
      </c>
      <c r="AA195" s="59">
        <f t="shared" si="65"/>
        <v>1.2780937038292221E-2</v>
      </c>
      <c r="AB195" s="59">
        <f t="shared" si="66"/>
        <v>1.3896800232551496E-2</v>
      </c>
      <c r="AC195" s="60">
        <f t="shared" si="67"/>
        <v>15523138.148895243</v>
      </c>
      <c r="AD195" s="60">
        <f t="shared" si="68"/>
        <v>16541000</v>
      </c>
      <c r="AE195" s="59">
        <f>0</f>
        <v>0</v>
      </c>
      <c r="AF195" s="60">
        <f t="shared" si="69"/>
        <v>16541000</v>
      </c>
      <c r="AG195" s="60">
        <f>1</f>
        <v>1</v>
      </c>
      <c r="AH195" s="60">
        <f t="shared" si="70"/>
        <v>16541000</v>
      </c>
      <c r="AI195" s="60">
        <f t="shared" si="71"/>
        <v>86.614748081414604</v>
      </c>
      <c r="AJ195" s="60">
        <f t="shared" si="72"/>
        <v>0</v>
      </c>
      <c r="AK195" s="59">
        <f t="shared" si="82"/>
        <v>-6.1610030067510091E-2</v>
      </c>
    </row>
    <row r="196" spans="1:37" ht="12.75" customHeight="1" x14ac:dyDescent="0.25">
      <c r="A196" s="62" t="s">
        <v>648</v>
      </c>
      <c r="B196" s="62" t="s">
        <v>435</v>
      </c>
      <c r="C196" s="62" t="s">
        <v>435</v>
      </c>
      <c r="D196" s="124">
        <v>2018</v>
      </c>
      <c r="E196" s="62" t="s">
        <v>675</v>
      </c>
      <c r="F196" s="64">
        <f>SIM_Parametres!$C$24</f>
        <v>1190274000</v>
      </c>
      <c r="G196" s="125">
        <f>SIM_Districts!D54*(1+SIM_Parametres!$B$6)^(2018-2023)</f>
        <v>338345.35654292261</v>
      </c>
      <c r="H196" s="125">
        <f>MAX(0,MIN(100,SIM_Districts!F54+(2018-2022)*SIM_Parametres!$B$7))</f>
        <v>40.619999999999997</v>
      </c>
      <c r="I196" s="125">
        <f>SIM_Districts!G54*(1+SIM_Parametres!$B$8)^(2018-2023)</f>
        <v>54.503039606177268</v>
      </c>
      <c r="J196" s="125">
        <f>SIM_Districts!H54*(1+SIM_Parametres!$B$9)^(2018-2023)</f>
        <v>38.781351081305345</v>
      </c>
      <c r="K196" s="125">
        <f>MAX(0,MIN(100,SIM_Districts!I54+(2018-2023)*SIM_Parametres!$B$10))</f>
        <v>75.900000000000006</v>
      </c>
      <c r="L196" s="125">
        <f>SIM_Districts!E54</f>
        <v>802</v>
      </c>
      <c r="M196" s="61">
        <f t="shared" ref="M196:M259" si="101">IFERROR(G196/L196,0)</f>
        <v>421.87700317072643</v>
      </c>
      <c r="N196" s="125">
        <f>SIM_Districts!J54</f>
        <v>89545</v>
      </c>
      <c r="O196" s="63">
        <v>16379000</v>
      </c>
      <c r="P196" s="126">
        <f>SIM_Parametres!$D$24</f>
        <v>0</v>
      </c>
      <c r="Q196" s="126">
        <f>SIM_Parametres!$B$12</f>
        <v>0.2</v>
      </c>
      <c r="R196" s="66">
        <f t="shared" si="92"/>
        <v>2.1638894632510338E-2</v>
      </c>
      <c r="S196" s="66">
        <f t="shared" si="93"/>
        <v>0.49645390070921985</v>
      </c>
      <c r="T196" s="66">
        <f t="shared" si="94"/>
        <v>0.84806629834254132</v>
      </c>
      <c r="U196" s="66">
        <f t="shared" si="95"/>
        <v>0.52059263207206896</v>
      </c>
      <c r="V196" s="66">
        <f t="shared" si="96"/>
        <v>0.20906585970196906</v>
      </c>
      <c r="W196" s="66">
        <f t="shared" si="97"/>
        <v>1.1836820968082853E-2</v>
      </c>
      <c r="X196" s="66">
        <f t="shared" si="98"/>
        <v>1.6782375772153281E-2</v>
      </c>
      <c r="Y196" s="66">
        <f t="shared" si="99"/>
        <v>1.3300990500921697E-2</v>
      </c>
      <c r="Z196" s="66">
        <f t="shared" si="100"/>
        <v>7.6734173990574452E-3</v>
      </c>
      <c r="AA196" s="66">
        <f t="shared" ref="AA196:AA259" si="102">0.6*R196+0.15*W196+0.15*X196+0.05*Y196+0.05*Z196</f>
        <v>1.8324936685540579E-2</v>
      </c>
      <c r="AB196" s="66">
        <f t="shared" ref="AB196:AB216" si="103">IFERROR(O196/F196,1/71)</f>
        <v>1.3760697116798316E-2</v>
      </c>
      <c r="AC196" s="67">
        <f t="shared" ref="AC196:AC259" si="104">F196*(Q196/71+(1-Q196)*AA196)</f>
        <v>20802241.057798356</v>
      </c>
      <c r="AD196" s="67">
        <f t="shared" ref="AD196:AD216" si="105">O196</f>
        <v>16379000</v>
      </c>
      <c r="AE196" s="66">
        <f>0</f>
        <v>0</v>
      </c>
      <c r="AF196" s="67">
        <f t="shared" ref="AF196:AF216" si="106">O196</f>
        <v>16379000</v>
      </c>
      <c r="AG196" s="67">
        <f>1</f>
        <v>1</v>
      </c>
      <c r="AH196" s="67">
        <f t="shared" ref="AH196:AH216" si="107">O196</f>
        <v>16379000</v>
      </c>
      <c r="AI196" s="67">
        <f t="shared" ref="AI196:AI259" si="108">IFERROR(AH196/G196,0)</f>
        <v>48.409117143956294</v>
      </c>
      <c r="AJ196" s="67">
        <f t="shared" ref="AJ196:AJ259" si="109">AH196-F196*AB196</f>
        <v>0</v>
      </c>
      <c r="AK196" s="66">
        <f t="shared" si="82"/>
        <v>-4.773255813953492E-2</v>
      </c>
    </row>
    <row r="197" spans="1:37" ht="12.75" customHeight="1" x14ac:dyDescent="0.25">
      <c r="A197" s="55" t="s">
        <v>649</v>
      </c>
      <c r="B197" s="55" t="s">
        <v>441</v>
      </c>
      <c r="C197" s="55" t="s">
        <v>443</v>
      </c>
      <c r="D197" s="128">
        <v>2018</v>
      </c>
      <c r="E197" s="55" t="s">
        <v>675</v>
      </c>
      <c r="F197" s="57">
        <f>SIM_Parametres!$C$24</f>
        <v>1190274000</v>
      </c>
      <c r="G197" s="129">
        <f>SIM_Districts!D55*(1+SIM_Parametres!$B$6)^(2018-2023)</f>
        <v>249223.20476670392</v>
      </c>
      <c r="H197" s="129">
        <f>MAX(0,MIN(100,SIM_Districts!F55+(2018-2022)*SIM_Parametres!$B$7))</f>
        <v>67.72</v>
      </c>
      <c r="I197" s="129">
        <f>SIM_Districts!G55*(1+SIM_Parametres!$B$8)^(2018-2023)</f>
        <v>54.503039606177268</v>
      </c>
      <c r="J197" s="129">
        <f>SIM_Districts!H55*(1+SIM_Parametres!$B$9)^(2018-2023)</f>
        <v>41.490965130654189</v>
      </c>
      <c r="K197" s="129">
        <f>MAX(0,MIN(100,SIM_Districts!I55+(2018-2023)*SIM_Parametres!$B$10))</f>
        <v>71.599999999999994</v>
      </c>
      <c r="L197" s="129">
        <f>SIM_Districts!E55</f>
        <v>2865</v>
      </c>
      <c r="M197" s="68">
        <f t="shared" si="101"/>
        <v>86.988902187331206</v>
      </c>
      <c r="N197" s="129">
        <f>SIM_Districts!J55</f>
        <v>178218</v>
      </c>
      <c r="O197" s="56">
        <v>15146000</v>
      </c>
      <c r="P197" s="130">
        <f>SIM_Parametres!$D$24</f>
        <v>0</v>
      </c>
      <c r="Q197" s="130">
        <f>SIM_Parametres!$B$12</f>
        <v>0.2</v>
      </c>
      <c r="R197" s="59">
        <f t="shared" si="92"/>
        <v>1.5939082844304106E-2</v>
      </c>
      <c r="S197" s="59">
        <f t="shared" si="93"/>
        <v>0.97695035460992907</v>
      </c>
      <c r="T197" s="59">
        <f t="shared" si="94"/>
        <v>0.89226519337016574</v>
      </c>
      <c r="U197" s="59">
        <f t="shared" si="95"/>
        <v>0.59754648703547397</v>
      </c>
      <c r="V197" s="59">
        <f t="shared" si="96"/>
        <v>0.82451294081719062</v>
      </c>
      <c r="W197" s="59">
        <f t="shared" si="97"/>
        <v>2.3293172690763041E-2</v>
      </c>
      <c r="X197" s="59">
        <f t="shared" si="98"/>
        <v>1.7657027278193845E-2</v>
      </c>
      <c r="Y197" s="59">
        <f t="shared" si="99"/>
        <v>1.526713913772349E-2</v>
      </c>
      <c r="Z197" s="59">
        <f t="shared" si="100"/>
        <v>3.0262386957075536E-2</v>
      </c>
      <c r="AA197" s="59">
        <f t="shared" si="102"/>
        <v>1.7982456006665946E-2</v>
      </c>
      <c r="AB197" s="59">
        <f t="shared" si="103"/>
        <v>1.2724801180232451E-2</v>
      </c>
      <c r="AC197" s="60">
        <f t="shared" si="104"/>
        <v>20476124.379744899</v>
      </c>
      <c r="AD197" s="60">
        <f t="shared" si="105"/>
        <v>15146000</v>
      </c>
      <c r="AE197" s="59">
        <f>0</f>
        <v>0</v>
      </c>
      <c r="AF197" s="60">
        <f t="shared" si="106"/>
        <v>15146000</v>
      </c>
      <c r="AG197" s="60">
        <f>1</f>
        <v>1</v>
      </c>
      <c r="AH197" s="60">
        <f t="shared" si="107"/>
        <v>15146000</v>
      </c>
      <c r="AI197" s="60">
        <f t="shared" si="108"/>
        <v>60.772832185422153</v>
      </c>
      <c r="AJ197" s="60">
        <f t="shared" si="109"/>
        <v>0</v>
      </c>
      <c r="AK197" s="59">
        <f t="shared" si="82"/>
        <v>-2.9102564102564066E-2</v>
      </c>
    </row>
    <row r="198" spans="1:37" ht="12.75" customHeight="1" x14ac:dyDescent="0.25">
      <c r="A198" s="62" t="s">
        <v>651</v>
      </c>
      <c r="B198" s="62" t="s">
        <v>441</v>
      </c>
      <c r="C198" s="62" t="s">
        <v>441</v>
      </c>
      <c r="D198" s="124">
        <v>2018</v>
      </c>
      <c r="E198" s="62" t="s">
        <v>675</v>
      </c>
      <c r="F198" s="64">
        <f>SIM_Parametres!$C$24</f>
        <v>1190274000</v>
      </c>
      <c r="G198" s="125">
        <f>SIM_Districts!D56*(1+SIM_Parametres!$B$6)^(2018-2023)</f>
        <v>259082.82317221491</v>
      </c>
      <c r="H198" s="125">
        <f>MAX(0,MIN(100,SIM_Districts!F56+(2018-2022)*SIM_Parametres!$B$7))</f>
        <v>67.72</v>
      </c>
      <c r="I198" s="125">
        <f>SIM_Districts!G56*(1+SIM_Parametres!$B$8)^(2018-2023)</f>
        <v>54.503039606177268</v>
      </c>
      <c r="J198" s="125">
        <f>SIM_Districts!H56*(1+SIM_Parametres!$B$9)^(2018-2023)</f>
        <v>41.490965130654189</v>
      </c>
      <c r="K198" s="125">
        <f>MAX(0,MIN(100,SIM_Districts!I56+(2018-2023)*SIM_Parametres!$B$10))</f>
        <v>71.599999999999994</v>
      </c>
      <c r="L198" s="125">
        <f>SIM_Districts!E56</f>
        <v>2749</v>
      </c>
      <c r="M198" s="61">
        <f t="shared" si="101"/>
        <v>94.246207047004333</v>
      </c>
      <c r="N198" s="125">
        <f>SIM_Districts!J56</f>
        <v>178218</v>
      </c>
      <c r="O198" s="63">
        <v>17255000</v>
      </c>
      <c r="P198" s="126">
        <f>SIM_Parametres!$D$24</f>
        <v>0</v>
      </c>
      <c r="Q198" s="126">
        <f>SIM_Parametres!$B$12</f>
        <v>0.2</v>
      </c>
      <c r="R198" s="66">
        <f t="shared" si="92"/>
        <v>1.6569655245159701E-2</v>
      </c>
      <c r="S198" s="66">
        <f t="shared" si="93"/>
        <v>0.97695035460992907</v>
      </c>
      <c r="T198" s="66">
        <f t="shared" si="94"/>
        <v>0.89226519337016574</v>
      </c>
      <c r="U198" s="66">
        <f t="shared" si="95"/>
        <v>0.59340921006518599</v>
      </c>
      <c r="V198" s="66">
        <f t="shared" si="96"/>
        <v>0.82451294081719062</v>
      </c>
      <c r="W198" s="66">
        <f t="shared" si="97"/>
        <v>2.3293172690763041E-2</v>
      </c>
      <c r="X198" s="66">
        <f t="shared" si="98"/>
        <v>1.7657027278193845E-2</v>
      </c>
      <c r="Y198" s="66">
        <f t="shared" si="99"/>
        <v>1.516143291314161E-2</v>
      </c>
      <c r="Z198" s="66">
        <f t="shared" si="100"/>
        <v>3.0262386957075536E-2</v>
      </c>
      <c r="AA198" s="66">
        <f t="shared" si="102"/>
        <v>1.8355514135950209E-2</v>
      </c>
      <c r="AB198" s="66">
        <f t="shared" si="103"/>
        <v>1.4496662113093287E-2</v>
      </c>
      <c r="AC198" s="67">
        <f t="shared" si="104"/>
        <v>20831357.493165452</v>
      </c>
      <c r="AD198" s="67">
        <f t="shared" si="105"/>
        <v>17255000</v>
      </c>
      <c r="AE198" s="66">
        <f>0</f>
        <v>0</v>
      </c>
      <c r="AF198" s="67">
        <f t="shared" si="106"/>
        <v>17255000</v>
      </c>
      <c r="AG198" s="67">
        <f>1</f>
        <v>1</v>
      </c>
      <c r="AH198" s="67">
        <f t="shared" si="107"/>
        <v>17255000</v>
      </c>
      <c r="AI198" s="67">
        <f t="shared" si="108"/>
        <v>66.600324130829904</v>
      </c>
      <c r="AJ198" s="67">
        <f t="shared" si="109"/>
        <v>0</v>
      </c>
      <c r="AK198" s="66">
        <f t="shared" si="82"/>
        <v>-6.385633680555558E-2</v>
      </c>
    </row>
    <row r="199" spans="1:37" ht="12.75" customHeight="1" x14ac:dyDescent="0.25">
      <c r="A199" s="55" t="s">
        <v>652</v>
      </c>
      <c r="B199" s="55" t="s">
        <v>444</v>
      </c>
      <c r="C199" s="55" t="s">
        <v>446</v>
      </c>
      <c r="D199" s="128">
        <v>2018</v>
      </c>
      <c r="E199" s="55" t="s">
        <v>675</v>
      </c>
      <c r="F199" s="57">
        <f>SIM_Parametres!$C$24</f>
        <v>1190274000</v>
      </c>
      <c r="G199" s="129">
        <f>SIM_Districts!D57*(1+SIM_Parametres!$B$6)^(2018-2023)</f>
        <v>130613.63430509697</v>
      </c>
      <c r="H199" s="129">
        <f>MAX(0,MIN(100,SIM_Districts!F57+(2018-2022)*SIM_Parametres!$B$7))</f>
        <v>66.11999999999999</v>
      </c>
      <c r="I199" s="129">
        <f>SIM_Districts!G57*(1+SIM_Parametres!$B$8)^(2018-2023)</f>
        <v>54.503039606177268</v>
      </c>
      <c r="J199" s="129">
        <f>SIM_Districts!H57*(1+SIM_Parametres!$B$9)^(2018-2023)</f>
        <v>39.797456349811164</v>
      </c>
      <c r="K199" s="129">
        <f>MAX(0,MIN(100,SIM_Districts!I57+(2018-2023)*SIM_Parametres!$B$10))</f>
        <v>75.599999999999994</v>
      </c>
      <c r="L199" s="129">
        <f>SIM_Districts!E57</f>
        <v>1360</v>
      </c>
      <c r="M199" s="68">
        <f t="shared" si="101"/>
        <v>96.039436989041889</v>
      </c>
      <c r="N199" s="129">
        <f>SIM_Districts!J57</f>
        <v>71159</v>
      </c>
      <c r="O199" s="56">
        <v>17380000</v>
      </c>
      <c r="P199" s="130">
        <f>SIM_Parametres!$D$24</f>
        <v>0</v>
      </c>
      <c r="Q199" s="130">
        <f>SIM_Parametres!$B$12</f>
        <v>0.2</v>
      </c>
      <c r="R199" s="59">
        <f t="shared" si="92"/>
        <v>8.3534016815705325E-3</v>
      </c>
      <c r="S199" s="59">
        <f t="shared" si="93"/>
        <v>0.94858156028368779</v>
      </c>
      <c r="T199" s="59">
        <f t="shared" si="94"/>
        <v>0.86464088397790051</v>
      </c>
      <c r="U199" s="59">
        <f t="shared" si="95"/>
        <v>0.54526424876049684</v>
      </c>
      <c r="V199" s="59">
        <f t="shared" si="96"/>
        <v>8.1455312710388056E-2</v>
      </c>
      <c r="W199" s="59">
        <f t="shared" si="97"/>
        <v>2.2616782921158304E-2</v>
      </c>
      <c r="X199" s="59">
        <f t="shared" si="98"/>
        <v>1.7110370086918493E-2</v>
      </c>
      <c r="Y199" s="59">
        <f t="shared" si="99"/>
        <v>1.3931343139431056E-2</v>
      </c>
      <c r="Z199" s="59">
        <f t="shared" si="100"/>
        <v>2.9896828429499429E-3</v>
      </c>
      <c r="AA199" s="59">
        <f t="shared" si="102"/>
        <v>1.1817165259272887E-2</v>
      </c>
      <c r="AB199" s="59">
        <f t="shared" si="103"/>
        <v>1.4601679949322592E-2</v>
      </c>
      <c r="AC199" s="60">
        <f t="shared" si="104"/>
        <v>14605416.156494876</v>
      </c>
      <c r="AD199" s="60">
        <f t="shared" si="105"/>
        <v>17380000</v>
      </c>
      <c r="AE199" s="59">
        <f>0</f>
        <v>0</v>
      </c>
      <c r="AF199" s="60">
        <f t="shared" si="106"/>
        <v>17380000</v>
      </c>
      <c r="AG199" s="60">
        <f>1</f>
        <v>1</v>
      </c>
      <c r="AH199" s="60">
        <f t="shared" si="107"/>
        <v>17380000</v>
      </c>
      <c r="AI199" s="60">
        <f t="shared" si="108"/>
        <v>133.06420950972478</v>
      </c>
      <c r="AJ199" s="60">
        <f t="shared" si="109"/>
        <v>0</v>
      </c>
      <c r="AK199" s="59">
        <f t="shared" si="82"/>
        <v>-5.4458408138839065E-2</v>
      </c>
    </row>
    <row r="200" spans="1:37" ht="12.75" customHeight="1" x14ac:dyDescent="0.25">
      <c r="A200" s="62" t="s">
        <v>654</v>
      </c>
      <c r="B200" s="62" t="s">
        <v>444</v>
      </c>
      <c r="C200" s="62" t="s">
        <v>447</v>
      </c>
      <c r="D200" s="124">
        <v>2018</v>
      </c>
      <c r="E200" s="62" t="s">
        <v>675</v>
      </c>
      <c r="F200" s="64">
        <f>SIM_Parametres!$C$24</f>
        <v>1190274000</v>
      </c>
      <c r="G200" s="125">
        <f>SIM_Districts!D58*(1+SIM_Parametres!$B$6)^(2018-2023)</f>
        <v>64051.290066877336</v>
      </c>
      <c r="H200" s="125">
        <f>MAX(0,MIN(100,SIM_Districts!F58+(2018-2022)*SIM_Parametres!$B$7))</f>
        <v>66.11999999999999</v>
      </c>
      <c r="I200" s="125">
        <f>SIM_Districts!G58*(1+SIM_Parametres!$B$8)^(2018-2023)</f>
        <v>54.503039606177268</v>
      </c>
      <c r="J200" s="125">
        <f>SIM_Districts!H58*(1+SIM_Parametres!$B$9)^(2018-2023)</f>
        <v>39.797456349811164</v>
      </c>
      <c r="K200" s="125">
        <f>MAX(0,MIN(100,SIM_Districts!I58+(2018-2023)*SIM_Parametres!$B$10))</f>
        <v>75.599999999999994</v>
      </c>
      <c r="L200" s="125">
        <f>SIM_Districts!E58</f>
        <v>6089</v>
      </c>
      <c r="M200" s="61">
        <f t="shared" si="101"/>
        <v>10.519180500390432</v>
      </c>
      <c r="N200" s="125">
        <f>SIM_Districts!J58</f>
        <v>71159</v>
      </c>
      <c r="O200" s="63">
        <v>14477000</v>
      </c>
      <c r="P200" s="126">
        <f>SIM_Parametres!$D$24</f>
        <v>0</v>
      </c>
      <c r="Q200" s="126">
        <f>SIM_Parametres!$B$12</f>
        <v>0.2</v>
      </c>
      <c r="R200" s="66">
        <f t="shared" si="92"/>
        <v>4.0964035416211969E-3</v>
      </c>
      <c r="S200" s="66">
        <f t="shared" si="93"/>
        <v>0.94858156028368779</v>
      </c>
      <c r="T200" s="66">
        <f t="shared" si="94"/>
        <v>0.86464088397790051</v>
      </c>
      <c r="U200" s="66">
        <f t="shared" si="95"/>
        <v>0.71048099676349075</v>
      </c>
      <c r="V200" s="66">
        <f t="shared" si="96"/>
        <v>8.1455312710388056E-2</v>
      </c>
      <c r="W200" s="66">
        <f t="shared" si="97"/>
        <v>2.2616782921158304E-2</v>
      </c>
      <c r="X200" s="66">
        <f t="shared" si="98"/>
        <v>1.7110370086918493E-2</v>
      </c>
      <c r="Y200" s="66">
        <f t="shared" si="99"/>
        <v>1.8152583050250182E-2</v>
      </c>
      <c r="Z200" s="66">
        <f t="shared" si="100"/>
        <v>2.9896828429499429E-3</v>
      </c>
      <c r="AA200" s="66">
        <f t="shared" si="102"/>
        <v>9.4740283708442431E-3</v>
      </c>
      <c r="AB200" s="66">
        <f t="shared" si="103"/>
        <v>1.216274572073321E-2</v>
      </c>
      <c r="AC200" s="67">
        <f t="shared" si="104"/>
        <v>12374236.223104862</v>
      </c>
      <c r="AD200" s="67">
        <f t="shared" si="105"/>
        <v>14477000</v>
      </c>
      <c r="AE200" s="66">
        <f>0</f>
        <v>0</v>
      </c>
      <c r="AF200" s="67">
        <f t="shared" si="106"/>
        <v>14477000</v>
      </c>
      <c r="AG200" s="67">
        <f>1</f>
        <v>1</v>
      </c>
      <c r="AH200" s="67">
        <f t="shared" si="107"/>
        <v>14477000</v>
      </c>
      <c r="AI200" s="67">
        <f t="shared" si="108"/>
        <v>226.0219893289308</v>
      </c>
      <c r="AJ200" s="67">
        <f t="shared" si="109"/>
        <v>0</v>
      </c>
      <c r="AK200" s="66">
        <f t="shared" si="82"/>
        <v>-5.5396058984731877E-2</v>
      </c>
    </row>
    <row r="201" spans="1:37" ht="12.75" customHeight="1" x14ac:dyDescent="0.25">
      <c r="A201" s="55" t="s">
        <v>655</v>
      </c>
      <c r="B201" s="55" t="s">
        <v>444</v>
      </c>
      <c r="C201" s="55" t="s">
        <v>448</v>
      </c>
      <c r="D201" s="128">
        <v>2018</v>
      </c>
      <c r="E201" s="55" t="s">
        <v>675</v>
      </c>
      <c r="F201" s="57">
        <f>SIM_Parametres!$C$24</f>
        <v>1190274000</v>
      </c>
      <c r="G201" s="129">
        <f>SIM_Districts!D59*(1+SIM_Parametres!$B$6)^(2018-2023)</f>
        <v>112833.54204137059</v>
      </c>
      <c r="H201" s="129">
        <f>MAX(0,MIN(100,SIM_Districts!F59+(2018-2022)*SIM_Parametres!$B$7))</f>
        <v>66.11999999999999</v>
      </c>
      <c r="I201" s="129">
        <f>SIM_Districts!G59*(1+SIM_Parametres!$B$8)^(2018-2023)</f>
        <v>54.503039606177268</v>
      </c>
      <c r="J201" s="129">
        <f>SIM_Districts!H59*(1+SIM_Parametres!$B$9)^(2018-2023)</f>
        <v>39.797456349811164</v>
      </c>
      <c r="K201" s="129">
        <f>MAX(0,MIN(100,SIM_Districts!I59+(2018-2023)*SIM_Parametres!$B$10))</f>
        <v>75.599999999999994</v>
      </c>
      <c r="L201" s="129">
        <f>SIM_Districts!E59</f>
        <v>9596</v>
      </c>
      <c r="M201" s="68">
        <f t="shared" si="101"/>
        <v>11.758393293181594</v>
      </c>
      <c r="N201" s="129">
        <f>SIM_Districts!J59</f>
        <v>71159</v>
      </c>
      <c r="O201" s="56">
        <v>15220000</v>
      </c>
      <c r="P201" s="130">
        <f>SIM_Parametres!$D$24</f>
        <v>0</v>
      </c>
      <c r="Q201" s="130">
        <f>SIM_Parametres!$B$12</f>
        <v>0.2</v>
      </c>
      <c r="R201" s="59">
        <f t="shared" si="92"/>
        <v>7.2162749688465203E-3</v>
      </c>
      <c r="S201" s="59">
        <f t="shared" si="93"/>
        <v>0.94858156028368779</v>
      </c>
      <c r="T201" s="59">
        <f t="shared" si="94"/>
        <v>0.86464088397790051</v>
      </c>
      <c r="U201" s="59">
        <f t="shared" si="95"/>
        <v>0.83194467542502515</v>
      </c>
      <c r="V201" s="59">
        <f t="shared" si="96"/>
        <v>8.1455312710388056E-2</v>
      </c>
      <c r="W201" s="59">
        <f t="shared" si="97"/>
        <v>2.2616782921158304E-2</v>
      </c>
      <c r="X201" s="59">
        <f t="shared" si="98"/>
        <v>1.7110370086918493E-2</v>
      </c>
      <c r="Y201" s="59">
        <f t="shared" si="99"/>
        <v>2.1255944751036641E-2</v>
      </c>
      <c r="Z201" s="59">
        <f t="shared" si="100"/>
        <v>2.9896828429499429E-3</v>
      </c>
      <c r="AA201" s="59">
        <f t="shared" si="102"/>
        <v>1.150111931221876E-2</v>
      </c>
      <c r="AB201" s="59">
        <f t="shared" si="103"/>
        <v>1.2786971739280199E-2</v>
      </c>
      <c r="AC201" s="60">
        <f t="shared" si="104"/>
        <v>14304471.137627751</v>
      </c>
      <c r="AD201" s="60">
        <f t="shared" si="105"/>
        <v>15220000</v>
      </c>
      <c r="AE201" s="59">
        <f>0</f>
        <v>0</v>
      </c>
      <c r="AF201" s="60">
        <f t="shared" si="106"/>
        <v>15220000</v>
      </c>
      <c r="AG201" s="60">
        <f>1</f>
        <v>1</v>
      </c>
      <c r="AH201" s="60">
        <f t="shared" si="107"/>
        <v>15220000</v>
      </c>
      <c r="AI201" s="60">
        <f t="shared" si="108"/>
        <v>134.88896763002941</v>
      </c>
      <c r="AJ201" s="60">
        <f t="shared" si="109"/>
        <v>0</v>
      </c>
      <c r="AK201" s="59">
        <f t="shared" si="82"/>
        <v>-5.3247076387160974E-2</v>
      </c>
    </row>
    <row r="202" spans="1:37" ht="12.75" customHeight="1" x14ac:dyDescent="0.25">
      <c r="A202" s="62" t="s">
        <v>656</v>
      </c>
      <c r="B202" s="62" t="s">
        <v>444</v>
      </c>
      <c r="C202" s="62" t="s">
        <v>449</v>
      </c>
      <c r="D202" s="124">
        <v>2018</v>
      </c>
      <c r="E202" s="62" t="s">
        <v>675</v>
      </c>
      <c r="F202" s="64">
        <f>SIM_Parametres!$C$24</f>
        <v>1190274000</v>
      </c>
      <c r="G202" s="125">
        <f>SIM_Districts!D60*(1+SIM_Parametres!$B$6)^(2018-2023)</f>
        <v>83267.625956603355</v>
      </c>
      <c r="H202" s="125">
        <f>MAX(0,MIN(100,SIM_Districts!F60+(2018-2022)*SIM_Parametres!$B$7))</f>
        <v>66.11999999999999</v>
      </c>
      <c r="I202" s="125">
        <f>SIM_Districts!G60*(1+SIM_Parametres!$B$8)^(2018-2023)</f>
        <v>54.503039606177268</v>
      </c>
      <c r="J202" s="125">
        <f>SIM_Districts!H60*(1+SIM_Parametres!$B$9)^(2018-2023)</f>
        <v>39.797456349811164</v>
      </c>
      <c r="K202" s="125">
        <f>MAX(0,MIN(100,SIM_Districts!I60+(2018-2023)*SIM_Parametres!$B$10))</f>
        <v>75.599999999999994</v>
      </c>
      <c r="L202" s="125">
        <f>SIM_Districts!E60</f>
        <v>5363</v>
      </c>
      <c r="M202" s="61">
        <f t="shared" si="101"/>
        <v>15.526314741115673</v>
      </c>
      <c r="N202" s="125">
        <f>SIM_Districts!J60</f>
        <v>71159</v>
      </c>
      <c r="O202" s="63">
        <v>15921000</v>
      </c>
      <c r="P202" s="126">
        <f>SIM_Parametres!$D$24</f>
        <v>0</v>
      </c>
      <c r="Q202" s="126">
        <f>SIM_Parametres!$B$12</f>
        <v>0.2</v>
      </c>
      <c r="R202" s="66">
        <f t="shared" si="92"/>
        <v>5.3253852891155121E-3</v>
      </c>
      <c r="S202" s="66">
        <f t="shared" si="93"/>
        <v>0.94858156028368779</v>
      </c>
      <c r="T202" s="66">
        <f t="shared" si="94"/>
        <v>0.86464088397790051</v>
      </c>
      <c r="U202" s="66">
        <f t="shared" si="95"/>
        <v>0.68524994865574673</v>
      </c>
      <c r="V202" s="66">
        <f t="shared" si="96"/>
        <v>8.1455312710388056E-2</v>
      </c>
      <c r="W202" s="66">
        <f t="shared" si="97"/>
        <v>2.2616782921158304E-2</v>
      </c>
      <c r="X202" s="66">
        <f t="shared" si="98"/>
        <v>1.7110370086918493E-2</v>
      </c>
      <c r="Y202" s="66">
        <f t="shared" si="99"/>
        <v>1.7507937101509705E-2</v>
      </c>
      <c r="Z202" s="66">
        <f t="shared" si="100"/>
        <v>2.9896828429499429E-3</v>
      </c>
      <c r="AA202" s="66">
        <f t="shared" si="102"/>
        <v>1.0179185121903809E-2</v>
      </c>
      <c r="AB202" s="66">
        <f t="shared" si="103"/>
        <v>1.3375911764854143E-2</v>
      </c>
      <c r="AC202" s="67">
        <f t="shared" si="104"/>
        <v>13045700.0204734</v>
      </c>
      <c r="AD202" s="67">
        <f t="shared" si="105"/>
        <v>15921000</v>
      </c>
      <c r="AE202" s="66">
        <f>0</f>
        <v>0</v>
      </c>
      <c r="AF202" s="67">
        <f t="shared" si="106"/>
        <v>15921000</v>
      </c>
      <c r="AG202" s="67">
        <f>1</f>
        <v>1</v>
      </c>
      <c r="AH202" s="67">
        <f t="shared" si="107"/>
        <v>15921000</v>
      </c>
      <c r="AI202" s="67">
        <f t="shared" si="108"/>
        <v>191.20276118232982</v>
      </c>
      <c r="AJ202" s="67">
        <f t="shared" si="109"/>
        <v>0</v>
      </c>
      <c r="AK202" s="66">
        <f t="shared" si="82"/>
        <v>-5.153103776956991E-2</v>
      </c>
    </row>
    <row r="203" spans="1:37" ht="12.75" customHeight="1" x14ac:dyDescent="0.25">
      <c r="A203" s="55" t="s">
        <v>657</v>
      </c>
      <c r="B203" s="55" t="s">
        <v>444</v>
      </c>
      <c r="C203" s="55" t="s">
        <v>450</v>
      </c>
      <c r="D203" s="128">
        <v>2018</v>
      </c>
      <c r="E203" s="55" t="s">
        <v>675</v>
      </c>
      <c r="F203" s="57">
        <f>SIM_Parametres!$C$24</f>
        <v>1190274000</v>
      </c>
      <c r="G203" s="129">
        <f>SIM_Districts!D61*(1+SIM_Parametres!$B$6)^(2018-2023)</f>
        <v>105807.59349256157</v>
      </c>
      <c r="H203" s="129">
        <f>MAX(0,MIN(100,SIM_Districts!F61+(2018-2022)*SIM_Parametres!$B$7))</f>
        <v>66.11999999999999</v>
      </c>
      <c r="I203" s="129">
        <f>SIM_Districts!G61*(1+SIM_Parametres!$B$8)^(2018-2023)</f>
        <v>54.503039606177268</v>
      </c>
      <c r="J203" s="129">
        <f>SIM_Districts!H61*(1+SIM_Parametres!$B$9)^(2018-2023)</f>
        <v>39.797456349811164</v>
      </c>
      <c r="K203" s="129">
        <f>MAX(0,MIN(100,SIM_Districts!I61+(2018-2023)*SIM_Parametres!$B$10))</f>
        <v>75.599999999999994</v>
      </c>
      <c r="L203" s="129">
        <f>SIM_Districts!E61</f>
        <v>2477</v>
      </c>
      <c r="M203" s="68">
        <f t="shared" si="101"/>
        <v>42.716024825418479</v>
      </c>
      <c r="N203" s="129">
        <f>SIM_Districts!J61</f>
        <v>71159</v>
      </c>
      <c r="O203" s="56">
        <v>15477000</v>
      </c>
      <c r="P203" s="130">
        <f>SIM_Parametres!$D$24</f>
        <v>0</v>
      </c>
      <c r="Q203" s="130">
        <f>SIM_Parametres!$B$12</f>
        <v>0.2</v>
      </c>
      <c r="R203" s="59">
        <f t="shared" si="92"/>
        <v>6.7669300690242282E-3</v>
      </c>
      <c r="S203" s="59">
        <f t="shared" si="93"/>
        <v>0.94858156028368779</v>
      </c>
      <c r="T203" s="59">
        <f t="shared" si="94"/>
        <v>0.86464088397790051</v>
      </c>
      <c r="U203" s="59">
        <f t="shared" si="95"/>
        <v>0.5848318733080492</v>
      </c>
      <c r="V203" s="59">
        <f t="shared" si="96"/>
        <v>8.1455312710388056E-2</v>
      </c>
      <c r="W203" s="59">
        <f t="shared" si="97"/>
        <v>2.2616782921158304E-2</v>
      </c>
      <c r="X203" s="59">
        <f t="shared" si="98"/>
        <v>1.7110370086918493E-2</v>
      </c>
      <c r="Y203" s="59">
        <f t="shared" si="99"/>
        <v>1.4942284450982642E-2</v>
      </c>
      <c r="Z203" s="59">
        <f t="shared" si="100"/>
        <v>2.9896828429499429E-3</v>
      </c>
      <c r="AA203" s="59">
        <f t="shared" si="102"/>
        <v>1.0915829357322685E-2</v>
      </c>
      <c r="AB203" s="59">
        <f t="shared" si="103"/>
        <v>1.300288841056765E-2</v>
      </c>
      <c r="AC203" s="60">
        <f t="shared" si="104"/>
        <v>13747146.805008575</v>
      </c>
      <c r="AD203" s="60">
        <f t="shared" si="105"/>
        <v>15477000</v>
      </c>
      <c r="AE203" s="59">
        <f>0</f>
        <v>0</v>
      </c>
      <c r="AF203" s="60">
        <f t="shared" si="106"/>
        <v>15477000</v>
      </c>
      <c r="AG203" s="60">
        <f>1</f>
        <v>1</v>
      </c>
      <c r="AH203" s="60">
        <f t="shared" si="107"/>
        <v>15477000</v>
      </c>
      <c r="AI203" s="60">
        <f t="shared" si="108"/>
        <v>146.27494576831157</v>
      </c>
      <c r="AJ203" s="60">
        <f t="shared" si="109"/>
        <v>0</v>
      </c>
      <c r="AK203" s="59">
        <f t="shared" ref="AK203:AK266" si="110">IFERROR(AH203/AH132-1,0)</f>
        <v>-5.6107824602061318E-2</v>
      </c>
    </row>
    <row r="204" spans="1:37" ht="12.75" customHeight="1" x14ac:dyDescent="0.25">
      <c r="A204" s="62" t="s">
        <v>658</v>
      </c>
      <c r="B204" s="62" t="s">
        <v>444</v>
      </c>
      <c r="C204" s="62" t="s">
        <v>451</v>
      </c>
      <c r="D204" s="124">
        <v>2018</v>
      </c>
      <c r="E204" s="62" t="s">
        <v>675</v>
      </c>
      <c r="F204" s="64">
        <f>SIM_Parametres!$C$24</f>
        <v>1190274000</v>
      </c>
      <c r="G204" s="125">
        <f>SIM_Districts!D62*(1+SIM_Parametres!$B$6)^(2018-2023)</f>
        <v>354952.30085988651</v>
      </c>
      <c r="H204" s="125">
        <f>MAX(0,MIN(100,SIM_Districts!F62+(2018-2022)*SIM_Parametres!$B$7))</f>
        <v>66.11999999999999</v>
      </c>
      <c r="I204" s="125">
        <f>SIM_Districts!G62*(1+SIM_Parametres!$B$8)^(2018-2023)</f>
        <v>54.503039606177268</v>
      </c>
      <c r="J204" s="125">
        <f>SIM_Districts!H62*(1+SIM_Parametres!$B$9)^(2018-2023)</f>
        <v>39.797456349811164</v>
      </c>
      <c r="K204" s="125">
        <f>MAX(0,MIN(100,SIM_Districts!I62+(2018-2023)*SIM_Parametres!$B$10))</f>
        <v>75.599999999999994</v>
      </c>
      <c r="L204" s="125">
        <f>SIM_Districts!E62</f>
        <v>11599</v>
      </c>
      <c r="M204" s="61">
        <f t="shared" si="101"/>
        <v>30.601974382264551</v>
      </c>
      <c r="N204" s="125">
        <f>SIM_Districts!J62</f>
        <v>71159</v>
      </c>
      <c r="O204" s="63">
        <v>17147000</v>
      </c>
      <c r="P204" s="126">
        <f>SIM_Parametres!$D$24</f>
        <v>0</v>
      </c>
      <c r="Q204" s="126">
        <f>SIM_Parametres!$B$12</f>
        <v>0.2</v>
      </c>
      <c r="R204" s="66">
        <f t="shared" si="92"/>
        <v>2.2700992608124672E-2</v>
      </c>
      <c r="S204" s="66">
        <f t="shared" si="93"/>
        <v>0.94858156028368779</v>
      </c>
      <c r="T204" s="66">
        <f t="shared" si="94"/>
        <v>0.86464088397790051</v>
      </c>
      <c r="U204" s="66">
        <f t="shared" si="95"/>
        <v>0.90102051224376711</v>
      </c>
      <c r="V204" s="66">
        <f t="shared" si="96"/>
        <v>8.1455312710388056E-2</v>
      </c>
      <c r="W204" s="66">
        <f t="shared" si="97"/>
        <v>2.2616782921158304E-2</v>
      </c>
      <c r="X204" s="66">
        <f t="shared" si="98"/>
        <v>1.7110370086918493E-2</v>
      </c>
      <c r="Y204" s="66">
        <f t="shared" si="99"/>
        <v>2.3020812313054136E-2</v>
      </c>
      <c r="Z204" s="66">
        <f t="shared" si="100"/>
        <v>2.9896828429499429E-3</v>
      </c>
      <c r="AA204" s="66">
        <f t="shared" si="102"/>
        <v>2.0880193273886526E-2</v>
      </c>
      <c r="AB204" s="66">
        <f t="shared" si="103"/>
        <v>1.4405926702591169E-2</v>
      </c>
      <c r="AC204" s="67">
        <f t="shared" si="104"/>
        <v>23235405.442147862</v>
      </c>
      <c r="AD204" s="67">
        <f t="shared" si="105"/>
        <v>17147000</v>
      </c>
      <c r="AE204" s="66">
        <f>0</f>
        <v>0</v>
      </c>
      <c r="AF204" s="67">
        <f t="shared" si="106"/>
        <v>17147000</v>
      </c>
      <c r="AG204" s="67">
        <f>1</f>
        <v>1</v>
      </c>
      <c r="AH204" s="67">
        <f t="shared" si="107"/>
        <v>17147000</v>
      </c>
      <c r="AI204" s="67">
        <f t="shared" si="108"/>
        <v>48.307899282412563</v>
      </c>
      <c r="AJ204" s="67">
        <f t="shared" si="109"/>
        <v>0</v>
      </c>
      <c r="AK204" s="66">
        <f t="shared" si="110"/>
        <v>-3.6198077679725715E-2</v>
      </c>
    </row>
    <row r="205" spans="1:37" ht="12.75" customHeight="1" x14ac:dyDescent="0.25">
      <c r="A205" s="55" t="s">
        <v>659</v>
      </c>
      <c r="B205" s="55" t="s">
        <v>452</v>
      </c>
      <c r="C205" s="55" t="s">
        <v>454</v>
      </c>
      <c r="D205" s="128">
        <v>2018</v>
      </c>
      <c r="E205" s="55" t="s">
        <v>675</v>
      </c>
      <c r="F205" s="57">
        <f>SIM_Parametres!$C$24</f>
        <v>1190274000</v>
      </c>
      <c r="G205" s="129">
        <f>SIM_Districts!D63*(1+SIM_Parametres!$B$6)^(2018-2023)</f>
        <v>105296.92909220615</v>
      </c>
      <c r="H205" s="129">
        <f>MAX(0,MIN(100,SIM_Districts!F63+(2018-2022)*SIM_Parametres!$B$7))</f>
        <v>33.22</v>
      </c>
      <c r="I205" s="129">
        <f>SIM_Districts!G63*(1+SIM_Parametres!$B$8)^(2018-2023)</f>
        <v>54.503039606177268</v>
      </c>
      <c r="J205" s="129">
        <f>SIM_Districts!H63*(1+SIM_Parametres!$B$9)^(2018-2023)</f>
        <v>26.92678961540415</v>
      </c>
      <c r="K205" s="129">
        <f>MAX(0,MIN(100,SIM_Districts!I63+(2018-2023)*SIM_Parametres!$B$10))</f>
        <v>87.3</v>
      </c>
      <c r="L205" s="129">
        <f>SIM_Districts!E63</f>
        <v>393</v>
      </c>
      <c r="M205" s="68">
        <f t="shared" si="101"/>
        <v>267.93111728296731</v>
      </c>
      <c r="N205" s="129">
        <f>SIM_Districts!J63</f>
        <v>153373</v>
      </c>
      <c r="O205" s="56">
        <v>16932000</v>
      </c>
      <c r="P205" s="130">
        <f>SIM_Parametres!$D$24</f>
        <v>0</v>
      </c>
      <c r="Q205" s="130">
        <f>SIM_Parametres!$B$12</f>
        <v>0.2</v>
      </c>
      <c r="R205" s="59">
        <f t="shared" si="92"/>
        <v>6.7342705011058986E-3</v>
      </c>
      <c r="S205" s="59">
        <f t="shared" si="93"/>
        <v>0.36524822695035464</v>
      </c>
      <c r="T205" s="59">
        <f t="shared" si="94"/>
        <v>0.65469613259668513</v>
      </c>
      <c r="U205" s="59">
        <f t="shared" si="95"/>
        <v>0.50894870824452321</v>
      </c>
      <c r="V205" s="59">
        <f t="shared" si="96"/>
        <v>0.65207282116061327</v>
      </c>
      <c r="W205" s="59">
        <f t="shared" si="97"/>
        <v>8.708518283660956E-3</v>
      </c>
      <c r="X205" s="59">
        <f t="shared" si="98"/>
        <v>1.2955775433225826E-2</v>
      </c>
      <c r="Y205" s="59">
        <f t="shared" si="99"/>
        <v>1.3003491630053694E-2</v>
      </c>
      <c r="Z205" s="59">
        <f t="shared" si="100"/>
        <v>2.3933256909947777E-2</v>
      </c>
      <c r="AA205" s="59">
        <f t="shared" si="102"/>
        <v>9.1370437851966291E-3</v>
      </c>
      <c r="AB205" s="59">
        <f t="shared" si="103"/>
        <v>1.4225296024276763E-2</v>
      </c>
      <c r="AC205" s="60">
        <f t="shared" si="104"/>
        <v>12053353.030547161</v>
      </c>
      <c r="AD205" s="60">
        <f t="shared" si="105"/>
        <v>16932000</v>
      </c>
      <c r="AE205" s="59">
        <f>0</f>
        <v>0</v>
      </c>
      <c r="AF205" s="60">
        <f t="shared" si="106"/>
        <v>16932000</v>
      </c>
      <c r="AG205" s="60">
        <f>1</f>
        <v>1</v>
      </c>
      <c r="AH205" s="60">
        <f t="shared" si="107"/>
        <v>16932000</v>
      </c>
      <c r="AI205" s="60">
        <f t="shared" si="108"/>
        <v>160.80241034544349</v>
      </c>
      <c r="AJ205" s="60">
        <f t="shared" si="109"/>
        <v>0</v>
      </c>
      <c r="AK205" s="59">
        <f t="shared" si="110"/>
        <v>-0.18254236469849849</v>
      </c>
    </row>
    <row r="206" spans="1:37" ht="12.75" customHeight="1" x14ac:dyDescent="0.25">
      <c r="A206" s="62" t="s">
        <v>661</v>
      </c>
      <c r="B206" s="62" t="s">
        <v>452</v>
      </c>
      <c r="C206" s="62" t="s">
        <v>455</v>
      </c>
      <c r="D206" s="124">
        <v>2018</v>
      </c>
      <c r="E206" s="62" t="s">
        <v>675</v>
      </c>
      <c r="F206" s="64">
        <f>SIM_Parametres!$C$24</f>
        <v>1190274000</v>
      </c>
      <c r="G206" s="125">
        <f>SIM_Districts!D64*(1+SIM_Parametres!$B$6)^(2018-2023)</f>
        <v>182500.41529458883</v>
      </c>
      <c r="H206" s="125">
        <f>MAX(0,MIN(100,SIM_Districts!F64+(2018-2022)*SIM_Parametres!$B$7))</f>
        <v>33.22</v>
      </c>
      <c r="I206" s="125">
        <f>SIM_Districts!G64*(1+SIM_Parametres!$B$8)^(2018-2023)</f>
        <v>54.503039606177268</v>
      </c>
      <c r="J206" s="125">
        <f>SIM_Districts!H64*(1+SIM_Parametres!$B$9)^(2018-2023)</f>
        <v>26.92678961540415</v>
      </c>
      <c r="K206" s="125">
        <f>MAX(0,MIN(100,SIM_Districts!I64+(2018-2023)*SIM_Parametres!$B$10))</f>
        <v>87.3</v>
      </c>
      <c r="L206" s="125">
        <f>SIM_Districts!E64</f>
        <v>537</v>
      </c>
      <c r="M206" s="61">
        <f t="shared" si="101"/>
        <v>339.85179756906672</v>
      </c>
      <c r="N206" s="125">
        <f>SIM_Districts!J64</f>
        <v>153373</v>
      </c>
      <c r="O206" s="63">
        <v>17235000</v>
      </c>
      <c r="P206" s="126">
        <f>SIM_Parametres!$D$24</f>
        <v>0</v>
      </c>
      <c r="Q206" s="126">
        <f>SIM_Parametres!$B$12</f>
        <v>0.2</v>
      </c>
      <c r="R206" s="66">
        <f t="shared" si="92"/>
        <v>1.1671823421191243E-2</v>
      </c>
      <c r="S206" s="66">
        <f t="shared" si="93"/>
        <v>0.36524822695035464</v>
      </c>
      <c r="T206" s="66">
        <f t="shared" si="94"/>
        <v>0.65469613259668513</v>
      </c>
      <c r="U206" s="66">
        <f t="shared" si="95"/>
        <v>0.51275775815315705</v>
      </c>
      <c r="V206" s="66">
        <f t="shared" si="96"/>
        <v>0.65207282116061327</v>
      </c>
      <c r="W206" s="66">
        <f t="shared" si="97"/>
        <v>8.708518283660956E-3</v>
      </c>
      <c r="X206" s="66">
        <f t="shared" si="98"/>
        <v>1.2955775433225826E-2</v>
      </c>
      <c r="Y206" s="66">
        <f t="shared" si="99"/>
        <v>1.3100811748570588E-2</v>
      </c>
      <c r="Z206" s="66">
        <f t="shared" si="100"/>
        <v>2.3933256909947777E-2</v>
      </c>
      <c r="AA206" s="66">
        <f t="shared" si="102"/>
        <v>1.210444154317368E-2</v>
      </c>
      <c r="AB206" s="66">
        <f t="shared" si="103"/>
        <v>1.4479859259296599E-2</v>
      </c>
      <c r="AC206" s="67">
        <f t="shared" si="104"/>
        <v>14878966.149729861</v>
      </c>
      <c r="AD206" s="67">
        <f t="shared" si="105"/>
        <v>17235000</v>
      </c>
      <c r="AE206" s="66">
        <f>0</f>
        <v>0</v>
      </c>
      <c r="AF206" s="67">
        <f t="shared" si="106"/>
        <v>17235000</v>
      </c>
      <c r="AG206" s="67">
        <f>1</f>
        <v>1</v>
      </c>
      <c r="AH206" s="67">
        <f t="shared" si="107"/>
        <v>17235000</v>
      </c>
      <c r="AI206" s="67">
        <f t="shared" si="108"/>
        <v>94.438141262197007</v>
      </c>
      <c r="AJ206" s="67">
        <f t="shared" si="109"/>
        <v>0</v>
      </c>
      <c r="AK206" s="66">
        <f t="shared" si="110"/>
        <v>-3.6666480353250264E-2</v>
      </c>
    </row>
    <row r="207" spans="1:37" ht="12.75" customHeight="1" x14ac:dyDescent="0.25">
      <c r="A207" s="55" t="s">
        <v>662</v>
      </c>
      <c r="B207" s="55" t="s">
        <v>452</v>
      </c>
      <c r="C207" s="55" t="s">
        <v>456</v>
      </c>
      <c r="D207" s="128">
        <v>2018</v>
      </c>
      <c r="E207" s="55" t="s">
        <v>675</v>
      </c>
      <c r="F207" s="57">
        <f>SIM_Parametres!$C$24</f>
        <v>1190274000</v>
      </c>
      <c r="G207" s="129">
        <f>SIM_Districts!D65*(1+SIM_Parametres!$B$6)^(2018-2023)</f>
        <v>475185.30105370446</v>
      </c>
      <c r="H207" s="129">
        <f>MAX(0,MIN(100,SIM_Districts!F65+(2018-2022)*SIM_Parametres!$B$7))</f>
        <v>33.22</v>
      </c>
      <c r="I207" s="129">
        <f>SIM_Districts!G65*(1+SIM_Parametres!$B$8)^(2018-2023)</f>
        <v>54.503039606177268</v>
      </c>
      <c r="J207" s="129">
        <f>SIM_Districts!H65*(1+SIM_Parametres!$B$9)^(2018-2023)</f>
        <v>26.92678961540415</v>
      </c>
      <c r="K207" s="129">
        <f>MAX(0,MIN(100,SIM_Districts!I65+(2018-2023)*SIM_Parametres!$B$10))</f>
        <v>87.3</v>
      </c>
      <c r="L207" s="129">
        <f>SIM_Districts!E65</f>
        <v>487</v>
      </c>
      <c r="M207" s="68">
        <f t="shared" si="101"/>
        <v>975.73983789261695</v>
      </c>
      <c r="N207" s="129">
        <f>SIM_Districts!J65</f>
        <v>153373</v>
      </c>
      <c r="O207" s="56">
        <v>15608000</v>
      </c>
      <c r="P207" s="130">
        <f>SIM_Parametres!$D$24</f>
        <v>0</v>
      </c>
      <c r="Q207" s="130">
        <f>SIM_Parametres!$B$12</f>
        <v>0.2</v>
      </c>
      <c r="R207" s="59">
        <f t="shared" si="92"/>
        <v>3.0390500302652668E-2</v>
      </c>
      <c r="S207" s="59">
        <f t="shared" si="93"/>
        <v>0.36524822695035464</v>
      </c>
      <c r="T207" s="59">
        <f t="shared" si="94"/>
        <v>0.65469613259668513</v>
      </c>
      <c r="U207" s="59">
        <f t="shared" si="95"/>
        <v>0.50060006219339404</v>
      </c>
      <c r="V207" s="59">
        <f t="shared" si="96"/>
        <v>0.65207282116061327</v>
      </c>
      <c r="W207" s="59">
        <f t="shared" si="97"/>
        <v>8.708518283660956E-3</v>
      </c>
      <c r="X207" s="59">
        <f t="shared" si="98"/>
        <v>1.2955775433225826E-2</v>
      </c>
      <c r="Y207" s="59">
        <f t="shared" si="99"/>
        <v>1.2790186148991385E-2</v>
      </c>
      <c r="Z207" s="59">
        <f t="shared" si="100"/>
        <v>2.3933256909947777E-2</v>
      </c>
      <c r="AA207" s="59">
        <f t="shared" si="102"/>
        <v>2.3320116392071575E-2</v>
      </c>
      <c r="AB207" s="59">
        <f t="shared" si="103"/>
        <v>1.3112947102935963E-2</v>
      </c>
      <c r="AC207" s="60">
        <f t="shared" si="104"/>
        <v>25558747.081807535</v>
      </c>
      <c r="AD207" s="60">
        <f t="shared" si="105"/>
        <v>15608000</v>
      </c>
      <c r="AE207" s="59">
        <f>0</f>
        <v>0</v>
      </c>
      <c r="AF207" s="60">
        <f t="shared" si="106"/>
        <v>15608000</v>
      </c>
      <c r="AG207" s="60">
        <f>1</f>
        <v>1</v>
      </c>
      <c r="AH207" s="60">
        <f t="shared" si="107"/>
        <v>15608000</v>
      </c>
      <c r="AI207" s="60">
        <f t="shared" si="108"/>
        <v>32.846133845869986</v>
      </c>
      <c r="AJ207" s="60">
        <f t="shared" si="109"/>
        <v>0</v>
      </c>
      <c r="AK207" s="59">
        <f t="shared" si="110"/>
        <v>-4.8060502561600438E-2</v>
      </c>
    </row>
    <row r="208" spans="1:37" ht="12.75" customHeight="1" x14ac:dyDescent="0.25">
      <c r="A208" s="62" t="s">
        <v>663</v>
      </c>
      <c r="B208" s="62" t="s">
        <v>452</v>
      </c>
      <c r="C208" s="62" t="s">
        <v>457</v>
      </c>
      <c r="D208" s="124">
        <v>2018</v>
      </c>
      <c r="E208" s="62" t="s">
        <v>675</v>
      </c>
      <c r="F208" s="64">
        <f>SIM_Parametres!$C$24</f>
        <v>1190274000</v>
      </c>
      <c r="G208" s="125">
        <f>SIM_Districts!D66*(1+SIM_Parametres!$B$6)^(2018-2023)</f>
        <v>95244.948927777485</v>
      </c>
      <c r="H208" s="125">
        <f>MAX(0,MIN(100,SIM_Districts!F66+(2018-2022)*SIM_Parametres!$B$7))</f>
        <v>33.22</v>
      </c>
      <c r="I208" s="125">
        <f>SIM_Districts!G66*(1+SIM_Parametres!$B$8)^(2018-2023)</f>
        <v>54.503039606177268</v>
      </c>
      <c r="J208" s="125">
        <f>SIM_Districts!H66*(1+SIM_Parametres!$B$9)^(2018-2023)</f>
        <v>26.92678961540415</v>
      </c>
      <c r="K208" s="125">
        <f>MAX(0,MIN(100,SIM_Districts!I66+(2018-2023)*SIM_Parametres!$B$10))</f>
        <v>87.3</v>
      </c>
      <c r="L208" s="125">
        <f>SIM_Districts!E66</f>
        <v>230</v>
      </c>
      <c r="M208" s="61">
        <f t="shared" si="101"/>
        <v>414.10847359903255</v>
      </c>
      <c r="N208" s="125">
        <f>SIM_Districts!J66</f>
        <v>153373</v>
      </c>
      <c r="O208" s="63">
        <v>15326000</v>
      </c>
      <c r="P208" s="126">
        <f>SIM_Parametres!$D$24</f>
        <v>0</v>
      </c>
      <c r="Q208" s="126">
        <f>SIM_Parametres!$B$12</f>
        <v>0.2</v>
      </c>
      <c r="R208" s="66">
        <f t="shared" si="92"/>
        <v>6.091395594091881E-3</v>
      </c>
      <c r="S208" s="66">
        <f t="shared" si="93"/>
        <v>0.36524822695035464</v>
      </c>
      <c r="T208" s="66">
        <f t="shared" si="94"/>
        <v>0.65469613259668513</v>
      </c>
      <c r="U208" s="66">
        <f t="shared" si="95"/>
        <v>0.50090567337352976</v>
      </c>
      <c r="V208" s="66">
        <f t="shared" si="96"/>
        <v>0.65207282116061327</v>
      </c>
      <c r="W208" s="66">
        <f t="shared" si="97"/>
        <v>8.708518283660956E-3</v>
      </c>
      <c r="X208" s="66">
        <f t="shared" si="98"/>
        <v>1.2955775433225826E-2</v>
      </c>
      <c r="Y208" s="66">
        <f t="shared" si="99"/>
        <v>1.2797994425854201E-2</v>
      </c>
      <c r="Z208" s="66">
        <f t="shared" si="100"/>
        <v>2.3933256909947777E-2</v>
      </c>
      <c r="AA208" s="66">
        <f t="shared" si="102"/>
        <v>8.7410439807782455E-3</v>
      </c>
      <c r="AB208" s="66">
        <f t="shared" si="103"/>
        <v>1.2876026864402651E-2</v>
      </c>
      <c r="AC208" s="67">
        <f t="shared" si="104"/>
        <v>11676274.413583731</v>
      </c>
      <c r="AD208" s="67">
        <f t="shared" si="105"/>
        <v>15326000</v>
      </c>
      <c r="AE208" s="66">
        <f>0</f>
        <v>0</v>
      </c>
      <c r="AF208" s="67">
        <f t="shared" si="106"/>
        <v>15326000</v>
      </c>
      <c r="AG208" s="67">
        <f>1</f>
        <v>1</v>
      </c>
      <c r="AH208" s="67">
        <f t="shared" si="107"/>
        <v>15326000</v>
      </c>
      <c r="AI208" s="67">
        <f t="shared" si="108"/>
        <v>160.91142021212514</v>
      </c>
      <c r="AJ208" s="67">
        <f t="shared" si="109"/>
        <v>0</v>
      </c>
      <c r="AK208" s="66">
        <f t="shared" si="110"/>
        <v>-2.3510672188595039E-2</v>
      </c>
    </row>
    <row r="209" spans="1:37" ht="12.75" customHeight="1" x14ac:dyDescent="0.25">
      <c r="A209" s="55" t="s">
        <v>664</v>
      </c>
      <c r="B209" s="55" t="s">
        <v>452</v>
      </c>
      <c r="C209" s="55" t="s">
        <v>458</v>
      </c>
      <c r="D209" s="128">
        <v>2018</v>
      </c>
      <c r="E209" s="55" t="s">
        <v>675</v>
      </c>
      <c r="F209" s="57">
        <f>SIM_Parametres!$C$24</f>
        <v>1190274000</v>
      </c>
      <c r="G209" s="129">
        <f>SIM_Districts!D67*(1+SIM_Parametres!$B$6)^(2018-2023)</f>
        <v>157812.55188551405</v>
      </c>
      <c r="H209" s="129">
        <f>MAX(0,MIN(100,SIM_Districts!F67+(2018-2022)*SIM_Parametres!$B$7))</f>
        <v>33.22</v>
      </c>
      <c r="I209" s="129">
        <f>SIM_Districts!G67*(1+SIM_Parametres!$B$8)^(2018-2023)</f>
        <v>54.503039606177268</v>
      </c>
      <c r="J209" s="129">
        <f>SIM_Districts!H67*(1+SIM_Parametres!$B$9)^(2018-2023)</f>
        <v>26.92678961540415</v>
      </c>
      <c r="K209" s="129">
        <f>MAX(0,MIN(100,SIM_Districts!I67+(2018-2023)*SIM_Parametres!$B$10))</f>
        <v>87.3</v>
      </c>
      <c r="L209" s="129">
        <f>SIM_Districts!E67</f>
        <v>557</v>
      </c>
      <c r="M209" s="68">
        <f t="shared" si="101"/>
        <v>283.32594593449562</v>
      </c>
      <c r="N209" s="129">
        <f>SIM_Districts!J67</f>
        <v>153373</v>
      </c>
      <c r="O209" s="56">
        <v>14575000</v>
      </c>
      <c r="P209" s="130">
        <f>SIM_Parametres!$D$24</f>
        <v>0</v>
      </c>
      <c r="Q209" s="130">
        <f>SIM_Parametres!$B$12</f>
        <v>0.2</v>
      </c>
      <c r="R209" s="59">
        <f t="shared" si="92"/>
        <v>1.0092909850544958E-2</v>
      </c>
      <c r="S209" s="59">
        <f t="shared" si="93"/>
        <v>0.36524822695035464</v>
      </c>
      <c r="T209" s="59">
        <f t="shared" si="94"/>
        <v>0.65469613259668513</v>
      </c>
      <c r="U209" s="59">
        <f t="shared" si="95"/>
        <v>0.51437733390901996</v>
      </c>
      <c r="V209" s="59">
        <f t="shared" si="96"/>
        <v>0.65207282116061327</v>
      </c>
      <c r="W209" s="59">
        <f t="shared" si="97"/>
        <v>8.708518283660956E-3</v>
      </c>
      <c r="X209" s="59">
        <f t="shared" si="98"/>
        <v>1.2955775433225826E-2</v>
      </c>
      <c r="Y209" s="59">
        <f t="shared" si="99"/>
        <v>1.3142191438595232E-2</v>
      </c>
      <c r="Z209" s="59">
        <f t="shared" si="100"/>
        <v>2.3933256909947777E-2</v>
      </c>
      <c r="AA209" s="59">
        <f t="shared" si="102"/>
        <v>1.1159162385287143E-2</v>
      </c>
      <c r="AB209" s="59">
        <f t="shared" si="103"/>
        <v>1.2245079704336985E-2</v>
      </c>
      <c r="AC209" s="60">
        <f t="shared" si="104"/>
        <v>13978853.186230469</v>
      </c>
      <c r="AD209" s="60">
        <f t="shared" si="105"/>
        <v>14575000</v>
      </c>
      <c r="AE209" s="59">
        <f>0</f>
        <v>0</v>
      </c>
      <c r="AF209" s="60">
        <f t="shared" si="106"/>
        <v>14575000</v>
      </c>
      <c r="AG209" s="60">
        <f>1</f>
        <v>1</v>
      </c>
      <c r="AH209" s="60">
        <f t="shared" si="107"/>
        <v>14575000</v>
      </c>
      <c r="AI209" s="60">
        <f t="shared" si="108"/>
        <v>92.356405278672071</v>
      </c>
      <c r="AJ209" s="60">
        <f t="shared" si="109"/>
        <v>0</v>
      </c>
      <c r="AK209" s="59">
        <f t="shared" si="110"/>
        <v>-6.016249677585761E-2</v>
      </c>
    </row>
    <row r="210" spans="1:37" ht="12.75" customHeight="1" x14ac:dyDescent="0.25">
      <c r="A210" s="62" t="s">
        <v>665</v>
      </c>
      <c r="B210" s="62" t="s">
        <v>452</v>
      </c>
      <c r="C210" s="62" t="s">
        <v>459</v>
      </c>
      <c r="D210" s="124">
        <v>2018</v>
      </c>
      <c r="E210" s="62" t="s">
        <v>675</v>
      </c>
      <c r="F210" s="64">
        <f>SIM_Parametres!$C$24</f>
        <v>1190274000</v>
      </c>
      <c r="G210" s="125">
        <f>SIM_Districts!D68*(1+SIM_Parametres!$B$6)^(2018-2023)</f>
        <v>200453.02931519205</v>
      </c>
      <c r="H210" s="125">
        <f>MAX(0,MIN(100,SIM_Districts!F68+(2018-2022)*SIM_Parametres!$B$7))</f>
        <v>33.22</v>
      </c>
      <c r="I210" s="125">
        <f>SIM_Districts!G68*(1+SIM_Parametres!$B$8)^(2018-2023)</f>
        <v>54.503039606177268</v>
      </c>
      <c r="J210" s="125">
        <f>SIM_Districts!H68*(1+SIM_Parametres!$B$9)^(2018-2023)</f>
        <v>26.92678961540415</v>
      </c>
      <c r="K210" s="125">
        <f>MAX(0,MIN(100,SIM_Districts!I68+(2018-2023)*SIM_Parametres!$B$10))</f>
        <v>87.3</v>
      </c>
      <c r="L210" s="125">
        <f>SIM_Districts!E68</f>
        <v>793</v>
      </c>
      <c r="M210" s="61">
        <f t="shared" si="101"/>
        <v>252.7780949750215</v>
      </c>
      <c r="N210" s="125">
        <f>SIM_Districts!J68</f>
        <v>153373</v>
      </c>
      <c r="O210" s="63">
        <v>15397000</v>
      </c>
      <c r="P210" s="126">
        <f>SIM_Parametres!$D$24</f>
        <v>0</v>
      </c>
      <c r="Q210" s="126">
        <f>SIM_Parametres!$B$12</f>
        <v>0.2</v>
      </c>
      <c r="R210" s="66">
        <f t="shared" ref="R210:R216" si="111">IFERROR(G210/SUM($G$146:$G$216),1/71)</f>
        <v>1.2819983771725501E-2</v>
      </c>
      <c r="S210" s="66">
        <f t="shared" ref="S210:S216" si="112">IF(MAX($H$146:$H$216)=MIN($H$146:$H$216),1,(H210-MIN($H$146:$H$216))/(MAX($H$146:$H$216)-MIN($H$146:$H$216)))</f>
        <v>0.36524822695035464</v>
      </c>
      <c r="T210" s="66">
        <f t="shared" ref="T210:T216" si="113">(IF(MAX($I$146:$I$216)=MIN($I$146:$I$216),1,(I210-MIN($I$146:$I$216))/(MAX($I$146:$I$216)-MIN($I$146:$I$216)))+IF(MAX($J$146:$J$216)=MIN($J$146:$J$216),1,(J210-MIN($J$146:$J$216))/(MAX($J$146:$J$216)-MIN($J$146:$J$216))))/2</f>
        <v>0.65469613259668513</v>
      </c>
      <c r="U210" s="66">
        <f t="shared" ref="U210:U216" si="114">(IF(MAX($L$146:$L$216)=MIN($L$146:$L$216),1,(L210-MIN($L$146:$L$216))/(MAX($L$146:$L$216)-MIN($L$146:$L$216)))+IF(MAX($M$146:$M$216)=MIN($M$146:$M$216),1,(MAX($M$146:$M$216)-M210)/(MAX($M$146:$M$216)-MIN($M$146:$M$216))))/2</f>
        <v>0.52305332187907927</v>
      </c>
      <c r="V210" s="66">
        <f t="shared" ref="V210:V216" si="115">IF(MAX($N$146:$N$216)=MIN($N$146:$N$216),1,(N210-MIN($N$146:$N$216))/(MAX($N$146:$N$216)-MIN($N$146:$N$216)))</f>
        <v>0.65207282116061327</v>
      </c>
      <c r="W210" s="66">
        <f t="shared" ref="W210:W216" si="116">IFERROR(S210/SUM($S$146:$S$216),1/71)</f>
        <v>8.708518283660956E-3</v>
      </c>
      <c r="X210" s="66">
        <f t="shared" ref="X210:X216" si="117">IFERROR(T210/SUM($T$146:$T$216),1/71)</f>
        <v>1.2955775433225826E-2</v>
      </c>
      <c r="Y210" s="66">
        <f t="shared" ref="Y210:Y216" si="118">IFERROR(U210/SUM($U$146:$U$216),1/71)</f>
        <v>1.3363860410583092E-2</v>
      </c>
      <c r="Z210" s="66">
        <f t="shared" ref="Z210:Z216" si="119">IFERROR(V210/SUM($V$146:$V$216),1/71)</f>
        <v>2.3933256909947777E-2</v>
      </c>
      <c r="AA210" s="66">
        <f t="shared" si="102"/>
        <v>1.280649018659486E-2</v>
      </c>
      <c r="AB210" s="66">
        <f t="shared" si="103"/>
        <v>1.2935676995380896E-2</v>
      </c>
      <c r="AC210" s="67">
        <f t="shared" si="104"/>
        <v>15547470.347329462</v>
      </c>
      <c r="AD210" s="67">
        <f t="shared" si="105"/>
        <v>15397000</v>
      </c>
      <c r="AE210" s="66">
        <f>0</f>
        <v>0</v>
      </c>
      <c r="AF210" s="67">
        <f t="shared" si="106"/>
        <v>15397000</v>
      </c>
      <c r="AG210" s="67">
        <f>1</f>
        <v>1</v>
      </c>
      <c r="AH210" s="67">
        <f t="shared" si="107"/>
        <v>15397000</v>
      </c>
      <c r="AI210" s="67">
        <f t="shared" si="108"/>
        <v>76.81101179962603</v>
      </c>
      <c r="AJ210" s="67">
        <f t="shared" si="109"/>
        <v>0</v>
      </c>
      <c r="AK210" s="66">
        <f t="shared" si="110"/>
        <v>-3.7446861715428881E-2</v>
      </c>
    </row>
    <row r="211" spans="1:37" ht="12.75" customHeight="1" x14ac:dyDescent="0.25">
      <c r="A211" s="55" t="s">
        <v>666</v>
      </c>
      <c r="B211" s="55" t="s">
        <v>452</v>
      </c>
      <c r="C211" s="55" t="s">
        <v>452</v>
      </c>
      <c r="D211" s="128">
        <v>2018</v>
      </c>
      <c r="E211" s="55" t="s">
        <v>675</v>
      </c>
      <c r="F211" s="57">
        <f>SIM_Parametres!$C$24</f>
        <v>1190274000</v>
      </c>
      <c r="G211" s="129">
        <f>SIM_Districts!D69*(1+SIM_Parametres!$B$6)^(2018-2023)</f>
        <v>534466.36454293737</v>
      </c>
      <c r="H211" s="129">
        <f>MAX(0,MIN(100,SIM_Districts!F69+(2018-2022)*SIM_Parametres!$B$7))</f>
        <v>33.22</v>
      </c>
      <c r="I211" s="129">
        <f>SIM_Districts!G69*(1+SIM_Parametres!$B$8)^(2018-2023)</f>
        <v>54.503039606177268</v>
      </c>
      <c r="J211" s="129">
        <f>SIM_Districts!H69*(1+SIM_Parametres!$B$9)^(2018-2023)</f>
        <v>26.92678961540415</v>
      </c>
      <c r="K211" s="129">
        <f>MAX(0,MIN(100,SIM_Districts!I69+(2018-2023)*SIM_Parametres!$B$10))</f>
        <v>87.3</v>
      </c>
      <c r="L211" s="129">
        <f>SIM_Districts!E69</f>
        <v>503</v>
      </c>
      <c r="M211" s="68">
        <f t="shared" si="101"/>
        <v>1062.5573847772114</v>
      </c>
      <c r="N211" s="129">
        <f>SIM_Districts!J69</f>
        <v>153373</v>
      </c>
      <c r="O211" s="56">
        <v>19254000</v>
      </c>
      <c r="P211" s="130">
        <f>SIM_Parametres!$D$24</f>
        <v>0</v>
      </c>
      <c r="Q211" s="130">
        <f>SIM_Parametres!$B$12</f>
        <v>0.2</v>
      </c>
      <c r="R211" s="59">
        <f t="shared" si="111"/>
        <v>3.4181823758820548E-2</v>
      </c>
      <c r="S211" s="59">
        <f t="shared" si="112"/>
        <v>0.36524822695035464</v>
      </c>
      <c r="T211" s="59">
        <f t="shared" si="113"/>
        <v>0.65469613259668513</v>
      </c>
      <c r="U211" s="59">
        <f t="shared" si="114"/>
        <v>0.49973089584614427</v>
      </c>
      <c r="V211" s="59">
        <f t="shared" si="115"/>
        <v>0.65207282116061327</v>
      </c>
      <c r="W211" s="59">
        <f t="shared" si="116"/>
        <v>8.708518283660956E-3</v>
      </c>
      <c r="X211" s="59">
        <f t="shared" si="117"/>
        <v>1.2955775433225826E-2</v>
      </c>
      <c r="Y211" s="59">
        <f t="shared" si="118"/>
        <v>1.2767979201339291E-2</v>
      </c>
      <c r="Z211" s="59">
        <f t="shared" si="119"/>
        <v>2.3933256909947777E-2</v>
      </c>
      <c r="AA211" s="59">
        <f t="shared" si="102"/>
        <v>2.5593800118389697E-2</v>
      </c>
      <c r="AB211" s="59">
        <f t="shared" si="103"/>
        <v>1.6176107350072338E-2</v>
      </c>
      <c r="AC211" s="60">
        <f t="shared" si="104"/>
        <v>27723792.380735196</v>
      </c>
      <c r="AD211" s="60">
        <f t="shared" si="105"/>
        <v>19254000</v>
      </c>
      <c r="AE211" s="59">
        <f>0</f>
        <v>0</v>
      </c>
      <c r="AF211" s="60">
        <f t="shared" si="106"/>
        <v>19254000</v>
      </c>
      <c r="AG211" s="60">
        <f>1</f>
        <v>1</v>
      </c>
      <c r="AH211" s="60">
        <f t="shared" si="107"/>
        <v>19254000</v>
      </c>
      <c r="AI211" s="60">
        <f t="shared" si="108"/>
        <v>36.024717881855018</v>
      </c>
      <c r="AJ211" s="60">
        <f t="shared" si="109"/>
        <v>0</v>
      </c>
      <c r="AK211" s="59">
        <f t="shared" si="110"/>
        <v>-5.0638528672156236E-2</v>
      </c>
    </row>
    <row r="212" spans="1:37" ht="12.75" customHeight="1" x14ac:dyDescent="0.25">
      <c r="A212" s="62" t="s">
        <v>667</v>
      </c>
      <c r="B212" s="62" t="s">
        <v>452</v>
      </c>
      <c r="C212" s="62" t="s">
        <v>460</v>
      </c>
      <c r="D212" s="124">
        <v>2018</v>
      </c>
      <c r="E212" s="62" t="s">
        <v>675</v>
      </c>
      <c r="F212" s="64">
        <f>SIM_Parametres!$C$24</f>
        <v>1190274000</v>
      </c>
      <c r="G212" s="125">
        <f>SIM_Districts!D70*(1+SIM_Parametres!$B$6)^(2018-2023)</f>
        <v>374229.88197330385</v>
      </c>
      <c r="H212" s="125">
        <f>MAX(0,MIN(100,SIM_Districts!F70+(2018-2022)*SIM_Parametres!$B$7))</f>
        <v>33.22</v>
      </c>
      <c r="I212" s="125">
        <f>SIM_Districts!G70*(1+SIM_Parametres!$B$8)^(2018-2023)</f>
        <v>54.503039606177268</v>
      </c>
      <c r="J212" s="125">
        <f>SIM_Districts!H70*(1+SIM_Parametres!$B$9)^(2018-2023)</f>
        <v>26.92678961540415</v>
      </c>
      <c r="K212" s="125">
        <f>MAX(0,MIN(100,SIM_Districts!I70+(2018-2023)*SIM_Parametres!$B$10))</f>
        <v>87.3</v>
      </c>
      <c r="L212" s="125">
        <f>SIM_Districts!E70</f>
        <v>1739</v>
      </c>
      <c r="M212" s="61">
        <f t="shared" si="101"/>
        <v>215.19832200880037</v>
      </c>
      <c r="N212" s="125">
        <f>SIM_Districts!J70</f>
        <v>153373</v>
      </c>
      <c r="O212" s="63">
        <v>16945000</v>
      </c>
      <c r="P212" s="126">
        <f>SIM_Parametres!$D$24</f>
        <v>0</v>
      </c>
      <c r="Q212" s="126">
        <f>SIM_Parametres!$B$12</f>
        <v>0.2</v>
      </c>
      <c r="R212" s="66">
        <f t="shared" si="111"/>
        <v>2.393389129704163E-2</v>
      </c>
      <c r="S212" s="66">
        <f t="shared" si="112"/>
        <v>0.36524822695035464</v>
      </c>
      <c r="T212" s="66">
        <f t="shared" si="113"/>
        <v>0.65469613259668513</v>
      </c>
      <c r="U212" s="66">
        <f t="shared" si="114"/>
        <v>0.55643930835847488</v>
      </c>
      <c r="V212" s="66">
        <f t="shared" si="115"/>
        <v>0.65207282116061327</v>
      </c>
      <c r="W212" s="66">
        <f t="shared" si="116"/>
        <v>8.708518283660956E-3</v>
      </c>
      <c r="X212" s="66">
        <f t="shared" si="117"/>
        <v>1.2955775433225826E-2</v>
      </c>
      <c r="Y212" s="66">
        <f t="shared" si="118"/>
        <v>1.4216862665453396E-2</v>
      </c>
      <c r="Z212" s="66">
        <f t="shared" si="119"/>
        <v>2.3933256909947777E-2</v>
      </c>
      <c r="AA212" s="66">
        <f t="shared" si="102"/>
        <v>1.9517484814528051E-2</v>
      </c>
      <c r="AB212" s="66">
        <f t="shared" si="103"/>
        <v>1.423621787924461E-2</v>
      </c>
      <c r="AC212" s="67">
        <f t="shared" si="104"/>
        <v>21937808.283144303</v>
      </c>
      <c r="AD212" s="67">
        <f t="shared" si="105"/>
        <v>16945000</v>
      </c>
      <c r="AE212" s="66">
        <f>0</f>
        <v>0</v>
      </c>
      <c r="AF212" s="67">
        <f t="shared" si="106"/>
        <v>16945000</v>
      </c>
      <c r="AG212" s="67">
        <f>1</f>
        <v>1</v>
      </c>
      <c r="AH212" s="67">
        <f t="shared" si="107"/>
        <v>16945000</v>
      </c>
      <c r="AI212" s="67">
        <f t="shared" si="108"/>
        <v>45.279655143115463</v>
      </c>
      <c r="AJ212" s="67">
        <f t="shared" si="109"/>
        <v>0</v>
      </c>
      <c r="AK212" s="66">
        <f t="shared" si="110"/>
        <v>-4.8995397912223626E-2</v>
      </c>
    </row>
    <row r="213" spans="1:37" ht="12.75" customHeight="1" x14ac:dyDescent="0.25">
      <c r="A213" s="55" t="s">
        <v>668</v>
      </c>
      <c r="B213" s="55" t="s">
        <v>461</v>
      </c>
      <c r="C213" s="55" t="s">
        <v>463</v>
      </c>
      <c r="D213" s="128">
        <v>2018</v>
      </c>
      <c r="E213" s="55" t="s">
        <v>675</v>
      </c>
      <c r="F213" s="57">
        <f>SIM_Parametres!$C$24</f>
        <v>1190274000</v>
      </c>
      <c r="G213" s="129">
        <f>SIM_Districts!D71*(1+SIM_Parametres!$B$6)^(2018-2023)</f>
        <v>137739.64547289457</v>
      </c>
      <c r="H213" s="129">
        <f>MAX(0,MIN(100,SIM_Districts!F71+(2018-2022)*SIM_Parametres!$B$7))</f>
        <v>51.62</v>
      </c>
      <c r="I213" s="129">
        <f>SIM_Districts!G71*(1+SIM_Parametres!$B$8)^(2018-2023)</f>
        <v>54.503039606177268</v>
      </c>
      <c r="J213" s="129">
        <f>SIM_Districts!H71*(1+SIM_Parametres!$B$9)^(2018-2023)</f>
        <v>17.443140442683191</v>
      </c>
      <c r="K213" s="129">
        <f>MAX(0,MIN(100,SIM_Districts!I71+(2018-2023)*SIM_Parametres!$B$10))</f>
        <v>86.3</v>
      </c>
      <c r="L213" s="129">
        <f>SIM_Districts!E71</f>
        <v>2537</v>
      </c>
      <c r="M213" s="68">
        <f t="shared" si="101"/>
        <v>54.292331680289543</v>
      </c>
      <c r="N213" s="129">
        <f>SIM_Districts!J71</f>
        <v>69419</v>
      </c>
      <c r="O213" s="56">
        <v>21225000</v>
      </c>
      <c r="P213" s="130">
        <f>SIM_Parametres!$D$24</f>
        <v>0</v>
      </c>
      <c r="Q213" s="130">
        <f>SIM_Parametres!$B$12</f>
        <v>0.2</v>
      </c>
      <c r="R213" s="59">
        <f t="shared" si="111"/>
        <v>8.8091460913227691E-3</v>
      </c>
      <c r="S213" s="59">
        <f t="shared" si="112"/>
        <v>0.69148936170212771</v>
      </c>
      <c r="T213" s="59">
        <f t="shared" si="113"/>
        <v>0.5</v>
      </c>
      <c r="U213" s="59">
        <f t="shared" si="114"/>
        <v>0.58672050041788648</v>
      </c>
      <c r="V213" s="59">
        <f t="shared" si="115"/>
        <v>6.9378604793203735E-2</v>
      </c>
      <c r="W213" s="59">
        <f t="shared" si="116"/>
        <v>1.6487000634115404E-2</v>
      </c>
      <c r="X213" s="59">
        <f t="shared" si="117"/>
        <v>9.8944951620838582E-3</v>
      </c>
      <c r="Y213" s="59">
        <f t="shared" si="118"/>
        <v>1.4990538324933458E-2</v>
      </c>
      <c r="Z213" s="59">
        <f t="shared" si="119"/>
        <v>2.5464272067252584E-3</v>
      </c>
      <c r="AA213" s="59">
        <f t="shared" si="102"/>
        <v>1.0119560300806485E-2</v>
      </c>
      <c r="AB213" s="59">
        <f t="shared" si="103"/>
        <v>1.7832028591736021E-2</v>
      </c>
      <c r="AC213" s="60">
        <f t="shared" si="104"/>
        <v>12988924.121027963</v>
      </c>
      <c r="AD213" s="60">
        <f t="shared" si="105"/>
        <v>21225000</v>
      </c>
      <c r="AE213" s="59">
        <f>0</f>
        <v>0</v>
      </c>
      <c r="AF213" s="60">
        <f t="shared" si="106"/>
        <v>21225000</v>
      </c>
      <c r="AG213" s="60">
        <f>1</f>
        <v>1</v>
      </c>
      <c r="AH213" s="60">
        <f t="shared" si="107"/>
        <v>21225000</v>
      </c>
      <c r="AI213" s="60">
        <f t="shared" si="108"/>
        <v>154.0950677426915</v>
      </c>
      <c r="AJ213" s="60">
        <f t="shared" si="109"/>
        <v>0</v>
      </c>
      <c r="AK213" s="59">
        <f t="shared" si="110"/>
        <v>-4.0721323330018988E-2</v>
      </c>
    </row>
    <row r="214" spans="1:37" ht="12.75" customHeight="1" x14ac:dyDescent="0.25">
      <c r="A214" s="62" t="s">
        <v>670</v>
      </c>
      <c r="B214" s="62" t="s">
        <v>461</v>
      </c>
      <c r="C214" s="62" t="s">
        <v>464</v>
      </c>
      <c r="D214" s="124">
        <v>2018</v>
      </c>
      <c r="E214" s="62" t="s">
        <v>675</v>
      </c>
      <c r="F214" s="64">
        <f>SIM_Parametres!$C$24</f>
        <v>1190274000</v>
      </c>
      <c r="G214" s="125">
        <f>SIM_Districts!D72*(1+SIM_Parametres!$B$6)^(2018-2023)</f>
        <v>84120.746044359301</v>
      </c>
      <c r="H214" s="125">
        <f>MAX(0,MIN(100,SIM_Districts!F72+(2018-2022)*SIM_Parametres!$B$7))</f>
        <v>51.62</v>
      </c>
      <c r="I214" s="125">
        <f>SIM_Districts!G72*(1+SIM_Parametres!$B$8)^(2018-2023)</f>
        <v>54.503039606177268</v>
      </c>
      <c r="J214" s="125">
        <f>SIM_Districts!H72*(1+SIM_Parametres!$B$9)^(2018-2023)</f>
        <v>17.443140442683191</v>
      </c>
      <c r="K214" s="125">
        <f>MAX(0,MIN(100,SIM_Districts!I72+(2018-2023)*SIM_Parametres!$B$10))</f>
        <v>86.3</v>
      </c>
      <c r="L214" s="125">
        <f>SIM_Districts!E72</f>
        <v>1893</v>
      </c>
      <c r="M214" s="61">
        <f t="shared" si="101"/>
        <v>44.437795057770366</v>
      </c>
      <c r="N214" s="125">
        <f>SIM_Districts!J72</f>
        <v>69419</v>
      </c>
      <c r="O214" s="63">
        <v>14386000</v>
      </c>
      <c r="P214" s="126">
        <f>SIM_Parametres!$D$24</f>
        <v>0</v>
      </c>
      <c r="Q214" s="126">
        <f>SIM_Parametres!$B$12</f>
        <v>0.2</v>
      </c>
      <c r="R214" s="66">
        <f t="shared" si="111"/>
        <v>5.3799466280871821E-3</v>
      </c>
      <c r="S214" s="66">
        <f t="shared" si="112"/>
        <v>0.69148936170212771</v>
      </c>
      <c r="T214" s="66">
        <f t="shared" si="113"/>
        <v>0.5</v>
      </c>
      <c r="U214" s="66">
        <f t="shared" si="114"/>
        <v>0.56457363162952046</v>
      </c>
      <c r="V214" s="66">
        <f t="shared" si="115"/>
        <v>6.9378604793203735E-2</v>
      </c>
      <c r="W214" s="66">
        <f t="shared" si="116"/>
        <v>1.6487000634115404E-2</v>
      </c>
      <c r="X214" s="66">
        <f t="shared" si="117"/>
        <v>9.8944951620838582E-3</v>
      </c>
      <c r="Y214" s="66">
        <f t="shared" si="118"/>
        <v>1.4424692261752073E-2</v>
      </c>
      <c r="Z214" s="66">
        <f t="shared" si="119"/>
        <v>2.5464272067252584E-3</v>
      </c>
      <c r="AA214" s="66">
        <f t="shared" si="102"/>
        <v>8.0337483197060657E-3</v>
      </c>
      <c r="AB214" s="66">
        <f t="shared" si="103"/>
        <v>1.2086292735958275E-2</v>
      </c>
      <c r="AC214" s="67">
        <f t="shared" si="104"/>
        <v>11002773.905034108</v>
      </c>
      <c r="AD214" s="67">
        <f t="shared" si="105"/>
        <v>14386000</v>
      </c>
      <c r="AE214" s="66">
        <f>0</f>
        <v>0</v>
      </c>
      <c r="AF214" s="67">
        <f t="shared" si="106"/>
        <v>14386000</v>
      </c>
      <c r="AG214" s="67">
        <f>1</f>
        <v>1</v>
      </c>
      <c r="AH214" s="67">
        <f t="shared" si="107"/>
        <v>14386000</v>
      </c>
      <c r="AI214" s="67">
        <f t="shared" si="108"/>
        <v>171.01607720423505</v>
      </c>
      <c r="AJ214" s="67">
        <f t="shared" si="109"/>
        <v>0</v>
      </c>
      <c r="AK214" s="66">
        <f t="shared" si="110"/>
        <v>-6.6874229746383906E-2</v>
      </c>
    </row>
    <row r="215" spans="1:37" ht="12.75" customHeight="1" x14ac:dyDescent="0.25">
      <c r="A215" s="55" t="s">
        <v>671</v>
      </c>
      <c r="B215" s="55" t="s">
        <v>461</v>
      </c>
      <c r="C215" s="55" t="s">
        <v>465</v>
      </c>
      <c r="D215" s="128">
        <v>2018</v>
      </c>
      <c r="E215" s="55" t="s">
        <v>675</v>
      </c>
      <c r="F215" s="57">
        <f>SIM_Parametres!$C$24</f>
        <v>1190274000</v>
      </c>
      <c r="G215" s="129">
        <f>SIM_Districts!D73*(1+SIM_Parametres!$B$6)^(2018-2023)</f>
        <v>50654.975645391271</v>
      </c>
      <c r="H215" s="129">
        <f>MAX(0,MIN(100,SIM_Districts!F73+(2018-2022)*SIM_Parametres!$B$7))</f>
        <v>51.62</v>
      </c>
      <c r="I215" s="129">
        <f>SIM_Districts!G73*(1+SIM_Parametres!$B$8)^(2018-2023)</f>
        <v>54.503039606177268</v>
      </c>
      <c r="J215" s="129">
        <f>SIM_Districts!H73*(1+SIM_Parametres!$B$9)^(2018-2023)</f>
        <v>17.443140442683191</v>
      </c>
      <c r="K215" s="129">
        <f>MAX(0,MIN(100,SIM_Districts!I73+(2018-2023)*SIM_Parametres!$B$10))</f>
        <v>86.3</v>
      </c>
      <c r="L215" s="129">
        <f>SIM_Districts!E73</f>
        <v>877</v>
      </c>
      <c r="M215" s="68">
        <f t="shared" si="101"/>
        <v>57.75937929919187</v>
      </c>
      <c r="N215" s="129">
        <f>SIM_Districts!J73</f>
        <v>69419</v>
      </c>
      <c r="O215" s="56">
        <v>16015000</v>
      </c>
      <c r="P215" s="130">
        <f>SIM_Parametres!$D$24</f>
        <v>0</v>
      </c>
      <c r="Q215" s="130">
        <f>SIM_Parametres!$B$12</f>
        <v>0.2</v>
      </c>
      <c r="R215" s="59">
        <f t="shared" si="111"/>
        <v>3.2396415656555499E-3</v>
      </c>
      <c r="S215" s="59">
        <f t="shared" si="112"/>
        <v>0.69148936170212771</v>
      </c>
      <c r="T215" s="59">
        <f t="shared" si="113"/>
        <v>0.5</v>
      </c>
      <c r="U215" s="59">
        <f t="shared" si="114"/>
        <v>0.52916053895252124</v>
      </c>
      <c r="V215" s="59">
        <f t="shared" si="115"/>
        <v>6.9378604793203735E-2</v>
      </c>
      <c r="W215" s="59">
        <f t="shared" si="116"/>
        <v>1.6487000634115404E-2</v>
      </c>
      <c r="X215" s="59">
        <f t="shared" si="117"/>
        <v>9.8944951620838582E-3</v>
      </c>
      <c r="Y215" s="59">
        <f t="shared" si="118"/>
        <v>1.3519898032471051E-2</v>
      </c>
      <c r="Z215" s="59">
        <f t="shared" si="119"/>
        <v>2.5464272067252584E-3</v>
      </c>
      <c r="AA215" s="59">
        <f t="shared" si="102"/>
        <v>6.7043255707830351E-3</v>
      </c>
      <c r="AB215" s="59">
        <f t="shared" si="103"/>
        <v>1.345488517769858E-2</v>
      </c>
      <c r="AC215" s="60">
        <f t="shared" si="104"/>
        <v>9736872.0385928191</v>
      </c>
      <c r="AD215" s="60">
        <f t="shared" si="105"/>
        <v>16015000</v>
      </c>
      <c r="AE215" s="59">
        <f>0</f>
        <v>0</v>
      </c>
      <c r="AF215" s="60">
        <f t="shared" si="106"/>
        <v>16015000</v>
      </c>
      <c r="AG215" s="60">
        <f>1</f>
        <v>1</v>
      </c>
      <c r="AH215" s="60">
        <f t="shared" si="107"/>
        <v>16015000</v>
      </c>
      <c r="AI215" s="60">
        <f t="shared" si="108"/>
        <v>316.15847793734139</v>
      </c>
      <c r="AJ215" s="60">
        <f t="shared" si="109"/>
        <v>0</v>
      </c>
      <c r="AK215" s="59">
        <f t="shared" si="110"/>
        <v>-3.2910628019323651E-2</v>
      </c>
    </row>
    <row r="216" spans="1:37" ht="12.75" customHeight="1" x14ac:dyDescent="0.25">
      <c r="A216" s="62" t="s">
        <v>672</v>
      </c>
      <c r="B216" s="62" t="s">
        <v>461</v>
      </c>
      <c r="C216" s="62" t="s">
        <v>461</v>
      </c>
      <c r="D216" s="124">
        <v>2018</v>
      </c>
      <c r="E216" s="62" t="s">
        <v>675</v>
      </c>
      <c r="F216" s="64">
        <f>SIM_Parametres!$C$24</f>
        <v>1190274000</v>
      </c>
      <c r="G216" s="125">
        <f>SIM_Districts!D74*(1+SIM_Parametres!$B$6)^(2018-2023)</f>
        <v>260203.35198312995</v>
      </c>
      <c r="H216" s="125">
        <f>MAX(0,MIN(100,SIM_Districts!F74+(2018-2022)*SIM_Parametres!$B$7))</f>
        <v>51.62</v>
      </c>
      <c r="I216" s="125">
        <f>SIM_Districts!G74*(1+SIM_Parametres!$B$8)^(2018-2023)</f>
        <v>54.503039606177268</v>
      </c>
      <c r="J216" s="125">
        <f>SIM_Districts!H74*(1+SIM_Parametres!$B$9)^(2018-2023)</f>
        <v>17.443140442683191</v>
      </c>
      <c r="K216" s="125">
        <f>MAX(0,MIN(100,SIM_Districts!I74+(2018-2023)*SIM_Parametres!$B$10))</f>
        <v>86.3</v>
      </c>
      <c r="L216" s="125">
        <f>SIM_Districts!E74</f>
        <v>1136</v>
      </c>
      <c r="M216" s="61">
        <f t="shared" si="101"/>
        <v>229.05224646402283</v>
      </c>
      <c r="N216" s="125">
        <f>SIM_Districts!J74</f>
        <v>69419</v>
      </c>
      <c r="O216" s="63">
        <v>19062000</v>
      </c>
      <c r="P216" s="126">
        <f>SIM_Parametres!$D$24</f>
        <v>0</v>
      </c>
      <c r="Q216" s="126">
        <f>SIM_Parametres!$B$12</f>
        <v>0.2</v>
      </c>
      <c r="R216" s="66">
        <f t="shared" si="111"/>
        <v>1.6641318722737251E-2</v>
      </c>
      <c r="S216" s="66">
        <f t="shared" si="112"/>
        <v>0.69148936170212771</v>
      </c>
      <c r="T216" s="66">
        <f t="shared" si="113"/>
        <v>0.5</v>
      </c>
      <c r="U216" s="66">
        <f t="shared" si="114"/>
        <v>0.53532398626606015</v>
      </c>
      <c r="V216" s="66">
        <f t="shared" si="115"/>
        <v>6.9378604793203735E-2</v>
      </c>
      <c r="W216" s="66">
        <f t="shared" si="116"/>
        <v>1.6487000634115404E-2</v>
      </c>
      <c r="X216" s="66">
        <f t="shared" si="117"/>
        <v>9.8944951620838582E-3</v>
      </c>
      <c r="Y216" s="66">
        <f t="shared" si="118"/>
        <v>1.3677372320656833E-2</v>
      </c>
      <c r="Z216" s="66">
        <f t="shared" si="119"/>
        <v>2.5464272067252584E-3</v>
      </c>
      <c r="AA216" s="66">
        <f t="shared" si="102"/>
        <v>1.4753205579441344E-2</v>
      </c>
      <c r="AB216" s="66">
        <f t="shared" si="103"/>
        <v>1.6014799953624124E-2</v>
      </c>
      <c r="AC216" s="67">
        <f t="shared" si="104"/>
        <v>17401170.121333428</v>
      </c>
      <c r="AD216" s="67">
        <f t="shared" si="105"/>
        <v>19062000</v>
      </c>
      <c r="AE216" s="66">
        <f>0</f>
        <v>0</v>
      </c>
      <c r="AF216" s="67">
        <f t="shared" si="106"/>
        <v>19062000</v>
      </c>
      <c r="AG216" s="67">
        <f>1</f>
        <v>1</v>
      </c>
      <c r="AH216" s="67">
        <f t="shared" si="107"/>
        <v>19062000</v>
      </c>
      <c r="AI216" s="67">
        <f t="shared" si="108"/>
        <v>73.258087779114646</v>
      </c>
      <c r="AJ216" s="67">
        <f t="shared" si="109"/>
        <v>0</v>
      </c>
      <c r="AK216" s="66">
        <f t="shared" si="110"/>
        <v>-3.3906036186711286E-2</v>
      </c>
    </row>
    <row r="217" spans="1:37" ht="12.75" customHeight="1" x14ac:dyDescent="0.25">
      <c r="A217" s="55" t="s">
        <v>587</v>
      </c>
      <c r="B217" s="55" t="s">
        <v>376</v>
      </c>
      <c r="C217" s="55" t="s">
        <v>379</v>
      </c>
      <c r="D217" s="128">
        <v>2019</v>
      </c>
      <c r="E217" s="55" t="s">
        <v>676</v>
      </c>
      <c r="F217" s="57">
        <f>SIM_Parametres!$C$25</f>
        <v>1228362768</v>
      </c>
      <c r="G217" s="129">
        <f>SIM_Districts!D4*(1+SIM_Parametres!$B$6)^(2019-2023)</f>
        <v>403340.24573294993</v>
      </c>
      <c r="H217" s="129">
        <f>MAX(0,MIN(100,SIM_Districts!F4+(2019-2022)*SIM_Parametres!$B$7))</f>
        <v>11.790000000000001</v>
      </c>
      <c r="I217" s="129">
        <f>SIM_Districts!G4*(1+SIM_Parametres!$B$8)^(2019-2023)</f>
        <v>51.232857229806619</v>
      </c>
      <c r="J217" s="129">
        <f>SIM_Districts!H4*(1+SIM_Parametres!$B$9)^(2019-2023)</f>
        <v>15.851242188690746</v>
      </c>
      <c r="K217" s="129">
        <f>MAX(0,MIN(100,SIM_Districts!I4+(2019-2023)*SIM_Parametres!$B$10))</f>
        <v>90.9</v>
      </c>
      <c r="L217" s="129">
        <f>SIM_Districts!E4</f>
        <v>13</v>
      </c>
      <c r="M217" s="68">
        <f t="shared" si="101"/>
        <v>31026.172748688456</v>
      </c>
      <c r="N217" s="129">
        <f>N146*(1+SIM_Parametres!$B$6)/(1+SIM_Parametres!$B$11)</f>
        <v>73189</v>
      </c>
      <c r="O217" s="72"/>
      <c r="P217" s="130">
        <f>SIM_Parametres!$D$25</f>
        <v>0</v>
      </c>
      <c r="Q217" s="130">
        <f>SIM_Parametres!$B$12</f>
        <v>0.2</v>
      </c>
      <c r="R217" s="59">
        <f t="shared" ref="R217:R248" si="120">IFERROR(G217/SUM($G$217:$G$287),1/71)</f>
        <v>2.5044316606264858E-2</v>
      </c>
      <c r="S217" s="59">
        <f t="shared" ref="S217:S248" si="121">IF(MAX($H$217:$H$287)=MIN($H$217:$H$287),1,(H217-MIN($H$217:$H$287))/(MAX($H$217:$H$287)-MIN($H$217:$H$287)))</f>
        <v>0</v>
      </c>
      <c r="T217" s="59">
        <f t="shared" ref="T217:T248" si="122">(IF(MAX($I$217:$I$287)=MIN($I$217:$I$287),1,(I217-MIN($I$217:$I$287))/(MAX($I$217:$I$287)-MIN($I$217:$I$287)))+IF(MAX($J$217:$J$287)=MIN($J$217:$J$287),1,(J217-MIN($J$217:$J$287))/(MAX($J$217:$J$287)-MIN($J$217:$J$287))))/2</f>
        <v>0.50276243093922646</v>
      </c>
      <c r="U217" s="59">
        <f t="shared" ref="U217:U248" si="123">(IF(MAX($L$217:$L$287)=MIN($L$217:$L$287),1,(L217-MIN($L$217:$L$287))/(MAX($L$217:$L$287)-MIN($L$217:$L$287)))+IF(MAX($M$217:$M$287)=MIN($M$217:$M$287),1,(MAX($M$217:$M$287)-M217)/(MAX($M$217:$M$287)-MIN($M$217:$M$287))))/2</f>
        <v>6.3061112543856242E-3</v>
      </c>
      <c r="V217" s="59">
        <f t="shared" ref="V217:V248" si="124">IF(MAX($N$217:$N$287)=MIN($N$217:$N$287),1,(N217-MIN($N$217:$N$287))/(MAX($N$217:$N$287)-MIN($N$217:$N$287)))</f>
        <v>9.5544805280436421E-2</v>
      </c>
      <c r="W217" s="59">
        <f t="shared" ref="W217:W248" si="125">IFERROR(S217/SUM($S$217:$S$287),1/71)</f>
        <v>0</v>
      </c>
      <c r="X217" s="59">
        <f t="shared" ref="X217:X248" si="126">IFERROR(T217/SUM($T$217:$T$287),1/71)</f>
        <v>9.9491608812113923E-3</v>
      </c>
      <c r="Y217" s="59">
        <f t="shared" ref="Y217:Y248" si="127">IFERROR(U217/SUM($U$217:$U$287),1/71)</f>
        <v>1.611193104260586E-4</v>
      </c>
      <c r="Z217" s="59">
        <f t="shared" ref="Z217:Z248" si="128">IFERROR(V217/SUM($V$217:$V$287),1/71)</f>
        <v>3.506814418545408E-3</v>
      </c>
      <c r="AA217" s="59">
        <f t="shared" si="102"/>
        <v>1.6702360782389195E-2</v>
      </c>
      <c r="AB217" s="59">
        <f t="shared" ref="AB217:AB248" si="129">IFERROR(AH146/SUM($AH$146:$AH$216),1/71)</f>
        <v>1.5515755195862466E-2</v>
      </c>
      <c r="AC217" s="60">
        <f t="shared" si="104"/>
        <v>19873423.309499796</v>
      </c>
      <c r="AD217" s="60">
        <f t="shared" ref="AD217:AD280" si="130">F217*((1-P217)*AB217+P217*(Q217/71+(1-Q217)*AA217))</f>
        <v>19058976</v>
      </c>
      <c r="AE217" s="59">
        <f>0</f>
        <v>0</v>
      </c>
      <c r="AF217" s="60">
        <f t="shared" ref="AF217:AF280" si="131">AD217</f>
        <v>19058976</v>
      </c>
      <c r="AG217" s="60">
        <f t="shared" ref="AG217:AG248" si="132">IFERROR(F217/SUM($AF$217:$AF$287),1)</f>
        <v>1</v>
      </c>
      <c r="AH217" s="60">
        <f t="shared" ref="AH217:AH280" si="133">AF217*AG217</f>
        <v>19058976</v>
      </c>
      <c r="AI217" s="60">
        <f t="shared" si="108"/>
        <v>47.252849676247969</v>
      </c>
      <c r="AJ217" s="60">
        <f t="shared" si="109"/>
        <v>0</v>
      </c>
      <c r="AK217" s="59">
        <f t="shared" si="110"/>
        <v>3.2000000000000028E-2</v>
      </c>
    </row>
    <row r="218" spans="1:37" ht="12.75" customHeight="1" x14ac:dyDescent="0.25">
      <c r="A218" s="62" t="s">
        <v>590</v>
      </c>
      <c r="B218" s="62" t="s">
        <v>376</v>
      </c>
      <c r="C218" s="62" t="s">
        <v>381</v>
      </c>
      <c r="D218" s="124">
        <v>2019</v>
      </c>
      <c r="E218" s="62" t="s">
        <v>676</v>
      </c>
      <c r="F218" s="64">
        <f>SIM_Parametres!$C$25</f>
        <v>1228362768</v>
      </c>
      <c r="G218" s="125">
        <f>SIM_Districts!D5*(1+SIM_Parametres!$B$6)^(2019-2023)</f>
        <v>211406.60818105904</v>
      </c>
      <c r="H218" s="125">
        <f>MAX(0,MIN(100,SIM_Districts!F5+(2019-2022)*SIM_Parametres!$B$7))</f>
        <v>11.790000000000001</v>
      </c>
      <c r="I218" s="125">
        <f>SIM_Districts!G5*(1+SIM_Parametres!$B$8)^(2019-2023)</f>
        <v>51.232857229806619</v>
      </c>
      <c r="J218" s="125">
        <f>SIM_Districts!H5*(1+SIM_Parametres!$B$9)^(2019-2023)</f>
        <v>15.851242188690746</v>
      </c>
      <c r="K218" s="125">
        <f>MAX(0,MIN(100,SIM_Districts!I5+(2019-2023)*SIM_Parametres!$B$10))</f>
        <v>90.9</v>
      </c>
      <c r="L218" s="125">
        <f>SIM_Districts!E5</f>
        <v>10</v>
      </c>
      <c r="M218" s="61">
        <f t="shared" si="101"/>
        <v>21140.660818105905</v>
      </c>
      <c r="N218" s="125">
        <f>N147*(1+SIM_Parametres!$B$6)/(1+SIM_Parametres!$B$11)</f>
        <v>73189</v>
      </c>
      <c r="O218" s="132"/>
      <c r="P218" s="126">
        <f>SIM_Parametres!$D$25</f>
        <v>0</v>
      </c>
      <c r="Q218" s="126">
        <f>SIM_Parametres!$B$12</f>
        <v>0.2</v>
      </c>
      <c r="R218" s="66">
        <f t="shared" si="120"/>
        <v>1.3126718902850366E-2</v>
      </c>
      <c r="S218" s="66">
        <f t="shared" si="121"/>
        <v>0</v>
      </c>
      <c r="T218" s="66">
        <f t="shared" si="122"/>
        <v>0.50276243093922646</v>
      </c>
      <c r="U218" s="66">
        <f t="shared" si="123"/>
        <v>0.16355896203869916</v>
      </c>
      <c r="V218" s="66">
        <f t="shared" si="124"/>
        <v>9.5544805280436421E-2</v>
      </c>
      <c r="W218" s="66">
        <f t="shared" si="125"/>
        <v>0</v>
      </c>
      <c r="X218" s="66">
        <f t="shared" si="126"/>
        <v>9.9491608812113923E-3</v>
      </c>
      <c r="Y218" s="66">
        <f t="shared" si="127"/>
        <v>4.1788839610703175E-3</v>
      </c>
      <c r="Z218" s="66">
        <f t="shared" si="128"/>
        <v>3.506814418545408E-3</v>
      </c>
      <c r="AA218" s="66">
        <f t="shared" si="102"/>
        <v>9.7526903928727149E-3</v>
      </c>
      <c r="AB218" s="66">
        <f t="shared" si="129"/>
        <v>1.4020301207957159E-2</v>
      </c>
      <c r="AC218" s="67">
        <f t="shared" si="104"/>
        <v>13044050.224416515</v>
      </c>
      <c r="AD218" s="67">
        <f t="shared" si="130"/>
        <v>17222016</v>
      </c>
      <c r="AE218" s="66">
        <f>0</f>
        <v>0</v>
      </c>
      <c r="AF218" s="67">
        <f t="shared" si="131"/>
        <v>17222016</v>
      </c>
      <c r="AG218" s="67">
        <f t="shared" si="132"/>
        <v>1</v>
      </c>
      <c r="AH218" s="67">
        <f t="shared" si="133"/>
        <v>17222016</v>
      </c>
      <c r="AI218" s="67">
        <f t="shared" si="108"/>
        <v>81.463943573846166</v>
      </c>
      <c r="AJ218" s="67">
        <f t="shared" si="109"/>
        <v>0</v>
      </c>
      <c r="AK218" s="66">
        <f t="shared" si="110"/>
        <v>3.2000000000000028E-2</v>
      </c>
    </row>
    <row r="219" spans="1:37" ht="12.75" customHeight="1" x14ac:dyDescent="0.25">
      <c r="A219" s="55" t="s">
        <v>591</v>
      </c>
      <c r="B219" s="55" t="s">
        <v>376</v>
      </c>
      <c r="C219" s="55" t="s">
        <v>382</v>
      </c>
      <c r="D219" s="128">
        <v>2019</v>
      </c>
      <c r="E219" s="55" t="s">
        <v>676</v>
      </c>
      <c r="F219" s="57">
        <f>SIM_Parametres!$C$25</f>
        <v>1228362768</v>
      </c>
      <c r="G219" s="129">
        <f>SIM_Districts!D6*(1+SIM_Parametres!$B$6)^(2019-2023)</f>
        <v>161123.57219131853</v>
      </c>
      <c r="H219" s="129">
        <f>MAX(0,MIN(100,SIM_Districts!F6+(2019-2022)*SIM_Parametres!$B$7))</f>
        <v>11.790000000000001</v>
      </c>
      <c r="I219" s="129">
        <f>SIM_Districts!G6*(1+SIM_Parametres!$B$8)^(2019-2023)</f>
        <v>51.232857229806619</v>
      </c>
      <c r="J219" s="129">
        <f>SIM_Districts!H6*(1+SIM_Parametres!$B$9)^(2019-2023)</f>
        <v>15.851242188690746</v>
      </c>
      <c r="K219" s="129">
        <f>MAX(0,MIN(100,SIM_Districts!I6+(2019-2023)*SIM_Parametres!$B$10))</f>
        <v>90.9</v>
      </c>
      <c r="L219" s="129">
        <f>SIM_Districts!E6</f>
        <v>169</v>
      </c>
      <c r="M219" s="68">
        <f t="shared" si="101"/>
        <v>953.39391829182557</v>
      </c>
      <c r="N219" s="129">
        <f>N148*(1+SIM_Parametres!$B$6)/(1+SIM_Parametres!$B$11)</f>
        <v>73189</v>
      </c>
      <c r="O219" s="72"/>
      <c r="P219" s="130">
        <f>SIM_Parametres!$D$25</f>
        <v>0</v>
      </c>
      <c r="Q219" s="130">
        <f>SIM_Parametres!$B$12</f>
        <v>0.2</v>
      </c>
      <c r="R219" s="59">
        <f t="shared" si="120"/>
        <v>1.0004530411684889E-2</v>
      </c>
      <c r="S219" s="59">
        <f t="shared" si="121"/>
        <v>0</v>
      </c>
      <c r="T219" s="59">
        <f t="shared" si="122"/>
        <v>0.50276243093922646</v>
      </c>
      <c r="U219" s="59">
        <f t="shared" si="123"/>
        <v>0.49040605765544515</v>
      </c>
      <c r="V219" s="59">
        <f t="shared" si="124"/>
        <v>9.5544805280436421E-2</v>
      </c>
      <c r="W219" s="59">
        <f t="shared" si="125"/>
        <v>0</v>
      </c>
      <c r="X219" s="59">
        <f t="shared" si="126"/>
        <v>9.9491608812113923E-3</v>
      </c>
      <c r="Y219" s="59">
        <f t="shared" si="127"/>
        <v>1.2529732294725465E-2</v>
      </c>
      <c r="Z219" s="59">
        <f t="shared" si="128"/>
        <v>3.506814418545408E-3</v>
      </c>
      <c r="AA219" s="59">
        <f t="shared" si="102"/>
        <v>8.2969197148561862E-3</v>
      </c>
      <c r="AB219" s="59">
        <f t="shared" si="129"/>
        <v>1.2123259014310991E-2</v>
      </c>
      <c r="AC219" s="60">
        <f t="shared" si="104"/>
        <v>11613478.624719219</v>
      </c>
      <c r="AD219" s="60">
        <f t="shared" si="130"/>
        <v>14891760</v>
      </c>
      <c r="AE219" s="59">
        <f>0</f>
        <v>0</v>
      </c>
      <c r="AF219" s="60">
        <f t="shared" si="131"/>
        <v>14891760</v>
      </c>
      <c r="AG219" s="60">
        <f t="shared" si="132"/>
        <v>1</v>
      </c>
      <c r="AH219" s="60">
        <f t="shared" si="133"/>
        <v>14891760</v>
      </c>
      <c r="AI219" s="60">
        <f t="shared" si="108"/>
        <v>92.424465256501932</v>
      </c>
      <c r="AJ219" s="60">
        <f t="shared" si="109"/>
        <v>0</v>
      </c>
      <c r="AK219" s="59">
        <f t="shared" si="110"/>
        <v>3.2000000000000028E-2</v>
      </c>
    </row>
    <row r="220" spans="1:37" ht="12.75" customHeight="1" x14ac:dyDescent="0.25">
      <c r="A220" s="62" t="s">
        <v>592</v>
      </c>
      <c r="B220" s="62" t="s">
        <v>376</v>
      </c>
      <c r="C220" s="62" t="s">
        <v>383</v>
      </c>
      <c r="D220" s="124">
        <v>2019</v>
      </c>
      <c r="E220" s="62" t="s">
        <v>676</v>
      </c>
      <c r="F220" s="64">
        <f>SIM_Parametres!$C$25</f>
        <v>1228362768</v>
      </c>
      <c r="G220" s="125">
        <f>SIM_Districts!D7*(1+SIM_Parametres!$B$6)^(2019-2023)</f>
        <v>408405.51039311726</v>
      </c>
      <c r="H220" s="125">
        <f>MAX(0,MIN(100,SIM_Districts!F7+(2019-2022)*SIM_Parametres!$B$7))</f>
        <v>11.790000000000001</v>
      </c>
      <c r="I220" s="125">
        <f>SIM_Districts!G7*(1+SIM_Parametres!$B$8)^(2019-2023)</f>
        <v>51.232857229806619</v>
      </c>
      <c r="J220" s="125">
        <f>SIM_Districts!H7*(1+SIM_Parametres!$B$9)^(2019-2023)</f>
        <v>15.851242188690746</v>
      </c>
      <c r="K220" s="125">
        <f>MAX(0,MIN(100,SIM_Districts!I7+(2019-2023)*SIM_Parametres!$B$10))</f>
        <v>90.9</v>
      </c>
      <c r="L220" s="125">
        <f>SIM_Districts!E7</f>
        <v>13</v>
      </c>
      <c r="M220" s="61">
        <f t="shared" si="101"/>
        <v>31415.808491778251</v>
      </c>
      <c r="N220" s="125">
        <f>N149*(1+SIM_Parametres!$B$6)/(1+SIM_Parametres!$B$11)</f>
        <v>73189</v>
      </c>
      <c r="O220" s="132"/>
      <c r="P220" s="126">
        <f>SIM_Parametres!$D$25</f>
        <v>0</v>
      </c>
      <c r="Q220" s="126">
        <f>SIM_Parametres!$B$12</f>
        <v>0.2</v>
      </c>
      <c r="R220" s="66">
        <f t="shared" si="120"/>
        <v>2.5358830452045938E-2</v>
      </c>
      <c r="S220" s="66">
        <f t="shared" si="121"/>
        <v>0</v>
      </c>
      <c r="T220" s="66">
        <f t="shared" si="122"/>
        <v>0.50276243093922646</v>
      </c>
      <c r="U220" s="66">
        <f t="shared" si="123"/>
        <v>1.0392129693778578E-4</v>
      </c>
      <c r="V220" s="66">
        <f t="shared" si="124"/>
        <v>9.5544805280436421E-2</v>
      </c>
      <c r="W220" s="66">
        <f t="shared" si="125"/>
        <v>0</v>
      </c>
      <c r="X220" s="66">
        <f t="shared" si="126"/>
        <v>9.9491608812113923E-3</v>
      </c>
      <c r="Y220" s="66">
        <f t="shared" si="127"/>
        <v>2.6551589443578546E-6</v>
      </c>
      <c r="Z220" s="66">
        <f t="shared" si="128"/>
        <v>3.506814418545408E-3</v>
      </c>
      <c r="AA220" s="66">
        <f t="shared" si="102"/>
        <v>1.6883145882283759E-2</v>
      </c>
      <c r="AB220" s="66">
        <f t="shared" si="129"/>
        <v>1.6212233485735219E-2</v>
      </c>
      <c r="AC220" s="67">
        <f t="shared" si="104"/>
        <v>20051079.05807551</v>
      </c>
      <c r="AD220" s="67">
        <f t="shared" si="130"/>
        <v>19914504.000000004</v>
      </c>
      <c r="AE220" s="66">
        <f>0</f>
        <v>0</v>
      </c>
      <c r="AF220" s="67">
        <f t="shared" si="131"/>
        <v>19914504.000000004</v>
      </c>
      <c r="AG220" s="67">
        <f t="shared" si="132"/>
        <v>1</v>
      </c>
      <c r="AH220" s="67">
        <f t="shared" si="133"/>
        <v>19914504.000000004</v>
      </c>
      <c r="AI220" s="67">
        <f t="shared" si="108"/>
        <v>48.761594770920155</v>
      </c>
      <c r="AJ220" s="67">
        <f t="shared" si="109"/>
        <v>0</v>
      </c>
      <c r="AK220" s="66">
        <f t="shared" si="110"/>
        <v>3.200000000000025E-2</v>
      </c>
    </row>
    <row r="221" spans="1:37" ht="12.75" customHeight="1" x14ac:dyDescent="0.25">
      <c r="A221" s="55" t="s">
        <v>593</v>
      </c>
      <c r="B221" s="55" t="s">
        <v>376</v>
      </c>
      <c r="C221" s="55" t="s">
        <v>384</v>
      </c>
      <c r="D221" s="128">
        <v>2019</v>
      </c>
      <c r="E221" s="55" t="s">
        <v>676</v>
      </c>
      <c r="F221" s="57">
        <f>SIM_Parametres!$C$25</f>
        <v>1228362768</v>
      </c>
      <c r="G221" s="129">
        <f>SIM_Districts!D8*(1+SIM_Parametres!$B$6)^(2019-2023)</f>
        <v>289627.23090546048</v>
      </c>
      <c r="H221" s="129">
        <f>MAX(0,MIN(100,SIM_Districts!F8+(2019-2022)*SIM_Parametres!$B$7))</f>
        <v>11.790000000000001</v>
      </c>
      <c r="I221" s="129">
        <f>SIM_Districts!G8*(1+SIM_Parametres!$B$8)^(2019-2023)</f>
        <v>51.232857229806619</v>
      </c>
      <c r="J221" s="129">
        <f>SIM_Districts!H8*(1+SIM_Parametres!$B$9)^(2019-2023)</f>
        <v>15.851242188690746</v>
      </c>
      <c r="K221" s="129">
        <f>MAX(0,MIN(100,SIM_Districts!I8+(2019-2023)*SIM_Parametres!$B$10))</f>
        <v>90.9</v>
      </c>
      <c r="L221" s="129">
        <f>SIM_Districts!E8</f>
        <v>34</v>
      </c>
      <c r="M221" s="68">
        <f t="shared" si="101"/>
        <v>8518.4479678076605</v>
      </c>
      <c r="N221" s="129">
        <f>N150*(1+SIM_Parametres!$B$6)/(1+SIM_Parametres!$B$11)</f>
        <v>73189</v>
      </c>
      <c r="O221" s="72"/>
      <c r="P221" s="130">
        <f>SIM_Parametres!$D$25</f>
        <v>0</v>
      </c>
      <c r="Q221" s="130">
        <f>SIM_Parametres!$B$12</f>
        <v>0.2</v>
      </c>
      <c r="R221" s="59">
        <f t="shared" si="120"/>
        <v>1.7983615930542811E-2</v>
      </c>
      <c r="S221" s="59">
        <f t="shared" si="121"/>
        <v>0</v>
      </c>
      <c r="T221" s="59">
        <f t="shared" si="122"/>
        <v>0.50276243093922646</v>
      </c>
      <c r="U221" s="59">
        <f t="shared" si="123"/>
        <v>0.36530968637307898</v>
      </c>
      <c r="V221" s="59">
        <f t="shared" si="124"/>
        <v>9.5544805280436421E-2</v>
      </c>
      <c r="W221" s="59">
        <f t="shared" si="125"/>
        <v>0</v>
      </c>
      <c r="X221" s="59">
        <f t="shared" si="126"/>
        <v>9.9491608812113923E-3</v>
      </c>
      <c r="Y221" s="59">
        <f t="shared" si="127"/>
        <v>9.3335563528881213E-3</v>
      </c>
      <c r="Z221" s="59">
        <f t="shared" si="128"/>
        <v>3.506814418545408E-3</v>
      </c>
      <c r="AA221" s="59">
        <f t="shared" si="102"/>
        <v>1.2924562229079072E-2</v>
      </c>
      <c r="AB221" s="59">
        <f t="shared" si="129"/>
        <v>1.1514995706870855E-2</v>
      </c>
      <c r="AC221" s="60">
        <f t="shared" si="104"/>
        <v>16161017.639187463</v>
      </c>
      <c r="AD221" s="60">
        <f t="shared" si="130"/>
        <v>14144592</v>
      </c>
      <c r="AE221" s="59">
        <f>0</f>
        <v>0</v>
      </c>
      <c r="AF221" s="60">
        <f t="shared" si="131"/>
        <v>14144592</v>
      </c>
      <c r="AG221" s="60">
        <f t="shared" si="132"/>
        <v>1</v>
      </c>
      <c r="AH221" s="60">
        <f t="shared" si="133"/>
        <v>14144592</v>
      </c>
      <c r="AI221" s="60">
        <f t="shared" si="108"/>
        <v>48.837231070365235</v>
      </c>
      <c r="AJ221" s="60">
        <f t="shared" si="109"/>
        <v>0</v>
      </c>
      <c r="AK221" s="59">
        <f t="shared" si="110"/>
        <v>3.2000000000000028E-2</v>
      </c>
    </row>
    <row r="222" spans="1:37" ht="12.75" customHeight="1" x14ac:dyDescent="0.25">
      <c r="A222" s="62" t="s">
        <v>594</v>
      </c>
      <c r="B222" s="62" t="s">
        <v>376</v>
      </c>
      <c r="C222" s="62" t="s">
        <v>385</v>
      </c>
      <c r="D222" s="124">
        <v>2019</v>
      </c>
      <c r="E222" s="62" t="s">
        <v>676</v>
      </c>
      <c r="F222" s="64">
        <f>SIM_Parametres!$C$25</f>
        <v>1228362768</v>
      </c>
      <c r="G222" s="125">
        <f>SIM_Districts!D9*(1+SIM_Parametres!$B$6)^(2019-2023)</f>
        <v>424934.03494549281</v>
      </c>
      <c r="H222" s="125">
        <f>MAX(0,MIN(100,SIM_Districts!F9+(2019-2022)*SIM_Parametres!$B$7))</f>
        <v>11.790000000000001</v>
      </c>
      <c r="I222" s="125">
        <f>SIM_Districts!G9*(1+SIM_Parametres!$B$8)^(2019-2023)</f>
        <v>51.232857229806619</v>
      </c>
      <c r="J222" s="125">
        <f>SIM_Districts!H9*(1+SIM_Parametres!$B$9)^(2019-2023)</f>
        <v>15.851242188690746</v>
      </c>
      <c r="K222" s="125">
        <f>MAX(0,MIN(100,SIM_Districts!I9+(2019-2023)*SIM_Parametres!$B$10))</f>
        <v>90.9</v>
      </c>
      <c r="L222" s="125">
        <f>SIM_Districts!E9</f>
        <v>28</v>
      </c>
      <c r="M222" s="61">
        <f t="shared" si="101"/>
        <v>15176.215533767599</v>
      </c>
      <c r="N222" s="125">
        <f>N151*(1+SIM_Parametres!$B$6)/(1+SIM_Parametres!$B$11)</f>
        <v>73189</v>
      </c>
      <c r="O222" s="132"/>
      <c r="P222" s="126">
        <f>SIM_Parametres!$D$25</f>
        <v>0</v>
      </c>
      <c r="Q222" s="126">
        <f>SIM_Parametres!$B$12</f>
        <v>0.2</v>
      </c>
      <c r="R222" s="66">
        <f t="shared" si="120"/>
        <v>2.6385124272966024E-2</v>
      </c>
      <c r="S222" s="66">
        <f t="shared" si="121"/>
        <v>0</v>
      </c>
      <c r="T222" s="66">
        <f t="shared" si="122"/>
        <v>0.50276243093922646</v>
      </c>
      <c r="U222" s="66">
        <f t="shared" si="123"/>
        <v>0.2591240430539184</v>
      </c>
      <c r="V222" s="66">
        <f t="shared" si="124"/>
        <v>9.5544805280436421E-2</v>
      </c>
      <c r="W222" s="66">
        <f t="shared" si="125"/>
        <v>0</v>
      </c>
      <c r="X222" s="66">
        <f t="shared" si="126"/>
        <v>9.9491608812113923E-3</v>
      </c>
      <c r="Y222" s="66">
        <f t="shared" si="127"/>
        <v>6.6205440163499231E-3</v>
      </c>
      <c r="Z222" s="66">
        <f t="shared" si="128"/>
        <v>3.506814418545408E-3</v>
      </c>
      <c r="AA222" s="66">
        <f t="shared" si="102"/>
        <v>1.7829816617706086E-2</v>
      </c>
      <c r="AB222" s="66">
        <f t="shared" si="129"/>
        <v>1.143266172326708E-2</v>
      </c>
      <c r="AC222" s="67">
        <f t="shared" si="104"/>
        <v>20981363.126033884</v>
      </c>
      <c r="AD222" s="67">
        <f t="shared" si="130"/>
        <v>14043456</v>
      </c>
      <c r="AE222" s="66">
        <f>0</f>
        <v>0</v>
      </c>
      <c r="AF222" s="67">
        <f t="shared" si="131"/>
        <v>14043456</v>
      </c>
      <c r="AG222" s="67">
        <f t="shared" si="132"/>
        <v>1</v>
      </c>
      <c r="AH222" s="67">
        <f t="shared" si="133"/>
        <v>14043456</v>
      </c>
      <c r="AI222" s="67">
        <f t="shared" si="108"/>
        <v>33.048555411197846</v>
      </c>
      <c r="AJ222" s="67">
        <f t="shared" si="109"/>
        <v>0</v>
      </c>
      <c r="AK222" s="66">
        <f t="shared" si="110"/>
        <v>3.2000000000000028E-2</v>
      </c>
    </row>
    <row r="223" spans="1:37" ht="12.75" customHeight="1" x14ac:dyDescent="0.25">
      <c r="A223" s="55" t="s">
        <v>595</v>
      </c>
      <c r="B223" s="55" t="s">
        <v>376</v>
      </c>
      <c r="C223" s="55" t="s">
        <v>386</v>
      </c>
      <c r="D223" s="128">
        <v>2019</v>
      </c>
      <c r="E223" s="55" t="s">
        <v>676</v>
      </c>
      <c r="F223" s="57">
        <f>SIM_Parametres!$C$25</f>
        <v>1228362768</v>
      </c>
      <c r="G223" s="129">
        <f>SIM_Districts!D10*(1+SIM_Parametres!$B$6)^(2019-2023)</f>
        <v>543281.39821491053</v>
      </c>
      <c r="H223" s="129">
        <f>MAX(0,MIN(100,SIM_Districts!F10+(2019-2022)*SIM_Parametres!$B$7))</f>
        <v>11.790000000000001</v>
      </c>
      <c r="I223" s="129">
        <f>SIM_Districts!G10*(1+SIM_Parametres!$B$8)^(2019-2023)</f>
        <v>51.232857229806619</v>
      </c>
      <c r="J223" s="129">
        <f>SIM_Districts!H10*(1+SIM_Parametres!$B$9)^(2019-2023)</f>
        <v>15.851242188690746</v>
      </c>
      <c r="K223" s="129">
        <f>MAX(0,MIN(100,SIM_Districts!I10+(2019-2023)*SIM_Parametres!$B$10))</f>
        <v>90.9</v>
      </c>
      <c r="L223" s="129">
        <f>SIM_Districts!E10</f>
        <v>22</v>
      </c>
      <c r="M223" s="68">
        <f t="shared" si="101"/>
        <v>24694.609009768661</v>
      </c>
      <c r="N223" s="129">
        <f>N152*(1+SIM_Parametres!$B$6)/(1+SIM_Parametres!$B$11)</f>
        <v>73189</v>
      </c>
      <c r="O223" s="72"/>
      <c r="P223" s="130">
        <f>SIM_Parametres!$D$25</f>
        <v>0</v>
      </c>
      <c r="Q223" s="130">
        <f>SIM_Parametres!$B$12</f>
        <v>0.2</v>
      </c>
      <c r="R223" s="59">
        <f t="shared" si="120"/>
        <v>3.37335822227793E-2</v>
      </c>
      <c r="S223" s="59">
        <f t="shared" si="121"/>
        <v>0</v>
      </c>
      <c r="T223" s="59">
        <f t="shared" si="122"/>
        <v>0.50276243093922646</v>
      </c>
      <c r="U223" s="59">
        <f t="shared" si="123"/>
        <v>0.1074031899755666</v>
      </c>
      <c r="V223" s="59">
        <f t="shared" si="124"/>
        <v>9.5544805280436421E-2</v>
      </c>
      <c r="W223" s="59">
        <f t="shared" si="125"/>
        <v>0</v>
      </c>
      <c r="X223" s="59">
        <f t="shared" si="126"/>
        <v>9.9491608812113923E-3</v>
      </c>
      <c r="Y223" s="59">
        <f t="shared" si="127"/>
        <v>2.7441202998738055E-3</v>
      </c>
      <c r="Z223" s="59">
        <f t="shared" si="128"/>
        <v>3.506814418545408E-3</v>
      </c>
      <c r="AA223" s="59">
        <f t="shared" si="102"/>
        <v>2.2045070201770246E-2</v>
      </c>
      <c r="AB223" s="59">
        <f t="shared" si="129"/>
        <v>1.8445332755315163E-2</v>
      </c>
      <c r="AC223" s="60">
        <f t="shared" si="104"/>
        <v>25123651.574308261</v>
      </c>
      <c r="AD223" s="60">
        <f t="shared" si="130"/>
        <v>22657560</v>
      </c>
      <c r="AE223" s="59">
        <f>0</f>
        <v>0</v>
      </c>
      <c r="AF223" s="60">
        <f t="shared" si="131"/>
        <v>22657560</v>
      </c>
      <c r="AG223" s="60">
        <f t="shared" si="132"/>
        <v>1</v>
      </c>
      <c r="AH223" s="60">
        <f t="shared" si="133"/>
        <v>22657560</v>
      </c>
      <c r="AI223" s="60">
        <f t="shared" si="108"/>
        <v>41.70501709509508</v>
      </c>
      <c r="AJ223" s="60">
        <f t="shared" si="109"/>
        <v>0</v>
      </c>
      <c r="AK223" s="59">
        <f t="shared" si="110"/>
        <v>3.2000000000000028E-2</v>
      </c>
    </row>
    <row r="224" spans="1:37" ht="12.75" customHeight="1" x14ac:dyDescent="0.25">
      <c r="A224" s="62" t="s">
        <v>596</v>
      </c>
      <c r="B224" s="62" t="s">
        <v>376</v>
      </c>
      <c r="C224" s="62" t="s">
        <v>387</v>
      </c>
      <c r="D224" s="124">
        <v>2019</v>
      </c>
      <c r="E224" s="62" t="s">
        <v>676</v>
      </c>
      <c r="F224" s="64">
        <f>SIM_Parametres!$C$25</f>
        <v>1228362768</v>
      </c>
      <c r="G224" s="125">
        <f>SIM_Districts!D11*(1+SIM_Parametres!$B$6)^(2019-2023)</f>
        <v>261793.59715540567</v>
      </c>
      <c r="H224" s="125">
        <f>MAX(0,MIN(100,SIM_Districts!F11+(2019-2022)*SIM_Parametres!$B$7))</f>
        <v>11.790000000000001</v>
      </c>
      <c r="I224" s="125">
        <f>SIM_Districts!G11*(1+SIM_Parametres!$B$8)^(2019-2023)</f>
        <v>51.232857229806619</v>
      </c>
      <c r="J224" s="125">
        <f>SIM_Districts!H11*(1+SIM_Parametres!$B$9)^(2019-2023)</f>
        <v>15.851242188690746</v>
      </c>
      <c r="K224" s="125">
        <f>MAX(0,MIN(100,SIM_Districts!I11+(2019-2023)*SIM_Parametres!$B$10))</f>
        <v>90.9</v>
      </c>
      <c r="L224" s="125">
        <f>SIM_Districts!E11</f>
        <v>34</v>
      </c>
      <c r="M224" s="61">
        <f t="shared" si="101"/>
        <v>7699.811681041343</v>
      </c>
      <c r="N224" s="125">
        <f>N153*(1+SIM_Parametres!$B$6)/(1+SIM_Parametres!$B$11)</f>
        <v>73189</v>
      </c>
      <c r="O224" s="132"/>
      <c r="P224" s="126">
        <f>SIM_Parametres!$D$25</f>
        <v>0</v>
      </c>
      <c r="Q224" s="126">
        <f>SIM_Parametres!$B$12</f>
        <v>0.2</v>
      </c>
      <c r="R224" s="66">
        <f t="shared" si="120"/>
        <v>1.6255362072134835E-2</v>
      </c>
      <c r="S224" s="66">
        <f t="shared" si="121"/>
        <v>0</v>
      </c>
      <c r="T224" s="66">
        <f t="shared" si="122"/>
        <v>0.50276243093922646</v>
      </c>
      <c r="U224" s="66">
        <f t="shared" si="123"/>
        <v>0.37834067197086158</v>
      </c>
      <c r="V224" s="66">
        <f t="shared" si="124"/>
        <v>9.5544805280436421E-2</v>
      </c>
      <c r="W224" s="66">
        <f t="shared" si="125"/>
        <v>0</v>
      </c>
      <c r="X224" s="66">
        <f t="shared" si="126"/>
        <v>9.9491608812113923E-3</v>
      </c>
      <c r="Y224" s="66">
        <f t="shared" si="127"/>
        <v>9.6664942490006407E-3</v>
      </c>
      <c r="Z224" s="66">
        <f t="shared" si="128"/>
        <v>3.506814418545408E-3</v>
      </c>
      <c r="AA224" s="66">
        <f t="shared" si="102"/>
        <v>1.1904256808839912E-2</v>
      </c>
      <c r="AB224" s="66">
        <f t="shared" si="129"/>
        <v>1.2725641322922285E-2</v>
      </c>
      <c r="AC224" s="67">
        <f t="shared" si="104"/>
        <v>15158373.487019159</v>
      </c>
      <c r="AD224" s="67">
        <f t="shared" si="130"/>
        <v>15631704</v>
      </c>
      <c r="AE224" s="66">
        <f>0</f>
        <v>0</v>
      </c>
      <c r="AF224" s="67">
        <f t="shared" si="131"/>
        <v>15631704</v>
      </c>
      <c r="AG224" s="67">
        <f t="shared" si="132"/>
        <v>1</v>
      </c>
      <c r="AH224" s="67">
        <f t="shared" si="133"/>
        <v>15631704</v>
      </c>
      <c r="AI224" s="67">
        <f t="shared" si="108"/>
        <v>59.710031757272972</v>
      </c>
      <c r="AJ224" s="67">
        <f t="shared" si="109"/>
        <v>0</v>
      </c>
      <c r="AK224" s="66">
        <f t="shared" si="110"/>
        <v>3.2000000000000028E-2</v>
      </c>
    </row>
    <row r="225" spans="1:37" ht="12.75" customHeight="1" x14ac:dyDescent="0.25">
      <c r="A225" s="55" t="s">
        <v>597</v>
      </c>
      <c r="B225" s="55" t="s">
        <v>376</v>
      </c>
      <c r="C225" s="55" t="s">
        <v>388</v>
      </c>
      <c r="D225" s="128">
        <v>2019</v>
      </c>
      <c r="E225" s="55" t="s">
        <v>676</v>
      </c>
      <c r="F225" s="57">
        <f>SIM_Parametres!$C$25</f>
        <v>1228362768</v>
      </c>
      <c r="G225" s="129">
        <f>SIM_Districts!D12*(1+SIM_Parametres!$B$6)^(2019-2023)</f>
        <v>407184.72918928112</v>
      </c>
      <c r="H225" s="129">
        <f>MAX(0,MIN(100,SIM_Districts!F12+(2019-2022)*SIM_Parametres!$B$7))</f>
        <v>11.790000000000001</v>
      </c>
      <c r="I225" s="129">
        <f>SIM_Districts!G12*(1+SIM_Parametres!$B$8)^(2019-2023)</f>
        <v>51.232857229806619</v>
      </c>
      <c r="J225" s="129">
        <f>SIM_Districts!H12*(1+SIM_Parametres!$B$9)^(2019-2023)</f>
        <v>15.851242188690746</v>
      </c>
      <c r="K225" s="129">
        <f>MAX(0,MIN(100,SIM_Districts!I12+(2019-2023)*SIM_Parametres!$B$10))</f>
        <v>90.9</v>
      </c>
      <c r="L225" s="129">
        <f>SIM_Districts!E12</f>
        <v>18</v>
      </c>
      <c r="M225" s="68">
        <f t="shared" si="101"/>
        <v>22621.373843848953</v>
      </c>
      <c r="N225" s="129">
        <f>N154*(1+SIM_Parametres!$B$6)/(1+SIM_Parametres!$B$11)</f>
        <v>73189</v>
      </c>
      <c r="O225" s="72"/>
      <c r="P225" s="130">
        <f>SIM_Parametres!$D$25</f>
        <v>0</v>
      </c>
      <c r="Q225" s="130">
        <f>SIM_Parametres!$B$12</f>
        <v>0.2</v>
      </c>
      <c r="R225" s="59">
        <f t="shared" si="120"/>
        <v>2.5283029360289543E-2</v>
      </c>
      <c r="S225" s="59">
        <f t="shared" si="121"/>
        <v>0</v>
      </c>
      <c r="T225" s="59">
        <f t="shared" si="122"/>
        <v>0.50276243093922646</v>
      </c>
      <c r="U225" s="59">
        <f t="shared" si="123"/>
        <v>0.14026621640536643</v>
      </c>
      <c r="V225" s="59">
        <f t="shared" si="124"/>
        <v>9.5544805280436421E-2</v>
      </c>
      <c r="W225" s="59">
        <f t="shared" si="125"/>
        <v>0</v>
      </c>
      <c r="X225" s="59">
        <f t="shared" si="126"/>
        <v>9.9491608812113923E-3</v>
      </c>
      <c r="Y225" s="59">
        <f t="shared" si="127"/>
        <v>3.5837610774132663E-3</v>
      </c>
      <c r="Z225" s="59">
        <f t="shared" si="128"/>
        <v>3.506814418545408E-3</v>
      </c>
      <c r="AA225" s="59">
        <f t="shared" si="102"/>
        <v>1.7016720523153363E-2</v>
      </c>
      <c r="AB225" s="59">
        <f t="shared" si="129"/>
        <v>1.7623673204657079E-2</v>
      </c>
      <c r="AC225" s="60">
        <f t="shared" si="104"/>
        <v>20182341.550550066</v>
      </c>
      <c r="AD225" s="60">
        <f t="shared" si="130"/>
        <v>21648264</v>
      </c>
      <c r="AE225" s="59">
        <f>0</f>
        <v>0</v>
      </c>
      <c r="AF225" s="60">
        <f t="shared" si="131"/>
        <v>21648264</v>
      </c>
      <c r="AG225" s="60">
        <f t="shared" si="132"/>
        <v>1</v>
      </c>
      <c r="AH225" s="60">
        <f t="shared" si="133"/>
        <v>21648264</v>
      </c>
      <c r="AI225" s="60">
        <f t="shared" si="108"/>
        <v>53.165706982927482</v>
      </c>
      <c r="AJ225" s="60">
        <f t="shared" si="109"/>
        <v>0</v>
      </c>
      <c r="AK225" s="59">
        <f t="shared" si="110"/>
        <v>3.2000000000000028E-2</v>
      </c>
    </row>
    <row r="226" spans="1:37" ht="12.75" customHeight="1" x14ac:dyDescent="0.25">
      <c r="A226" s="62" t="s">
        <v>598</v>
      </c>
      <c r="B226" s="62" t="s">
        <v>376</v>
      </c>
      <c r="C226" s="62" t="s">
        <v>389</v>
      </c>
      <c r="D226" s="124">
        <v>2019</v>
      </c>
      <c r="E226" s="62" t="s">
        <v>676</v>
      </c>
      <c r="F226" s="64">
        <f>SIM_Parametres!$C$25</f>
        <v>1228362768</v>
      </c>
      <c r="G226" s="125">
        <f>SIM_Districts!D13*(1+SIM_Parametres!$B$6)^(2019-2023)</f>
        <v>446783.70842783543</v>
      </c>
      <c r="H226" s="125">
        <f>MAX(0,MIN(100,SIM_Districts!F13+(2019-2022)*SIM_Parametres!$B$7))</f>
        <v>11.790000000000001</v>
      </c>
      <c r="I226" s="125">
        <f>SIM_Districts!G13*(1+SIM_Parametres!$B$8)^(2019-2023)</f>
        <v>51.232857229806619</v>
      </c>
      <c r="J226" s="125">
        <f>SIM_Districts!H13*(1+SIM_Parametres!$B$9)^(2019-2023)</f>
        <v>15.851242188690746</v>
      </c>
      <c r="K226" s="125">
        <f>MAX(0,MIN(100,SIM_Districts!I13+(2019-2023)*SIM_Parametres!$B$10))</f>
        <v>90.9</v>
      </c>
      <c r="L226" s="125">
        <f>SIM_Districts!E13</f>
        <v>203</v>
      </c>
      <c r="M226" s="61">
        <f t="shared" si="101"/>
        <v>2200.9049676248051</v>
      </c>
      <c r="N226" s="125">
        <f>N155*(1+SIM_Parametres!$B$6)/(1+SIM_Parametres!$B$11)</f>
        <v>73189</v>
      </c>
      <c r="O226" s="132"/>
      <c r="P226" s="126">
        <f>SIM_Parametres!$D$25</f>
        <v>0</v>
      </c>
      <c r="Q226" s="126">
        <f>SIM_Parametres!$B$12</f>
        <v>0.2</v>
      </c>
      <c r="R226" s="66">
        <f t="shared" si="120"/>
        <v>2.7741820378113943E-2</v>
      </c>
      <c r="S226" s="66">
        <f t="shared" si="121"/>
        <v>0</v>
      </c>
      <c r="T226" s="66">
        <f t="shared" si="122"/>
        <v>0.50276243093922646</v>
      </c>
      <c r="U226" s="66">
        <f t="shared" si="123"/>
        <v>0.47172605328939682</v>
      </c>
      <c r="V226" s="66">
        <f t="shared" si="124"/>
        <v>9.5544805280436421E-2</v>
      </c>
      <c r="W226" s="66">
        <f t="shared" si="125"/>
        <v>0</v>
      </c>
      <c r="X226" s="66">
        <f t="shared" si="126"/>
        <v>9.9491608812113923E-3</v>
      </c>
      <c r="Y226" s="66">
        <f t="shared" si="127"/>
        <v>1.2052463610301233E-2</v>
      </c>
      <c r="Z226" s="66">
        <f t="shared" si="128"/>
        <v>3.506814418545408E-3</v>
      </c>
      <c r="AA226" s="66">
        <f t="shared" si="102"/>
        <v>1.8915430260492402E-2</v>
      </c>
      <c r="AB226" s="66">
        <f t="shared" si="129"/>
        <v>1.9934905744391627E-2</v>
      </c>
      <c r="AC226" s="67">
        <f t="shared" si="104"/>
        <v>22048185.029419132</v>
      </c>
      <c r="AD226" s="67">
        <f t="shared" si="130"/>
        <v>24487296</v>
      </c>
      <c r="AE226" s="66">
        <f>0</f>
        <v>0</v>
      </c>
      <c r="AF226" s="67">
        <f t="shared" si="131"/>
        <v>24487296</v>
      </c>
      <c r="AG226" s="67">
        <f t="shared" si="132"/>
        <v>1</v>
      </c>
      <c r="AH226" s="67">
        <f t="shared" si="133"/>
        <v>24487296</v>
      </c>
      <c r="AI226" s="67">
        <f t="shared" si="108"/>
        <v>54.807942944399443</v>
      </c>
      <c r="AJ226" s="67">
        <f t="shared" si="109"/>
        <v>0</v>
      </c>
      <c r="AK226" s="66">
        <f t="shared" si="110"/>
        <v>3.2000000000000028E-2</v>
      </c>
    </row>
    <row r="227" spans="1:37" ht="12.75" customHeight="1" x14ac:dyDescent="0.25">
      <c r="A227" s="55" t="s">
        <v>599</v>
      </c>
      <c r="B227" s="55" t="s">
        <v>390</v>
      </c>
      <c r="C227" s="55" t="s">
        <v>392</v>
      </c>
      <c r="D227" s="128">
        <v>2019</v>
      </c>
      <c r="E227" s="55" t="s">
        <v>676</v>
      </c>
      <c r="F227" s="57">
        <f>SIM_Parametres!$C$25</f>
        <v>1228362768</v>
      </c>
      <c r="G227" s="129">
        <f>SIM_Districts!D14*(1+SIM_Parametres!$B$6)^(2019-2023)</f>
        <v>771250.29345616593</v>
      </c>
      <c r="H227" s="129">
        <f>MAX(0,MIN(100,SIM_Districts!F14+(2019-2022)*SIM_Parametres!$B$7))</f>
        <v>39.89</v>
      </c>
      <c r="I227" s="129">
        <f>SIM_Districts!G14*(1+SIM_Parametres!$B$8)^(2019-2023)</f>
        <v>51.232857229806619</v>
      </c>
      <c r="J227" s="129">
        <f>SIM_Districts!H14*(1+SIM_Parametres!$B$9)^(2019-2023)</f>
        <v>26.672763298277697</v>
      </c>
      <c r="K227" s="129">
        <f>MAX(0,MIN(100,SIM_Districts!I14+(2019-2023)*SIM_Parametres!$B$10))</f>
        <v>86.2</v>
      </c>
      <c r="L227" s="129">
        <f>SIM_Districts!E14</f>
        <v>1335</v>
      </c>
      <c r="M227" s="68">
        <f t="shared" si="101"/>
        <v>577.71557562259625</v>
      </c>
      <c r="N227" s="129">
        <f>N156*(1+SIM_Parametres!$B$6)/(1+SIM_Parametres!$B$11)</f>
        <v>203502</v>
      </c>
      <c r="O227" s="72"/>
      <c r="P227" s="130">
        <f>SIM_Parametres!$D$25</f>
        <v>0</v>
      </c>
      <c r="Q227" s="130">
        <f>SIM_Parametres!$B$12</f>
        <v>0.2</v>
      </c>
      <c r="R227" s="59">
        <f t="shared" si="120"/>
        <v>4.7888691337733699E-2</v>
      </c>
      <c r="S227" s="59">
        <f t="shared" si="121"/>
        <v>0.49822695035460995</v>
      </c>
      <c r="T227" s="59">
        <f t="shared" si="122"/>
        <v>0.69889502762430944</v>
      </c>
      <c r="U227" s="59">
        <f t="shared" si="123"/>
        <v>0.53677681892865114</v>
      </c>
      <c r="V227" s="59">
        <f t="shared" si="124"/>
        <v>1</v>
      </c>
      <c r="W227" s="59">
        <f t="shared" si="125"/>
        <v>1.1879095328683151E-2</v>
      </c>
      <c r="X227" s="59">
        <f t="shared" si="126"/>
        <v>1.3830426939266388E-2</v>
      </c>
      <c r="Y227" s="59">
        <f t="shared" si="127"/>
        <v>1.3714491773092488E-2</v>
      </c>
      <c r="Z227" s="59">
        <f t="shared" si="128"/>
        <v>3.6703349891733537E-2</v>
      </c>
      <c r="AA227" s="59">
        <f t="shared" si="102"/>
        <v>3.5110535226073949E-2</v>
      </c>
      <c r="AB227" s="59">
        <f t="shared" si="129"/>
        <v>1.3175957804673545E-2</v>
      </c>
      <c r="AC227" s="60">
        <f t="shared" si="104"/>
        <v>37962956.200276971</v>
      </c>
      <c r="AD227" s="60">
        <f t="shared" si="130"/>
        <v>16184856</v>
      </c>
      <c r="AE227" s="59">
        <f>0</f>
        <v>0</v>
      </c>
      <c r="AF227" s="60">
        <f t="shared" si="131"/>
        <v>16184856</v>
      </c>
      <c r="AG227" s="60">
        <f t="shared" si="132"/>
        <v>1</v>
      </c>
      <c r="AH227" s="60">
        <f t="shared" si="133"/>
        <v>16184856</v>
      </c>
      <c r="AI227" s="60">
        <f t="shared" si="108"/>
        <v>20.985218595472556</v>
      </c>
      <c r="AJ227" s="60">
        <f t="shared" si="109"/>
        <v>0</v>
      </c>
      <c r="AK227" s="59">
        <f t="shared" si="110"/>
        <v>3.2000000000000028E-2</v>
      </c>
    </row>
    <row r="228" spans="1:37" ht="12.75" customHeight="1" x14ac:dyDescent="0.25">
      <c r="A228" s="62" t="s">
        <v>601</v>
      </c>
      <c r="B228" s="62" t="s">
        <v>390</v>
      </c>
      <c r="C228" s="62" t="s">
        <v>390</v>
      </c>
      <c r="D228" s="124">
        <v>2019</v>
      </c>
      <c r="E228" s="62" t="s">
        <v>676</v>
      </c>
      <c r="F228" s="64">
        <f>SIM_Parametres!$C$25</f>
        <v>1228362768</v>
      </c>
      <c r="G228" s="125">
        <f>SIM_Districts!D15*(1+SIM_Parametres!$B$6)^(2019-2023)</f>
        <v>690740.92809633364</v>
      </c>
      <c r="H228" s="125">
        <f>MAX(0,MIN(100,SIM_Districts!F15+(2019-2022)*SIM_Parametres!$B$7))</f>
        <v>39.89</v>
      </c>
      <c r="I228" s="125">
        <f>SIM_Districts!G15*(1+SIM_Parametres!$B$8)^(2019-2023)</f>
        <v>51.232857229806619</v>
      </c>
      <c r="J228" s="125">
        <f>SIM_Districts!H15*(1+SIM_Parametres!$B$9)^(2019-2023)</f>
        <v>26.672763298277697</v>
      </c>
      <c r="K228" s="125">
        <f>MAX(0,MIN(100,SIM_Districts!I15+(2019-2023)*SIM_Parametres!$B$10))</f>
        <v>86.2</v>
      </c>
      <c r="L228" s="125">
        <f>SIM_Districts!E15</f>
        <v>1292</v>
      </c>
      <c r="M228" s="61">
        <f t="shared" si="101"/>
        <v>534.62920131295175</v>
      </c>
      <c r="N228" s="125">
        <f>N157*(1+SIM_Parametres!$B$6)/(1+SIM_Parametres!$B$11)</f>
        <v>203502</v>
      </c>
      <c r="O228" s="132"/>
      <c r="P228" s="126">
        <f>SIM_Parametres!$D$25</f>
        <v>0</v>
      </c>
      <c r="Q228" s="126">
        <f>SIM_Parametres!$B$12</f>
        <v>0.2</v>
      </c>
      <c r="R228" s="66">
        <f t="shared" si="120"/>
        <v>4.288968105504528E-2</v>
      </c>
      <c r="S228" s="66">
        <f t="shared" si="121"/>
        <v>0.49822695035460995</v>
      </c>
      <c r="T228" s="66">
        <f t="shared" si="122"/>
        <v>0.69889502762430944</v>
      </c>
      <c r="U228" s="66">
        <f t="shared" si="123"/>
        <v>0.53597312572887268</v>
      </c>
      <c r="V228" s="66">
        <f t="shared" si="124"/>
        <v>1</v>
      </c>
      <c r="W228" s="66">
        <f t="shared" si="125"/>
        <v>1.1879095328683151E-2</v>
      </c>
      <c r="X228" s="66">
        <f t="shared" si="126"/>
        <v>1.3830426939266388E-2</v>
      </c>
      <c r="Y228" s="66">
        <f t="shared" si="127"/>
        <v>1.3693957645336279E-2</v>
      </c>
      <c r="Z228" s="66">
        <f t="shared" si="128"/>
        <v>3.6703349891733537E-2</v>
      </c>
      <c r="AA228" s="66">
        <f t="shared" si="102"/>
        <v>3.211010235007309E-2</v>
      </c>
      <c r="AB228" s="66">
        <f t="shared" si="129"/>
        <v>1.3421279470105203E-2</v>
      </c>
      <c r="AC228" s="67">
        <f t="shared" si="104"/>
        <v>35014460.174066871</v>
      </c>
      <c r="AD228" s="67">
        <f t="shared" si="130"/>
        <v>16486200</v>
      </c>
      <c r="AE228" s="66">
        <f>0</f>
        <v>0</v>
      </c>
      <c r="AF228" s="67">
        <f t="shared" si="131"/>
        <v>16486200</v>
      </c>
      <c r="AG228" s="67">
        <f t="shared" si="132"/>
        <v>1</v>
      </c>
      <c r="AH228" s="67">
        <f t="shared" si="133"/>
        <v>16486200</v>
      </c>
      <c r="AI228" s="67">
        <f t="shared" si="108"/>
        <v>23.86741443776264</v>
      </c>
      <c r="AJ228" s="67">
        <f t="shared" si="109"/>
        <v>0</v>
      </c>
      <c r="AK228" s="66">
        <f t="shared" si="110"/>
        <v>3.2000000000000028E-2</v>
      </c>
    </row>
    <row r="229" spans="1:37" ht="12.75" customHeight="1" x14ac:dyDescent="0.25">
      <c r="A229" s="55" t="s">
        <v>602</v>
      </c>
      <c r="B229" s="55" t="s">
        <v>390</v>
      </c>
      <c r="C229" s="55" t="s">
        <v>393</v>
      </c>
      <c r="D229" s="128">
        <v>2019</v>
      </c>
      <c r="E229" s="55" t="s">
        <v>676</v>
      </c>
      <c r="F229" s="57">
        <f>SIM_Parametres!$C$25</f>
        <v>1228362768</v>
      </c>
      <c r="G229" s="129">
        <f>SIM_Districts!D16*(1+SIM_Parametres!$B$6)^(2019-2023)</f>
        <v>386357.70429908944</v>
      </c>
      <c r="H229" s="129">
        <f>MAX(0,MIN(100,SIM_Districts!F16+(2019-2022)*SIM_Parametres!$B$7))</f>
        <v>39.89</v>
      </c>
      <c r="I229" s="129">
        <f>SIM_Districts!G16*(1+SIM_Parametres!$B$8)^(2019-2023)</f>
        <v>51.232857229806619</v>
      </c>
      <c r="J229" s="129">
        <f>SIM_Districts!H16*(1+SIM_Parametres!$B$9)^(2019-2023)</f>
        <v>26.672763298277697</v>
      </c>
      <c r="K229" s="129">
        <f>MAX(0,MIN(100,SIM_Districts!I16+(2019-2023)*SIM_Parametres!$B$10))</f>
        <v>86.2</v>
      </c>
      <c r="L229" s="129">
        <f>SIM_Districts!E16</f>
        <v>1729</v>
      </c>
      <c r="M229" s="68">
        <f t="shared" si="101"/>
        <v>223.45731885430274</v>
      </c>
      <c r="N229" s="129">
        <f>N158*(1+SIM_Parametres!$B$6)/(1+SIM_Parametres!$B$11)</f>
        <v>203502</v>
      </c>
      <c r="O229" s="72"/>
      <c r="P229" s="130">
        <f>SIM_Parametres!$D$25</f>
        <v>0</v>
      </c>
      <c r="Q229" s="130">
        <f>SIM_Parametres!$B$12</f>
        <v>0.2</v>
      </c>
      <c r="R229" s="59">
        <f t="shared" si="120"/>
        <v>2.3989831840739592E-2</v>
      </c>
      <c r="S229" s="59">
        <f t="shared" si="121"/>
        <v>0.49822695035460995</v>
      </c>
      <c r="T229" s="59">
        <f t="shared" si="122"/>
        <v>0.69889502762430944</v>
      </c>
      <c r="U229" s="59">
        <f t="shared" si="123"/>
        <v>0.55606420327741424</v>
      </c>
      <c r="V229" s="59">
        <f t="shared" si="124"/>
        <v>1</v>
      </c>
      <c r="W229" s="59">
        <f t="shared" si="125"/>
        <v>1.1879095328683151E-2</v>
      </c>
      <c r="X229" s="59">
        <f t="shared" si="126"/>
        <v>1.3830426939266388E-2</v>
      </c>
      <c r="Y229" s="59">
        <f t="shared" si="127"/>
        <v>1.4207278839612111E-2</v>
      </c>
      <c r="Z229" s="59">
        <f t="shared" si="128"/>
        <v>3.6703349891733537E-2</v>
      </c>
      <c r="AA229" s="59">
        <f t="shared" si="102"/>
        <v>2.0795858881203468E-2</v>
      </c>
      <c r="AB229" s="59">
        <f t="shared" si="129"/>
        <v>1.2249280417786158E-2</v>
      </c>
      <c r="AC229" s="60">
        <f t="shared" si="104"/>
        <v>23896063.833869588</v>
      </c>
      <c r="AD229" s="60">
        <f t="shared" si="130"/>
        <v>15046560.000000002</v>
      </c>
      <c r="AE229" s="59">
        <f>0</f>
        <v>0</v>
      </c>
      <c r="AF229" s="60">
        <f t="shared" si="131"/>
        <v>15046560.000000002</v>
      </c>
      <c r="AG229" s="60">
        <f t="shared" si="132"/>
        <v>1</v>
      </c>
      <c r="AH229" s="60">
        <f t="shared" si="133"/>
        <v>15046560.000000002</v>
      </c>
      <c r="AI229" s="60">
        <f t="shared" si="108"/>
        <v>38.944635586591211</v>
      </c>
      <c r="AJ229" s="60">
        <f t="shared" si="109"/>
        <v>0</v>
      </c>
      <c r="AK229" s="59">
        <f t="shared" si="110"/>
        <v>3.2000000000000028E-2</v>
      </c>
    </row>
    <row r="230" spans="1:37" ht="12.75" customHeight="1" x14ac:dyDescent="0.25">
      <c r="A230" s="62" t="s">
        <v>603</v>
      </c>
      <c r="B230" s="62" t="s">
        <v>394</v>
      </c>
      <c r="C230" s="62" t="s">
        <v>396</v>
      </c>
      <c r="D230" s="124">
        <v>2019</v>
      </c>
      <c r="E230" s="62" t="s">
        <v>676</v>
      </c>
      <c r="F230" s="64">
        <f>SIM_Parametres!$C$25</f>
        <v>1228362768</v>
      </c>
      <c r="G230" s="125">
        <f>SIM_Districts!D17*(1+SIM_Parametres!$B$6)^(2019-2023)</f>
        <v>85616.388911251619</v>
      </c>
      <c r="H230" s="125">
        <f>MAX(0,MIN(100,SIM_Districts!F17+(2019-2022)*SIM_Parametres!$B$7))</f>
        <v>48.99</v>
      </c>
      <c r="I230" s="125">
        <f>SIM_Districts!G17*(1+SIM_Parametres!$B$8)^(2019-2023)</f>
        <v>51.232857229806619</v>
      </c>
      <c r="J230" s="125">
        <f>SIM_Districts!H17*(1+SIM_Parametres!$B$9)^(2019-2023)</f>
        <v>24.234110653863738</v>
      </c>
      <c r="K230" s="125">
        <f>MAX(0,MIN(100,SIM_Districts!I17+(2019-2023)*SIM_Parametres!$B$10))</f>
        <v>83.5</v>
      </c>
      <c r="L230" s="125">
        <f>SIM_Districts!E17</f>
        <v>978</v>
      </c>
      <c r="M230" s="61">
        <f t="shared" si="101"/>
        <v>87.542319950155033</v>
      </c>
      <c r="N230" s="125">
        <f>N159*(1+SIM_Parametres!$B$6)/(1+SIM_Parametres!$B$11)</f>
        <v>95110</v>
      </c>
      <c r="O230" s="132"/>
      <c r="P230" s="126">
        <f>SIM_Parametres!$D$25</f>
        <v>0</v>
      </c>
      <c r="Q230" s="126">
        <f>SIM_Parametres!$B$12</f>
        <v>0.2</v>
      </c>
      <c r="R230" s="66">
        <f t="shared" si="120"/>
        <v>5.3161170333549087E-3</v>
      </c>
      <c r="S230" s="66">
        <f t="shared" si="121"/>
        <v>0.65957446808510645</v>
      </c>
      <c r="T230" s="66">
        <f t="shared" si="122"/>
        <v>0.65469613259668513</v>
      </c>
      <c r="U230" s="66">
        <f t="shared" si="123"/>
        <v>0.53221272247018292</v>
      </c>
      <c r="V230" s="66">
        <f t="shared" si="124"/>
        <v>0.24769050312675686</v>
      </c>
      <c r="W230" s="66">
        <f t="shared" si="125"/>
        <v>1.5726062143310078E-2</v>
      </c>
      <c r="X230" s="66">
        <f t="shared" si="126"/>
        <v>1.2955775433225826E-2</v>
      </c>
      <c r="Y230" s="66">
        <f t="shared" si="127"/>
        <v>1.3597880434592077E-2</v>
      </c>
      <c r="Z230" s="66">
        <f t="shared" si="128"/>
        <v>9.0910712011208778E-3</v>
      </c>
      <c r="AA230" s="66">
        <f t="shared" si="102"/>
        <v>8.6263934382789786E-3</v>
      </c>
      <c r="AB230" s="66">
        <f t="shared" si="129"/>
        <v>1.1797283650655228E-2</v>
      </c>
      <c r="AC230" s="67">
        <f t="shared" si="104"/>
        <v>11937249.228628729</v>
      </c>
      <c r="AD230" s="67">
        <f t="shared" si="130"/>
        <v>14491344</v>
      </c>
      <c r="AE230" s="66">
        <f>0</f>
        <v>0</v>
      </c>
      <c r="AF230" s="67">
        <f t="shared" si="131"/>
        <v>14491344</v>
      </c>
      <c r="AG230" s="67">
        <f t="shared" si="132"/>
        <v>1</v>
      </c>
      <c r="AH230" s="67">
        <f t="shared" si="133"/>
        <v>14491344</v>
      </c>
      <c r="AI230" s="67">
        <f t="shared" si="108"/>
        <v>169.2589956698765</v>
      </c>
      <c r="AJ230" s="67">
        <f t="shared" si="109"/>
        <v>0</v>
      </c>
      <c r="AK230" s="66">
        <f t="shared" si="110"/>
        <v>3.2000000000000028E-2</v>
      </c>
    </row>
    <row r="231" spans="1:37" ht="12.75" customHeight="1" x14ac:dyDescent="0.25">
      <c r="A231" s="55" t="s">
        <v>605</v>
      </c>
      <c r="B231" s="55" t="s">
        <v>394</v>
      </c>
      <c r="C231" s="55" t="s">
        <v>394</v>
      </c>
      <c r="D231" s="128">
        <v>2019</v>
      </c>
      <c r="E231" s="55" t="s">
        <v>676</v>
      </c>
      <c r="F231" s="57">
        <f>SIM_Parametres!$C$25</f>
        <v>1228362768</v>
      </c>
      <c r="G231" s="129">
        <f>SIM_Districts!D18*(1+SIM_Parametres!$B$6)^(2019-2023)</f>
        <v>209286.67808473221</v>
      </c>
      <c r="H231" s="129">
        <f>MAX(0,MIN(100,SIM_Districts!F18+(2019-2022)*SIM_Parametres!$B$7))</f>
        <v>48.99</v>
      </c>
      <c r="I231" s="129">
        <f>SIM_Districts!G18*(1+SIM_Parametres!$B$8)^(2019-2023)</f>
        <v>51.232857229806619</v>
      </c>
      <c r="J231" s="129">
        <f>SIM_Districts!H18*(1+SIM_Parametres!$B$9)^(2019-2023)</f>
        <v>24.234110653863738</v>
      </c>
      <c r="K231" s="129">
        <f>MAX(0,MIN(100,SIM_Districts!I18+(2019-2023)*SIM_Parametres!$B$10))</f>
        <v>83.5</v>
      </c>
      <c r="L231" s="129">
        <f>SIM_Districts!E18</f>
        <v>1155</v>
      </c>
      <c r="M231" s="68">
        <f t="shared" si="101"/>
        <v>181.20058708634824</v>
      </c>
      <c r="N231" s="129">
        <f>N160*(1+SIM_Parametres!$B$6)/(1+SIM_Parametres!$B$11)</f>
        <v>95110</v>
      </c>
      <c r="O231" s="72"/>
      <c r="P231" s="130">
        <f>SIM_Parametres!$D$25</f>
        <v>0</v>
      </c>
      <c r="Q231" s="130">
        <f>SIM_Parametres!$B$12</f>
        <v>0.2</v>
      </c>
      <c r="R231" s="59">
        <f t="shared" si="120"/>
        <v>1.2995087603774123E-2</v>
      </c>
      <c r="S231" s="59">
        <f t="shared" si="121"/>
        <v>0.65957446808510645</v>
      </c>
      <c r="T231" s="59">
        <f t="shared" si="122"/>
        <v>0.65469613259668513</v>
      </c>
      <c r="U231" s="59">
        <f t="shared" si="123"/>
        <v>0.53685323433738241</v>
      </c>
      <c r="V231" s="59">
        <f t="shared" si="124"/>
        <v>0.24769050312675686</v>
      </c>
      <c r="W231" s="59">
        <f t="shared" si="125"/>
        <v>1.5726062143310078E-2</v>
      </c>
      <c r="X231" s="59">
        <f t="shared" si="126"/>
        <v>1.2955775433225826E-2</v>
      </c>
      <c r="Y231" s="59">
        <f t="shared" si="127"/>
        <v>1.3716444164584495E-2</v>
      </c>
      <c r="Z231" s="59">
        <f t="shared" si="128"/>
        <v>9.0910712011208778E-3</v>
      </c>
      <c r="AA231" s="59">
        <f t="shared" si="102"/>
        <v>1.3239703967030126E-2</v>
      </c>
      <c r="AB231" s="59">
        <f t="shared" si="129"/>
        <v>1.3643077140221496E-2</v>
      </c>
      <c r="AC231" s="60">
        <f t="shared" si="104"/>
        <v>16470704.341220971</v>
      </c>
      <c r="AD231" s="60">
        <f t="shared" si="130"/>
        <v>16758648</v>
      </c>
      <c r="AE231" s="59">
        <f>0</f>
        <v>0</v>
      </c>
      <c r="AF231" s="60">
        <f t="shared" si="131"/>
        <v>16758648</v>
      </c>
      <c r="AG231" s="60">
        <f t="shared" si="132"/>
        <v>1</v>
      </c>
      <c r="AH231" s="60">
        <f t="shared" si="133"/>
        <v>16758648</v>
      </c>
      <c r="AI231" s="60">
        <f t="shared" si="108"/>
        <v>80.075082434129229</v>
      </c>
      <c r="AJ231" s="60">
        <f t="shared" si="109"/>
        <v>0</v>
      </c>
      <c r="AK231" s="59">
        <f t="shared" si="110"/>
        <v>3.2000000000000028E-2</v>
      </c>
    </row>
    <row r="232" spans="1:37" ht="12.75" customHeight="1" x14ac:dyDescent="0.25">
      <c r="A232" s="62" t="s">
        <v>606</v>
      </c>
      <c r="B232" s="62" t="s">
        <v>394</v>
      </c>
      <c r="C232" s="62" t="s">
        <v>397</v>
      </c>
      <c r="D232" s="124">
        <v>2019</v>
      </c>
      <c r="E232" s="62" t="s">
        <v>676</v>
      </c>
      <c r="F232" s="64">
        <f>SIM_Parametres!$C$25</f>
        <v>1228362768</v>
      </c>
      <c r="G232" s="125">
        <f>SIM_Districts!D19*(1+SIM_Parametres!$B$6)^(2019-2023)</f>
        <v>57182.137916805827</v>
      </c>
      <c r="H232" s="125">
        <f>MAX(0,MIN(100,SIM_Districts!F19+(2019-2022)*SIM_Parametres!$B$7))</f>
        <v>48.99</v>
      </c>
      <c r="I232" s="125">
        <f>SIM_Districts!G19*(1+SIM_Parametres!$B$8)^(2019-2023)</f>
        <v>51.232857229806619</v>
      </c>
      <c r="J232" s="125">
        <f>SIM_Districts!H19*(1+SIM_Parametres!$B$9)^(2019-2023)</f>
        <v>24.234110653863738</v>
      </c>
      <c r="K232" s="125">
        <f>MAX(0,MIN(100,SIM_Districts!I19+(2019-2023)*SIM_Parametres!$B$10))</f>
        <v>83.5</v>
      </c>
      <c r="L232" s="125">
        <f>SIM_Districts!E19</f>
        <v>733</v>
      </c>
      <c r="M232" s="61">
        <f t="shared" si="101"/>
        <v>78.011102205737828</v>
      </c>
      <c r="N232" s="125">
        <f>N161*(1+SIM_Parametres!$B$6)/(1+SIM_Parametres!$B$11)</f>
        <v>95110</v>
      </c>
      <c r="O232" s="132"/>
      <c r="P232" s="126">
        <f>SIM_Parametres!$D$25</f>
        <v>0</v>
      </c>
      <c r="Q232" s="126">
        <f>SIM_Parametres!$B$12</f>
        <v>0.2</v>
      </c>
      <c r="R232" s="66">
        <f t="shared" si="120"/>
        <v>3.5505694791483008E-3</v>
      </c>
      <c r="S232" s="66">
        <f t="shared" si="121"/>
        <v>0.65957446808510645</v>
      </c>
      <c r="T232" s="66">
        <f t="shared" si="122"/>
        <v>0.65469613259668513</v>
      </c>
      <c r="U232" s="66">
        <f t="shared" si="123"/>
        <v>0.52387753369973944</v>
      </c>
      <c r="V232" s="66">
        <f t="shared" si="124"/>
        <v>0.24769050312675686</v>
      </c>
      <c r="W232" s="66">
        <f t="shared" si="125"/>
        <v>1.5726062143310078E-2</v>
      </c>
      <c r="X232" s="66">
        <f t="shared" si="126"/>
        <v>1.2955775433225826E-2</v>
      </c>
      <c r="Y232" s="66">
        <f t="shared" si="127"/>
        <v>1.3384918783141523E-2</v>
      </c>
      <c r="Z232" s="66">
        <f t="shared" si="128"/>
        <v>9.0910712011208778E-3</v>
      </c>
      <c r="AA232" s="66">
        <f t="shared" si="102"/>
        <v>7.5564168231824855E-3</v>
      </c>
      <c r="AB232" s="66">
        <f t="shared" si="129"/>
        <v>1.2735723035200298E-2</v>
      </c>
      <c r="AC232" s="67">
        <f t="shared" si="104"/>
        <v>10885793.67933657</v>
      </c>
      <c r="AD232" s="67">
        <f t="shared" si="130"/>
        <v>15644088</v>
      </c>
      <c r="AE232" s="66">
        <f>0</f>
        <v>0</v>
      </c>
      <c r="AF232" s="67">
        <f t="shared" si="131"/>
        <v>15644088</v>
      </c>
      <c r="AG232" s="67">
        <f t="shared" si="132"/>
        <v>1</v>
      </c>
      <c r="AH232" s="67">
        <f t="shared" si="133"/>
        <v>15644088</v>
      </c>
      <c r="AI232" s="67">
        <f t="shared" si="108"/>
        <v>273.58347501383304</v>
      </c>
      <c r="AJ232" s="67">
        <f t="shared" si="109"/>
        <v>0</v>
      </c>
      <c r="AK232" s="66">
        <f t="shared" si="110"/>
        <v>3.2000000000000028E-2</v>
      </c>
    </row>
    <row r="233" spans="1:37" ht="12.75" customHeight="1" x14ac:dyDescent="0.25">
      <c r="A233" s="55" t="s">
        <v>607</v>
      </c>
      <c r="B233" s="55" t="s">
        <v>394</v>
      </c>
      <c r="C233" s="55" t="s">
        <v>398</v>
      </c>
      <c r="D233" s="128">
        <v>2019</v>
      </c>
      <c r="E233" s="55" t="s">
        <v>676</v>
      </c>
      <c r="F233" s="57">
        <f>SIM_Parametres!$C$25</f>
        <v>1228362768</v>
      </c>
      <c r="G233" s="129">
        <f>SIM_Districts!D20*(1+SIM_Parametres!$B$6)^(2019-2023)</f>
        <v>107960.94967928328</v>
      </c>
      <c r="H233" s="129">
        <f>MAX(0,MIN(100,SIM_Districts!F20+(2019-2022)*SIM_Parametres!$B$7))</f>
        <v>48.99</v>
      </c>
      <c r="I233" s="129">
        <f>SIM_Districts!G20*(1+SIM_Parametres!$B$8)^(2019-2023)</f>
        <v>51.232857229806619</v>
      </c>
      <c r="J233" s="129">
        <f>SIM_Districts!H20*(1+SIM_Parametres!$B$9)^(2019-2023)</f>
        <v>24.234110653863738</v>
      </c>
      <c r="K233" s="129">
        <f>MAX(0,MIN(100,SIM_Districts!I20+(2019-2023)*SIM_Parametres!$B$10))</f>
        <v>83.5</v>
      </c>
      <c r="L233" s="129">
        <f>SIM_Districts!E20</f>
        <v>1476</v>
      </c>
      <c r="M233" s="68">
        <f t="shared" si="101"/>
        <v>73.144274850462921</v>
      </c>
      <c r="N233" s="129">
        <f>N162*(1+SIM_Parametres!$B$6)/(1+SIM_Parametres!$B$11)</f>
        <v>95110</v>
      </c>
      <c r="O233" s="72"/>
      <c r="P233" s="130">
        <f>SIM_Parametres!$D$25</f>
        <v>0</v>
      </c>
      <c r="Q233" s="130">
        <f>SIM_Parametres!$B$12</f>
        <v>0.2</v>
      </c>
      <c r="R233" s="59">
        <f t="shared" si="120"/>
        <v>6.7035418198043654E-3</v>
      </c>
      <c r="S233" s="59">
        <f t="shared" si="121"/>
        <v>0.65957446808510645</v>
      </c>
      <c r="T233" s="59">
        <f t="shared" si="122"/>
        <v>0.65469613259668513</v>
      </c>
      <c r="U233" s="59">
        <f t="shared" si="123"/>
        <v>0.54969284466862123</v>
      </c>
      <c r="V233" s="59">
        <f t="shared" si="124"/>
        <v>0.24769050312675686</v>
      </c>
      <c r="W233" s="59">
        <f t="shared" si="125"/>
        <v>1.5726062143310078E-2</v>
      </c>
      <c r="X233" s="59">
        <f t="shared" si="126"/>
        <v>1.2955775433225826E-2</v>
      </c>
      <c r="Y233" s="59">
        <f t="shared" si="127"/>
        <v>1.4044492478237349E-2</v>
      </c>
      <c r="Z233" s="59">
        <f t="shared" si="128"/>
        <v>9.0910712011208778E-3</v>
      </c>
      <c r="AA233" s="59">
        <f t="shared" si="102"/>
        <v>9.4811789123309155E-3</v>
      </c>
      <c r="AB233" s="59">
        <f t="shared" si="129"/>
        <v>1.3484290171842786E-2</v>
      </c>
      <c r="AC233" s="60">
        <f t="shared" si="104"/>
        <v>12777238.549390834</v>
      </c>
      <c r="AD233" s="60">
        <f t="shared" si="130"/>
        <v>16563600</v>
      </c>
      <c r="AE233" s="59">
        <f>0</f>
        <v>0</v>
      </c>
      <c r="AF233" s="60">
        <f t="shared" si="131"/>
        <v>16563600</v>
      </c>
      <c r="AG233" s="60">
        <f t="shared" si="132"/>
        <v>1</v>
      </c>
      <c r="AH233" s="60">
        <f t="shared" si="133"/>
        <v>16563600</v>
      </c>
      <c r="AI233" s="60">
        <f t="shared" si="108"/>
        <v>153.42214059069548</v>
      </c>
      <c r="AJ233" s="60">
        <f t="shared" si="109"/>
        <v>0</v>
      </c>
      <c r="AK233" s="59">
        <f t="shared" si="110"/>
        <v>3.2000000000000028E-2</v>
      </c>
    </row>
    <row r="234" spans="1:37" ht="12.75" customHeight="1" x14ac:dyDescent="0.25">
      <c r="A234" s="62" t="s">
        <v>608</v>
      </c>
      <c r="B234" s="62" t="s">
        <v>394</v>
      </c>
      <c r="C234" s="62" t="s">
        <v>399</v>
      </c>
      <c r="D234" s="124">
        <v>2019</v>
      </c>
      <c r="E234" s="62" t="s">
        <v>676</v>
      </c>
      <c r="F234" s="64">
        <f>SIM_Parametres!$C$25</f>
        <v>1228362768</v>
      </c>
      <c r="G234" s="125">
        <f>SIM_Districts!D21*(1+SIM_Parametres!$B$6)^(2019-2023)</f>
        <v>87733.653546434711</v>
      </c>
      <c r="H234" s="125">
        <f>MAX(0,MIN(100,SIM_Districts!F21+(2019-2022)*SIM_Parametres!$B$7))</f>
        <v>48.99</v>
      </c>
      <c r="I234" s="125">
        <f>SIM_Districts!G21*(1+SIM_Parametres!$B$8)^(2019-2023)</f>
        <v>51.232857229806619</v>
      </c>
      <c r="J234" s="125">
        <f>SIM_Districts!H21*(1+SIM_Parametres!$B$9)^(2019-2023)</f>
        <v>24.234110653863738</v>
      </c>
      <c r="K234" s="125">
        <f>MAX(0,MIN(100,SIM_Districts!I21+(2019-2023)*SIM_Parametres!$B$10))</f>
        <v>83.5</v>
      </c>
      <c r="L234" s="125">
        <f>SIM_Districts!E21</f>
        <v>406</v>
      </c>
      <c r="M234" s="61">
        <f t="shared" si="101"/>
        <v>216.09274272520864</v>
      </c>
      <c r="N234" s="125">
        <f>N163*(1+SIM_Parametres!$B$6)/(1+SIM_Parametres!$B$11)</f>
        <v>95110</v>
      </c>
      <c r="O234" s="132"/>
      <c r="P234" s="126">
        <f>SIM_Parametres!$D$25</f>
        <v>0</v>
      </c>
      <c r="Q234" s="126">
        <f>SIM_Parametres!$B$12</f>
        <v>0.2</v>
      </c>
      <c r="R234" s="66">
        <f t="shared" si="120"/>
        <v>5.4475828278639964E-3</v>
      </c>
      <c r="S234" s="66">
        <f t="shared" si="121"/>
        <v>0.65957446808510645</v>
      </c>
      <c r="T234" s="66">
        <f t="shared" si="122"/>
        <v>0.65469613259668513</v>
      </c>
      <c r="U234" s="66">
        <f t="shared" si="123"/>
        <v>0.51035214004959606</v>
      </c>
      <c r="V234" s="66">
        <f t="shared" si="124"/>
        <v>0.24769050312675686</v>
      </c>
      <c r="W234" s="66">
        <f t="shared" si="125"/>
        <v>1.5726062143310078E-2</v>
      </c>
      <c r="X234" s="66">
        <f t="shared" si="126"/>
        <v>1.2955775433225826E-2</v>
      </c>
      <c r="Y234" s="66">
        <f t="shared" si="127"/>
        <v>1.3039348904932262E-2</v>
      </c>
      <c r="Z234" s="66">
        <f t="shared" si="128"/>
        <v>9.0910712011208778E-3</v>
      </c>
      <c r="AA234" s="66">
        <f t="shared" si="102"/>
        <v>8.6773463385014394E-3</v>
      </c>
      <c r="AB234" s="66">
        <f t="shared" si="129"/>
        <v>1.1049556656702575E-2</v>
      </c>
      <c r="AC234" s="67">
        <f t="shared" si="104"/>
        <v>11987320.145072641</v>
      </c>
      <c r="AD234" s="67">
        <f t="shared" si="130"/>
        <v>13572864</v>
      </c>
      <c r="AE234" s="66">
        <f>0</f>
        <v>0</v>
      </c>
      <c r="AF234" s="67">
        <f t="shared" si="131"/>
        <v>13572864</v>
      </c>
      <c r="AG234" s="67">
        <f t="shared" si="132"/>
        <v>1</v>
      </c>
      <c r="AH234" s="67">
        <f t="shared" si="133"/>
        <v>13572864</v>
      </c>
      <c r="AI234" s="67">
        <f t="shared" si="108"/>
        <v>154.7053320059936</v>
      </c>
      <c r="AJ234" s="67">
        <f t="shared" si="109"/>
        <v>0</v>
      </c>
      <c r="AK234" s="66">
        <f t="shared" si="110"/>
        <v>3.2000000000000028E-2</v>
      </c>
    </row>
    <row r="235" spans="1:37" ht="12.75" customHeight="1" x14ac:dyDescent="0.25">
      <c r="A235" s="55" t="s">
        <v>609</v>
      </c>
      <c r="B235" s="55" t="s">
        <v>394</v>
      </c>
      <c r="C235" s="55" t="s">
        <v>400</v>
      </c>
      <c r="D235" s="128">
        <v>2019</v>
      </c>
      <c r="E235" s="55" t="s">
        <v>676</v>
      </c>
      <c r="F235" s="57">
        <f>SIM_Parametres!$C$25</f>
        <v>1228362768</v>
      </c>
      <c r="G235" s="129">
        <f>SIM_Districts!D22*(1+SIM_Parametres!$B$6)^(2019-2023)</f>
        <v>92199.189449258964</v>
      </c>
      <c r="H235" s="129">
        <f>MAX(0,MIN(100,SIM_Districts!F22+(2019-2022)*SIM_Parametres!$B$7))</f>
        <v>48.99</v>
      </c>
      <c r="I235" s="129">
        <f>SIM_Districts!G22*(1+SIM_Parametres!$B$8)^(2019-2023)</f>
        <v>51.232857229806619</v>
      </c>
      <c r="J235" s="129">
        <f>SIM_Districts!H22*(1+SIM_Parametres!$B$9)^(2019-2023)</f>
        <v>24.234110653863738</v>
      </c>
      <c r="K235" s="129">
        <f>MAX(0,MIN(100,SIM_Districts!I22+(2019-2023)*SIM_Parametres!$B$10))</f>
        <v>83.5</v>
      </c>
      <c r="L235" s="129">
        <f>SIM_Districts!E22</f>
        <v>866</v>
      </c>
      <c r="M235" s="68">
        <f t="shared" si="101"/>
        <v>106.46557673124592</v>
      </c>
      <c r="N235" s="129">
        <f>N164*(1+SIM_Parametres!$B$6)/(1+SIM_Parametres!$B$11)</f>
        <v>95110</v>
      </c>
      <c r="O235" s="72"/>
      <c r="P235" s="130">
        <f>SIM_Parametres!$D$25</f>
        <v>0</v>
      </c>
      <c r="Q235" s="130">
        <f>SIM_Parametres!$B$12</f>
        <v>0.2</v>
      </c>
      <c r="R235" s="59">
        <f t="shared" si="120"/>
        <v>5.7248581460354938E-3</v>
      </c>
      <c r="S235" s="59">
        <f t="shared" si="121"/>
        <v>0.65957446808510645</v>
      </c>
      <c r="T235" s="59">
        <f t="shared" si="122"/>
        <v>0.65469613259668513</v>
      </c>
      <c r="U235" s="59">
        <f t="shared" si="123"/>
        <v>0.52803177519419775</v>
      </c>
      <c r="V235" s="59">
        <f t="shared" si="124"/>
        <v>0.24769050312675686</v>
      </c>
      <c r="W235" s="59">
        <f t="shared" si="125"/>
        <v>1.5726062143310078E-2</v>
      </c>
      <c r="X235" s="59">
        <f t="shared" si="126"/>
        <v>1.2955775433225826E-2</v>
      </c>
      <c r="Y235" s="59">
        <f t="shared" si="127"/>
        <v>1.3491058446387229E-2</v>
      </c>
      <c r="Z235" s="59">
        <f t="shared" si="128"/>
        <v>9.0910712011208778E-3</v>
      </c>
      <c r="AA235" s="59">
        <f t="shared" si="102"/>
        <v>8.8662970064770866E-3</v>
      </c>
      <c r="AB235" s="59">
        <f t="shared" si="129"/>
        <v>1.2519806363912847E-2</v>
      </c>
      <c r="AC235" s="60">
        <f t="shared" si="104"/>
        <v>12173000.117496653</v>
      </c>
      <c r="AD235" s="60">
        <f t="shared" si="130"/>
        <v>15378864</v>
      </c>
      <c r="AE235" s="59">
        <f>0</f>
        <v>0</v>
      </c>
      <c r="AF235" s="60">
        <f t="shared" si="131"/>
        <v>15378864</v>
      </c>
      <c r="AG235" s="60">
        <f t="shared" si="132"/>
        <v>1</v>
      </c>
      <c r="AH235" s="60">
        <f t="shared" si="133"/>
        <v>15378864</v>
      </c>
      <c r="AI235" s="60">
        <f t="shared" si="108"/>
        <v>166.80042516494819</v>
      </c>
      <c r="AJ235" s="60">
        <f t="shared" si="109"/>
        <v>0</v>
      </c>
      <c r="AK235" s="59">
        <f t="shared" si="110"/>
        <v>3.2000000000000028E-2</v>
      </c>
    </row>
    <row r="236" spans="1:37" ht="12.75" customHeight="1" x14ac:dyDescent="0.25">
      <c r="A236" s="62" t="s">
        <v>610</v>
      </c>
      <c r="B236" s="62" t="s">
        <v>394</v>
      </c>
      <c r="C236" s="62" t="s">
        <v>401</v>
      </c>
      <c r="D236" s="124">
        <v>2019</v>
      </c>
      <c r="E236" s="62" t="s">
        <v>676</v>
      </c>
      <c r="F236" s="64">
        <f>SIM_Parametres!$C$25</f>
        <v>1228362768</v>
      </c>
      <c r="G236" s="125">
        <f>SIM_Districts!D23*(1+SIM_Parametres!$B$6)^(2019-2023)</f>
        <v>165805.89893383422</v>
      </c>
      <c r="H236" s="125">
        <f>MAX(0,MIN(100,SIM_Districts!F23+(2019-2022)*SIM_Parametres!$B$7))</f>
        <v>48.99</v>
      </c>
      <c r="I236" s="125">
        <f>SIM_Districts!G23*(1+SIM_Parametres!$B$8)^(2019-2023)</f>
        <v>51.232857229806619</v>
      </c>
      <c r="J236" s="125">
        <f>SIM_Districts!H23*(1+SIM_Parametres!$B$9)^(2019-2023)</f>
        <v>24.234110653863738</v>
      </c>
      <c r="K236" s="125">
        <f>MAX(0,MIN(100,SIM_Districts!I23+(2019-2023)*SIM_Parametres!$B$10))</f>
        <v>83.5</v>
      </c>
      <c r="L236" s="125">
        <f>SIM_Districts!E23</f>
        <v>1459</v>
      </c>
      <c r="M236" s="61">
        <f t="shared" si="101"/>
        <v>113.64352223018109</v>
      </c>
      <c r="N236" s="125">
        <f>N165*(1+SIM_Parametres!$B$6)/(1+SIM_Parametres!$B$11)</f>
        <v>95110</v>
      </c>
      <c r="O236" s="132"/>
      <c r="P236" s="126">
        <f>SIM_Parametres!$D$25</f>
        <v>0</v>
      </c>
      <c r="Q236" s="126">
        <f>SIM_Parametres!$B$12</f>
        <v>0.2</v>
      </c>
      <c r="R236" s="66">
        <f t="shared" si="120"/>
        <v>1.0295266767984887E-2</v>
      </c>
      <c r="S236" s="66">
        <f t="shared" si="121"/>
        <v>0.65957446808510645</v>
      </c>
      <c r="T236" s="66">
        <f t="shared" si="122"/>
        <v>0.65469613259668513</v>
      </c>
      <c r="U236" s="66">
        <f t="shared" si="123"/>
        <v>0.54845929360496004</v>
      </c>
      <c r="V236" s="66">
        <f t="shared" si="124"/>
        <v>0.24769050312675686</v>
      </c>
      <c r="W236" s="66">
        <f t="shared" si="125"/>
        <v>1.5726062143310078E-2</v>
      </c>
      <c r="X236" s="66">
        <f t="shared" si="126"/>
        <v>1.2955775433225826E-2</v>
      </c>
      <c r="Y236" s="66">
        <f t="shared" si="127"/>
        <v>1.4012975606946155E-2</v>
      </c>
      <c r="Z236" s="66">
        <f t="shared" si="128"/>
        <v>9.0910712011208778E-3</v>
      </c>
      <c r="AA236" s="66">
        <f t="shared" si="102"/>
        <v>1.1634638037674668E-2</v>
      </c>
      <c r="AB236" s="66">
        <f t="shared" si="129"/>
        <v>1.3653158852499509E-2</v>
      </c>
      <c r="AC236" s="67">
        <f t="shared" si="104"/>
        <v>14893421.758976521</v>
      </c>
      <c r="AD236" s="67">
        <f t="shared" si="130"/>
        <v>16771032</v>
      </c>
      <c r="AE236" s="66">
        <f>0</f>
        <v>0</v>
      </c>
      <c r="AF236" s="67">
        <f t="shared" si="131"/>
        <v>16771032</v>
      </c>
      <c r="AG236" s="67">
        <f t="shared" si="132"/>
        <v>1</v>
      </c>
      <c r="AH236" s="67">
        <f t="shared" si="133"/>
        <v>16771032</v>
      </c>
      <c r="AI236" s="67">
        <f t="shared" si="108"/>
        <v>101.14858462721266</v>
      </c>
      <c r="AJ236" s="67">
        <f t="shared" si="109"/>
        <v>0</v>
      </c>
      <c r="AK236" s="66">
        <f t="shared" si="110"/>
        <v>3.2000000000000028E-2</v>
      </c>
    </row>
    <row r="237" spans="1:37" ht="12.75" customHeight="1" x14ac:dyDescent="0.25">
      <c r="A237" s="55" t="s">
        <v>611</v>
      </c>
      <c r="B237" s="55" t="s">
        <v>402</v>
      </c>
      <c r="C237" s="55" t="s">
        <v>404</v>
      </c>
      <c r="D237" s="128">
        <v>2019</v>
      </c>
      <c r="E237" s="55" t="s">
        <v>676</v>
      </c>
      <c r="F237" s="57">
        <f>SIM_Parametres!$C$25</f>
        <v>1228362768</v>
      </c>
      <c r="G237" s="129">
        <f>SIM_Districts!D24*(1+SIM_Parametres!$B$6)^(2019-2023)</f>
        <v>130120.70514134849</v>
      </c>
      <c r="H237" s="129">
        <f>MAX(0,MIN(100,SIM_Districts!F24+(2019-2022)*SIM_Parametres!$B$7))</f>
        <v>60.690000000000005</v>
      </c>
      <c r="I237" s="129">
        <f>SIM_Districts!G24*(1+SIM_Parametres!$B$8)^(2019-2023)</f>
        <v>51.232857229806619</v>
      </c>
      <c r="J237" s="129">
        <f>SIM_Districts!H24*(1+SIM_Parametres!$B$9)^(2019-2023)</f>
        <v>43.2860844383478</v>
      </c>
      <c r="K237" s="129">
        <f>MAX(0,MIN(100,SIM_Districts!I24+(2019-2023)*SIM_Parametres!$B$10))</f>
        <v>77.400000000000006</v>
      </c>
      <c r="L237" s="129">
        <f>SIM_Districts!E24</f>
        <v>1150</v>
      </c>
      <c r="M237" s="68">
        <f t="shared" si="101"/>
        <v>113.14843925334651</v>
      </c>
      <c r="N237" s="129">
        <f>N166*(1+SIM_Parametres!$B$6)/(1+SIM_Parametres!$B$11)</f>
        <v>169739</v>
      </c>
      <c r="O237" s="72"/>
      <c r="P237" s="130">
        <f>SIM_Parametres!$D$25</f>
        <v>0</v>
      </c>
      <c r="Q237" s="130">
        <f>SIM_Parametres!$B$12</f>
        <v>0.2</v>
      </c>
      <c r="R237" s="59">
        <f t="shared" si="120"/>
        <v>8.0794916229311661E-3</v>
      </c>
      <c r="S237" s="59">
        <f t="shared" si="121"/>
        <v>0.86702127659574479</v>
      </c>
      <c r="T237" s="59">
        <f t="shared" si="122"/>
        <v>1</v>
      </c>
      <c r="U237" s="59">
        <f t="shared" si="123"/>
        <v>0.53776328071078594</v>
      </c>
      <c r="V237" s="59">
        <f t="shared" si="124"/>
        <v>0.76566328194948607</v>
      </c>
      <c r="W237" s="59">
        <f t="shared" si="125"/>
        <v>2.0672162333544703E-2</v>
      </c>
      <c r="X237" s="59">
        <f t="shared" si="126"/>
        <v>1.9788990324167716E-2</v>
      </c>
      <c r="Y237" s="59">
        <f t="shared" si="127"/>
        <v>1.3739695585027883E-2</v>
      </c>
      <c r="Z237" s="59">
        <f t="shared" si="128"/>
        <v>2.8102407336645013E-2</v>
      </c>
      <c r="AA237" s="59">
        <f t="shared" si="102"/>
        <v>1.3008973018499209E-2</v>
      </c>
      <c r="AB237" s="59">
        <f t="shared" si="129"/>
        <v>1.1367130593459993E-2</v>
      </c>
      <c r="AC237" s="60">
        <f t="shared" si="104"/>
        <v>16243967.295940408</v>
      </c>
      <c r="AD237" s="60">
        <f t="shared" si="130"/>
        <v>13962960</v>
      </c>
      <c r="AE237" s="59">
        <f>0</f>
        <v>0</v>
      </c>
      <c r="AF237" s="60">
        <f t="shared" si="131"/>
        <v>13962960</v>
      </c>
      <c r="AG237" s="60">
        <f t="shared" si="132"/>
        <v>1</v>
      </c>
      <c r="AH237" s="60">
        <f t="shared" si="133"/>
        <v>13962960</v>
      </c>
      <c r="AI237" s="60">
        <f t="shared" si="108"/>
        <v>107.30774925352742</v>
      </c>
      <c r="AJ237" s="60">
        <f t="shared" si="109"/>
        <v>0</v>
      </c>
      <c r="AK237" s="59">
        <f t="shared" si="110"/>
        <v>3.2000000000000028E-2</v>
      </c>
    </row>
    <row r="238" spans="1:37" ht="12.75" customHeight="1" x14ac:dyDescent="0.25">
      <c r="A238" s="62" t="s">
        <v>613</v>
      </c>
      <c r="B238" s="62" t="s">
        <v>402</v>
      </c>
      <c r="C238" s="62" t="s">
        <v>402</v>
      </c>
      <c r="D238" s="124">
        <v>2019</v>
      </c>
      <c r="E238" s="62" t="s">
        <v>676</v>
      </c>
      <c r="F238" s="64">
        <f>SIM_Parametres!$C$25</f>
        <v>1228362768</v>
      </c>
      <c r="G238" s="125">
        <f>SIM_Districts!D25*(1+SIM_Parametres!$B$6)^(2019-2023)</f>
        <v>266986.80395047291</v>
      </c>
      <c r="H238" s="125">
        <f>MAX(0,MIN(100,SIM_Districts!F25+(2019-2022)*SIM_Parametres!$B$7))</f>
        <v>60.690000000000005</v>
      </c>
      <c r="I238" s="125">
        <f>SIM_Districts!G25*(1+SIM_Parametres!$B$8)^(2019-2023)</f>
        <v>51.232857229806619</v>
      </c>
      <c r="J238" s="125">
        <f>SIM_Districts!H25*(1+SIM_Parametres!$B$9)^(2019-2023)</f>
        <v>43.2860844383478</v>
      </c>
      <c r="K238" s="125">
        <f>MAX(0,MIN(100,SIM_Districts!I25+(2019-2023)*SIM_Parametres!$B$10))</f>
        <v>77.400000000000006</v>
      </c>
      <c r="L238" s="125">
        <f>SIM_Districts!E25</f>
        <v>2609</v>
      </c>
      <c r="M238" s="61">
        <f t="shared" si="101"/>
        <v>102.33300266403714</v>
      </c>
      <c r="N238" s="125">
        <f>N167*(1+SIM_Parametres!$B$6)/(1+SIM_Parametres!$B$11)</f>
        <v>169739</v>
      </c>
      <c r="O238" s="132"/>
      <c r="P238" s="126">
        <f>SIM_Parametres!$D$25</f>
        <v>0</v>
      </c>
      <c r="Q238" s="126">
        <f>SIM_Parametres!$B$12</f>
        <v>0.2</v>
      </c>
      <c r="R238" s="66">
        <f t="shared" si="120"/>
        <v>1.6577820137139297E-2</v>
      </c>
      <c r="S238" s="66">
        <f t="shared" si="121"/>
        <v>0.86702127659574479</v>
      </c>
      <c r="T238" s="66">
        <f t="shared" si="122"/>
        <v>1</v>
      </c>
      <c r="U238" s="66">
        <f t="shared" si="123"/>
        <v>0.58847583069176324</v>
      </c>
      <c r="V238" s="66">
        <f t="shared" si="124"/>
        <v>0.76566328194948607</v>
      </c>
      <c r="W238" s="66">
        <f t="shared" si="125"/>
        <v>2.0672162333544703E-2</v>
      </c>
      <c r="X238" s="66">
        <f t="shared" si="126"/>
        <v>1.9788990324167716E-2</v>
      </c>
      <c r="Y238" s="66">
        <f t="shared" si="127"/>
        <v>1.5035386503452401E-2</v>
      </c>
      <c r="Z238" s="66">
        <f t="shared" si="128"/>
        <v>2.8102407336645013E-2</v>
      </c>
      <c r="AA238" s="66">
        <f t="shared" si="102"/>
        <v>1.8172754672945313E-2</v>
      </c>
      <c r="AB238" s="66">
        <f t="shared" si="129"/>
        <v>1.3225526223373777E-2</v>
      </c>
      <c r="AC238" s="67">
        <f t="shared" si="104"/>
        <v>21318364.997062836</v>
      </c>
      <c r="AD238" s="67">
        <f t="shared" si="130"/>
        <v>16245744</v>
      </c>
      <c r="AE238" s="66">
        <f>0</f>
        <v>0</v>
      </c>
      <c r="AF238" s="67">
        <f t="shared" si="131"/>
        <v>16245744</v>
      </c>
      <c r="AG238" s="67">
        <f t="shared" si="132"/>
        <v>1</v>
      </c>
      <c r="AH238" s="67">
        <f t="shared" si="133"/>
        <v>16245744</v>
      </c>
      <c r="AI238" s="67">
        <f t="shared" si="108"/>
        <v>60.848490485745685</v>
      </c>
      <c r="AJ238" s="67">
        <f t="shared" si="109"/>
        <v>0</v>
      </c>
      <c r="AK238" s="66">
        <f t="shared" si="110"/>
        <v>3.2000000000000028E-2</v>
      </c>
    </row>
    <row r="239" spans="1:37" ht="12.75" customHeight="1" x14ac:dyDescent="0.25">
      <c r="A239" s="55" t="s">
        <v>614</v>
      </c>
      <c r="B239" s="55" t="s">
        <v>402</v>
      </c>
      <c r="C239" s="55" t="s">
        <v>405</v>
      </c>
      <c r="D239" s="128">
        <v>2019</v>
      </c>
      <c r="E239" s="55" t="s">
        <v>676</v>
      </c>
      <c r="F239" s="57">
        <f>SIM_Parametres!$C$25</f>
        <v>1228362768</v>
      </c>
      <c r="G239" s="129">
        <f>SIM_Districts!D26*(1+SIM_Parametres!$B$6)^(2019-2023)</f>
        <v>210112.9710392938</v>
      </c>
      <c r="H239" s="129">
        <f>MAX(0,MIN(100,SIM_Districts!F26+(2019-2022)*SIM_Parametres!$B$7))</f>
        <v>60.690000000000005</v>
      </c>
      <c r="I239" s="129">
        <f>SIM_Districts!G26*(1+SIM_Parametres!$B$8)^(2019-2023)</f>
        <v>51.232857229806619</v>
      </c>
      <c r="J239" s="129">
        <f>SIM_Districts!H26*(1+SIM_Parametres!$B$9)^(2019-2023)</f>
        <v>43.2860844383478</v>
      </c>
      <c r="K239" s="129">
        <f>MAX(0,MIN(100,SIM_Districts!I26+(2019-2023)*SIM_Parametres!$B$10))</f>
        <v>77.400000000000006</v>
      </c>
      <c r="L239" s="129">
        <f>SIM_Districts!E26</f>
        <v>4537</v>
      </c>
      <c r="M239" s="68">
        <f t="shared" si="101"/>
        <v>46.310992073902092</v>
      </c>
      <c r="N239" s="129">
        <f>N168*(1+SIM_Parametres!$B$6)/(1+SIM_Parametres!$B$11)</f>
        <v>169739</v>
      </c>
      <c r="O239" s="72"/>
      <c r="P239" s="130">
        <f>SIM_Parametres!$D$25</f>
        <v>0</v>
      </c>
      <c r="Q239" s="130">
        <f>SIM_Parametres!$B$12</f>
        <v>0.2</v>
      </c>
      <c r="R239" s="59">
        <f t="shared" si="120"/>
        <v>1.304639401959177E-2</v>
      </c>
      <c r="S239" s="59">
        <f t="shared" si="121"/>
        <v>0.86702127659574479</v>
      </c>
      <c r="T239" s="59">
        <f t="shared" si="122"/>
        <v>1</v>
      </c>
      <c r="U239" s="59">
        <f t="shared" si="123"/>
        <v>0.65615433798264988</v>
      </c>
      <c r="V239" s="59">
        <f t="shared" si="124"/>
        <v>0.76566328194948607</v>
      </c>
      <c r="W239" s="59">
        <f t="shared" si="125"/>
        <v>2.0672162333544703E-2</v>
      </c>
      <c r="X239" s="59">
        <f t="shared" si="126"/>
        <v>1.9788990324167716E-2</v>
      </c>
      <c r="Y239" s="59">
        <f t="shared" si="127"/>
        <v>1.6764552702001334E-2</v>
      </c>
      <c r="Z239" s="59">
        <f t="shared" si="128"/>
        <v>2.8102407336645013E-2</v>
      </c>
      <c r="AA239" s="59">
        <f t="shared" si="102"/>
        <v>1.6140357312344242E-2</v>
      </c>
      <c r="AB239" s="59">
        <f t="shared" si="129"/>
        <v>1.9379571426411061E-2</v>
      </c>
      <c r="AC239" s="60">
        <f t="shared" si="104"/>
        <v>19321147.999027777</v>
      </c>
      <c r="AD239" s="60">
        <f t="shared" si="130"/>
        <v>23805144</v>
      </c>
      <c r="AE239" s="59">
        <f>0</f>
        <v>0</v>
      </c>
      <c r="AF239" s="60">
        <f t="shared" si="131"/>
        <v>23805144</v>
      </c>
      <c r="AG239" s="60">
        <f t="shared" si="132"/>
        <v>1</v>
      </c>
      <c r="AH239" s="60">
        <f t="shared" si="133"/>
        <v>23805144</v>
      </c>
      <c r="AI239" s="60">
        <f t="shared" si="108"/>
        <v>113.29687968453949</v>
      </c>
      <c r="AJ239" s="60">
        <f t="shared" si="109"/>
        <v>0</v>
      </c>
      <c r="AK239" s="59">
        <f t="shared" si="110"/>
        <v>3.2000000000000028E-2</v>
      </c>
    </row>
    <row r="240" spans="1:37" ht="12.75" customHeight="1" x14ac:dyDescent="0.25">
      <c r="A240" s="62" t="s">
        <v>615</v>
      </c>
      <c r="B240" s="62" t="s">
        <v>402</v>
      </c>
      <c r="C240" s="62" t="s">
        <v>406</v>
      </c>
      <c r="D240" s="124">
        <v>2019</v>
      </c>
      <c r="E240" s="62" t="s">
        <v>676</v>
      </c>
      <c r="F240" s="64">
        <f>SIM_Parametres!$C$25</f>
        <v>1228362768</v>
      </c>
      <c r="G240" s="125">
        <f>SIM_Districts!D27*(1+SIM_Parametres!$B$6)^(2019-2023)</f>
        <v>121698.73641415568</v>
      </c>
      <c r="H240" s="125">
        <f>MAX(0,MIN(100,SIM_Districts!F27+(2019-2022)*SIM_Parametres!$B$7))</f>
        <v>60.690000000000005</v>
      </c>
      <c r="I240" s="125">
        <f>SIM_Districts!G27*(1+SIM_Parametres!$B$8)^(2019-2023)</f>
        <v>51.232857229806619</v>
      </c>
      <c r="J240" s="125">
        <f>SIM_Districts!H27*(1+SIM_Parametres!$B$9)^(2019-2023)</f>
        <v>43.2860844383478</v>
      </c>
      <c r="K240" s="125">
        <f>MAX(0,MIN(100,SIM_Districts!I27+(2019-2023)*SIM_Parametres!$B$10))</f>
        <v>77.400000000000006</v>
      </c>
      <c r="L240" s="125">
        <f>SIM_Districts!E27</f>
        <v>2765</v>
      </c>
      <c r="M240" s="61">
        <f t="shared" si="101"/>
        <v>44.014009553040026</v>
      </c>
      <c r="N240" s="125">
        <f>N169*(1+SIM_Parametres!$B$6)/(1+SIM_Parametres!$B$11)</f>
        <v>169739</v>
      </c>
      <c r="O240" s="132"/>
      <c r="P240" s="126">
        <f>SIM_Parametres!$D$25</f>
        <v>0</v>
      </c>
      <c r="Q240" s="126">
        <f>SIM_Parametres!$B$12</f>
        <v>0.2</v>
      </c>
      <c r="R240" s="66">
        <f t="shared" si="120"/>
        <v>7.5565523589145294E-3</v>
      </c>
      <c r="S240" s="66">
        <f t="shared" si="121"/>
        <v>0.86702127659574479</v>
      </c>
      <c r="T240" s="66">
        <f t="shared" si="122"/>
        <v>1</v>
      </c>
      <c r="U240" s="66">
        <f t="shared" si="123"/>
        <v>0.59480805510502444</v>
      </c>
      <c r="V240" s="66">
        <f t="shared" si="124"/>
        <v>0.76566328194948607</v>
      </c>
      <c r="W240" s="66">
        <f t="shared" si="125"/>
        <v>2.0672162333544703E-2</v>
      </c>
      <c r="X240" s="66">
        <f t="shared" si="126"/>
        <v>1.9788990324167716E-2</v>
      </c>
      <c r="Y240" s="66">
        <f t="shared" si="127"/>
        <v>1.5197172997501038E-2</v>
      </c>
      <c r="Z240" s="66">
        <f t="shared" si="128"/>
        <v>2.8102407336645013E-2</v>
      </c>
      <c r="AA240" s="66">
        <f t="shared" si="102"/>
        <v>1.2768083330712884E-2</v>
      </c>
      <c r="AB240" s="66">
        <f t="shared" si="129"/>
        <v>1.2841581014119438E-2</v>
      </c>
      <c r="AC240" s="67">
        <f t="shared" si="104"/>
        <v>16007247.357002916</v>
      </c>
      <c r="AD240" s="67">
        <f t="shared" si="130"/>
        <v>15774120</v>
      </c>
      <c r="AE240" s="66">
        <f>0</f>
        <v>0</v>
      </c>
      <c r="AF240" s="67">
        <f t="shared" si="131"/>
        <v>15774120</v>
      </c>
      <c r="AG240" s="67">
        <f t="shared" si="132"/>
        <v>1</v>
      </c>
      <c r="AH240" s="67">
        <f t="shared" si="133"/>
        <v>15774120</v>
      </c>
      <c r="AI240" s="67">
        <f t="shared" si="108"/>
        <v>129.616136245809</v>
      </c>
      <c r="AJ240" s="67">
        <f t="shared" si="109"/>
        <v>0</v>
      </c>
      <c r="AK240" s="66">
        <f t="shared" si="110"/>
        <v>3.2000000000000028E-2</v>
      </c>
    </row>
    <row r="241" spans="1:37" ht="12.75" customHeight="1" x14ac:dyDescent="0.25">
      <c r="A241" s="55" t="s">
        <v>616</v>
      </c>
      <c r="B241" s="55" t="s">
        <v>407</v>
      </c>
      <c r="C241" s="55" t="s">
        <v>409</v>
      </c>
      <c r="D241" s="128">
        <v>2019</v>
      </c>
      <c r="E241" s="55" t="s">
        <v>676</v>
      </c>
      <c r="F241" s="57">
        <f>SIM_Parametres!$C$25</f>
        <v>1228362768</v>
      </c>
      <c r="G241" s="129">
        <f>SIM_Districts!D28*(1+SIM_Parametres!$B$6)^(2019-2023)</f>
        <v>142368.49909686626</v>
      </c>
      <c r="H241" s="129">
        <f>MAX(0,MIN(100,SIM_Districts!F28+(2019-2022)*SIM_Parametres!$B$7))</f>
        <v>52.09</v>
      </c>
      <c r="I241" s="129">
        <f>SIM_Districts!G28*(1+SIM_Parametres!$B$8)^(2019-2023)</f>
        <v>51.232857229806619</v>
      </c>
      <c r="J241" s="129">
        <f>SIM_Districts!H28*(1+SIM_Parametres!$B$9)^(2019-2023)</f>
        <v>22.252705380277391</v>
      </c>
      <c r="K241" s="129">
        <f>MAX(0,MIN(100,SIM_Districts!I28+(2019-2023)*SIM_Parametres!$B$10))</f>
        <v>85.1</v>
      </c>
      <c r="L241" s="129">
        <f>SIM_Districts!E28</f>
        <v>1066</v>
      </c>
      <c r="M241" s="68">
        <f t="shared" si="101"/>
        <v>133.55393911525917</v>
      </c>
      <c r="N241" s="129">
        <f>N170*(1+SIM_Parametres!$B$6)/(1+SIM_Parametres!$B$11)</f>
        <v>190293</v>
      </c>
      <c r="O241" s="72"/>
      <c r="P241" s="130">
        <f>SIM_Parametres!$D$25</f>
        <v>0</v>
      </c>
      <c r="Q241" s="130">
        <f>SIM_Parametres!$B$12</f>
        <v>0.2</v>
      </c>
      <c r="R241" s="59">
        <f t="shared" si="120"/>
        <v>8.8399851090024129E-3</v>
      </c>
      <c r="S241" s="59">
        <f t="shared" si="121"/>
        <v>0.71453900709219864</v>
      </c>
      <c r="T241" s="59">
        <f t="shared" si="122"/>
        <v>0.61878453038674031</v>
      </c>
      <c r="U241" s="59">
        <f t="shared" si="123"/>
        <v>0.53452867131516979</v>
      </c>
      <c r="V241" s="59">
        <f t="shared" si="124"/>
        <v>0.90832112938040932</v>
      </c>
      <c r="W241" s="59">
        <f t="shared" si="125"/>
        <v>1.7036567321919254E-2</v>
      </c>
      <c r="X241" s="59">
        <f t="shared" si="126"/>
        <v>1.2245121084567868E-2</v>
      </c>
      <c r="Y241" s="59">
        <f t="shared" si="127"/>
        <v>1.3657052254725572E-2</v>
      </c>
      <c r="Z241" s="59">
        <f t="shared" si="128"/>
        <v>3.333842822570373E-2</v>
      </c>
      <c r="AA241" s="59">
        <f t="shared" si="102"/>
        <v>1.204601835039598E-2</v>
      </c>
      <c r="AB241" s="59">
        <f t="shared" si="129"/>
        <v>1.2106456160514301E-2</v>
      </c>
      <c r="AC241" s="60">
        <f t="shared" si="104"/>
        <v>15297681.166684566</v>
      </c>
      <c r="AD241" s="60">
        <f t="shared" si="130"/>
        <v>14871120</v>
      </c>
      <c r="AE241" s="59">
        <f>0</f>
        <v>0</v>
      </c>
      <c r="AF241" s="60">
        <f t="shared" si="131"/>
        <v>14871120</v>
      </c>
      <c r="AG241" s="60">
        <f t="shared" si="132"/>
        <v>1</v>
      </c>
      <c r="AH241" s="60">
        <f t="shared" si="133"/>
        <v>14871120</v>
      </c>
      <c r="AI241" s="60">
        <f t="shared" si="108"/>
        <v>104.45512943057595</v>
      </c>
      <c r="AJ241" s="60">
        <f t="shared" si="109"/>
        <v>0</v>
      </c>
      <c r="AK241" s="59">
        <f t="shared" si="110"/>
        <v>3.2000000000000028E-2</v>
      </c>
    </row>
    <row r="242" spans="1:37" ht="12.75" customHeight="1" x14ac:dyDescent="0.25">
      <c r="A242" s="62" t="s">
        <v>618</v>
      </c>
      <c r="B242" s="62" t="s">
        <v>407</v>
      </c>
      <c r="C242" s="62" t="s">
        <v>410</v>
      </c>
      <c r="D242" s="124">
        <v>2019</v>
      </c>
      <c r="E242" s="62" t="s">
        <v>676</v>
      </c>
      <c r="F242" s="64">
        <f>SIM_Parametres!$C$25</f>
        <v>1228362768</v>
      </c>
      <c r="G242" s="125">
        <f>SIM_Districts!D29*(1+SIM_Parametres!$B$6)^(2019-2023)</f>
        <v>387012.5192534033</v>
      </c>
      <c r="H242" s="125">
        <f>MAX(0,MIN(100,SIM_Districts!F29+(2019-2022)*SIM_Parametres!$B$7))</f>
        <v>52.09</v>
      </c>
      <c r="I242" s="125">
        <f>SIM_Districts!G29*(1+SIM_Parametres!$B$8)^(2019-2023)</f>
        <v>51.232857229806619</v>
      </c>
      <c r="J242" s="125">
        <f>SIM_Districts!H29*(1+SIM_Parametres!$B$9)^(2019-2023)</f>
        <v>22.252705380277391</v>
      </c>
      <c r="K242" s="125">
        <f>MAX(0,MIN(100,SIM_Districts!I29+(2019-2023)*SIM_Parametres!$B$10))</f>
        <v>85.1</v>
      </c>
      <c r="L242" s="125">
        <f>SIM_Districts!E29</f>
        <v>535</v>
      </c>
      <c r="M242" s="61">
        <f t="shared" si="101"/>
        <v>723.38788645495947</v>
      </c>
      <c r="N242" s="125">
        <f>N171*(1+SIM_Parametres!$B$6)/(1+SIM_Parametres!$B$11)</f>
        <v>190293</v>
      </c>
      <c r="O242" s="132"/>
      <c r="P242" s="126">
        <f>SIM_Parametres!$D$25</f>
        <v>0</v>
      </c>
      <c r="Q242" s="126">
        <f>SIM_Parametres!$B$12</f>
        <v>0.2</v>
      </c>
      <c r="R242" s="66">
        <f t="shared" si="120"/>
        <v>2.403049079607035E-2</v>
      </c>
      <c r="S242" s="66">
        <f t="shared" si="121"/>
        <v>0.71453900709219864</v>
      </c>
      <c r="T242" s="66">
        <f t="shared" si="122"/>
        <v>0.61878453038674031</v>
      </c>
      <c r="U242" s="66">
        <f t="shared" si="123"/>
        <v>0.50674567312414043</v>
      </c>
      <c r="V242" s="66">
        <f t="shared" si="124"/>
        <v>0.90832112938040932</v>
      </c>
      <c r="W242" s="66">
        <f t="shared" si="125"/>
        <v>1.7036567321919254E-2</v>
      </c>
      <c r="X242" s="66">
        <f t="shared" si="126"/>
        <v>1.2245121084567868E-2</v>
      </c>
      <c r="Y242" s="66">
        <f t="shared" si="127"/>
        <v>1.2947204722778849E-2</v>
      </c>
      <c r="Z242" s="66">
        <f t="shared" si="128"/>
        <v>3.333842822570373E-2</v>
      </c>
      <c r="AA242" s="66">
        <f t="shared" si="102"/>
        <v>2.1124829386039407E-2</v>
      </c>
      <c r="AB242" s="66">
        <f t="shared" si="129"/>
        <v>1.423789816462428E-2</v>
      </c>
      <c r="AC242" s="67">
        <f t="shared" si="104"/>
        <v>24219339.929798093</v>
      </c>
      <c r="AD242" s="67">
        <f t="shared" si="130"/>
        <v>17489304</v>
      </c>
      <c r="AE242" s="66">
        <f>0</f>
        <v>0</v>
      </c>
      <c r="AF242" s="67">
        <f t="shared" si="131"/>
        <v>17489304</v>
      </c>
      <c r="AG242" s="67">
        <f t="shared" si="132"/>
        <v>1</v>
      </c>
      <c r="AH242" s="67">
        <f t="shared" si="133"/>
        <v>17489304</v>
      </c>
      <c r="AI242" s="67">
        <f t="shared" si="108"/>
        <v>45.190538109049051</v>
      </c>
      <c r="AJ242" s="67">
        <f t="shared" si="109"/>
        <v>0</v>
      </c>
      <c r="AK242" s="66">
        <f t="shared" si="110"/>
        <v>3.2000000000000028E-2</v>
      </c>
    </row>
    <row r="243" spans="1:37" ht="12.75" customHeight="1" x14ac:dyDescent="0.25">
      <c r="A243" s="55" t="s">
        <v>619</v>
      </c>
      <c r="B243" s="55" t="s">
        <v>407</v>
      </c>
      <c r="C243" s="55" t="s">
        <v>411</v>
      </c>
      <c r="D243" s="128">
        <v>2019</v>
      </c>
      <c r="E243" s="55" t="s">
        <v>676</v>
      </c>
      <c r="F243" s="57">
        <f>SIM_Parametres!$C$25</f>
        <v>1228362768</v>
      </c>
      <c r="G243" s="129">
        <f>SIM_Districts!D30*(1+SIM_Parametres!$B$6)^(2019-2023)</f>
        <v>217107.14108048609</v>
      </c>
      <c r="H243" s="129">
        <f>MAX(0,MIN(100,SIM_Districts!F30+(2019-2022)*SIM_Parametres!$B$7))</f>
        <v>52.09</v>
      </c>
      <c r="I243" s="129">
        <f>SIM_Districts!G30*(1+SIM_Parametres!$B$8)^(2019-2023)</f>
        <v>51.232857229806619</v>
      </c>
      <c r="J243" s="129">
        <f>SIM_Districts!H30*(1+SIM_Parametres!$B$9)^(2019-2023)</f>
        <v>22.252705380277391</v>
      </c>
      <c r="K243" s="129">
        <f>MAX(0,MIN(100,SIM_Districts!I30+(2019-2023)*SIM_Parametres!$B$10))</f>
        <v>85.1</v>
      </c>
      <c r="L243" s="129">
        <f>SIM_Districts!E30</f>
        <v>1359</v>
      </c>
      <c r="M243" s="68">
        <f t="shared" si="101"/>
        <v>159.7550706994011</v>
      </c>
      <c r="N243" s="129">
        <f>N172*(1+SIM_Parametres!$B$6)/(1+SIM_Parametres!$B$11)</f>
        <v>190293</v>
      </c>
      <c r="O243" s="72"/>
      <c r="P243" s="130">
        <f>SIM_Parametres!$D$25</f>
        <v>0</v>
      </c>
      <c r="Q243" s="130">
        <f>SIM_Parametres!$B$12</f>
        <v>0.2</v>
      </c>
      <c r="R243" s="59">
        <f t="shared" si="120"/>
        <v>1.3480678003803075E-2</v>
      </c>
      <c r="S243" s="59">
        <f t="shared" si="121"/>
        <v>0.71453900709219864</v>
      </c>
      <c r="T243" s="59">
        <f t="shared" si="122"/>
        <v>0.61878453038674031</v>
      </c>
      <c r="U243" s="59">
        <f t="shared" si="123"/>
        <v>0.54426125050867202</v>
      </c>
      <c r="V243" s="59">
        <f t="shared" si="124"/>
        <v>0.90832112938040932</v>
      </c>
      <c r="W243" s="59">
        <f t="shared" si="125"/>
        <v>1.7036567321919254E-2</v>
      </c>
      <c r="X243" s="59">
        <f t="shared" si="126"/>
        <v>1.2245121084567868E-2</v>
      </c>
      <c r="Y243" s="59">
        <f t="shared" si="127"/>
        <v>1.3905716825499443E-2</v>
      </c>
      <c r="Z243" s="59">
        <f t="shared" si="128"/>
        <v>3.333842822570373E-2</v>
      </c>
      <c r="AA243" s="59">
        <f t="shared" si="102"/>
        <v>1.4842867315815071E-2</v>
      </c>
      <c r="AB243" s="59">
        <f t="shared" si="129"/>
        <v>1.3021371549744009E-2</v>
      </c>
      <c r="AC243" s="60">
        <f t="shared" si="104"/>
        <v>18046117.276156671</v>
      </c>
      <c r="AD243" s="60">
        <f t="shared" si="130"/>
        <v>15994968.000000002</v>
      </c>
      <c r="AE243" s="59">
        <f>0</f>
        <v>0</v>
      </c>
      <c r="AF243" s="60">
        <f t="shared" si="131"/>
        <v>15994968.000000002</v>
      </c>
      <c r="AG243" s="60">
        <f t="shared" si="132"/>
        <v>1</v>
      </c>
      <c r="AH243" s="60">
        <f t="shared" si="133"/>
        <v>15994968.000000002</v>
      </c>
      <c r="AI243" s="60">
        <f t="shared" si="108"/>
        <v>73.67315474008447</v>
      </c>
      <c r="AJ243" s="60">
        <f t="shared" si="109"/>
        <v>0</v>
      </c>
      <c r="AK243" s="59">
        <f t="shared" si="110"/>
        <v>3.2000000000000028E-2</v>
      </c>
    </row>
    <row r="244" spans="1:37" ht="12.75" customHeight="1" x14ac:dyDescent="0.25">
      <c r="A244" s="62" t="s">
        <v>620</v>
      </c>
      <c r="B244" s="62" t="s">
        <v>407</v>
      </c>
      <c r="C244" s="62" t="s">
        <v>412</v>
      </c>
      <c r="D244" s="124">
        <v>2019</v>
      </c>
      <c r="E244" s="62" t="s">
        <v>676</v>
      </c>
      <c r="F244" s="64">
        <f>SIM_Parametres!$C$25</f>
        <v>1228362768</v>
      </c>
      <c r="G244" s="125">
        <f>SIM_Districts!D31*(1+SIM_Parametres!$B$6)^(2019-2023)</f>
        <v>441170.24725910416</v>
      </c>
      <c r="H244" s="125">
        <f>MAX(0,MIN(100,SIM_Districts!F31+(2019-2022)*SIM_Parametres!$B$7))</f>
        <v>52.09</v>
      </c>
      <c r="I244" s="125">
        <f>SIM_Districts!G31*(1+SIM_Parametres!$B$8)^(2019-2023)</f>
        <v>51.232857229806619</v>
      </c>
      <c r="J244" s="125">
        <f>SIM_Districts!H31*(1+SIM_Parametres!$B$9)^(2019-2023)</f>
        <v>22.252705380277391</v>
      </c>
      <c r="K244" s="125">
        <f>MAX(0,MIN(100,SIM_Districts!I31+(2019-2023)*SIM_Parametres!$B$10))</f>
        <v>85.1</v>
      </c>
      <c r="L244" s="125">
        <f>SIM_Districts!E31</f>
        <v>2302</v>
      </c>
      <c r="M244" s="61">
        <f t="shared" si="101"/>
        <v>191.64650185017558</v>
      </c>
      <c r="N244" s="125">
        <f>N173*(1+SIM_Parametres!$B$6)/(1+SIM_Parametres!$B$11)</f>
        <v>190293</v>
      </c>
      <c r="O244" s="132"/>
      <c r="P244" s="126">
        <f>SIM_Parametres!$D$25</f>
        <v>0</v>
      </c>
      <c r="Q244" s="126">
        <f>SIM_Parametres!$B$12</f>
        <v>0.2</v>
      </c>
      <c r="R244" s="66">
        <f t="shared" si="120"/>
        <v>2.7393267759688256E-2</v>
      </c>
      <c r="S244" s="66">
        <f t="shared" si="121"/>
        <v>0.71453900709219864</v>
      </c>
      <c r="T244" s="66">
        <f t="shared" si="122"/>
        <v>0.61878453038674031</v>
      </c>
      <c r="U244" s="66">
        <f t="shared" si="123"/>
        <v>0.5764195329812869</v>
      </c>
      <c r="V244" s="66">
        <f t="shared" si="124"/>
        <v>0.90832112938040932</v>
      </c>
      <c r="W244" s="66">
        <f t="shared" si="125"/>
        <v>1.7036567321919254E-2</v>
      </c>
      <c r="X244" s="66">
        <f t="shared" si="126"/>
        <v>1.2245121084567868E-2</v>
      </c>
      <c r="Y244" s="66">
        <f t="shared" si="127"/>
        <v>1.4727351599683094E-2</v>
      </c>
      <c r="Z244" s="66">
        <f t="shared" si="128"/>
        <v>3.333842822570373E-2</v>
      </c>
      <c r="AA244" s="66">
        <f t="shared" si="102"/>
        <v>2.3231502908055361E-2</v>
      </c>
      <c r="AB244" s="66">
        <f t="shared" si="129"/>
        <v>1.7670721195287807E-2</v>
      </c>
      <c r="AC244" s="67">
        <f t="shared" si="104"/>
        <v>26289547.384818755</v>
      </c>
      <c r="AD244" s="67">
        <f t="shared" si="130"/>
        <v>21706056</v>
      </c>
      <c r="AE244" s="66">
        <f>0</f>
        <v>0</v>
      </c>
      <c r="AF244" s="67">
        <f t="shared" si="131"/>
        <v>21706056</v>
      </c>
      <c r="AG244" s="67">
        <f t="shared" si="132"/>
        <v>1</v>
      </c>
      <c r="AH244" s="67">
        <f t="shared" si="133"/>
        <v>21706056</v>
      </c>
      <c r="AI244" s="67">
        <f t="shared" si="108"/>
        <v>49.201087641007199</v>
      </c>
      <c r="AJ244" s="67">
        <f t="shared" si="109"/>
        <v>0</v>
      </c>
      <c r="AK244" s="66">
        <f t="shared" si="110"/>
        <v>3.2000000000000028E-2</v>
      </c>
    </row>
    <row r="245" spans="1:37" ht="12.75" customHeight="1" x14ac:dyDescent="0.25">
      <c r="A245" s="55" t="s">
        <v>621</v>
      </c>
      <c r="B245" s="55" t="s">
        <v>413</v>
      </c>
      <c r="C245" s="55" t="s">
        <v>413</v>
      </c>
      <c r="D245" s="128">
        <v>2019</v>
      </c>
      <c r="E245" s="55" t="s">
        <v>676</v>
      </c>
      <c r="F245" s="57">
        <f>SIM_Parametres!$C$25</f>
        <v>1228362768</v>
      </c>
      <c r="G245" s="129">
        <f>SIM_Districts!D32*(1+SIM_Parametres!$B$6)^(2019-2023)</f>
        <v>112996.89426686941</v>
      </c>
      <c r="H245" s="129">
        <f>MAX(0,MIN(100,SIM_Districts!F32+(2019-2022)*SIM_Parametres!$B$7))</f>
        <v>68.19</v>
      </c>
      <c r="I245" s="129">
        <f>SIM_Districts!G32*(1+SIM_Parametres!$B$8)^(2019-2023)</f>
        <v>51.232857229806619</v>
      </c>
      <c r="J245" s="129">
        <f>SIM_Districts!H32*(1+SIM_Parametres!$B$9)^(2019-2023)</f>
        <v>32.464563328760853</v>
      </c>
      <c r="K245" s="129">
        <f>MAX(0,MIN(100,SIM_Districts!I32+(2019-2023)*SIM_Parametres!$B$10))</f>
        <v>79.599999999999994</v>
      </c>
      <c r="L245" s="129">
        <f>SIM_Districts!E32</f>
        <v>7061</v>
      </c>
      <c r="M245" s="68">
        <f t="shared" si="101"/>
        <v>16.002959108747969</v>
      </c>
      <c r="N245" s="129">
        <f>N174*(1+SIM_Parametres!$B$6)/(1+SIM_Parametres!$B$11)</f>
        <v>59423</v>
      </c>
      <c r="O245" s="72"/>
      <c r="P245" s="130">
        <f>SIM_Parametres!$D$25</f>
        <v>0</v>
      </c>
      <c r="Q245" s="130">
        <f>SIM_Parametres!$B$12</f>
        <v>0.2</v>
      </c>
      <c r="R245" s="59">
        <f t="shared" si="120"/>
        <v>7.0162351153467539E-3</v>
      </c>
      <c r="S245" s="59">
        <f t="shared" si="121"/>
        <v>1</v>
      </c>
      <c r="T245" s="59">
        <f t="shared" si="122"/>
        <v>0.80386740331491713</v>
      </c>
      <c r="U245" s="59">
        <f t="shared" si="123"/>
        <v>0.74406922993471691</v>
      </c>
      <c r="V245" s="59">
        <f t="shared" si="124"/>
        <v>0</v>
      </c>
      <c r="W245" s="59">
        <f t="shared" si="125"/>
        <v>2.3842739378566891E-2</v>
      </c>
      <c r="X245" s="59">
        <f t="shared" si="126"/>
        <v>1.590772426611272E-2</v>
      </c>
      <c r="Y245" s="59">
        <f t="shared" si="127"/>
        <v>1.9010752649337739E-2</v>
      </c>
      <c r="Z245" s="59">
        <f t="shared" si="128"/>
        <v>0</v>
      </c>
      <c r="AA245" s="59">
        <f t="shared" si="102"/>
        <v>1.1122848248376881E-2</v>
      </c>
      <c r="AB245" s="59">
        <f t="shared" si="129"/>
        <v>1.7768177747308603E-2</v>
      </c>
      <c r="AC245" s="60">
        <f t="shared" si="104"/>
        <v>14390490.941203749</v>
      </c>
      <c r="AD245" s="60">
        <f t="shared" si="130"/>
        <v>21825768</v>
      </c>
      <c r="AE245" s="59">
        <f>0</f>
        <v>0</v>
      </c>
      <c r="AF245" s="60">
        <f t="shared" si="131"/>
        <v>21825768</v>
      </c>
      <c r="AG245" s="60">
        <f t="shared" si="132"/>
        <v>1</v>
      </c>
      <c r="AH245" s="60">
        <f t="shared" si="133"/>
        <v>21825768</v>
      </c>
      <c r="AI245" s="60">
        <f t="shared" si="108"/>
        <v>193.15369808707473</v>
      </c>
      <c r="AJ245" s="60">
        <f t="shared" si="109"/>
        <v>0</v>
      </c>
      <c r="AK245" s="59">
        <f t="shared" si="110"/>
        <v>3.2000000000000028E-2</v>
      </c>
    </row>
    <row r="246" spans="1:37" ht="12.75" customHeight="1" x14ac:dyDescent="0.25">
      <c r="A246" s="62" t="s">
        <v>623</v>
      </c>
      <c r="B246" s="62" t="s">
        <v>413</v>
      </c>
      <c r="C246" s="62" t="s">
        <v>415</v>
      </c>
      <c r="D246" s="124">
        <v>2019</v>
      </c>
      <c r="E246" s="62" t="s">
        <v>676</v>
      </c>
      <c r="F246" s="64">
        <f>SIM_Parametres!$C$25</f>
        <v>1228362768</v>
      </c>
      <c r="G246" s="125">
        <f>SIM_Districts!D33*(1+SIM_Parametres!$B$6)^(2019-2023)</f>
        <v>31818.498159956653</v>
      </c>
      <c r="H246" s="125">
        <f>MAX(0,MIN(100,SIM_Districts!F33+(2019-2022)*SIM_Parametres!$B$7))</f>
        <v>68.19</v>
      </c>
      <c r="I246" s="125">
        <f>SIM_Districts!G33*(1+SIM_Parametres!$B$8)^(2019-2023)</f>
        <v>51.232857229806619</v>
      </c>
      <c r="J246" s="125">
        <f>SIM_Districts!H33*(1+SIM_Parametres!$B$9)^(2019-2023)</f>
        <v>32.464563328760853</v>
      </c>
      <c r="K246" s="125">
        <f>MAX(0,MIN(100,SIM_Districts!I33+(2019-2023)*SIM_Parametres!$B$10))</f>
        <v>79.599999999999994</v>
      </c>
      <c r="L246" s="125">
        <f>SIM_Districts!E33</f>
        <v>1931</v>
      </c>
      <c r="M246" s="61">
        <f t="shared" si="101"/>
        <v>16.477730792313128</v>
      </c>
      <c r="N246" s="125">
        <f>N175*(1+SIM_Parametres!$B$6)/(1+SIM_Parametres!$B$11)</f>
        <v>59423</v>
      </c>
      <c r="O246" s="132"/>
      <c r="P246" s="126">
        <f>SIM_Parametres!$D$25</f>
        <v>0</v>
      </c>
      <c r="Q246" s="126">
        <f>SIM_Parametres!$B$12</f>
        <v>0.2</v>
      </c>
      <c r="R246" s="66">
        <f t="shared" si="120"/>
        <v>1.9756831863027538E-3</v>
      </c>
      <c r="S246" s="66">
        <f t="shared" si="121"/>
        <v>1</v>
      </c>
      <c r="T246" s="66">
        <f t="shared" si="122"/>
        <v>0.80386740331491713</v>
      </c>
      <c r="U246" s="66">
        <f t="shared" si="123"/>
        <v>0.56635625479419383</v>
      </c>
      <c r="V246" s="66">
        <f t="shared" si="124"/>
        <v>0</v>
      </c>
      <c r="W246" s="66">
        <f t="shared" si="125"/>
        <v>2.3842739378566891E-2</v>
      </c>
      <c r="X246" s="66">
        <f t="shared" si="126"/>
        <v>1.590772426611272E-2</v>
      </c>
      <c r="Y246" s="66">
        <f t="shared" si="127"/>
        <v>1.4470237765701426E-2</v>
      </c>
      <c r="Z246" s="66">
        <f t="shared" si="128"/>
        <v>0</v>
      </c>
      <c r="AA246" s="66">
        <f t="shared" si="102"/>
        <v>7.8714913467686654E-3</v>
      </c>
      <c r="AB246" s="66">
        <f t="shared" si="129"/>
        <v>1.2869305722883974E-2</v>
      </c>
      <c r="AC246" s="67">
        <f t="shared" si="104"/>
        <v>11195414.33047145</v>
      </c>
      <c r="AD246" s="67">
        <f t="shared" si="130"/>
        <v>15808176</v>
      </c>
      <c r="AE246" s="66">
        <f>0</f>
        <v>0</v>
      </c>
      <c r="AF246" s="67">
        <f t="shared" si="131"/>
        <v>15808176</v>
      </c>
      <c r="AG246" s="67">
        <f t="shared" si="132"/>
        <v>1</v>
      </c>
      <c r="AH246" s="67">
        <f t="shared" si="133"/>
        <v>15808176</v>
      </c>
      <c r="AI246" s="67">
        <f t="shared" si="108"/>
        <v>496.82344906820504</v>
      </c>
      <c r="AJ246" s="67">
        <f t="shared" si="109"/>
        <v>0</v>
      </c>
      <c r="AK246" s="66">
        <f t="shared" si="110"/>
        <v>3.2000000000000028E-2</v>
      </c>
    </row>
    <row r="247" spans="1:37" ht="12.75" customHeight="1" x14ac:dyDescent="0.25">
      <c r="A247" s="55" t="s">
        <v>624</v>
      </c>
      <c r="B247" s="55" t="s">
        <v>413</v>
      </c>
      <c r="C247" s="55" t="s">
        <v>416</v>
      </c>
      <c r="D247" s="128">
        <v>2019</v>
      </c>
      <c r="E247" s="55" t="s">
        <v>676</v>
      </c>
      <c r="F247" s="57">
        <f>SIM_Parametres!$C$25</f>
        <v>1228362768</v>
      </c>
      <c r="G247" s="129">
        <f>SIM_Districts!D34*(1+SIM_Parametres!$B$6)^(2019-2023)</f>
        <v>72994.541908561339</v>
      </c>
      <c r="H247" s="129">
        <f>MAX(0,MIN(100,SIM_Districts!F34+(2019-2022)*SIM_Parametres!$B$7))</f>
        <v>68.19</v>
      </c>
      <c r="I247" s="129">
        <f>SIM_Districts!G34*(1+SIM_Parametres!$B$8)^(2019-2023)</f>
        <v>51.232857229806619</v>
      </c>
      <c r="J247" s="129">
        <f>SIM_Districts!H34*(1+SIM_Parametres!$B$9)^(2019-2023)</f>
        <v>32.464563328760853</v>
      </c>
      <c r="K247" s="129">
        <f>MAX(0,MIN(100,SIM_Districts!I34+(2019-2023)*SIM_Parametres!$B$10))</f>
        <v>79.599999999999994</v>
      </c>
      <c r="L247" s="129">
        <f>SIM_Districts!E34</f>
        <v>7918</v>
      </c>
      <c r="M247" s="68">
        <f t="shared" si="101"/>
        <v>9.2188105466735717</v>
      </c>
      <c r="N247" s="129">
        <f>N176*(1+SIM_Parametres!$B$6)/(1+SIM_Parametres!$B$11)</f>
        <v>59423</v>
      </c>
      <c r="O247" s="72"/>
      <c r="P247" s="130">
        <f>SIM_Parametres!$D$25</f>
        <v>0</v>
      </c>
      <c r="Q247" s="130">
        <f>SIM_Parametres!$B$12</f>
        <v>0.2</v>
      </c>
      <c r="R247" s="59">
        <f t="shared" si="120"/>
        <v>4.5323977396930929E-3</v>
      </c>
      <c r="S247" s="59">
        <f t="shared" si="121"/>
        <v>1</v>
      </c>
      <c r="T247" s="59">
        <f t="shared" si="122"/>
        <v>0.80386740331491713</v>
      </c>
      <c r="U247" s="59">
        <f t="shared" si="123"/>
        <v>0.77386406994971757</v>
      </c>
      <c r="V247" s="59">
        <f t="shared" si="124"/>
        <v>0</v>
      </c>
      <c r="W247" s="59">
        <f t="shared" si="125"/>
        <v>2.3842739378566891E-2</v>
      </c>
      <c r="X247" s="59">
        <f t="shared" si="126"/>
        <v>1.590772426611272E-2</v>
      </c>
      <c r="Y247" s="59">
        <f t="shared" si="127"/>
        <v>1.9772002155383654E-2</v>
      </c>
      <c r="Z247" s="59">
        <f t="shared" si="128"/>
        <v>0</v>
      </c>
      <c r="AA247" s="59">
        <f t="shared" si="102"/>
        <v>9.6706082982869809E-3</v>
      </c>
      <c r="AB247" s="59">
        <f t="shared" si="129"/>
        <v>1.2918874141584206E-2</v>
      </c>
      <c r="AC247" s="60">
        <f t="shared" si="104"/>
        <v>12963388.95328966</v>
      </c>
      <c r="AD247" s="60">
        <f t="shared" si="130"/>
        <v>15869064</v>
      </c>
      <c r="AE247" s="59">
        <f>0</f>
        <v>0</v>
      </c>
      <c r="AF247" s="60">
        <f t="shared" si="131"/>
        <v>15869064</v>
      </c>
      <c r="AG247" s="60">
        <f t="shared" si="132"/>
        <v>1</v>
      </c>
      <c r="AH247" s="60">
        <f t="shared" si="133"/>
        <v>15869064</v>
      </c>
      <c r="AI247" s="60">
        <f t="shared" si="108"/>
        <v>217.40069305289742</v>
      </c>
      <c r="AJ247" s="60">
        <f t="shared" si="109"/>
        <v>0</v>
      </c>
      <c r="AK247" s="59">
        <f t="shared" si="110"/>
        <v>3.2000000000000028E-2</v>
      </c>
    </row>
    <row r="248" spans="1:37" ht="12.75" customHeight="1" x14ac:dyDescent="0.25">
      <c r="A248" s="62" t="s">
        <v>625</v>
      </c>
      <c r="B248" s="62" t="s">
        <v>417</v>
      </c>
      <c r="C248" s="62" t="s">
        <v>417</v>
      </c>
      <c r="D248" s="124">
        <v>2019</v>
      </c>
      <c r="E248" s="62" t="s">
        <v>676</v>
      </c>
      <c r="F248" s="64">
        <f>SIM_Parametres!$C$25</f>
        <v>1228362768</v>
      </c>
      <c r="G248" s="125">
        <f>SIM_Districts!D35*(1+SIM_Parametres!$B$6)^(2019-2023)</f>
        <v>301811.05379352829</v>
      </c>
      <c r="H248" s="125">
        <f>MAX(0,MIN(100,SIM_Districts!F35+(2019-2022)*SIM_Parametres!$B$7))</f>
        <v>64.989999999999995</v>
      </c>
      <c r="I248" s="125">
        <f>SIM_Districts!G35*(1+SIM_Parametres!$B$8)^(2019-2023)</f>
        <v>51.232857229806619</v>
      </c>
      <c r="J248" s="125">
        <f>SIM_Districts!H35*(1+SIM_Parametres!$B$9)^(2019-2023)</f>
        <v>27.282426459381185</v>
      </c>
      <c r="K248" s="125">
        <f>MAX(0,MIN(100,SIM_Districts!I35+(2019-2023)*SIM_Parametres!$B$10))</f>
        <v>80.5</v>
      </c>
      <c r="L248" s="125">
        <f>SIM_Districts!E35</f>
        <v>3571</v>
      </c>
      <c r="M248" s="61">
        <f t="shared" si="101"/>
        <v>84.517237130643593</v>
      </c>
      <c r="N248" s="125">
        <f>N177*(1+SIM_Parametres!$B$6)/(1+SIM_Parametres!$B$11)</f>
        <v>155501</v>
      </c>
      <c r="O248" s="132"/>
      <c r="P248" s="126">
        <f>SIM_Parametres!$D$25</f>
        <v>0</v>
      </c>
      <c r="Q248" s="126">
        <f>SIM_Parametres!$B$12</f>
        <v>0.2</v>
      </c>
      <c r="R248" s="66">
        <f t="shared" si="120"/>
        <v>1.8740137307002368E-2</v>
      </c>
      <c r="S248" s="66">
        <f t="shared" si="121"/>
        <v>0.94326241134751765</v>
      </c>
      <c r="T248" s="66">
        <f t="shared" si="122"/>
        <v>0.70994475138121538</v>
      </c>
      <c r="U248" s="66">
        <f t="shared" si="123"/>
        <v>0.62208351647816407</v>
      </c>
      <c r="V248" s="66">
        <f t="shared" si="124"/>
        <v>0.66684249613059499</v>
      </c>
      <c r="W248" s="66">
        <f t="shared" si="125"/>
        <v>2.2489959839357421E-2</v>
      </c>
      <c r="X248" s="66">
        <f t="shared" si="126"/>
        <v>1.4049089815776525E-2</v>
      </c>
      <c r="Y248" s="66">
        <f t="shared" si="127"/>
        <v>1.5894053111206074E-2</v>
      </c>
      <c r="Z248" s="66">
        <f t="shared" si="128"/>
        <v>2.4475353458158197E-2</v>
      </c>
      <c r="AA248" s="66">
        <f t="shared" si="102"/>
        <v>1.8743410160939729E-2</v>
      </c>
      <c r="AB248" s="66">
        <f t="shared" si="129"/>
        <v>1.4750385205423289E-2</v>
      </c>
      <c r="AC248" s="67">
        <f t="shared" si="104"/>
        <v>21879142.560908608</v>
      </c>
      <c r="AD248" s="67">
        <f t="shared" si="130"/>
        <v>18118824</v>
      </c>
      <c r="AE248" s="66">
        <f>0</f>
        <v>0</v>
      </c>
      <c r="AF248" s="67">
        <f t="shared" si="131"/>
        <v>18118824</v>
      </c>
      <c r="AG248" s="67">
        <f t="shared" si="132"/>
        <v>1</v>
      </c>
      <c r="AH248" s="67">
        <f t="shared" si="133"/>
        <v>18118824</v>
      </c>
      <c r="AI248" s="67">
        <f t="shared" si="108"/>
        <v>60.033666004808602</v>
      </c>
      <c r="AJ248" s="67">
        <f t="shared" si="109"/>
        <v>0</v>
      </c>
      <c r="AK248" s="66">
        <f t="shared" si="110"/>
        <v>3.2000000000000028E-2</v>
      </c>
    </row>
    <row r="249" spans="1:37" ht="12.75" customHeight="1" x14ac:dyDescent="0.25">
      <c r="A249" s="55" t="s">
        <v>627</v>
      </c>
      <c r="B249" s="55" t="s">
        <v>417</v>
      </c>
      <c r="C249" s="55" t="s">
        <v>419</v>
      </c>
      <c r="D249" s="128">
        <v>2019</v>
      </c>
      <c r="E249" s="55" t="s">
        <v>676</v>
      </c>
      <c r="F249" s="57">
        <f>SIM_Parametres!$C$25</f>
        <v>1228362768</v>
      </c>
      <c r="G249" s="129">
        <f>SIM_Districts!D36*(1+SIM_Parametres!$B$6)^(2019-2023)</f>
        <v>169420.26424475524</v>
      </c>
      <c r="H249" s="129">
        <f>MAX(0,MIN(100,SIM_Districts!F36+(2019-2022)*SIM_Parametres!$B$7))</f>
        <v>64.989999999999995</v>
      </c>
      <c r="I249" s="129">
        <f>SIM_Districts!G36*(1+SIM_Parametres!$B$8)^(2019-2023)</f>
        <v>51.232857229806619</v>
      </c>
      <c r="J249" s="129">
        <f>SIM_Districts!H36*(1+SIM_Parametres!$B$9)^(2019-2023)</f>
        <v>27.282426459381185</v>
      </c>
      <c r="K249" s="129">
        <f>MAX(0,MIN(100,SIM_Districts!I36+(2019-2023)*SIM_Parametres!$B$10))</f>
        <v>80.5</v>
      </c>
      <c r="L249" s="129">
        <f>SIM_Districts!E36</f>
        <v>4702</v>
      </c>
      <c r="M249" s="68">
        <f t="shared" si="101"/>
        <v>36.031532166047477</v>
      </c>
      <c r="N249" s="129">
        <f>N178*(1+SIM_Parametres!$B$6)/(1+SIM_Parametres!$B$11)</f>
        <v>155501</v>
      </c>
      <c r="O249" s="72"/>
      <c r="P249" s="130">
        <f>SIM_Parametres!$D$25</f>
        <v>0</v>
      </c>
      <c r="Q249" s="130">
        <f>SIM_Parametres!$B$12</f>
        <v>0.2</v>
      </c>
      <c r="R249" s="59">
        <f t="shared" ref="R249:R280" si="134">IFERROR(G249/SUM($G$217:$G$287),1/71)</f>
        <v>1.0519690961045301E-2</v>
      </c>
      <c r="S249" s="59">
        <f t="shared" ref="S249:S280" si="135">IF(MAX($H$217:$H$287)=MIN($H$217:$H$287),1,(H249-MIN($H$217:$H$287))/(MAX($H$217:$H$287)-MIN($H$217:$H$287)))</f>
        <v>0.94326241134751765</v>
      </c>
      <c r="T249" s="59">
        <f t="shared" ref="T249:T280" si="136">(IF(MAX($I$217:$I$287)=MIN($I$217:$I$287),1,(I249-MIN($I$217:$I$287))/(MAX($I$217:$I$287)-MIN($I$217:$I$287)))+IF(MAX($J$217:$J$287)=MIN($J$217:$J$287),1,(J249-MIN($J$217:$J$287))/(MAX($J$217:$J$287)-MIN($J$217:$J$287))))/2</f>
        <v>0.70994475138121538</v>
      </c>
      <c r="U249" s="59">
        <f t="shared" ref="U249:U280" si="137">(IF(MAX($L$217:$L$287)=MIN($L$217:$L$287),1,(L249-MIN($L$217:$L$287))/(MAX($L$217:$L$287)-MIN($L$217:$L$287)))+IF(MAX($M$217:$M$287)=MIN($M$217:$M$287),1,(MAX($M$217:$M$287)-M249)/(MAX($M$217:$M$287)-MIN($M$217:$M$287))))/2</f>
        <v>0.66203363691805861</v>
      </c>
      <c r="V249" s="59">
        <f t="shared" ref="V249:V280" si="138">IF(MAX($N$217:$N$287)=MIN($N$217:$N$287),1,(N249-MIN($N$217:$N$287))/(MAX($N$217:$N$287)-MIN($N$217:$N$287)))</f>
        <v>0.66684249613059499</v>
      </c>
      <c r="W249" s="59">
        <f t="shared" ref="W249:W280" si="139">IFERROR(S249/SUM($S$217:$S$287),1/71)</f>
        <v>2.2489959839357421E-2</v>
      </c>
      <c r="X249" s="59">
        <f t="shared" ref="X249:X280" si="140">IFERROR(T249/SUM($T$217:$T$287),1/71)</f>
        <v>1.4049089815776525E-2</v>
      </c>
      <c r="Y249" s="59">
        <f t="shared" ref="Y249:Y280" si="141">IFERROR(U249/SUM($U$217:$U$287),1/71)</f>
        <v>1.6914767081679924E-2</v>
      </c>
      <c r="Z249" s="59">
        <f t="shared" ref="Z249:Z280" si="142">IFERROR(V249/SUM($V$217:$V$287),1/71)</f>
        <v>2.4475353458158197E-2</v>
      </c>
      <c r="AA249" s="59">
        <f t="shared" si="102"/>
        <v>1.3862178051889178E-2</v>
      </c>
      <c r="AB249" s="59">
        <f t="shared" ref="AB249:AB280" si="143">IFERROR(AH178/SUM($AH$146:$AH$216),1/71)</f>
        <v>1.3806064822049376E-2</v>
      </c>
      <c r="AC249" s="60">
        <f t="shared" si="104"/>
        <v>17082403.533129558</v>
      </c>
      <c r="AD249" s="60">
        <f t="shared" si="130"/>
        <v>16958856</v>
      </c>
      <c r="AE249" s="59">
        <f>0</f>
        <v>0</v>
      </c>
      <c r="AF249" s="60">
        <f t="shared" si="131"/>
        <v>16958856</v>
      </c>
      <c r="AG249" s="60">
        <f t="shared" ref="AG249:AG280" si="144">IFERROR(F249/SUM($AF$217:$AF$287),1)</f>
        <v>1</v>
      </c>
      <c r="AH249" s="60">
        <f t="shared" si="133"/>
        <v>16958856</v>
      </c>
      <c r="AI249" s="60">
        <f t="shared" si="108"/>
        <v>100.09933626062679</v>
      </c>
      <c r="AJ249" s="60">
        <f t="shared" si="109"/>
        <v>0</v>
      </c>
      <c r="AK249" s="59">
        <f t="shared" si="110"/>
        <v>3.2000000000000028E-2</v>
      </c>
    </row>
    <row r="250" spans="1:37" ht="12.75" customHeight="1" x14ac:dyDescent="0.25">
      <c r="A250" s="62" t="s">
        <v>628</v>
      </c>
      <c r="B250" s="62" t="s">
        <v>417</v>
      </c>
      <c r="C250" s="62" t="s">
        <v>420</v>
      </c>
      <c r="D250" s="124">
        <v>2019</v>
      </c>
      <c r="E250" s="62" t="s">
        <v>676</v>
      </c>
      <c r="F250" s="64">
        <f>SIM_Parametres!$C$25</f>
        <v>1228362768</v>
      </c>
      <c r="G250" s="125">
        <f>SIM_Districts!D37*(1+SIM_Parametres!$B$6)^(2019-2023)</f>
        <v>341554.85642089293</v>
      </c>
      <c r="H250" s="125">
        <f>MAX(0,MIN(100,SIM_Districts!F37+(2019-2022)*SIM_Parametres!$B$7))</f>
        <v>64.989999999999995</v>
      </c>
      <c r="I250" s="125">
        <f>SIM_Districts!G37*(1+SIM_Parametres!$B$8)^(2019-2023)</f>
        <v>51.232857229806619</v>
      </c>
      <c r="J250" s="125">
        <f>SIM_Districts!H37*(1+SIM_Parametres!$B$9)^(2019-2023)</f>
        <v>27.282426459381185</v>
      </c>
      <c r="K250" s="125">
        <f>MAX(0,MIN(100,SIM_Districts!I37+(2019-2023)*SIM_Parametres!$B$10))</f>
        <v>80.5</v>
      </c>
      <c r="L250" s="125">
        <f>SIM_Districts!E37</f>
        <v>5498</v>
      </c>
      <c r="M250" s="61">
        <f t="shared" si="101"/>
        <v>62.123473339558551</v>
      </c>
      <c r="N250" s="125">
        <f>N179*(1+SIM_Parametres!$B$6)/(1+SIM_Parametres!$B$11)</f>
        <v>155501</v>
      </c>
      <c r="O250" s="132"/>
      <c r="P250" s="126">
        <f>SIM_Parametres!$D$25</f>
        <v>0</v>
      </c>
      <c r="Q250" s="126">
        <f>SIM_Parametres!$B$12</f>
        <v>0.2</v>
      </c>
      <c r="R250" s="66">
        <f t="shared" si="134"/>
        <v>2.120792073964212E-2</v>
      </c>
      <c r="S250" s="66">
        <f t="shared" si="135"/>
        <v>0.94326241134751765</v>
      </c>
      <c r="T250" s="66">
        <f t="shared" si="136"/>
        <v>0.70994475138121538</v>
      </c>
      <c r="U250" s="66">
        <f t="shared" si="137"/>
        <v>0.68919209164884077</v>
      </c>
      <c r="V250" s="66">
        <f t="shared" si="138"/>
        <v>0.66684249613059499</v>
      </c>
      <c r="W250" s="66">
        <f t="shared" si="139"/>
        <v>2.2489959839357421E-2</v>
      </c>
      <c r="X250" s="66">
        <f t="shared" si="140"/>
        <v>1.4049089815776525E-2</v>
      </c>
      <c r="Y250" s="66">
        <f t="shared" si="141"/>
        <v>1.7608657709666832E-2</v>
      </c>
      <c r="Z250" s="66">
        <f t="shared" si="142"/>
        <v>2.4475353458158197E-2</v>
      </c>
      <c r="AA250" s="66">
        <f t="shared" si="102"/>
        <v>2.0309810450446615E-2</v>
      </c>
      <c r="AB250" s="66">
        <f t="shared" si="143"/>
        <v>1.8667130425431454E-2</v>
      </c>
      <c r="AC250" s="67">
        <f t="shared" si="104"/>
        <v>23418428.79724035</v>
      </c>
      <c r="AD250" s="67">
        <f t="shared" si="130"/>
        <v>22930008</v>
      </c>
      <c r="AE250" s="66">
        <f>0</f>
        <v>0</v>
      </c>
      <c r="AF250" s="67">
        <f t="shared" si="131"/>
        <v>22930008</v>
      </c>
      <c r="AG250" s="67">
        <f t="shared" si="144"/>
        <v>1</v>
      </c>
      <c r="AH250" s="67">
        <f t="shared" si="133"/>
        <v>22930008</v>
      </c>
      <c r="AI250" s="67">
        <f t="shared" si="108"/>
        <v>67.134188166083916</v>
      </c>
      <c r="AJ250" s="67">
        <f t="shared" si="109"/>
        <v>0</v>
      </c>
      <c r="AK250" s="66">
        <f t="shared" si="110"/>
        <v>3.2000000000000028E-2</v>
      </c>
    </row>
    <row r="251" spans="1:37" ht="12.75" customHeight="1" x14ac:dyDescent="0.25">
      <c r="A251" s="55" t="s">
        <v>629</v>
      </c>
      <c r="B251" s="55" t="s">
        <v>421</v>
      </c>
      <c r="C251" s="55" t="s">
        <v>423</v>
      </c>
      <c r="D251" s="128">
        <v>2019</v>
      </c>
      <c r="E251" s="55" t="s">
        <v>676</v>
      </c>
      <c r="F251" s="57">
        <f>SIM_Parametres!$C$25</f>
        <v>1228362768</v>
      </c>
      <c r="G251" s="129">
        <f>SIM_Districts!D38*(1+SIM_Parametres!$B$6)^(2019-2023)</f>
        <v>72600.942146334695</v>
      </c>
      <c r="H251" s="129">
        <f>MAX(0,MIN(100,SIM_Districts!F38+(2019-2022)*SIM_Parametres!$B$7))</f>
        <v>49.49</v>
      </c>
      <c r="I251" s="129">
        <f>SIM_Districts!G38*(1+SIM_Parametres!$B$8)^(2019-2023)</f>
        <v>51.232857229806619</v>
      </c>
      <c r="J251" s="129">
        <f>SIM_Districts!H38*(1+SIM_Parametres!$B$9)^(2019-2023)</f>
        <v>27.434842249657059</v>
      </c>
      <c r="K251" s="129">
        <f>MAX(0,MIN(100,SIM_Districts!I38+(2019-2023)*SIM_Parametres!$B$10))</f>
        <v>85.8</v>
      </c>
      <c r="L251" s="129">
        <f>SIM_Districts!E38</f>
        <v>822</v>
      </c>
      <c r="M251" s="68">
        <f t="shared" si="101"/>
        <v>88.322314046635881</v>
      </c>
      <c r="N251" s="129">
        <f>N180*(1+SIM_Parametres!$B$6)/(1+SIM_Parametres!$B$11)</f>
        <v>97480</v>
      </c>
      <c r="O251" s="72"/>
      <c r="P251" s="130">
        <f>SIM_Parametres!$D$25</f>
        <v>0</v>
      </c>
      <c r="Q251" s="130">
        <f>SIM_Parametres!$B$12</f>
        <v>0.2</v>
      </c>
      <c r="R251" s="59">
        <f t="shared" si="134"/>
        <v>4.5079582319433971E-3</v>
      </c>
      <c r="S251" s="59">
        <f t="shared" si="135"/>
        <v>0.66843971631205679</v>
      </c>
      <c r="T251" s="59">
        <f t="shared" si="136"/>
        <v>0.71270718232044206</v>
      </c>
      <c r="U251" s="59">
        <f t="shared" si="137"/>
        <v>0.52679639914705134</v>
      </c>
      <c r="V251" s="59">
        <f t="shared" si="138"/>
        <v>0.26413981218637</v>
      </c>
      <c r="W251" s="59">
        <f t="shared" si="139"/>
        <v>1.5937433946311558E-2</v>
      </c>
      <c r="X251" s="59">
        <f t="shared" si="140"/>
        <v>1.4103755534904065E-2</v>
      </c>
      <c r="Y251" s="59">
        <f t="shared" si="141"/>
        <v>1.3459494947298202E-2</v>
      </c>
      <c r="Z251" s="59">
        <f t="shared" si="142"/>
        <v>9.6948159470131197E-3</v>
      </c>
      <c r="AA251" s="59">
        <f t="shared" si="102"/>
        <v>8.3686689060639488E-3</v>
      </c>
      <c r="AB251" s="59">
        <f t="shared" si="143"/>
        <v>1.1122649070718171E-2</v>
      </c>
      <c r="AC251" s="60">
        <f t="shared" si="104"/>
        <v>11683985.852810202</v>
      </c>
      <c r="AD251" s="60">
        <f t="shared" si="130"/>
        <v>13662648</v>
      </c>
      <c r="AE251" s="59">
        <f>0</f>
        <v>0</v>
      </c>
      <c r="AF251" s="60">
        <f t="shared" si="131"/>
        <v>13662648</v>
      </c>
      <c r="AG251" s="60">
        <f t="shared" si="144"/>
        <v>1</v>
      </c>
      <c r="AH251" s="60">
        <f t="shared" si="133"/>
        <v>13662648</v>
      </c>
      <c r="AI251" s="60">
        <f t="shared" si="108"/>
        <v>188.18830164023936</v>
      </c>
      <c r="AJ251" s="60">
        <f t="shared" si="109"/>
        <v>0</v>
      </c>
      <c r="AK251" s="59">
        <f t="shared" si="110"/>
        <v>3.2000000000000028E-2</v>
      </c>
    </row>
    <row r="252" spans="1:37" ht="12.75" customHeight="1" x14ac:dyDescent="0.25">
      <c r="A252" s="62" t="s">
        <v>631</v>
      </c>
      <c r="B252" s="62" t="s">
        <v>421</v>
      </c>
      <c r="C252" s="62" t="s">
        <v>424</v>
      </c>
      <c r="D252" s="124">
        <v>2019</v>
      </c>
      <c r="E252" s="62" t="s">
        <v>676</v>
      </c>
      <c r="F252" s="64">
        <f>SIM_Parametres!$C$25</f>
        <v>1228362768</v>
      </c>
      <c r="G252" s="125">
        <f>SIM_Districts!D39*(1+SIM_Parametres!$B$6)^(2019-2023)</f>
        <v>150836.6691505507</v>
      </c>
      <c r="H252" s="125">
        <f>MAX(0,MIN(100,SIM_Districts!F39+(2019-2022)*SIM_Parametres!$B$7))</f>
        <v>49.49</v>
      </c>
      <c r="I252" s="125">
        <f>SIM_Districts!G39*(1+SIM_Parametres!$B$8)^(2019-2023)</f>
        <v>51.232857229806619</v>
      </c>
      <c r="J252" s="125">
        <f>SIM_Districts!H39*(1+SIM_Parametres!$B$9)^(2019-2023)</f>
        <v>27.434842249657059</v>
      </c>
      <c r="K252" s="125">
        <f>MAX(0,MIN(100,SIM_Districts!I39+(2019-2023)*SIM_Parametres!$B$10))</f>
        <v>85.8</v>
      </c>
      <c r="L252" s="125">
        <f>SIM_Districts!E39</f>
        <v>6832</v>
      </c>
      <c r="M252" s="61">
        <f t="shared" si="101"/>
        <v>22.077966796040794</v>
      </c>
      <c r="N252" s="125">
        <f>N181*(1+SIM_Parametres!$B$6)/(1+SIM_Parametres!$B$11)</f>
        <v>97480</v>
      </c>
      <c r="O252" s="132"/>
      <c r="P252" s="126">
        <f>SIM_Parametres!$D$25</f>
        <v>0</v>
      </c>
      <c r="Q252" s="126">
        <f>SIM_Parametres!$B$12</f>
        <v>0.2</v>
      </c>
      <c r="R252" s="66">
        <f t="shared" si="134"/>
        <v>9.3657931188497138E-3</v>
      </c>
      <c r="S252" s="66">
        <f t="shared" si="135"/>
        <v>0.66843971631205679</v>
      </c>
      <c r="T252" s="66">
        <f t="shared" si="136"/>
        <v>0.71270718232044206</v>
      </c>
      <c r="U252" s="66">
        <f t="shared" si="137"/>
        <v>0.73603986945859257</v>
      </c>
      <c r="V252" s="66">
        <f t="shared" si="138"/>
        <v>0.26413981218637</v>
      </c>
      <c r="W252" s="66">
        <f t="shared" si="139"/>
        <v>1.5937433946311558E-2</v>
      </c>
      <c r="X252" s="66">
        <f t="shared" si="140"/>
        <v>1.4103755534904065E-2</v>
      </c>
      <c r="Y252" s="66">
        <f t="shared" si="141"/>
        <v>1.880560482195431E-2</v>
      </c>
      <c r="Z252" s="66">
        <f t="shared" si="142"/>
        <v>9.6948159470131197E-3</v>
      </c>
      <c r="AA252" s="66">
        <f t="shared" si="102"/>
        <v>1.1550675331940544E-2</v>
      </c>
      <c r="AB252" s="66">
        <f t="shared" si="143"/>
        <v>1.7022971181425452E-2</v>
      </c>
      <c r="AC252" s="67">
        <f t="shared" si="104"/>
        <v>14810912.429677051</v>
      </c>
      <c r="AD252" s="67">
        <f t="shared" si="130"/>
        <v>20910384</v>
      </c>
      <c r="AE252" s="66">
        <f>0</f>
        <v>0</v>
      </c>
      <c r="AF252" s="67">
        <f t="shared" si="131"/>
        <v>20910384</v>
      </c>
      <c r="AG252" s="67">
        <f t="shared" si="144"/>
        <v>1</v>
      </c>
      <c r="AH252" s="67">
        <f t="shared" si="133"/>
        <v>20910384</v>
      </c>
      <c r="AI252" s="67">
        <f t="shared" si="108"/>
        <v>138.62931419633284</v>
      </c>
      <c r="AJ252" s="67">
        <f t="shared" si="109"/>
        <v>0</v>
      </c>
      <c r="AK252" s="66">
        <f t="shared" si="110"/>
        <v>3.2000000000000028E-2</v>
      </c>
    </row>
    <row r="253" spans="1:37" ht="12.75" customHeight="1" x14ac:dyDescent="0.25">
      <c r="A253" s="55" t="s">
        <v>632</v>
      </c>
      <c r="B253" s="55" t="s">
        <v>421</v>
      </c>
      <c r="C253" s="55" t="s">
        <v>425</v>
      </c>
      <c r="D253" s="128">
        <v>2019</v>
      </c>
      <c r="E253" s="55" t="s">
        <v>676</v>
      </c>
      <c r="F253" s="57">
        <f>SIM_Parametres!$C$25</f>
        <v>1228362768</v>
      </c>
      <c r="G253" s="129">
        <f>SIM_Districts!D40*(1+SIM_Parametres!$B$6)^(2019-2023)</f>
        <v>94835.330520424817</v>
      </c>
      <c r="H253" s="129">
        <f>MAX(0,MIN(100,SIM_Districts!F40+(2019-2022)*SIM_Parametres!$B$7))</f>
        <v>49.49</v>
      </c>
      <c r="I253" s="129">
        <f>SIM_Districts!G40*(1+SIM_Parametres!$B$8)^(2019-2023)</f>
        <v>51.232857229806619</v>
      </c>
      <c r="J253" s="129">
        <f>SIM_Districts!H40*(1+SIM_Parametres!$B$9)^(2019-2023)</f>
        <v>27.434842249657059</v>
      </c>
      <c r="K253" s="129">
        <f>MAX(0,MIN(100,SIM_Districts!I40+(2019-2023)*SIM_Parametres!$B$10))</f>
        <v>85.8</v>
      </c>
      <c r="L253" s="129">
        <f>SIM_Districts!E40</f>
        <v>1601</v>
      </c>
      <c r="M253" s="68">
        <f t="shared" si="101"/>
        <v>59.235059662976148</v>
      </c>
      <c r="N253" s="129">
        <f>N182*(1+SIM_Parametres!$B$6)/(1+SIM_Parametres!$B$11)</f>
        <v>97480</v>
      </c>
      <c r="O253" s="72"/>
      <c r="P253" s="130">
        <f>SIM_Parametres!$D$25</f>
        <v>0</v>
      </c>
      <c r="Q253" s="130">
        <f>SIM_Parametres!$B$12</f>
        <v>0.2</v>
      </c>
      <c r="R253" s="59">
        <f t="shared" si="134"/>
        <v>5.8885421629505021E-3</v>
      </c>
      <c r="S253" s="59">
        <f t="shared" si="135"/>
        <v>0.66843971631205679</v>
      </c>
      <c r="T253" s="59">
        <f t="shared" si="136"/>
        <v>0.71270718232044206</v>
      </c>
      <c r="U253" s="59">
        <f t="shared" si="137"/>
        <v>0.5542443044598161</v>
      </c>
      <c r="V253" s="59">
        <f t="shared" si="138"/>
        <v>0.26413981218637</v>
      </c>
      <c r="W253" s="59">
        <f t="shared" si="139"/>
        <v>1.5937433946311558E-2</v>
      </c>
      <c r="X253" s="59">
        <f t="shared" si="140"/>
        <v>1.4103755534904065E-2</v>
      </c>
      <c r="Y253" s="59">
        <f t="shared" si="141"/>
        <v>1.4160780953560275E-2</v>
      </c>
      <c r="Z253" s="59">
        <f t="shared" si="142"/>
        <v>9.6948159470131197E-3</v>
      </c>
      <c r="AA253" s="59">
        <f t="shared" si="102"/>
        <v>9.2320835649813138E-3</v>
      </c>
      <c r="AB253" s="59">
        <f t="shared" si="143"/>
        <v>1.7858913157810723E-2</v>
      </c>
      <c r="AC253" s="60">
        <f t="shared" si="104"/>
        <v>12532454.989097809</v>
      </c>
      <c r="AD253" s="60">
        <f t="shared" si="130"/>
        <v>21937224</v>
      </c>
      <c r="AE253" s="59">
        <f>0</f>
        <v>0</v>
      </c>
      <c r="AF253" s="60">
        <f t="shared" si="131"/>
        <v>21937224</v>
      </c>
      <c r="AG253" s="60">
        <f t="shared" si="144"/>
        <v>1</v>
      </c>
      <c r="AH253" s="60">
        <f t="shared" si="133"/>
        <v>21937224</v>
      </c>
      <c r="AI253" s="60">
        <f t="shared" si="108"/>
        <v>231.31910733706306</v>
      </c>
      <c r="AJ253" s="60">
        <f t="shared" si="109"/>
        <v>0</v>
      </c>
      <c r="AK253" s="59">
        <f t="shared" si="110"/>
        <v>3.2000000000000028E-2</v>
      </c>
    </row>
    <row r="254" spans="1:37" ht="12.75" customHeight="1" x14ac:dyDescent="0.25">
      <c r="A254" s="62" t="s">
        <v>633</v>
      </c>
      <c r="B254" s="62" t="s">
        <v>421</v>
      </c>
      <c r="C254" s="62" t="s">
        <v>426</v>
      </c>
      <c r="D254" s="124">
        <v>2019</v>
      </c>
      <c r="E254" s="62" t="s">
        <v>676</v>
      </c>
      <c r="F254" s="64">
        <f>SIM_Parametres!$C$25</f>
        <v>1228362768</v>
      </c>
      <c r="G254" s="125">
        <f>SIM_Districts!D41*(1+SIM_Parametres!$B$6)^(2019-2023)</f>
        <v>201639.47006332187</v>
      </c>
      <c r="H254" s="125">
        <f>MAX(0,MIN(100,SIM_Districts!F41+(2019-2022)*SIM_Parametres!$B$7))</f>
        <v>49.49</v>
      </c>
      <c r="I254" s="125">
        <f>SIM_Districts!G41*(1+SIM_Parametres!$B$8)^(2019-2023)</f>
        <v>51.232857229806619</v>
      </c>
      <c r="J254" s="125">
        <f>SIM_Districts!H41*(1+SIM_Parametres!$B$9)^(2019-2023)</f>
        <v>27.434842249657059</v>
      </c>
      <c r="K254" s="125">
        <f>MAX(0,MIN(100,SIM_Districts!I41+(2019-2023)*SIM_Parametres!$B$10))</f>
        <v>85.8</v>
      </c>
      <c r="L254" s="125">
        <f>SIM_Districts!E41</f>
        <v>2260</v>
      </c>
      <c r="M254" s="61">
        <f t="shared" si="101"/>
        <v>89.221004452797288</v>
      </c>
      <c r="N254" s="125">
        <f>N183*(1+SIM_Parametres!$B$6)/(1+SIM_Parametres!$B$11)</f>
        <v>97480</v>
      </c>
      <c r="O254" s="132"/>
      <c r="P254" s="126">
        <f>SIM_Parametres!$D$25</f>
        <v>0</v>
      </c>
      <c r="Q254" s="126">
        <f>SIM_Parametres!$B$12</f>
        <v>0.2</v>
      </c>
      <c r="R254" s="66">
        <f t="shared" si="134"/>
        <v>1.2520255000610162E-2</v>
      </c>
      <c r="S254" s="66">
        <f t="shared" si="135"/>
        <v>0.66843971631205679</v>
      </c>
      <c r="T254" s="66">
        <f t="shared" si="136"/>
        <v>0.71270718232044206</v>
      </c>
      <c r="U254" s="66">
        <f t="shared" si="137"/>
        <v>0.57659503553202685</v>
      </c>
      <c r="V254" s="66">
        <f t="shared" si="138"/>
        <v>0.26413981218637</v>
      </c>
      <c r="W254" s="66">
        <f t="shared" si="139"/>
        <v>1.5937433946311558E-2</v>
      </c>
      <c r="X254" s="66">
        <f t="shared" si="140"/>
        <v>1.4103755534904065E-2</v>
      </c>
      <c r="Y254" s="66">
        <f t="shared" si="141"/>
        <v>1.4731835638865494E-2</v>
      </c>
      <c r="Z254" s="66">
        <f t="shared" si="142"/>
        <v>9.6948159470131197E-3</v>
      </c>
      <c r="AA254" s="66">
        <f t="shared" si="102"/>
        <v>1.3239664001842372E-2</v>
      </c>
      <c r="AB254" s="66">
        <f t="shared" si="143"/>
        <v>1.3885878377583649E-2</v>
      </c>
      <c r="AC254" s="67">
        <f t="shared" si="104"/>
        <v>16470665.067822048</v>
      </c>
      <c r="AD254" s="67">
        <f t="shared" si="130"/>
        <v>17056896</v>
      </c>
      <c r="AE254" s="66">
        <f>0</f>
        <v>0</v>
      </c>
      <c r="AF254" s="67">
        <f t="shared" si="131"/>
        <v>17056896</v>
      </c>
      <c r="AG254" s="67">
        <f t="shared" si="144"/>
        <v>1</v>
      </c>
      <c r="AH254" s="67">
        <f t="shared" si="133"/>
        <v>17056896</v>
      </c>
      <c r="AI254" s="67">
        <f t="shared" si="108"/>
        <v>84.59105746828007</v>
      </c>
      <c r="AJ254" s="67">
        <f t="shared" si="109"/>
        <v>0</v>
      </c>
      <c r="AK254" s="66">
        <f t="shared" si="110"/>
        <v>3.2000000000000028E-2</v>
      </c>
    </row>
    <row r="255" spans="1:37" ht="12.75" customHeight="1" x14ac:dyDescent="0.25">
      <c r="A255" s="55" t="s">
        <v>634</v>
      </c>
      <c r="B255" s="55" t="s">
        <v>421</v>
      </c>
      <c r="C255" s="55" t="s">
        <v>427</v>
      </c>
      <c r="D255" s="128">
        <v>2019</v>
      </c>
      <c r="E255" s="55" t="s">
        <v>676</v>
      </c>
      <c r="F255" s="57">
        <f>SIM_Parametres!$C$25</f>
        <v>1228362768</v>
      </c>
      <c r="G255" s="129">
        <f>SIM_Districts!D42*(1+SIM_Parametres!$B$6)^(2019-2023)</f>
        <v>86570.624000713069</v>
      </c>
      <c r="H255" s="129">
        <f>MAX(0,MIN(100,SIM_Districts!F42+(2019-2022)*SIM_Parametres!$B$7))</f>
        <v>49.49</v>
      </c>
      <c r="I255" s="129">
        <f>SIM_Districts!G42*(1+SIM_Parametres!$B$8)^(2019-2023)</f>
        <v>51.232857229806619</v>
      </c>
      <c r="J255" s="129">
        <f>SIM_Districts!H42*(1+SIM_Parametres!$B$9)^(2019-2023)</f>
        <v>27.434842249657059</v>
      </c>
      <c r="K255" s="129">
        <f>MAX(0,MIN(100,SIM_Districts!I42+(2019-2023)*SIM_Parametres!$B$10))</f>
        <v>85.8</v>
      </c>
      <c r="L255" s="129">
        <f>SIM_Districts!E42</f>
        <v>2889</v>
      </c>
      <c r="M255" s="68">
        <f t="shared" si="101"/>
        <v>29.965601938633807</v>
      </c>
      <c r="N255" s="129">
        <f>N184*(1+SIM_Parametres!$B$6)/(1+SIM_Parametres!$B$11)</f>
        <v>97480</v>
      </c>
      <c r="O255" s="72"/>
      <c r="P255" s="130">
        <f>SIM_Parametres!$D$25</f>
        <v>0</v>
      </c>
      <c r="Q255" s="130">
        <f>SIM_Parametres!$B$12</f>
        <v>0.2</v>
      </c>
      <c r="R255" s="59">
        <f t="shared" si="134"/>
        <v>5.3753676683959322E-3</v>
      </c>
      <c r="S255" s="59">
        <f t="shared" si="135"/>
        <v>0.66843971631205679</v>
      </c>
      <c r="T255" s="59">
        <f t="shared" si="136"/>
        <v>0.71270718232044206</v>
      </c>
      <c r="U255" s="59">
        <f t="shared" si="137"/>
        <v>0.59932709011759788</v>
      </c>
      <c r="V255" s="59">
        <f t="shared" si="138"/>
        <v>0.26413981218637</v>
      </c>
      <c r="W255" s="59">
        <f t="shared" si="139"/>
        <v>1.5937433946311558E-2</v>
      </c>
      <c r="X255" s="59">
        <f t="shared" si="140"/>
        <v>1.4103755534904065E-2</v>
      </c>
      <c r="Y255" s="59">
        <f t="shared" si="141"/>
        <v>1.5312633029150603E-2</v>
      </c>
      <c r="Z255" s="59">
        <f t="shared" si="142"/>
        <v>9.6948159470131197E-3</v>
      </c>
      <c r="AA255" s="59">
        <f t="shared" si="102"/>
        <v>8.9817714720280897E-3</v>
      </c>
      <c r="AB255" s="59">
        <f t="shared" si="143"/>
        <v>1.2318172118352582E-2</v>
      </c>
      <c r="AC255" s="60">
        <f t="shared" si="104"/>
        <v>12286475.744806692</v>
      </c>
      <c r="AD255" s="60">
        <f t="shared" si="130"/>
        <v>15131184</v>
      </c>
      <c r="AE255" s="59">
        <f>0</f>
        <v>0</v>
      </c>
      <c r="AF255" s="60">
        <f t="shared" si="131"/>
        <v>15131184</v>
      </c>
      <c r="AG255" s="60">
        <f t="shared" si="144"/>
        <v>1</v>
      </c>
      <c r="AH255" s="60">
        <f t="shared" si="133"/>
        <v>15131184</v>
      </c>
      <c r="AI255" s="60">
        <f t="shared" si="108"/>
        <v>174.78427786168396</v>
      </c>
      <c r="AJ255" s="60">
        <f t="shared" si="109"/>
        <v>0</v>
      </c>
      <c r="AK255" s="59">
        <f t="shared" si="110"/>
        <v>3.2000000000000028E-2</v>
      </c>
    </row>
    <row r="256" spans="1:37" ht="12.75" customHeight="1" x14ac:dyDescent="0.25">
      <c r="A256" s="62" t="s">
        <v>635</v>
      </c>
      <c r="B256" s="62" t="s">
        <v>421</v>
      </c>
      <c r="C256" s="62" t="s">
        <v>428</v>
      </c>
      <c r="D256" s="124">
        <v>2019</v>
      </c>
      <c r="E256" s="62" t="s">
        <v>676</v>
      </c>
      <c r="F256" s="64">
        <f>SIM_Parametres!$C$25</f>
        <v>1228362768</v>
      </c>
      <c r="G256" s="125">
        <f>SIM_Districts!D43*(1+SIM_Parametres!$B$6)^(2019-2023)</f>
        <v>125971.47062758222</v>
      </c>
      <c r="H256" s="125">
        <f>MAX(0,MIN(100,SIM_Districts!F43+(2019-2022)*SIM_Parametres!$B$7))</f>
        <v>49.49</v>
      </c>
      <c r="I256" s="125">
        <f>SIM_Districts!G43*(1+SIM_Parametres!$B$8)^(2019-2023)</f>
        <v>51.232857229806619</v>
      </c>
      <c r="J256" s="125">
        <f>SIM_Districts!H43*(1+SIM_Parametres!$B$9)^(2019-2023)</f>
        <v>27.434842249657059</v>
      </c>
      <c r="K256" s="125">
        <f>MAX(0,MIN(100,SIM_Districts!I43+(2019-2023)*SIM_Parametres!$B$10))</f>
        <v>85.8</v>
      </c>
      <c r="L256" s="125">
        <f>SIM_Districts!E43</f>
        <v>8907</v>
      </c>
      <c r="M256" s="61">
        <f t="shared" si="101"/>
        <v>14.142974135801305</v>
      </c>
      <c r="N256" s="125">
        <f>N185*(1+SIM_Parametres!$B$6)/(1+SIM_Parametres!$B$11)</f>
        <v>97480</v>
      </c>
      <c r="O256" s="132"/>
      <c r="P256" s="126">
        <f>SIM_Parametres!$D$25</f>
        <v>0</v>
      </c>
      <c r="Q256" s="126">
        <f>SIM_Parametres!$B$12</f>
        <v>0.2</v>
      </c>
      <c r="R256" s="66">
        <f t="shared" si="134"/>
        <v>7.8218561800619084E-3</v>
      </c>
      <c r="S256" s="66">
        <f t="shared" si="135"/>
        <v>0.66843971631205679</v>
      </c>
      <c r="T256" s="66">
        <f t="shared" si="136"/>
        <v>0.71270718232044206</v>
      </c>
      <c r="U256" s="66">
        <f t="shared" si="137"/>
        <v>0.80804507507275991</v>
      </c>
      <c r="V256" s="66">
        <f t="shared" si="138"/>
        <v>0.26413981218637</v>
      </c>
      <c r="W256" s="66">
        <f t="shared" si="139"/>
        <v>1.5937433946311558E-2</v>
      </c>
      <c r="X256" s="66">
        <f t="shared" si="140"/>
        <v>1.4103755534904065E-2</v>
      </c>
      <c r="Y256" s="66">
        <f t="shared" si="141"/>
        <v>2.0645316905621231E-2</v>
      </c>
      <c r="Z256" s="66">
        <f t="shared" si="142"/>
        <v>9.6948159470131197E-3</v>
      </c>
      <c r="AA256" s="66">
        <f t="shared" si="102"/>
        <v>1.0716298772851206E-2</v>
      </c>
      <c r="AB256" s="66">
        <f t="shared" si="143"/>
        <v>1.3706927984648913E-2</v>
      </c>
      <c r="AC256" s="67">
        <f t="shared" si="104"/>
        <v>13990978.749935213</v>
      </c>
      <c r="AD256" s="67">
        <f t="shared" si="130"/>
        <v>16837080</v>
      </c>
      <c r="AE256" s="66">
        <f>0</f>
        <v>0</v>
      </c>
      <c r="AF256" s="67">
        <f t="shared" si="131"/>
        <v>16837080</v>
      </c>
      <c r="AG256" s="67">
        <f t="shared" si="144"/>
        <v>1</v>
      </c>
      <c r="AH256" s="67">
        <f t="shared" si="133"/>
        <v>16837080</v>
      </c>
      <c r="AI256" s="67">
        <f t="shared" si="108"/>
        <v>133.65788234525397</v>
      </c>
      <c r="AJ256" s="67">
        <f t="shared" si="109"/>
        <v>0</v>
      </c>
      <c r="AK256" s="66">
        <f t="shared" si="110"/>
        <v>3.2000000000000028E-2</v>
      </c>
    </row>
    <row r="257" spans="1:37" ht="12.75" customHeight="1" x14ac:dyDescent="0.25">
      <c r="A257" s="55" t="s">
        <v>636</v>
      </c>
      <c r="B257" s="55" t="s">
        <v>421</v>
      </c>
      <c r="C257" s="55" t="s">
        <v>421</v>
      </c>
      <c r="D257" s="128">
        <v>2019</v>
      </c>
      <c r="E257" s="55" t="s">
        <v>676</v>
      </c>
      <c r="F257" s="57">
        <f>SIM_Parametres!$C$25</f>
        <v>1228362768</v>
      </c>
      <c r="G257" s="129">
        <f>SIM_Districts!D44*(1+SIM_Parametres!$B$6)^(2019-2023)</f>
        <v>185853.72068300383</v>
      </c>
      <c r="H257" s="129">
        <f>MAX(0,MIN(100,SIM_Districts!F44+(2019-2022)*SIM_Parametres!$B$7))</f>
        <v>49.49</v>
      </c>
      <c r="I257" s="129">
        <f>SIM_Districts!G44*(1+SIM_Parametres!$B$8)^(2019-2023)</f>
        <v>51.232857229806619</v>
      </c>
      <c r="J257" s="129">
        <f>SIM_Districts!H44*(1+SIM_Parametres!$B$9)^(2019-2023)</f>
        <v>27.434842249657059</v>
      </c>
      <c r="K257" s="129">
        <f>MAX(0,MIN(100,SIM_Districts!I44+(2019-2023)*SIM_Parametres!$B$10))</f>
        <v>85.8</v>
      </c>
      <c r="L257" s="129">
        <f>SIM_Districts!E44</f>
        <v>759</v>
      </c>
      <c r="M257" s="68">
        <f t="shared" si="101"/>
        <v>244.86656216469544</v>
      </c>
      <c r="N257" s="129">
        <f>N186*(1+SIM_Parametres!$B$6)/(1+SIM_Parametres!$B$11)</f>
        <v>97480</v>
      </c>
      <c r="O257" s="72"/>
      <c r="P257" s="130">
        <f>SIM_Parametres!$D$25</f>
        <v>0</v>
      </c>
      <c r="Q257" s="130">
        <f>SIM_Parametres!$B$12</f>
        <v>0.2</v>
      </c>
      <c r="R257" s="59">
        <f t="shared" si="134"/>
        <v>1.1540081785736907E-2</v>
      </c>
      <c r="S257" s="59">
        <f t="shared" si="135"/>
        <v>0.66843971631205679</v>
      </c>
      <c r="T257" s="59">
        <f t="shared" si="136"/>
        <v>0.71270718232044206</v>
      </c>
      <c r="U257" s="59">
        <f t="shared" si="137"/>
        <v>0.52212219334654875</v>
      </c>
      <c r="V257" s="59">
        <f t="shared" si="138"/>
        <v>0.26413981218637</v>
      </c>
      <c r="W257" s="59">
        <f t="shared" si="139"/>
        <v>1.5937433946311558E-2</v>
      </c>
      <c r="X257" s="59">
        <f t="shared" si="140"/>
        <v>1.4103755534904065E-2</v>
      </c>
      <c r="Y257" s="59">
        <f t="shared" si="141"/>
        <v>1.3340070347099038E-2</v>
      </c>
      <c r="Z257" s="59">
        <f t="shared" si="142"/>
        <v>9.6948159470131197E-3</v>
      </c>
      <c r="AA257" s="59">
        <f t="shared" si="102"/>
        <v>1.2581971808330095E-2</v>
      </c>
      <c r="AB257" s="59">
        <f t="shared" si="143"/>
        <v>1.6193750346558861E-2</v>
      </c>
      <c r="AC257" s="60">
        <f t="shared" si="104"/>
        <v>15824357.385170262</v>
      </c>
      <c r="AD257" s="60">
        <f t="shared" si="130"/>
        <v>19891800.000000004</v>
      </c>
      <c r="AE257" s="59">
        <f>0</f>
        <v>0</v>
      </c>
      <c r="AF257" s="60">
        <f t="shared" si="131"/>
        <v>19891800.000000004</v>
      </c>
      <c r="AG257" s="60">
        <f t="shared" si="144"/>
        <v>1</v>
      </c>
      <c r="AH257" s="60">
        <f t="shared" si="133"/>
        <v>19891800.000000004</v>
      </c>
      <c r="AI257" s="60">
        <f t="shared" si="108"/>
        <v>107.02933428988432</v>
      </c>
      <c r="AJ257" s="60">
        <f t="shared" si="109"/>
        <v>0</v>
      </c>
      <c r="AK257" s="59">
        <f t="shared" si="110"/>
        <v>3.200000000000025E-2</v>
      </c>
    </row>
    <row r="258" spans="1:37" ht="12.75" customHeight="1" x14ac:dyDescent="0.25">
      <c r="A258" s="62" t="s">
        <v>637</v>
      </c>
      <c r="B258" s="62" t="s">
        <v>421</v>
      </c>
      <c r="C258" s="62" t="s">
        <v>429</v>
      </c>
      <c r="D258" s="124">
        <v>2019</v>
      </c>
      <c r="E258" s="62" t="s">
        <v>676</v>
      </c>
      <c r="F258" s="64">
        <f>SIM_Parametres!$C$25</f>
        <v>1228362768</v>
      </c>
      <c r="G258" s="125">
        <f>SIM_Districts!D45*(1+SIM_Parametres!$B$6)^(2019-2023)</f>
        <v>82046.44795272639</v>
      </c>
      <c r="H258" s="125">
        <f>MAX(0,MIN(100,SIM_Districts!F45+(2019-2022)*SIM_Parametres!$B$7))</f>
        <v>49.49</v>
      </c>
      <c r="I258" s="125">
        <f>SIM_Districts!G45*(1+SIM_Parametres!$B$8)^(2019-2023)</f>
        <v>51.232857229806619</v>
      </c>
      <c r="J258" s="125">
        <f>SIM_Districts!H45*(1+SIM_Parametres!$B$9)^(2019-2023)</f>
        <v>27.434842249657059</v>
      </c>
      <c r="K258" s="125">
        <f>MAX(0,MIN(100,SIM_Districts!I45+(2019-2023)*SIM_Parametres!$B$10))</f>
        <v>85.8</v>
      </c>
      <c r="L258" s="125">
        <f>SIM_Districts!E45</f>
        <v>1185</v>
      </c>
      <c r="M258" s="61">
        <f t="shared" si="101"/>
        <v>69.237508820866154</v>
      </c>
      <c r="N258" s="125">
        <f>N187*(1+SIM_Parametres!$B$6)/(1+SIM_Parametres!$B$11)</f>
        <v>97480</v>
      </c>
      <c r="O258" s="132"/>
      <c r="P258" s="126">
        <f>SIM_Parametres!$D$25</f>
        <v>0</v>
      </c>
      <c r="Q258" s="126">
        <f>SIM_Parametres!$B$12</f>
        <v>0.2</v>
      </c>
      <c r="R258" s="66">
        <f t="shared" si="134"/>
        <v>5.0944512497470545E-3</v>
      </c>
      <c r="S258" s="66">
        <f t="shared" si="135"/>
        <v>0.66843971631205679</v>
      </c>
      <c r="T258" s="66">
        <f t="shared" si="136"/>
        <v>0.71270718232044206</v>
      </c>
      <c r="U258" s="66">
        <f t="shared" si="137"/>
        <v>0.53967466644845508</v>
      </c>
      <c r="V258" s="66">
        <f t="shared" si="138"/>
        <v>0.26413981218637</v>
      </c>
      <c r="W258" s="66">
        <f t="shared" si="139"/>
        <v>1.5937433946311558E-2</v>
      </c>
      <c r="X258" s="66">
        <f t="shared" si="140"/>
        <v>1.4103755534904065E-2</v>
      </c>
      <c r="Y258" s="66">
        <f t="shared" si="141"/>
        <v>1.3788530935307707E-2</v>
      </c>
      <c r="Z258" s="66">
        <f t="shared" si="142"/>
        <v>9.6948159470131197E-3</v>
      </c>
      <c r="AA258" s="66">
        <f t="shared" si="102"/>
        <v>8.7370165161466187E-3</v>
      </c>
      <c r="AB258" s="66">
        <f t="shared" si="143"/>
        <v>1.2926435425792717E-2</v>
      </c>
      <c r="AC258" s="67">
        <f t="shared" si="104"/>
        <v>12045957.444736067</v>
      </c>
      <c r="AD258" s="67">
        <f t="shared" si="130"/>
        <v>15878352</v>
      </c>
      <c r="AE258" s="66">
        <f>0</f>
        <v>0</v>
      </c>
      <c r="AF258" s="67">
        <f t="shared" si="131"/>
        <v>15878352</v>
      </c>
      <c r="AG258" s="67">
        <f t="shared" si="144"/>
        <v>1</v>
      </c>
      <c r="AH258" s="67">
        <f t="shared" si="133"/>
        <v>15878352</v>
      </c>
      <c r="AI258" s="67">
        <f t="shared" si="108"/>
        <v>193.52881686174649</v>
      </c>
      <c r="AJ258" s="67">
        <f t="shared" si="109"/>
        <v>0</v>
      </c>
      <c r="AK258" s="66">
        <f t="shared" si="110"/>
        <v>3.2000000000000028E-2</v>
      </c>
    </row>
    <row r="259" spans="1:37" ht="12.75" customHeight="1" x14ac:dyDescent="0.25">
      <c r="A259" s="55" t="s">
        <v>638</v>
      </c>
      <c r="B259" s="55" t="s">
        <v>430</v>
      </c>
      <c r="C259" s="55" t="s">
        <v>432</v>
      </c>
      <c r="D259" s="128">
        <v>2019</v>
      </c>
      <c r="E259" s="55" t="s">
        <v>676</v>
      </c>
      <c r="F259" s="57">
        <f>SIM_Parametres!$C$25</f>
        <v>1228362768</v>
      </c>
      <c r="G259" s="129">
        <f>SIM_Districts!D46*(1+SIM_Parametres!$B$6)^(2019-2023)</f>
        <v>313407.58674292389</v>
      </c>
      <c r="H259" s="129">
        <f>MAX(0,MIN(100,SIM_Districts!F46+(2019-2022)*SIM_Parametres!$B$7))</f>
        <v>47.190000000000005</v>
      </c>
      <c r="I259" s="129">
        <f>SIM_Districts!G46*(1+SIM_Parametres!$B$8)^(2019-2023)</f>
        <v>51.232857229806619</v>
      </c>
      <c r="J259" s="129">
        <f>SIM_Districts!H46*(1+SIM_Parametres!$B$9)^(2019-2023)</f>
        <v>38.561194939795755</v>
      </c>
      <c r="K259" s="129">
        <f>MAX(0,MIN(100,SIM_Districts!I46+(2019-2023)*SIM_Parametres!$B$10))</f>
        <v>73.7</v>
      </c>
      <c r="L259" s="129">
        <f>SIM_Districts!E46</f>
        <v>8704</v>
      </c>
      <c r="M259" s="68">
        <f t="shared" si="101"/>
        <v>36.007305462192541</v>
      </c>
      <c r="N259" s="129">
        <f>N188*(1+SIM_Parametres!$B$6)/(1+SIM_Parametres!$B$11)</f>
        <v>133963</v>
      </c>
      <c r="O259" s="72"/>
      <c r="P259" s="130">
        <f>SIM_Parametres!$D$25</f>
        <v>0</v>
      </c>
      <c r="Q259" s="130">
        <f>SIM_Parametres!$B$12</f>
        <v>0.2</v>
      </c>
      <c r="R259" s="59">
        <f t="shared" si="134"/>
        <v>1.9460192510499061E-2</v>
      </c>
      <c r="S259" s="59">
        <f t="shared" si="135"/>
        <v>0.62765957446808518</v>
      </c>
      <c r="T259" s="59">
        <f t="shared" si="136"/>
        <v>0.91436464088397795</v>
      </c>
      <c r="U259" s="59">
        <f t="shared" si="137"/>
        <v>0.80066503267175948</v>
      </c>
      <c r="V259" s="59">
        <f t="shared" si="138"/>
        <v>0.51735506215340199</v>
      </c>
      <c r="W259" s="59">
        <f t="shared" si="139"/>
        <v>1.4965123652504754E-2</v>
      </c>
      <c r="X259" s="59">
        <f t="shared" si="140"/>
        <v>1.8094353031214129E-2</v>
      </c>
      <c r="Y259" s="59">
        <f t="shared" si="141"/>
        <v>2.0456758966409912E-2</v>
      </c>
      <c r="Z259" s="59">
        <f t="shared" si="142"/>
        <v>1.8988663864475865E-2</v>
      </c>
      <c r="AA259" s="59">
        <f t="shared" si="102"/>
        <v>1.8607308150401559E-2</v>
      </c>
      <c r="AB259" s="59">
        <f t="shared" si="143"/>
        <v>1.6362619027215582E-2</v>
      </c>
      <c r="AC259" s="60">
        <f t="shared" si="104"/>
        <v>21745396.446992584</v>
      </c>
      <c r="AD259" s="60">
        <f t="shared" si="130"/>
        <v>20099232</v>
      </c>
      <c r="AE259" s="59">
        <f>0</f>
        <v>0</v>
      </c>
      <c r="AF259" s="60">
        <f t="shared" si="131"/>
        <v>20099232</v>
      </c>
      <c r="AG259" s="60">
        <f t="shared" si="144"/>
        <v>1</v>
      </c>
      <c r="AH259" s="60">
        <f t="shared" si="133"/>
        <v>20099232</v>
      </c>
      <c r="AI259" s="60">
        <f t="shared" si="108"/>
        <v>64.131287340170942</v>
      </c>
      <c r="AJ259" s="60">
        <f t="shared" si="109"/>
        <v>0</v>
      </c>
      <c r="AK259" s="59">
        <f t="shared" si="110"/>
        <v>3.2000000000000028E-2</v>
      </c>
    </row>
    <row r="260" spans="1:37" ht="12.75" customHeight="1" x14ac:dyDescent="0.25">
      <c r="A260" s="62" t="s">
        <v>640</v>
      </c>
      <c r="B260" s="62" t="s">
        <v>430</v>
      </c>
      <c r="C260" s="62" t="s">
        <v>430</v>
      </c>
      <c r="D260" s="124">
        <v>2019</v>
      </c>
      <c r="E260" s="62" t="s">
        <v>676</v>
      </c>
      <c r="F260" s="64">
        <f>SIM_Parametres!$C$25</f>
        <v>1228362768</v>
      </c>
      <c r="G260" s="125">
        <f>SIM_Districts!D47*(1+SIM_Parametres!$B$6)^(2019-2023)</f>
        <v>254244.12270926606</v>
      </c>
      <c r="H260" s="125">
        <f>MAX(0,MIN(100,SIM_Districts!F47+(2019-2022)*SIM_Parametres!$B$7))</f>
        <v>47.190000000000005</v>
      </c>
      <c r="I260" s="125">
        <f>SIM_Districts!G47*(1+SIM_Parametres!$B$8)^(2019-2023)</f>
        <v>51.232857229806619</v>
      </c>
      <c r="J260" s="125">
        <f>SIM_Districts!H47*(1+SIM_Parametres!$B$9)^(2019-2023)</f>
        <v>38.561194939795755</v>
      </c>
      <c r="K260" s="125">
        <f>MAX(0,MIN(100,SIM_Districts!I47+(2019-2023)*SIM_Parametres!$B$10))</f>
        <v>73.7</v>
      </c>
      <c r="L260" s="125">
        <f>SIM_Districts!E47</f>
        <v>3957</v>
      </c>
      <c r="M260" s="61">
        <f t="shared" ref="M260:M323" si="145">IFERROR(G260/L260,0)</f>
        <v>64.251736848437218</v>
      </c>
      <c r="N260" s="125">
        <f>N189*(1+SIM_Parametres!$B$6)/(1+SIM_Parametres!$B$11)</f>
        <v>133963</v>
      </c>
      <c r="O260" s="132"/>
      <c r="P260" s="126">
        <f>SIM_Parametres!$D$25</f>
        <v>0</v>
      </c>
      <c r="Q260" s="126">
        <f>SIM_Parametres!$B$12</f>
        <v>0.2</v>
      </c>
      <c r="R260" s="66">
        <f t="shared" si="134"/>
        <v>1.578659796976651E-2</v>
      </c>
      <c r="S260" s="66">
        <f t="shared" si="135"/>
        <v>0.62765957446808518</v>
      </c>
      <c r="T260" s="66">
        <f t="shared" si="136"/>
        <v>0.91436464088397795</v>
      </c>
      <c r="U260" s="66">
        <f t="shared" si="137"/>
        <v>0.63577730793030052</v>
      </c>
      <c r="V260" s="66">
        <f t="shared" si="138"/>
        <v>0.51735506215340199</v>
      </c>
      <c r="W260" s="66">
        <f t="shared" si="139"/>
        <v>1.4965123652504754E-2</v>
      </c>
      <c r="X260" s="66">
        <f t="shared" si="140"/>
        <v>1.8094353031214129E-2</v>
      </c>
      <c r="Y260" s="66">
        <f t="shared" si="141"/>
        <v>1.6243925504331402E-2</v>
      </c>
      <c r="Z260" s="66">
        <f t="shared" si="142"/>
        <v>1.8988663864475865E-2</v>
      </c>
      <c r="AA260" s="66">
        <f t="shared" ref="AA260:AA323" si="146">0.6*R260+0.15*W260+0.15*X260+0.05*Y260+0.05*Z260</f>
        <v>1.61925097528581E-2</v>
      </c>
      <c r="AB260" s="66">
        <f t="shared" si="143"/>
        <v>1.4458855692050738E-2</v>
      </c>
      <c r="AC260" s="67">
        <f t="shared" ref="AC260:AC323" si="147">F260*(Q260/71+(1-Q260)*AA260)</f>
        <v>19372397.691977821</v>
      </c>
      <c r="AD260" s="67">
        <f t="shared" si="130"/>
        <v>17760720</v>
      </c>
      <c r="AE260" s="66">
        <f>0</f>
        <v>0</v>
      </c>
      <c r="AF260" s="67">
        <f t="shared" si="131"/>
        <v>17760720</v>
      </c>
      <c r="AG260" s="67">
        <f t="shared" si="144"/>
        <v>1</v>
      </c>
      <c r="AH260" s="67">
        <f t="shared" si="133"/>
        <v>17760720</v>
      </c>
      <c r="AI260" s="67">
        <f t="shared" ref="AI260:AI323" si="148">IFERROR(AH260/G260,0)</f>
        <v>69.856954059503622</v>
      </c>
      <c r="AJ260" s="67">
        <f t="shared" ref="AJ260:AJ323" si="149">AH260-F260*AB260</f>
        <v>0</v>
      </c>
      <c r="AK260" s="66">
        <f t="shared" si="110"/>
        <v>3.2000000000000028E-2</v>
      </c>
    </row>
    <row r="261" spans="1:37" ht="12.75" customHeight="1" x14ac:dyDescent="0.25">
      <c r="A261" s="55" t="s">
        <v>641</v>
      </c>
      <c r="B261" s="55" t="s">
        <v>430</v>
      </c>
      <c r="C261" s="55" t="s">
        <v>433</v>
      </c>
      <c r="D261" s="128">
        <v>2019</v>
      </c>
      <c r="E261" s="55" t="s">
        <v>676</v>
      </c>
      <c r="F261" s="57">
        <f>SIM_Parametres!$C$25</f>
        <v>1228362768</v>
      </c>
      <c r="G261" s="129">
        <f>SIM_Districts!D48*(1+SIM_Parametres!$B$6)^(2019-2023)</f>
        <v>67397.96199374042</v>
      </c>
      <c r="H261" s="129">
        <f>MAX(0,MIN(100,SIM_Districts!F48+(2019-2022)*SIM_Parametres!$B$7))</f>
        <v>47.190000000000005</v>
      </c>
      <c r="I261" s="129">
        <f>SIM_Districts!G48*(1+SIM_Parametres!$B$8)^(2019-2023)</f>
        <v>51.232857229806619</v>
      </c>
      <c r="J261" s="129">
        <f>SIM_Districts!H48*(1+SIM_Parametres!$B$9)^(2019-2023)</f>
        <v>38.561194939795755</v>
      </c>
      <c r="K261" s="129">
        <f>MAX(0,MIN(100,SIM_Districts!I48+(2019-2023)*SIM_Parametres!$B$10))</f>
        <v>73.7</v>
      </c>
      <c r="L261" s="129">
        <f>SIM_Districts!E48</f>
        <v>14444</v>
      </c>
      <c r="M261" s="68">
        <f t="shared" si="145"/>
        <v>4.6661563274536428</v>
      </c>
      <c r="N261" s="129">
        <f>N190*(1+SIM_Parametres!$B$6)/(1+SIM_Parametres!$B$11)</f>
        <v>133963</v>
      </c>
      <c r="O261" s="72"/>
      <c r="P261" s="130">
        <f>SIM_Parametres!$D$25</f>
        <v>0</v>
      </c>
      <c r="Q261" s="130">
        <f>SIM_Parametres!$B$12</f>
        <v>0.2</v>
      </c>
      <c r="R261" s="59">
        <f t="shared" si="134"/>
        <v>4.1848933168593767E-3</v>
      </c>
      <c r="S261" s="59">
        <f t="shared" si="135"/>
        <v>0.62765957446808518</v>
      </c>
      <c r="T261" s="59">
        <f t="shared" si="136"/>
        <v>0.91436464088397795</v>
      </c>
      <c r="U261" s="59">
        <f t="shared" si="137"/>
        <v>1</v>
      </c>
      <c r="V261" s="59">
        <f t="shared" si="138"/>
        <v>0.51735506215340199</v>
      </c>
      <c r="W261" s="59">
        <f t="shared" si="139"/>
        <v>1.4965123652504754E-2</v>
      </c>
      <c r="X261" s="59">
        <f t="shared" si="140"/>
        <v>1.8094353031214129E-2</v>
      </c>
      <c r="Y261" s="59">
        <f t="shared" si="141"/>
        <v>2.5549709468574183E-2</v>
      </c>
      <c r="Z261" s="59">
        <f t="shared" si="142"/>
        <v>1.8988663864475865E-2</v>
      </c>
      <c r="AA261" s="59">
        <f t="shared" si="146"/>
        <v>9.6967761593259594E-3</v>
      </c>
      <c r="AB261" s="59">
        <f t="shared" si="143"/>
        <v>1.3574185439655072E-2</v>
      </c>
      <c r="AC261" s="60">
        <f t="shared" si="147"/>
        <v>12989103.854264442</v>
      </c>
      <c r="AD261" s="60">
        <f t="shared" si="130"/>
        <v>16674024.000000002</v>
      </c>
      <c r="AE261" s="59">
        <f>0</f>
        <v>0</v>
      </c>
      <c r="AF261" s="60">
        <f t="shared" si="131"/>
        <v>16674024.000000002</v>
      </c>
      <c r="AG261" s="60">
        <f t="shared" si="144"/>
        <v>1</v>
      </c>
      <c r="AH261" s="60">
        <f t="shared" si="133"/>
        <v>16674024.000000002</v>
      </c>
      <c r="AI261" s="60">
        <f t="shared" si="148"/>
        <v>247.39656076764754</v>
      </c>
      <c r="AJ261" s="60">
        <f t="shared" si="149"/>
        <v>0</v>
      </c>
      <c r="AK261" s="59">
        <f t="shared" si="110"/>
        <v>3.2000000000000028E-2</v>
      </c>
    </row>
    <row r="262" spans="1:37" ht="12.75" customHeight="1" x14ac:dyDescent="0.25">
      <c r="A262" s="62" t="s">
        <v>642</v>
      </c>
      <c r="B262" s="62" t="s">
        <v>430</v>
      </c>
      <c r="C262" s="62" t="s">
        <v>434</v>
      </c>
      <c r="D262" s="124">
        <v>2019</v>
      </c>
      <c r="E262" s="62" t="s">
        <v>676</v>
      </c>
      <c r="F262" s="64">
        <f>SIM_Parametres!$C$25</f>
        <v>1228362768</v>
      </c>
      <c r="G262" s="125">
        <f>SIM_Districts!D49*(1+SIM_Parametres!$B$6)^(2019-2023)</f>
        <v>103842.81221219407</v>
      </c>
      <c r="H262" s="125">
        <f>MAX(0,MIN(100,SIM_Districts!F49+(2019-2022)*SIM_Parametres!$B$7))</f>
        <v>47.190000000000005</v>
      </c>
      <c r="I262" s="125">
        <f>SIM_Districts!G49*(1+SIM_Parametres!$B$8)^(2019-2023)</f>
        <v>51.232857229806619</v>
      </c>
      <c r="J262" s="125">
        <f>SIM_Districts!H49*(1+SIM_Parametres!$B$9)^(2019-2023)</f>
        <v>38.561194939795755</v>
      </c>
      <c r="K262" s="125">
        <f>MAX(0,MIN(100,SIM_Districts!I49+(2019-2023)*SIM_Parametres!$B$10))</f>
        <v>73.7</v>
      </c>
      <c r="L262" s="125">
        <f>SIM_Districts!E49</f>
        <v>1898</v>
      </c>
      <c r="M262" s="61">
        <f t="shared" si="145"/>
        <v>54.711702956898876</v>
      </c>
      <c r="N262" s="125">
        <f>N191*(1+SIM_Parametres!$B$6)/(1+SIM_Parametres!$B$11)</f>
        <v>133963</v>
      </c>
      <c r="O262" s="132"/>
      <c r="P262" s="126">
        <f>SIM_Parametres!$D$25</f>
        <v>0</v>
      </c>
      <c r="Q262" s="126">
        <f>SIM_Parametres!$B$12</f>
        <v>0.2</v>
      </c>
      <c r="R262" s="66">
        <f t="shared" si="134"/>
        <v>6.4478372635519013E-3</v>
      </c>
      <c r="S262" s="66">
        <f t="shared" si="135"/>
        <v>0.62765957446808518</v>
      </c>
      <c r="T262" s="66">
        <f t="shared" si="136"/>
        <v>0.91436464088397795</v>
      </c>
      <c r="U262" s="66">
        <f t="shared" si="137"/>
        <v>0.5646045152795196</v>
      </c>
      <c r="V262" s="66">
        <f t="shared" si="138"/>
        <v>0.51735506215340199</v>
      </c>
      <c r="W262" s="66">
        <f t="shared" si="139"/>
        <v>1.4965123652504754E-2</v>
      </c>
      <c r="X262" s="66">
        <f t="shared" si="140"/>
        <v>1.8094353031214129E-2</v>
      </c>
      <c r="Y262" s="66">
        <f t="shared" si="141"/>
        <v>1.442548133003688E-2</v>
      </c>
      <c r="Z262" s="66">
        <f t="shared" si="142"/>
        <v>1.8988663864475865E-2</v>
      </c>
      <c r="AA262" s="66">
        <f t="shared" si="146"/>
        <v>1.0498331120414612E-2</v>
      </c>
      <c r="AB262" s="66">
        <f t="shared" si="143"/>
        <v>1.2930636139241889E-2</v>
      </c>
      <c r="AC262" s="67">
        <f t="shared" si="147"/>
        <v>13776784.070830032</v>
      </c>
      <c r="AD262" s="67">
        <f t="shared" si="130"/>
        <v>15883512</v>
      </c>
      <c r="AE262" s="66">
        <f>0</f>
        <v>0</v>
      </c>
      <c r="AF262" s="67">
        <f t="shared" si="131"/>
        <v>15883512</v>
      </c>
      <c r="AG262" s="67">
        <f t="shared" si="144"/>
        <v>1</v>
      </c>
      <c r="AH262" s="67">
        <f t="shared" si="133"/>
        <v>15883512</v>
      </c>
      <c r="AI262" s="67">
        <f t="shared" si="148"/>
        <v>152.95725974315272</v>
      </c>
      <c r="AJ262" s="67">
        <f t="shared" si="149"/>
        <v>0</v>
      </c>
      <c r="AK262" s="66">
        <f t="shared" si="110"/>
        <v>3.2000000000000028E-2</v>
      </c>
    </row>
    <row r="263" spans="1:37" ht="12.75" customHeight="1" x14ac:dyDescent="0.25">
      <c r="A263" s="55" t="s">
        <v>643</v>
      </c>
      <c r="B263" s="55" t="s">
        <v>435</v>
      </c>
      <c r="C263" s="55" t="s">
        <v>437</v>
      </c>
      <c r="D263" s="128">
        <v>2019</v>
      </c>
      <c r="E263" s="55" t="s">
        <v>676</v>
      </c>
      <c r="F263" s="57">
        <f>SIM_Parametres!$C$25</f>
        <v>1228362768</v>
      </c>
      <c r="G263" s="129">
        <f>SIM_Districts!D50*(1+SIM_Parametres!$B$6)^(2019-2023)</f>
        <v>87382.701162508019</v>
      </c>
      <c r="H263" s="129">
        <f>MAX(0,MIN(100,SIM_Districts!F50+(2019-2022)*SIM_Parametres!$B$7))</f>
        <v>39.79</v>
      </c>
      <c r="I263" s="129">
        <f>SIM_Districts!G50*(1+SIM_Parametres!$B$8)^(2019-2023)</f>
        <v>51.232857229806619</v>
      </c>
      <c r="J263" s="129">
        <f>SIM_Districts!H50*(1+SIM_Parametres!$B$9)^(2019-2023)</f>
        <v>34.90321597317481</v>
      </c>
      <c r="K263" s="129">
        <f>MAX(0,MIN(100,SIM_Districts!I50+(2019-2023)*SIM_Parametres!$B$10))</f>
        <v>77.900000000000006</v>
      </c>
      <c r="L263" s="129">
        <f>SIM_Districts!E50</f>
        <v>2448</v>
      </c>
      <c r="M263" s="68">
        <f t="shared" si="145"/>
        <v>35.695547860501641</v>
      </c>
      <c r="N263" s="129">
        <f>N192*(1+SIM_Parametres!$B$6)/(1+SIM_Parametres!$B$11)</f>
        <v>89545</v>
      </c>
      <c r="O263" s="72"/>
      <c r="P263" s="130">
        <f>SIM_Parametres!$D$25</f>
        <v>0</v>
      </c>
      <c r="Q263" s="130">
        <f>SIM_Parametres!$B$12</f>
        <v>0.2</v>
      </c>
      <c r="R263" s="59">
        <f t="shared" si="134"/>
        <v>5.4257913931887603E-3</v>
      </c>
      <c r="S263" s="59">
        <f t="shared" si="135"/>
        <v>0.49645390070921985</v>
      </c>
      <c r="T263" s="59">
        <f t="shared" si="136"/>
        <v>0.84806629834254144</v>
      </c>
      <c r="U263" s="59">
        <f t="shared" si="137"/>
        <v>0.58395945065622235</v>
      </c>
      <c r="V263" s="59">
        <f t="shared" si="138"/>
        <v>0.20906585970196906</v>
      </c>
      <c r="W263" s="59">
        <f t="shared" si="139"/>
        <v>1.1836820968082855E-2</v>
      </c>
      <c r="X263" s="59">
        <f t="shared" si="140"/>
        <v>1.6782375772153284E-2</v>
      </c>
      <c r="Y263" s="59">
        <f t="shared" si="141"/>
        <v>1.4919994305694663E-2</v>
      </c>
      <c r="Z263" s="59">
        <f t="shared" si="142"/>
        <v>7.6734173990574452E-3</v>
      </c>
      <c r="AA263" s="59">
        <f t="shared" si="146"/>
        <v>8.6780249321862825E-3</v>
      </c>
      <c r="AB263" s="59">
        <f t="shared" si="143"/>
        <v>1.2822257732253246E-2</v>
      </c>
      <c r="AC263" s="60">
        <f t="shared" si="147"/>
        <v>11987986.992446288</v>
      </c>
      <c r="AD263" s="60">
        <f t="shared" si="130"/>
        <v>15750384</v>
      </c>
      <c r="AE263" s="59">
        <f>0</f>
        <v>0</v>
      </c>
      <c r="AF263" s="60">
        <f t="shared" si="131"/>
        <v>15750384</v>
      </c>
      <c r="AG263" s="60">
        <f t="shared" si="144"/>
        <v>1</v>
      </c>
      <c r="AH263" s="60">
        <f t="shared" si="133"/>
        <v>15750384</v>
      </c>
      <c r="AI263" s="60">
        <f t="shared" si="148"/>
        <v>180.24601883968518</v>
      </c>
      <c r="AJ263" s="60">
        <f t="shared" si="149"/>
        <v>0</v>
      </c>
      <c r="AK263" s="59">
        <f t="shared" si="110"/>
        <v>3.2000000000000028E-2</v>
      </c>
    </row>
    <row r="264" spans="1:37" ht="12.75" customHeight="1" x14ac:dyDescent="0.25">
      <c r="A264" s="62" t="s">
        <v>645</v>
      </c>
      <c r="B264" s="62" t="s">
        <v>435</v>
      </c>
      <c r="C264" s="62" t="s">
        <v>438</v>
      </c>
      <c r="D264" s="124">
        <v>2019</v>
      </c>
      <c r="E264" s="62" t="s">
        <v>676</v>
      </c>
      <c r="F264" s="64">
        <f>SIM_Parametres!$C$25</f>
        <v>1228362768</v>
      </c>
      <c r="G264" s="125">
        <f>SIM_Districts!D51*(1+SIM_Parametres!$B$6)^(2019-2023)</f>
        <v>164793.02369921035</v>
      </c>
      <c r="H264" s="125">
        <f>MAX(0,MIN(100,SIM_Districts!F51+(2019-2022)*SIM_Parametres!$B$7))</f>
        <v>39.79</v>
      </c>
      <c r="I264" s="125">
        <f>SIM_Districts!G51*(1+SIM_Parametres!$B$8)^(2019-2023)</f>
        <v>51.232857229806619</v>
      </c>
      <c r="J264" s="125">
        <f>SIM_Districts!H51*(1+SIM_Parametres!$B$9)^(2019-2023)</f>
        <v>34.90321597317481</v>
      </c>
      <c r="K264" s="125">
        <f>MAX(0,MIN(100,SIM_Districts!I51+(2019-2023)*SIM_Parametres!$B$10))</f>
        <v>77.900000000000006</v>
      </c>
      <c r="L264" s="125">
        <f>SIM_Districts!E51</f>
        <v>6989</v>
      </c>
      <c r="M264" s="61">
        <f t="shared" si="145"/>
        <v>23.578913106196929</v>
      </c>
      <c r="N264" s="125">
        <f>N193*(1+SIM_Parametres!$B$6)/(1+SIM_Parametres!$B$11)</f>
        <v>89545</v>
      </c>
      <c r="O264" s="132"/>
      <c r="P264" s="126">
        <f>SIM_Parametres!$D$25</f>
        <v>0</v>
      </c>
      <c r="Q264" s="126">
        <f>SIM_Parametres!$B$12</f>
        <v>0.2</v>
      </c>
      <c r="R264" s="66">
        <f t="shared" si="134"/>
        <v>1.0232375032466481E-2</v>
      </c>
      <c r="S264" s="66">
        <f t="shared" si="135"/>
        <v>0.49645390070921985</v>
      </c>
      <c r="T264" s="66">
        <f t="shared" si="136"/>
        <v>0.84806629834254144</v>
      </c>
      <c r="U264" s="66">
        <f t="shared" si="137"/>
        <v>0.74145452539080825</v>
      </c>
      <c r="V264" s="66">
        <f t="shared" si="138"/>
        <v>0.20906585970196906</v>
      </c>
      <c r="W264" s="66">
        <f t="shared" si="139"/>
        <v>1.1836820968082855E-2</v>
      </c>
      <c r="X264" s="66">
        <f t="shared" si="140"/>
        <v>1.6782375772153284E-2</v>
      </c>
      <c r="Y264" s="66">
        <f t="shared" si="141"/>
        <v>1.8943947707894711E-2</v>
      </c>
      <c r="Z264" s="66">
        <f t="shared" si="142"/>
        <v>7.6734173990574452E-3</v>
      </c>
      <c r="AA264" s="66">
        <f t="shared" si="146"/>
        <v>1.1763172785862917E-2</v>
      </c>
      <c r="AB264" s="66">
        <f t="shared" si="143"/>
        <v>1.2647508052767683E-2</v>
      </c>
      <c r="AC264" s="67">
        <f t="shared" si="147"/>
        <v>15019731.59823148</v>
      </c>
      <c r="AD264" s="67">
        <f t="shared" si="130"/>
        <v>15535728</v>
      </c>
      <c r="AE264" s="66">
        <f>0</f>
        <v>0</v>
      </c>
      <c r="AF264" s="67">
        <f t="shared" si="131"/>
        <v>15535728</v>
      </c>
      <c r="AG264" s="67">
        <f t="shared" si="144"/>
        <v>1</v>
      </c>
      <c r="AH264" s="67">
        <f t="shared" si="133"/>
        <v>15535728</v>
      </c>
      <c r="AI264" s="67">
        <f t="shared" si="148"/>
        <v>94.274184982227766</v>
      </c>
      <c r="AJ264" s="67">
        <f t="shared" si="149"/>
        <v>0</v>
      </c>
      <c r="AK264" s="66">
        <f t="shared" si="110"/>
        <v>3.2000000000000028E-2</v>
      </c>
    </row>
    <row r="265" spans="1:37" ht="12.75" customHeight="1" x14ac:dyDescent="0.25">
      <c r="A265" s="55" t="s">
        <v>646</v>
      </c>
      <c r="B265" s="55" t="s">
        <v>435</v>
      </c>
      <c r="C265" s="55" t="s">
        <v>439</v>
      </c>
      <c r="D265" s="128">
        <v>2019</v>
      </c>
      <c r="E265" s="55" t="s">
        <v>676</v>
      </c>
      <c r="F265" s="57">
        <f>SIM_Parametres!$C$25</f>
        <v>1228362768</v>
      </c>
      <c r="G265" s="129">
        <f>SIM_Districts!D52*(1+SIM_Parametres!$B$6)^(2019-2023)</f>
        <v>270980.55323085393</v>
      </c>
      <c r="H265" s="129">
        <f>MAX(0,MIN(100,SIM_Districts!F52+(2019-2022)*SIM_Parametres!$B$7))</f>
        <v>39.79</v>
      </c>
      <c r="I265" s="129">
        <f>SIM_Districts!G52*(1+SIM_Parametres!$B$8)^(2019-2023)</f>
        <v>51.232857229806619</v>
      </c>
      <c r="J265" s="129">
        <f>SIM_Districts!H52*(1+SIM_Parametres!$B$9)^(2019-2023)</f>
        <v>34.90321597317481</v>
      </c>
      <c r="K265" s="129">
        <f>MAX(0,MIN(100,SIM_Districts!I52+(2019-2023)*SIM_Parametres!$B$10))</f>
        <v>77.900000000000006</v>
      </c>
      <c r="L265" s="129">
        <f>SIM_Districts!E52</f>
        <v>5859</v>
      </c>
      <c r="M265" s="68">
        <f t="shared" si="145"/>
        <v>46.250307771096423</v>
      </c>
      <c r="N265" s="129">
        <f>N194*(1+SIM_Parametres!$B$6)/(1+SIM_Parametres!$B$11)</f>
        <v>89545</v>
      </c>
      <c r="O265" s="72"/>
      <c r="P265" s="130">
        <f>SIM_Parametres!$D$25</f>
        <v>0</v>
      </c>
      <c r="Q265" s="130">
        <f>SIM_Parametres!$B$12</f>
        <v>0.2</v>
      </c>
      <c r="R265" s="59">
        <f t="shared" si="134"/>
        <v>1.6825801146924588E-2</v>
      </c>
      <c r="S265" s="59">
        <f t="shared" si="135"/>
        <v>0.49645390070921985</v>
      </c>
      <c r="T265" s="59">
        <f t="shared" si="136"/>
        <v>0.84806629834254144</v>
      </c>
      <c r="U265" s="59">
        <f t="shared" si="137"/>
        <v>0.70194995546768002</v>
      </c>
      <c r="V265" s="59">
        <f t="shared" si="138"/>
        <v>0.20906585970196906</v>
      </c>
      <c r="W265" s="59">
        <f t="shared" si="139"/>
        <v>1.1836820968082855E-2</v>
      </c>
      <c r="X265" s="59">
        <f t="shared" si="140"/>
        <v>1.6782375772153284E-2</v>
      </c>
      <c r="Y265" s="59">
        <f t="shared" si="141"/>
        <v>1.7934617423677812E-2</v>
      </c>
      <c r="Z265" s="59">
        <f t="shared" si="142"/>
        <v>7.6734173990574452E-3</v>
      </c>
      <c r="AA265" s="59">
        <f t="shared" si="146"/>
        <v>1.5668761940326938E-2</v>
      </c>
      <c r="AB265" s="59">
        <f t="shared" si="143"/>
        <v>1.5369570367831273E-2</v>
      </c>
      <c r="AC265" s="60">
        <f t="shared" si="147"/>
        <v>18857715.841790043</v>
      </c>
      <c r="AD265" s="60">
        <f t="shared" si="130"/>
        <v>18879408</v>
      </c>
      <c r="AE265" s="59">
        <f>0</f>
        <v>0</v>
      </c>
      <c r="AF265" s="60">
        <f t="shared" si="131"/>
        <v>18879408</v>
      </c>
      <c r="AG265" s="60">
        <f t="shared" si="144"/>
        <v>1</v>
      </c>
      <c r="AH265" s="60">
        <f t="shared" si="133"/>
        <v>18879408</v>
      </c>
      <c r="AI265" s="60">
        <f t="shared" si="148"/>
        <v>69.670711698327082</v>
      </c>
      <c r="AJ265" s="60">
        <f t="shared" si="149"/>
        <v>0</v>
      </c>
      <c r="AK265" s="59">
        <f t="shared" si="110"/>
        <v>3.2000000000000028E-2</v>
      </c>
    </row>
    <row r="266" spans="1:37" ht="12.75" customHeight="1" x14ac:dyDescent="0.25">
      <c r="A266" s="62" t="s">
        <v>647</v>
      </c>
      <c r="B266" s="62" t="s">
        <v>435</v>
      </c>
      <c r="C266" s="62" t="s">
        <v>440</v>
      </c>
      <c r="D266" s="124">
        <v>2019</v>
      </c>
      <c r="E266" s="62" t="s">
        <v>676</v>
      </c>
      <c r="F266" s="64">
        <f>SIM_Parametres!$C$25</f>
        <v>1228362768</v>
      </c>
      <c r="G266" s="125">
        <f>SIM_Districts!D53*(1+SIM_Parametres!$B$6)^(2019-2023)</f>
        <v>196701.25905100646</v>
      </c>
      <c r="H266" s="125">
        <f>MAX(0,MIN(100,SIM_Districts!F53+(2019-2022)*SIM_Parametres!$B$7))</f>
        <v>39.79</v>
      </c>
      <c r="I266" s="125">
        <f>SIM_Districts!G53*(1+SIM_Parametres!$B$8)^(2019-2023)</f>
        <v>51.232857229806619</v>
      </c>
      <c r="J266" s="125">
        <f>SIM_Districts!H53*(1+SIM_Parametres!$B$9)^(2019-2023)</f>
        <v>34.90321597317481</v>
      </c>
      <c r="K266" s="125">
        <f>MAX(0,MIN(100,SIM_Districts!I53+(2019-2023)*SIM_Parametres!$B$10))</f>
        <v>77.900000000000006</v>
      </c>
      <c r="L266" s="125">
        <f>SIM_Districts!E53</f>
        <v>3143</v>
      </c>
      <c r="M266" s="61">
        <f t="shared" si="145"/>
        <v>62.583919519887516</v>
      </c>
      <c r="N266" s="125">
        <f>N195*(1+SIM_Parametres!$B$6)/(1+SIM_Parametres!$B$11)</f>
        <v>89545</v>
      </c>
      <c r="O266" s="132"/>
      <c r="P266" s="126">
        <f>SIM_Parametres!$D$25</f>
        <v>0</v>
      </c>
      <c r="Q266" s="126">
        <f>SIM_Parametres!$B$12</f>
        <v>0.2</v>
      </c>
      <c r="R266" s="66">
        <f t="shared" si="134"/>
        <v>1.2213630205863409E-2</v>
      </c>
      <c r="S266" s="66">
        <f t="shared" si="135"/>
        <v>0.49645390070921985</v>
      </c>
      <c r="T266" s="66">
        <f t="shared" si="136"/>
        <v>0.84806629834254144</v>
      </c>
      <c r="U266" s="66">
        <f t="shared" si="137"/>
        <v>0.60760654420796101</v>
      </c>
      <c r="V266" s="66">
        <f t="shared" si="138"/>
        <v>0.20906585970196906</v>
      </c>
      <c r="W266" s="66">
        <f t="shared" si="139"/>
        <v>1.1836820968082855E-2</v>
      </c>
      <c r="X266" s="66">
        <f t="shared" si="140"/>
        <v>1.6782375772153284E-2</v>
      </c>
      <c r="Y266" s="66">
        <f t="shared" si="141"/>
        <v>1.5524170675717779E-2</v>
      </c>
      <c r="Z266" s="66">
        <f t="shared" si="142"/>
        <v>7.6734173990574452E-3</v>
      </c>
      <c r="AA266" s="66">
        <f t="shared" si="146"/>
        <v>1.2780937038292228E-2</v>
      </c>
      <c r="AB266" s="66">
        <f t="shared" si="143"/>
        <v>1.3896800232551496E-2</v>
      </c>
      <c r="AC266" s="67">
        <f t="shared" si="147"/>
        <v>16019878.569659896</v>
      </c>
      <c r="AD266" s="67">
        <f t="shared" si="130"/>
        <v>17070312</v>
      </c>
      <c r="AE266" s="66">
        <f>0</f>
        <v>0</v>
      </c>
      <c r="AF266" s="67">
        <f t="shared" si="131"/>
        <v>17070312</v>
      </c>
      <c r="AG266" s="67">
        <f t="shared" si="144"/>
        <v>1</v>
      </c>
      <c r="AH266" s="67">
        <f t="shared" si="133"/>
        <v>17070312</v>
      </c>
      <c r="AI266" s="67">
        <f t="shared" si="148"/>
        <v>86.782932058271726</v>
      </c>
      <c r="AJ266" s="67">
        <f t="shared" si="149"/>
        <v>0</v>
      </c>
      <c r="AK266" s="66">
        <f t="shared" si="110"/>
        <v>3.2000000000000028E-2</v>
      </c>
    </row>
    <row r="267" spans="1:37" ht="12.75" customHeight="1" x14ac:dyDescent="0.25">
      <c r="A267" s="55" t="s">
        <v>648</v>
      </c>
      <c r="B267" s="55" t="s">
        <v>435</v>
      </c>
      <c r="C267" s="55" t="s">
        <v>435</v>
      </c>
      <c r="D267" s="128">
        <v>2019</v>
      </c>
      <c r="E267" s="55" t="s">
        <v>676</v>
      </c>
      <c r="F267" s="57">
        <f>SIM_Parametres!$C$25</f>
        <v>1228362768</v>
      </c>
      <c r="G267" s="129">
        <f>SIM_Districts!D54*(1+SIM_Parametres!$B$6)^(2019-2023)</f>
        <v>348495.71723921027</v>
      </c>
      <c r="H267" s="129">
        <f>MAX(0,MIN(100,SIM_Districts!F54+(2019-2022)*SIM_Parametres!$B$7))</f>
        <v>39.79</v>
      </c>
      <c r="I267" s="129">
        <f>SIM_Districts!G54*(1+SIM_Parametres!$B$8)^(2019-2023)</f>
        <v>51.232857229806619</v>
      </c>
      <c r="J267" s="129">
        <f>SIM_Districts!H54*(1+SIM_Parametres!$B$9)^(2019-2023)</f>
        <v>34.90321597317481</v>
      </c>
      <c r="K267" s="129">
        <f>MAX(0,MIN(100,SIM_Districts!I54+(2019-2023)*SIM_Parametres!$B$10))</f>
        <v>77.900000000000006</v>
      </c>
      <c r="L267" s="129">
        <f>SIM_Districts!E54</f>
        <v>802</v>
      </c>
      <c r="M267" s="68">
        <f t="shared" si="145"/>
        <v>434.53331326584822</v>
      </c>
      <c r="N267" s="129">
        <f>N196*(1+SIM_Parametres!$B$6)/(1+SIM_Parametres!$B$11)</f>
        <v>89545</v>
      </c>
      <c r="O267" s="72"/>
      <c r="P267" s="130">
        <f>SIM_Parametres!$D$25</f>
        <v>0</v>
      </c>
      <c r="Q267" s="130">
        <f>SIM_Parametres!$B$12</f>
        <v>0.2</v>
      </c>
      <c r="R267" s="59">
        <f t="shared" si="134"/>
        <v>2.1638894632510352E-2</v>
      </c>
      <c r="S267" s="59">
        <f t="shared" si="135"/>
        <v>0.49645390070921985</v>
      </c>
      <c r="T267" s="59">
        <f t="shared" si="136"/>
        <v>0.84806629834254144</v>
      </c>
      <c r="U267" s="59">
        <f t="shared" si="137"/>
        <v>0.52059263207206896</v>
      </c>
      <c r="V267" s="59">
        <f t="shared" si="138"/>
        <v>0.20906585970196906</v>
      </c>
      <c r="W267" s="59">
        <f t="shared" si="139"/>
        <v>1.1836820968082855E-2</v>
      </c>
      <c r="X267" s="59">
        <f t="shared" si="140"/>
        <v>1.6782375772153284E-2</v>
      </c>
      <c r="Y267" s="59">
        <f t="shared" si="141"/>
        <v>1.3300990500921697E-2</v>
      </c>
      <c r="Z267" s="59">
        <f t="shared" si="142"/>
        <v>7.6734173990574452E-3</v>
      </c>
      <c r="AA267" s="59">
        <f t="shared" si="146"/>
        <v>1.832493668554059E-2</v>
      </c>
      <c r="AB267" s="59">
        <f t="shared" si="143"/>
        <v>1.3760697116798316E-2</v>
      </c>
      <c r="AC267" s="60">
        <f t="shared" si="147"/>
        <v>21467912.771647915</v>
      </c>
      <c r="AD267" s="60">
        <f t="shared" si="130"/>
        <v>16903128</v>
      </c>
      <c r="AE267" s="59">
        <f t="shared" ref="AE267:AE330" si="150">IFERROR(AD267/AH196-1,0)</f>
        <v>3.2000000000000028E-2</v>
      </c>
      <c r="AF267" s="60">
        <f t="shared" si="131"/>
        <v>16903128</v>
      </c>
      <c r="AG267" s="60">
        <f t="shared" si="144"/>
        <v>1</v>
      </c>
      <c r="AH267" s="60">
        <f t="shared" si="133"/>
        <v>16903128</v>
      </c>
      <c r="AI267" s="60">
        <f t="shared" si="148"/>
        <v>48.503115429672718</v>
      </c>
      <c r="AJ267" s="60">
        <f t="shared" si="149"/>
        <v>0</v>
      </c>
      <c r="AK267" s="59">
        <f t="shared" ref="AK267:AK330" si="151">IFERROR(AH267/AH196-1,0)</f>
        <v>3.2000000000000028E-2</v>
      </c>
    </row>
    <row r="268" spans="1:37" ht="12.75" customHeight="1" x14ac:dyDescent="0.25">
      <c r="A268" s="62" t="s">
        <v>649</v>
      </c>
      <c r="B268" s="62" t="s">
        <v>441</v>
      </c>
      <c r="C268" s="62" t="s">
        <v>443</v>
      </c>
      <c r="D268" s="124">
        <v>2019</v>
      </c>
      <c r="E268" s="62" t="s">
        <v>676</v>
      </c>
      <c r="F268" s="64">
        <f>SIM_Parametres!$C$25</f>
        <v>1228362768</v>
      </c>
      <c r="G268" s="125">
        <f>SIM_Districts!D55*(1+SIM_Parametres!$B$6)^(2019-2023)</f>
        <v>256699.90090970503</v>
      </c>
      <c r="H268" s="125">
        <f>MAX(0,MIN(100,SIM_Districts!F55+(2019-2022)*SIM_Parametres!$B$7))</f>
        <v>66.89</v>
      </c>
      <c r="I268" s="125">
        <f>SIM_Districts!G55*(1+SIM_Parametres!$B$8)^(2019-2023)</f>
        <v>51.232857229806619</v>
      </c>
      <c r="J268" s="125">
        <f>SIM_Districts!H55*(1+SIM_Parametres!$B$9)^(2019-2023)</f>
        <v>37.341868617588773</v>
      </c>
      <c r="K268" s="125">
        <f>MAX(0,MIN(100,SIM_Districts!I55+(2019-2023)*SIM_Parametres!$B$10))</f>
        <v>73.599999999999994</v>
      </c>
      <c r="L268" s="125">
        <f>SIM_Districts!E55</f>
        <v>2865</v>
      </c>
      <c r="M268" s="61">
        <f t="shared" si="145"/>
        <v>89.598569252951151</v>
      </c>
      <c r="N268" s="125">
        <f>N197*(1+SIM_Parametres!$B$6)/(1+SIM_Parametres!$B$11)</f>
        <v>178218</v>
      </c>
      <c r="O268" s="132"/>
      <c r="P268" s="126">
        <f>SIM_Parametres!$D$25</f>
        <v>0</v>
      </c>
      <c r="Q268" s="126">
        <f>SIM_Parametres!$B$12</f>
        <v>0.2</v>
      </c>
      <c r="R268" s="66">
        <f t="shared" si="134"/>
        <v>1.5939082844304116E-2</v>
      </c>
      <c r="S268" s="66">
        <f t="shared" si="135"/>
        <v>0.97695035460992907</v>
      </c>
      <c r="T268" s="66">
        <f t="shared" si="136"/>
        <v>0.89226519337016574</v>
      </c>
      <c r="U268" s="66">
        <f t="shared" si="137"/>
        <v>0.59754648703547397</v>
      </c>
      <c r="V268" s="66">
        <f t="shared" si="138"/>
        <v>0.82451294081719062</v>
      </c>
      <c r="W268" s="66">
        <f t="shared" si="139"/>
        <v>2.3293172690763045E-2</v>
      </c>
      <c r="X268" s="66">
        <f t="shared" si="140"/>
        <v>1.7657027278193845E-2</v>
      </c>
      <c r="Y268" s="66">
        <f t="shared" si="141"/>
        <v>1.526713913772349E-2</v>
      </c>
      <c r="Z268" s="66">
        <f t="shared" si="142"/>
        <v>3.0262386957075536E-2</v>
      </c>
      <c r="AA268" s="66">
        <f t="shared" si="146"/>
        <v>1.7982456006665953E-2</v>
      </c>
      <c r="AB268" s="66">
        <f t="shared" si="143"/>
        <v>1.2724801180232451E-2</v>
      </c>
      <c r="AC268" s="67">
        <f t="shared" si="147"/>
        <v>21131360.359896738</v>
      </c>
      <c r="AD268" s="67">
        <f t="shared" si="130"/>
        <v>15630672</v>
      </c>
      <c r="AE268" s="66">
        <f t="shared" si="150"/>
        <v>3.2000000000000028E-2</v>
      </c>
      <c r="AF268" s="67">
        <f t="shared" si="131"/>
        <v>15630672</v>
      </c>
      <c r="AG268" s="67">
        <f t="shared" si="144"/>
        <v>1</v>
      </c>
      <c r="AH268" s="67">
        <f t="shared" si="133"/>
        <v>15630672</v>
      </c>
      <c r="AI268" s="67">
        <f t="shared" si="148"/>
        <v>60.890837684811324</v>
      </c>
      <c r="AJ268" s="67">
        <f t="shared" si="149"/>
        <v>0</v>
      </c>
      <c r="AK268" s="66">
        <f t="shared" si="151"/>
        <v>3.2000000000000028E-2</v>
      </c>
    </row>
    <row r="269" spans="1:37" ht="12.75" customHeight="1" x14ac:dyDescent="0.25">
      <c r="A269" s="55" t="s">
        <v>651</v>
      </c>
      <c r="B269" s="55" t="s">
        <v>441</v>
      </c>
      <c r="C269" s="55" t="s">
        <v>441</v>
      </c>
      <c r="D269" s="128">
        <v>2019</v>
      </c>
      <c r="E269" s="55" t="s">
        <v>676</v>
      </c>
      <c r="F269" s="57">
        <f>SIM_Parametres!$C$25</f>
        <v>1228362768</v>
      </c>
      <c r="G269" s="129">
        <f>SIM_Districts!D56*(1+SIM_Parametres!$B$6)^(2019-2023)</f>
        <v>266855.30786738137</v>
      </c>
      <c r="H269" s="129">
        <f>MAX(0,MIN(100,SIM_Districts!F56+(2019-2022)*SIM_Parametres!$B$7))</f>
        <v>66.89</v>
      </c>
      <c r="I269" s="129">
        <f>SIM_Districts!G56*(1+SIM_Parametres!$B$8)^(2019-2023)</f>
        <v>51.232857229806619</v>
      </c>
      <c r="J269" s="129">
        <f>SIM_Districts!H56*(1+SIM_Parametres!$B$9)^(2019-2023)</f>
        <v>37.341868617588773</v>
      </c>
      <c r="K269" s="129">
        <f>MAX(0,MIN(100,SIM_Districts!I56+(2019-2023)*SIM_Parametres!$B$10))</f>
        <v>73.599999999999994</v>
      </c>
      <c r="L269" s="129">
        <f>SIM_Districts!E56</f>
        <v>2749</v>
      </c>
      <c r="M269" s="68">
        <f t="shared" si="145"/>
        <v>97.073593258414462</v>
      </c>
      <c r="N269" s="129">
        <f>N198*(1+SIM_Parametres!$B$6)/(1+SIM_Parametres!$B$11)</f>
        <v>178218</v>
      </c>
      <c r="O269" s="72"/>
      <c r="P269" s="130">
        <f>SIM_Parametres!$D$25</f>
        <v>0</v>
      </c>
      <c r="Q269" s="130">
        <f>SIM_Parametres!$B$12</f>
        <v>0.2</v>
      </c>
      <c r="R269" s="59">
        <f t="shared" si="134"/>
        <v>1.6569655245159711E-2</v>
      </c>
      <c r="S269" s="59">
        <f t="shared" si="135"/>
        <v>0.97695035460992907</v>
      </c>
      <c r="T269" s="59">
        <f t="shared" si="136"/>
        <v>0.89226519337016574</v>
      </c>
      <c r="U269" s="59">
        <f t="shared" si="137"/>
        <v>0.59340921006518599</v>
      </c>
      <c r="V269" s="59">
        <f t="shared" si="138"/>
        <v>0.82451294081719062</v>
      </c>
      <c r="W269" s="59">
        <f t="shared" si="139"/>
        <v>2.3293172690763045E-2</v>
      </c>
      <c r="X269" s="59">
        <f t="shared" si="140"/>
        <v>1.7657027278193845E-2</v>
      </c>
      <c r="Y269" s="59">
        <f t="shared" si="141"/>
        <v>1.516143291314161E-2</v>
      </c>
      <c r="Z269" s="59">
        <f t="shared" si="142"/>
        <v>3.0262386957075536E-2</v>
      </c>
      <c r="AA269" s="59">
        <f t="shared" si="146"/>
        <v>1.8355514135950216E-2</v>
      </c>
      <c r="AB269" s="59">
        <f t="shared" si="143"/>
        <v>1.4496662113093287E-2</v>
      </c>
      <c r="AC269" s="60">
        <f t="shared" si="147"/>
        <v>21497960.932946756</v>
      </c>
      <c r="AD269" s="60">
        <f t="shared" si="130"/>
        <v>17807160</v>
      </c>
      <c r="AE269" s="59">
        <f t="shared" si="150"/>
        <v>3.2000000000000028E-2</v>
      </c>
      <c r="AF269" s="60">
        <f t="shared" si="131"/>
        <v>17807160</v>
      </c>
      <c r="AG269" s="60">
        <f t="shared" si="144"/>
        <v>1</v>
      </c>
      <c r="AH269" s="60">
        <f t="shared" si="133"/>
        <v>17807160</v>
      </c>
      <c r="AI269" s="60">
        <f t="shared" si="148"/>
        <v>66.729645148559655</v>
      </c>
      <c r="AJ269" s="60">
        <f t="shared" si="149"/>
        <v>0</v>
      </c>
      <c r="AK269" s="59">
        <f t="shared" si="151"/>
        <v>3.2000000000000028E-2</v>
      </c>
    </row>
    <row r="270" spans="1:37" ht="12.75" customHeight="1" x14ac:dyDescent="0.25">
      <c r="A270" s="62" t="s">
        <v>652</v>
      </c>
      <c r="B270" s="62" t="s">
        <v>444</v>
      </c>
      <c r="C270" s="62" t="s">
        <v>446</v>
      </c>
      <c r="D270" s="124">
        <v>2019</v>
      </c>
      <c r="E270" s="62" t="s">
        <v>676</v>
      </c>
      <c r="F270" s="64">
        <f>SIM_Parametres!$C$25</f>
        <v>1228362768</v>
      </c>
      <c r="G270" s="125">
        <f>SIM_Districts!D57*(1+SIM_Parametres!$B$6)^(2019-2023)</f>
        <v>134532.04333424987</v>
      </c>
      <c r="H270" s="125">
        <f>MAX(0,MIN(100,SIM_Districts!F57+(2019-2022)*SIM_Parametres!$B$7))</f>
        <v>65.289999999999992</v>
      </c>
      <c r="I270" s="125">
        <f>SIM_Districts!G57*(1+SIM_Parametres!$B$8)^(2019-2023)</f>
        <v>51.232857229806619</v>
      </c>
      <c r="J270" s="125">
        <f>SIM_Districts!H57*(1+SIM_Parametres!$B$9)^(2019-2023)</f>
        <v>35.817710714830049</v>
      </c>
      <c r="K270" s="125">
        <f>MAX(0,MIN(100,SIM_Districts!I57+(2019-2023)*SIM_Parametres!$B$10))</f>
        <v>77.599999999999994</v>
      </c>
      <c r="L270" s="125">
        <f>SIM_Districts!E57</f>
        <v>1360</v>
      </c>
      <c r="M270" s="61">
        <f t="shared" si="145"/>
        <v>98.920620098713144</v>
      </c>
      <c r="N270" s="125">
        <f>N199*(1+SIM_Parametres!$B$6)/(1+SIM_Parametres!$B$11)</f>
        <v>71159</v>
      </c>
      <c r="O270" s="132"/>
      <c r="P270" s="126">
        <f>SIM_Parametres!$D$25</f>
        <v>0</v>
      </c>
      <c r="Q270" s="126">
        <f>SIM_Parametres!$B$12</f>
        <v>0.2</v>
      </c>
      <c r="R270" s="66">
        <f t="shared" si="134"/>
        <v>8.3534016815705377E-3</v>
      </c>
      <c r="S270" s="66">
        <f t="shared" si="135"/>
        <v>0.94858156028368779</v>
      </c>
      <c r="T270" s="66">
        <f t="shared" si="136"/>
        <v>0.86464088397790062</v>
      </c>
      <c r="U270" s="66">
        <f t="shared" si="137"/>
        <v>0.54526424876049673</v>
      </c>
      <c r="V270" s="66">
        <f t="shared" si="138"/>
        <v>8.1455312710388056E-2</v>
      </c>
      <c r="W270" s="66">
        <f t="shared" si="139"/>
        <v>2.2616782921158308E-2</v>
      </c>
      <c r="X270" s="66">
        <f t="shared" si="140"/>
        <v>1.7110370086918496E-2</v>
      </c>
      <c r="Y270" s="66">
        <f t="shared" si="141"/>
        <v>1.3931343139431052E-2</v>
      </c>
      <c r="Z270" s="66">
        <f t="shared" si="142"/>
        <v>2.9896828429499429E-3</v>
      </c>
      <c r="AA270" s="66">
        <f t="shared" si="146"/>
        <v>1.1817165259272892E-2</v>
      </c>
      <c r="AB270" s="66">
        <f t="shared" si="143"/>
        <v>1.4601679949322592E-2</v>
      </c>
      <c r="AC270" s="67">
        <f t="shared" si="147"/>
        <v>15072789.473502716</v>
      </c>
      <c r="AD270" s="67">
        <f t="shared" si="130"/>
        <v>17936160</v>
      </c>
      <c r="AE270" s="66">
        <f t="shared" si="150"/>
        <v>3.2000000000000028E-2</v>
      </c>
      <c r="AF270" s="67">
        <f t="shared" si="131"/>
        <v>17936160</v>
      </c>
      <c r="AG270" s="67">
        <f t="shared" si="144"/>
        <v>1</v>
      </c>
      <c r="AH270" s="67">
        <f t="shared" si="133"/>
        <v>17936160</v>
      </c>
      <c r="AI270" s="67">
        <f t="shared" si="148"/>
        <v>133.32258661556892</v>
      </c>
      <c r="AJ270" s="67">
        <f t="shared" si="149"/>
        <v>0</v>
      </c>
      <c r="AK270" s="66">
        <f t="shared" si="151"/>
        <v>3.2000000000000028E-2</v>
      </c>
    </row>
    <row r="271" spans="1:37" ht="12.75" customHeight="1" x14ac:dyDescent="0.25">
      <c r="A271" s="55" t="s">
        <v>654</v>
      </c>
      <c r="B271" s="55" t="s">
        <v>444</v>
      </c>
      <c r="C271" s="55" t="s">
        <v>447</v>
      </c>
      <c r="D271" s="128">
        <v>2019</v>
      </c>
      <c r="E271" s="55" t="s">
        <v>676</v>
      </c>
      <c r="F271" s="57">
        <f>SIM_Parametres!$C$25</f>
        <v>1228362768</v>
      </c>
      <c r="G271" s="129">
        <f>SIM_Districts!D58*(1+SIM_Parametres!$B$6)^(2019-2023)</f>
        <v>65972.828768883657</v>
      </c>
      <c r="H271" s="129">
        <f>MAX(0,MIN(100,SIM_Districts!F58+(2019-2022)*SIM_Parametres!$B$7))</f>
        <v>65.289999999999992</v>
      </c>
      <c r="I271" s="129">
        <f>SIM_Districts!G58*(1+SIM_Parametres!$B$8)^(2019-2023)</f>
        <v>51.232857229806619</v>
      </c>
      <c r="J271" s="129">
        <f>SIM_Districts!H58*(1+SIM_Parametres!$B$9)^(2019-2023)</f>
        <v>35.817710714830049</v>
      </c>
      <c r="K271" s="129">
        <f>MAX(0,MIN(100,SIM_Districts!I58+(2019-2023)*SIM_Parametres!$B$10))</f>
        <v>77.599999999999994</v>
      </c>
      <c r="L271" s="129">
        <f>SIM_Districts!E58</f>
        <v>6089</v>
      </c>
      <c r="M271" s="68">
        <f t="shared" si="145"/>
        <v>10.834755915402145</v>
      </c>
      <c r="N271" s="129">
        <f>N200*(1+SIM_Parametres!$B$6)/(1+SIM_Parametres!$B$11)</f>
        <v>71159</v>
      </c>
      <c r="O271" s="72"/>
      <c r="P271" s="130">
        <f>SIM_Parametres!$D$25</f>
        <v>0</v>
      </c>
      <c r="Q271" s="130">
        <f>SIM_Parametres!$B$12</f>
        <v>0.2</v>
      </c>
      <c r="R271" s="59">
        <f t="shared" si="134"/>
        <v>4.0964035416211995E-3</v>
      </c>
      <c r="S271" s="59">
        <f t="shared" si="135"/>
        <v>0.94858156028368779</v>
      </c>
      <c r="T271" s="59">
        <f t="shared" si="136"/>
        <v>0.86464088397790062</v>
      </c>
      <c r="U271" s="59">
        <f t="shared" si="137"/>
        <v>0.71048099676349064</v>
      </c>
      <c r="V271" s="59">
        <f t="shared" si="138"/>
        <v>8.1455312710388056E-2</v>
      </c>
      <c r="W271" s="59">
        <f t="shared" si="139"/>
        <v>2.2616782921158308E-2</v>
      </c>
      <c r="X271" s="59">
        <f t="shared" si="140"/>
        <v>1.7110370086918496E-2</v>
      </c>
      <c r="Y271" s="59">
        <f t="shared" si="141"/>
        <v>1.8152583050250179E-2</v>
      </c>
      <c r="Z271" s="59">
        <f t="shared" si="142"/>
        <v>2.9896828429499429E-3</v>
      </c>
      <c r="AA271" s="59">
        <f t="shared" si="146"/>
        <v>9.4740283708442466E-3</v>
      </c>
      <c r="AB271" s="59">
        <f t="shared" si="143"/>
        <v>1.216274572073321E-2</v>
      </c>
      <c r="AC271" s="60">
        <f t="shared" si="147"/>
        <v>12770211.782244222</v>
      </c>
      <c r="AD271" s="60">
        <f t="shared" si="130"/>
        <v>14940264</v>
      </c>
      <c r="AE271" s="59">
        <f t="shared" si="150"/>
        <v>3.2000000000000028E-2</v>
      </c>
      <c r="AF271" s="60">
        <f t="shared" si="131"/>
        <v>14940264</v>
      </c>
      <c r="AG271" s="60">
        <f t="shared" si="144"/>
        <v>1</v>
      </c>
      <c r="AH271" s="60">
        <f t="shared" si="133"/>
        <v>14940264</v>
      </c>
      <c r="AI271" s="60">
        <f t="shared" si="148"/>
        <v>226.46086697811319</v>
      </c>
      <c r="AJ271" s="60">
        <f t="shared" si="149"/>
        <v>0</v>
      </c>
      <c r="AK271" s="59">
        <f t="shared" si="151"/>
        <v>3.2000000000000028E-2</v>
      </c>
    </row>
    <row r="272" spans="1:37" ht="12.75" customHeight="1" x14ac:dyDescent="0.25">
      <c r="A272" s="62" t="s">
        <v>655</v>
      </c>
      <c r="B272" s="62" t="s">
        <v>444</v>
      </c>
      <c r="C272" s="62" t="s">
        <v>448</v>
      </c>
      <c r="D272" s="124">
        <v>2019</v>
      </c>
      <c r="E272" s="62" t="s">
        <v>676</v>
      </c>
      <c r="F272" s="64">
        <f>SIM_Parametres!$C$25</f>
        <v>1228362768</v>
      </c>
      <c r="G272" s="125">
        <f>SIM_Districts!D59*(1+SIM_Parametres!$B$6)^(2019-2023)</f>
        <v>116218.5483026117</v>
      </c>
      <c r="H272" s="125">
        <f>MAX(0,MIN(100,SIM_Districts!F59+(2019-2022)*SIM_Parametres!$B$7))</f>
        <v>65.289999999999992</v>
      </c>
      <c r="I272" s="125">
        <f>SIM_Districts!G59*(1+SIM_Parametres!$B$8)^(2019-2023)</f>
        <v>51.232857229806619</v>
      </c>
      <c r="J272" s="125">
        <f>SIM_Districts!H59*(1+SIM_Parametres!$B$9)^(2019-2023)</f>
        <v>35.817710714830049</v>
      </c>
      <c r="K272" s="125">
        <f>MAX(0,MIN(100,SIM_Districts!I59+(2019-2023)*SIM_Parametres!$B$10))</f>
        <v>77.599999999999994</v>
      </c>
      <c r="L272" s="125">
        <f>SIM_Districts!E59</f>
        <v>9596</v>
      </c>
      <c r="M272" s="61">
        <f t="shared" si="145"/>
        <v>12.111145091977043</v>
      </c>
      <c r="N272" s="125">
        <f>N201*(1+SIM_Parametres!$B$6)/(1+SIM_Parametres!$B$11)</f>
        <v>71159</v>
      </c>
      <c r="O272" s="132"/>
      <c r="P272" s="126">
        <f>SIM_Parametres!$D$25</f>
        <v>0</v>
      </c>
      <c r="Q272" s="126">
        <f>SIM_Parametres!$B$12</f>
        <v>0.2</v>
      </c>
      <c r="R272" s="66">
        <f t="shared" si="134"/>
        <v>7.2162749688465247E-3</v>
      </c>
      <c r="S272" s="66">
        <f t="shared" si="135"/>
        <v>0.94858156028368779</v>
      </c>
      <c r="T272" s="66">
        <f t="shared" si="136"/>
        <v>0.86464088397790062</v>
      </c>
      <c r="U272" s="66">
        <f t="shared" si="137"/>
        <v>0.83194467542502504</v>
      </c>
      <c r="V272" s="66">
        <f t="shared" si="138"/>
        <v>8.1455312710388056E-2</v>
      </c>
      <c r="W272" s="66">
        <f t="shared" si="139"/>
        <v>2.2616782921158308E-2</v>
      </c>
      <c r="X272" s="66">
        <f t="shared" si="140"/>
        <v>1.7110370086918496E-2</v>
      </c>
      <c r="Y272" s="66">
        <f t="shared" si="141"/>
        <v>2.1255944751036638E-2</v>
      </c>
      <c r="Z272" s="66">
        <f t="shared" si="142"/>
        <v>2.9896828429499429E-3</v>
      </c>
      <c r="AA272" s="66">
        <f t="shared" si="146"/>
        <v>1.1501119312218764E-2</v>
      </c>
      <c r="AB272" s="66">
        <f t="shared" si="143"/>
        <v>1.2786971739280199E-2</v>
      </c>
      <c r="AC272" s="67">
        <f t="shared" si="147"/>
        <v>14762214.214031843</v>
      </c>
      <c r="AD272" s="67">
        <f t="shared" si="130"/>
        <v>15707040</v>
      </c>
      <c r="AE272" s="66">
        <f t="shared" si="150"/>
        <v>3.2000000000000028E-2</v>
      </c>
      <c r="AF272" s="67">
        <f t="shared" si="131"/>
        <v>15707040</v>
      </c>
      <c r="AG272" s="67">
        <f t="shared" si="144"/>
        <v>1</v>
      </c>
      <c r="AH272" s="67">
        <f t="shared" si="133"/>
        <v>15707040</v>
      </c>
      <c r="AI272" s="67">
        <f t="shared" si="148"/>
        <v>135.15088795552461</v>
      </c>
      <c r="AJ272" s="67">
        <f t="shared" si="149"/>
        <v>0</v>
      </c>
      <c r="AK272" s="66">
        <f t="shared" si="151"/>
        <v>3.2000000000000028E-2</v>
      </c>
    </row>
    <row r="273" spans="1:37" ht="12.75" customHeight="1" x14ac:dyDescent="0.25">
      <c r="A273" s="55" t="s">
        <v>656</v>
      </c>
      <c r="B273" s="55" t="s">
        <v>444</v>
      </c>
      <c r="C273" s="55" t="s">
        <v>449</v>
      </c>
      <c r="D273" s="128">
        <v>2019</v>
      </c>
      <c r="E273" s="55" t="s">
        <v>676</v>
      </c>
      <c r="F273" s="57">
        <f>SIM_Parametres!$C$25</f>
        <v>1228362768</v>
      </c>
      <c r="G273" s="129">
        <f>SIM_Districts!D60*(1+SIM_Parametres!$B$6)^(2019-2023)</f>
        <v>85765.654735301461</v>
      </c>
      <c r="H273" s="129">
        <f>MAX(0,MIN(100,SIM_Districts!F60+(2019-2022)*SIM_Parametres!$B$7))</f>
        <v>65.289999999999992</v>
      </c>
      <c r="I273" s="129">
        <f>SIM_Districts!G60*(1+SIM_Parametres!$B$8)^(2019-2023)</f>
        <v>51.232857229806619</v>
      </c>
      <c r="J273" s="129">
        <f>SIM_Districts!H60*(1+SIM_Parametres!$B$9)^(2019-2023)</f>
        <v>35.817710714830049</v>
      </c>
      <c r="K273" s="129">
        <f>MAX(0,MIN(100,SIM_Districts!I60+(2019-2023)*SIM_Parametres!$B$10))</f>
        <v>77.599999999999994</v>
      </c>
      <c r="L273" s="129">
        <f>SIM_Districts!E60</f>
        <v>5363</v>
      </c>
      <c r="M273" s="68">
        <f t="shared" si="145"/>
        <v>15.992104183349145</v>
      </c>
      <c r="N273" s="129">
        <f>N202*(1+SIM_Parametres!$B$6)/(1+SIM_Parametres!$B$11)</f>
        <v>71159</v>
      </c>
      <c r="O273" s="72"/>
      <c r="P273" s="130">
        <f>SIM_Parametres!$D$25</f>
        <v>0</v>
      </c>
      <c r="Q273" s="130">
        <f>SIM_Parametres!$B$12</f>
        <v>0.2</v>
      </c>
      <c r="R273" s="59">
        <f t="shared" si="134"/>
        <v>5.3253852891155156E-3</v>
      </c>
      <c r="S273" s="59">
        <f t="shared" si="135"/>
        <v>0.94858156028368779</v>
      </c>
      <c r="T273" s="59">
        <f t="shared" si="136"/>
        <v>0.86464088397790062</v>
      </c>
      <c r="U273" s="59">
        <f t="shared" si="137"/>
        <v>0.68524994865574673</v>
      </c>
      <c r="V273" s="59">
        <f t="shared" si="138"/>
        <v>8.1455312710388056E-2</v>
      </c>
      <c r="W273" s="59">
        <f t="shared" si="139"/>
        <v>2.2616782921158308E-2</v>
      </c>
      <c r="X273" s="59">
        <f t="shared" si="140"/>
        <v>1.7110370086918496E-2</v>
      </c>
      <c r="Y273" s="59">
        <f t="shared" si="141"/>
        <v>1.7507937101509705E-2</v>
      </c>
      <c r="Z273" s="59">
        <f t="shared" si="142"/>
        <v>2.9896828429499429E-3</v>
      </c>
      <c r="AA273" s="59">
        <f t="shared" si="146"/>
        <v>1.0179185121903812E-2</v>
      </c>
      <c r="AB273" s="59">
        <f t="shared" si="143"/>
        <v>1.3375911764854143E-2</v>
      </c>
      <c r="AC273" s="60">
        <f t="shared" si="147"/>
        <v>13463162.421128552</v>
      </c>
      <c r="AD273" s="60">
        <f t="shared" si="130"/>
        <v>16430472</v>
      </c>
      <c r="AE273" s="59">
        <f t="shared" si="150"/>
        <v>3.2000000000000028E-2</v>
      </c>
      <c r="AF273" s="60">
        <f t="shared" si="131"/>
        <v>16430472</v>
      </c>
      <c r="AG273" s="60">
        <f t="shared" si="144"/>
        <v>1</v>
      </c>
      <c r="AH273" s="60">
        <f t="shared" si="133"/>
        <v>16430472</v>
      </c>
      <c r="AI273" s="60">
        <f t="shared" si="148"/>
        <v>191.57402867977123</v>
      </c>
      <c r="AJ273" s="60">
        <f t="shared" si="149"/>
        <v>0</v>
      </c>
      <c r="AK273" s="59">
        <f t="shared" si="151"/>
        <v>3.2000000000000028E-2</v>
      </c>
    </row>
    <row r="274" spans="1:37" ht="12.75" customHeight="1" x14ac:dyDescent="0.25">
      <c r="A274" s="62" t="s">
        <v>657</v>
      </c>
      <c r="B274" s="62" t="s">
        <v>444</v>
      </c>
      <c r="C274" s="62" t="s">
        <v>450</v>
      </c>
      <c r="D274" s="124">
        <v>2019</v>
      </c>
      <c r="E274" s="62" t="s">
        <v>676</v>
      </c>
      <c r="F274" s="64">
        <f>SIM_Parametres!$C$25</f>
        <v>1228362768</v>
      </c>
      <c r="G274" s="125">
        <f>SIM_Districts!D61*(1+SIM_Parametres!$B$6)^(2019-2023)</f>
        <v>108981.82129733841</v>
      </c>
      <c r="H274" s="125">
        <f>MAX(0,MIN(100,SIM_Districts!F61+(2019-2022)*SIM_Parametres!$B$7))</f>
        <v>65.289999999999992</v>
      </c>
      <c r="I274" s="125">
        <f>SIM_Districts!G61*(1+SIM_Parametres!$B$8)^(2019-2023)</f>
        <v>51.232857229806619</v>
      </c>
      <c r="J274" s="125">
        <f>SIM_Districts!H61*(1+SIM_Parametres!$B$9)^(2019-2023)</f>
        <v>35.817710714830049</v>
      </c>
      <c r="K274" s="125">
        <f>MAX(0,MIN(100,SIM_Districts!I61+(2019-2023)*SIM_Parametres!$B$10))</f>
        <v>77.599999999999994</v>
      </c>
      <c r="L274" s="125">
        <f>SIM_Districts!E61</f>
        <v>2477</v>
      </c>
      <c r="M274" s="61">
        <f t="shared" si="145"/>
        <v>43.997505570181026</v>
      </c>
      <c r="N274" s="125">
        <f>N203*(1+SIM_Parametres!$B$6)/(1+SIM_Parametres!$B$11)</f>
        <v>71159</v>
      </c>
      <c r="O274" s="132"/>
      <c r="P274" s="126">
        <f>SIM_Parametres!$D$25</f>
        <v>0</v>
      </c>
      <c r="Q274" s="126">
        <f>SIM_Parametres!$B$12</f>
        <v>0.2</v>
      </c>
      <c r="R274" s="66">
        <f t="shared" si="134"/>
        <v>6.7669300690242316E-3</v>
      </c>
      <c r="S274" s="66">
        <f t="shared" si="135"/>
        <v>0.94858156028368779</v>
      </c>
      <c r="T274" s="66">
        <f t="shared" si="136"/>
        <v>0.86464088397790062</v>
      </c>
      <c r="U274" s="66">
        <f t="shared" si="137"/>
        <v>0.5848318733080492</v>
      </c>
      <c r="V274" s="66">
        <f t="shared" si="138"/>
        <v>8.1455312710388056E-2</v>
      </c>
      <c r="W274" s="66">
        <f t="shared" si="139"/>
        <v>2.2616782921158308E-2</v>
      </c>
      <c r="X274" s="66">
        <f t="shared" si="140"/>
        <v>1.7110370086918496E-2</v>
      </c>
      <c r="Y274" s="66">
        <f t="shared" si="141"/>
        <v>1.4942284450982642E-2</v>
      </c>
      <c r="Z274" s="66">
        <f t="shared" si="142"/>
        <v>2.9896828429499429E-3</v>
      </c>
      <c r="AA274" s="66">
        <f t="shared" si="146"/>
        <v>1.0915829357322687E-2</v>
      </c>
      <c r="AB274" s="66">
        <f t="shared" si="143"/>
        <v>1.300288841056765E-2</v>
      </c>
      <c r="AC274" s="67">
        <f t="shared" si="147"/>
        <v>14187055.502768852</v>
      </c>
      <c r="AD274" s="67">
        <f t="shared" si="130"/>
        <v>15972263.999999998</v>
      </c>
      <c r="AE274" s="66">
        <f t="shared" si="150"/>
        <v>3.1999999999999806E-2</v>
      </c>
      <c r="AF274" s="67">
        <f t="shared" si="131"/>
        <v>15972263.999999998</v>
      </c>
      <c r="AG274" s="67">
        <f t="shared" si="144"/>
        <v>1</v>
      </c>
      <c r="AH274" s="67">
        <f t="shared" si="133"/>
        <v>15972263.999999998</v>
      </c>
      <c r="AI274" s="67">
        <f t="shared" si="148"/>
        <v>146.55897478922091</v>
      </c>
      <c r="AJ274" s="67">
        <f t="shared" si="149"/>
        <v>0</v>
      </c>
      <c r="AK274" s="66">
        <f t="shared" si="151"/>
        <v>3.1999999999999806E-2</v>
      </c>
    </row>
    <row r="275" spans="1:37" ht="12.75" customHeight="1" x14ac:dyDescent="0.25">
      <c r="A275" s="55" t="s">
        <v>658</v>
      </c>
      <c r="B275" s="55" t="s">
        <v>444</v>
      </c>
      <c r="C275" s="55" t="s">
        <v>451</v>
      </c>
      <c r="D275" s="128">
        <v>2019</v>
      </c>
      <c r="E275" s="55" t="s">
        <v>676</v>
      </c>
      <c r="F275" s="57">
        <f>SIM_Parametres!$C$25</f>
        <v>1228362768</v>
      </c>
      <c r="G275" s="129">
        <f>SIM_Districts!D62*(1+SIM_Parametres!$B$6)^(2019-2023)</f>
        <v>365600.86988568312</v>
      </c>
      <c r="H275" s="129">
        <f>MAX(0,MIN(100,SIM_Districts!F62+(2019-2022)*SIM_Parametres!$B$7))</f>
        <v>65.289999999999992</v>
      </c>
      <c r="I275" s="129">
        <f>SIM_Districts!G62*(1+SIM_Parametres!$B$8)^(2019-2023)</f>
        <v>51.232857229806619</v>
      </c>
      <c r="J275" s="129">
        <f>SIM_Districts!H62*(1+SIM_Parametres!$B$9)^(2019-2023)</f>
        <v>35.817710714830049</v>
      </c>
      <c r="K275" s="129">
        <f>MAX(0,MIN(100,SIM_Districts!I62+(2019-2023)*SIM_Parametres!$B$10))</f>
        <v>77.599999999999994</v>
      </c>
      <c r="L275" s="129">
        <f>SIM_Districts!E62</f>
        <v>11599</v>
      </c>
      <c r="M275" s="68">
        <f t="shared" si="145"/>
        <v>31.520033613732487</v>
      </c>
      <c r="N275" s="129">
        <f>N204*(1+SIM_Parametres!$B$6)/(1+SIM_Parametres!$B$11)</f>
        <v>71159</v>
      </c>
      <c r="O275" s="72"/>
      <c r="P275" s="130">
        <f>SIM_Parametres!$D$25</f>
        <v>0</v>
      </c>
      <c r="Q275" s="130">
        <f>SIM_Parametres!$B$12</f>
        <v>0.2</v>
      </c>
      <c r="R275" s="59">
        <f t="shared" si="134"/>
        <v>2.2700992608124689E-2</v>
      </c>
      <c r="S275" s="59">
        <f t="shared" si="135"/>
        <v>0.94858156028368779</v>
      </c>
      <c r="T275" s="59">
        <f t="shared" si="136"/>
        <v>0.86464088397790062</v>
      </c>
      <c r="U275" s="59">
        <f t="shared" si="137"/>
        <v>0.90102051224376711</v>
      </c>
      <c r="V275" s="59">
        <f t="shared" si="138"/>
        <v>8.1455312710388056E-2</v>
      </c>
      <c r="W275" s="59">
        <f t="shared" si="139"/>
        <v>2.2616782921158308E-2</v>
      </c>
      <c r="X275" s="59">
        <f t="shared" si="140"/>
        <v>1.7110370086918496E-2</v>
      </c>
      <c r="Y275" s="59">
        <f t="shared" si="141"/>
        <v>2.3020812313054136E-2</v>
      </c>
      <c r="Z275" s="59">
        <f t="shared" si="142"/>
        <v>2.9896828429499429E-3</v>
      </c>
      <c r="AA275" s="59">
        <f t="shared" si="146"/>
        <v>2.0880193273886537E-2</v>
      </c>
      <c r="AB275" s="59">
        <f t="shared" si="143"/>
        <v>1.4405926702591169E-2</v>
      </c>
      <c r="AC275" s="60">
        <f t="shared" si="147"/>
        <v>23978938.416296605</v>
      </c>
      <c r="AD275" s="60">
        <f t="shared" si="130"/>
        <v>17695704</v>
      </c>
      <c r="AE275" s="59">
        <f t="shared" si="150"/>
        <v>3.2000000000000028E-2</v>
      </c>
      <c r="AF275" s="60">
        <f t="shared" si="131"/>
        <v>17695704</v>
      </c>
      <c r="AG275" s="60">
        <f t="shared" si="144"/>
        <v>1</v>
      </c>
      <c r="AH275" s="60">
        <f t="shared" si="133"/>
        <v>17695704</v>
      </c>
      <c r="AI275" s="60">
        <f t="shared" si="148"/>
        <v>48.401701028592001</v>
      </c>
      <c r="AJ275" s="60">
        <f t="shared" si="149"/>
        <v>0</v>
      </c>
      <c r="AK275" s="59">
        <f t="shared" si="151"/>
        <v>3.2000000000000028E-2</v>
      </c>
    </row>
    <row r="276" spans="1:37" ht="12.75" customHeight="1" x14ac:dyDescent="0.25">
      <c r="A276" s="62" t="s">
        <v>659</v>
      </c>
      <c r="B276" s="62" t="s">
        <v>452</v>
      </c>
      <c r="C276" s="62" t="s">
        <v>454</v>
      </c>
      <c r="D276" s="124">
        <v>2019</v>
      </c>
      <c r="E276" s="62" t="s">
        <v>676</v>
      </c>
      <c r="F276" s="64">
        <f>SIM_Parametres!$C$25</f>
        <v>1228362768</v>
      </c>
      <c r="G276" s="125">
        <f>SIM_Districts!D63*(1+SIM_Parametres!$B$6)^(2019-2023)</f>
        <v>108455.83696497233</v>
      </c>
      <c r="H276" s="125">
        <f>MAX(0,MIN(100,SIM_Districts!F63+(2019-2022)*SIM_Parametres!$B$7))</f>
        <v>32.39</v>
      </c>
      <c r="I276" s="125">
        <f>SIM_Districts!G63*(1+SIM_Parametres!$B$8)^(2019-2023)</f>
        <v>51.232857229806619</v>
      </c>
      <c r="J276" s="125">
        <f>SIM_Districts!H63*(1+SIM_Parametres!$B$9)^(2019-2023)</f>
        <v>24.234110653863738</v>
      </c>
      <c r="K276" s="125">
        <f>MAX(0,MIN(100,SIM_Districts!I63+(2019-2023)*SIM_Parametres!$B$10))</f>
        <v>89.3</v>
      </c>
      <c r="L276" s="125">
        <f>SIM_Districts!E63</f>
        <v>393</v>
      </c>
      <c r="M276" s="61">
        <f t="shared" si="145"/>
        <v>275.96905080145632</v>
      </c>
      <c r="N276" s="125">
        <f>N205*(1+SIM_Parametres!$B$6)/(1+SIM_Parametres!$B$11)</f>
        <v>153373</v>
      </c>
      <c r="O276" s="132"/>
      <c r="P276" s="126">
        <f>SIM_Parametres!$D$25</f>
        <v>0</v>
      </c>
      <c r="Q276" s="126">
        <f>SIM_Parametres!$B$12</f>
        <v>0.2</v>
      </c>
      <c r="R276" s="66">
        <f t="shared" si="134"/>
        <v>6.734270501105903E-3</v>
      </c>
      <c r="S276" s="66">
        <f t="shared" si="135"/>
        <v>0.36524822695035464</v>
      </c>
      <c r="T276" s="66">
        <f t="shared" si="136"/>
        <v>0.65469613259668513</v>
      </c>
      <c r="U276" s="66">
        <f t="shared" si="137"/>
        <v>0.5089487082445231</v>
      </c>
      <c r="V276" s="66">
        <f t="shared" si="138"/>
        <v>0.65207282116061327</v>
      </c>
      <c r="W276" s="66">
        <f t="shared" si="139"/>
        <v>8.7085182836609577E-3</v>
      </c>
      <c r="X276" s="66">
        <f t="shared" si="140"/>
        <v>1.2955775433225826E-2</v>
      </c>
      <c r="Y276" s="66">
        <f t="shared" si="141"/>
        <v>1.3003491630053692E-2</v>
      </c>
      <c r="Z276" s="66">
        <f t="shared" si="142"/>
        <v>2.3933256909947777E-2</v>
      </c>
      <c r="AA276" s="66">
        <f t="shared" si="146"/>
        <v>9.1370437851966326E-3</v>
      </c>
      <c r="AB276" s="66">
        <f t="shared" si="143"/>
        <v>1.4225296024276763E-2</v>
      </c>
      <c r="AC276" s="67">
        <f t="shared" si="147"/>
        <v>12439060.327524671</v>
      </c>
      <c r="AD276" s="67">
        <f t="shared" si="130"/>
        <v>17473824</v>
      </c>
      <c r="AE276" s="66">
        <f t="shared" si="150"/>
        <v>3.2000000000000028E-2</v>
      </c>
      <c r="AF276" s="67">
        <f t="shared" si="131"/>
        <v>17473824</v>
      </c>
      <c r="AG276" s="67">
        <f t="shared" si="144"/>
        <v>1</v>
      </c>
      <c r="AH276" s="67">
        <f t="shared" si="133"/>
        <v>17473824</v>
      </c>
      <c r="AI276" s="67">
        <f t="shared" si="148"/>
        <v>161.11464803543464</v>
      </c>
      <c r="AJ276" s="67">
        <f t="shared" si="149"/>
        <v>0</v>
      </c>
      <c r="AK276" s="66">
        <f t="shared" si="151"/>
        <v>3.2000000000000028E-2</v>
      </c>
    </row>
    <row r="277" spans="1:37" ht="12.75" customHeight="1" x14ac:dyDescent="0.25">
      <c r="A277" s="55" t="s">
        <v>661</v>
      </c>
      <c r="B277" s="55" t="s">
        <v>452</v>
      </c>
      <c r="C277" s="55" t="s">
        <v>455</v>
      </c>
      <c r="D277" s="128">
        <v>2019</v>
      </c>
      <c r="E277" s="55" t="s">
        <v>676</v>
      </c>
      <c r="F277" s="57">
        <f>SIM_Parametres!$C$25</f>
        <v>1228362768</v>
      </c>
      <c r="G277" s="129">
        <f>SIM_Districts!D64*(1+SIM_Parametres!$B$6)^(2019-2023)</f>
        <v>187975.42775342648</v>
      </c>
      <c r="H277" s="129">
        <f>MAX(0,MIN(100,SIM_Districts!F64+(2019-2022)*SIM_Parametres!$B$7))</f>
        <v>32.39</v>
      </c>
      <c r="I277" s="129">
        <f>SIM_Districts!G64*(1+SIM_Parametres!$B$8)^(2019-2023)</f>
        <v>51.232857229806619</v>
      </c>
      <c r="J277" s="129">
        <f>SIM_Districts!H64*(1+SIM_Parametres!$B$9)^(2019-2023)</f>
        <v>24.234110653863738</v>
      </c>
      <c r="K277" s="129">
        <f>MAX(0,MIN(100,SIM_Districts!I64+(2019-2023)*SIM_Parametres!$B$10))</f>
        <v>89.3</v>
      </c>
      <c r="L277" s="129">
        <f>SIM_Districts!E64</f>
        <v>537</v>
      </c>
      <c r="M277" s="68">
        <f t="shared" si="145"/>
        <v>350.04735149613873</v>
      </c>
      <c r="N277" s="129">
        <f>N206*(1+SIM_Parametres!$B$6)/(1+SIM_Parametres!$B$11)</f>
        <v>153373</v>
      </c>
      <c r="O277" s="72"/>
      <c r="P277" s="130">
        <f>SIM_Parametres!$D$25</f>
        <v>0</v>
      </c>
      <c r="Q277" s="130">
        <f>SIM_Parametres!$B$12</f>
        <v>0.2</v>
      </c>
      <c r="R277" s="59">
        <f t="shared" si="134"/>
        <v>1.167182342119125E-2</v>
      </c>
      <c r="S277" s="59">
        <f t="shared" si="135"/>
        <v>0.36524822695035464</v>
      </c>
      <c r="T277" s="59">
        <f t="shared" si="136"/>
        <v>0.65469613259668513</v>
      </c>
      <c r="U277" s="59">
        <f t="shared" si="137"/>
        <v>0.51275775815315705</v>
      </c>
      <c r="V277" s="59">
        <f t="shared" si="138"/>
        <v>0.65207282116061327</v>
      </c>
      <c r="W277" s="59">
        <f t="shared" si="139"/>
        <v>8.7085182836609577E-3</v>
      </c>
      <c r="X277" s="59">
        <f t="shared" si="140"/>
        <v>1.2955775433225826E-2</v>
      </c>
      <c r="Y277" s="59">
        <f t="shared" si="141"/>
        <v>1.3100811748570588E-2</v>
      </c>
      <c r="Z277" s="59">
        <f t="shared" si="142"/>
        <v>2.3933256909947777E-2</v>
      </c>
      <c r="AA277" s="59">
        <f t="shared" si="146"/>
        <v>1.2104441543173687E-2</v>
      </c>
      <c r="AB277" s="59">
        <f t="shared" si="143"/>
        <v>1.4479859259296599E-2</v>
      </c>
      <c r="AC277" s="60">
        <f t="shared" si="147"/>
        <v>15355093.066521224</v>
      </c>
      <c r="AD277" s="60">
        <f t="shared" si="130"/>
        <v>17786520</v>
      </c>
      <c r="AE277" s="59">
        <f t="shared" si="150"/>
        <v>3.2000000000000028E-2</v>
      </c>
      <c r="AF277" s="60">
        <f t="shared" si="131"/>
        <v>17786520</v>
      </c>
      <c r="AG277" s="60">
        <f t="shared" si="144"/>
        <v>1</v>
      </c>
      <c r="AH277" s="60">
        <f t="shared" si="133"/>
        <v>17786520</v>
      </c>
      <c r="AI277" s="60">
        <f t="shared" si="148"/>
        <v>94.621516293774093</v>
      </c>
      <c r="AJ277" s="60">
        <f t="shared" si="149"/>
        <v>0</v>
      </c>
      <c r="AK277" s="59">
        <f t="shared" si="151"/>
        <v>3.2000000000000028E-2</v>
      </c>
    </row>
    <row r="278" spans="1:37" ht="12.75" customHeight="1" x14ac:dyDescent="0.25">
      <c r="A278" s="62" t="s">
        <v>662</v>
      </c>
      <c r="B278" s="62" t="s">
        <v>452</v>
      </c>
      <c r="C278" s="62" t="s">
        <v>456</v>
      </c>
      <c r="D278" s="124">
        <v>2019</v>
      </c>
      <c r="E278" s="62" t="s">
        <v>676</v>
      </c>
      <c r="F278" s="64">
        <f>SIM_Parametres!$C$25</f>
        <v>1228362768</v>
      </c>
      <c r="G278" s="125">
        <f>SIM_Districts!D65*(1+SIM_Parametres!$B$6)^(2019-2023)</f>
        <v>489440.86008531559</v>
      </c>
      <c r="H278" s="125">
        <f>MAX(0,MIN(100,SIM_Districts!F65+(2019-2022)*SIM_Parametres!$B$7))</f>
        <v>32.39</v>
      </c>
      <c r="I278" s="125">
        <f>SIM_Districts!G65*(1+SIM_Parametres!$B$8)^(2019-2023)</f>
        <v>51.232857229806619</v>
      </c>
      <c r="J278" s="125">
        <f>SIM_Districts!H65*(1+SIM_Parametres!$B$9)^(2019-2023)</f>
        <v>24.234110653863738</v>
      </c>
      <c r="K278" s="125">
        <f>MAX(0,MIN(100,SIM_Districts!I65+(2019-2023)*SIM_Parametres!$B$10))</f>
        <v>89.3</v>
      </c>
      <c r="L278" s="125">
        <f>SIM_Districts!E65</f>
        <v>487</v>
      </c>
      <c r="M278" s="61">
        <f t="shared" si="145"/>
        <v>1005.0120330293955</v>
      </c>
      <c r="N278" s="125">
        <f>N207*(1+SIM_Parametres!$B$6)/(1+SIM_Parametres!$B$11)</f>
        <v>153373</v>
      </c>
      <c r="O278" s="132"/>
      <c r="P278" s="126">
        <f>SIM_Parametres!$D$25</f>
        <v>0</v>
      </c>
      <c r="Q278" s="126">
        <f>SIM_Parametres!$B$12</f>
        <v>0.2</v>
      </c>
      <c r="R278" s="66">
        <f t="shared" si="134"/>
        <v>3.0390500302652688E-2</v>
      </c>
      <c r="S278" s="66">
        <f t="shared" si="135"/>
        <v>0.36524822695035464</v>
      </c>
      <c r="T278" s="66">
        <f t="shared" si="136"/>
        <v>0.65469613259668513</v>
      </c>
      <c r="U278" s="66">
        <f t="shared" si="137"/>
        <v>0.50060006219339404</v>
      </c>
      <c r="V278" s="66">
        <f t="shared" si="138"/>
        <v>0.65207282116061327</v>
      </c>
      <c r="W278" s="66">
        <f t="shared" si="139"/>
        <v>8.7085182836609577E-3</v>
      </c>
      <c r="X278" s="66">
        <f t="shared" si="140"/>
        <v>1.2955775433225826E-2</v>
      </c>
      <c r="Y278" s="66">
        <f t="shared" si="141"/>
        <v>1.2790186148991385E-2</v>
      </c>
      <c r="Z278" s="66">
        <f t="shared" si="142"/>
        <v>2.3933256909947777E-2</v>
      </c>
      <c r="AA278" s="66">
        <f t="shared" si="146"/>
        <v>2.3320116392071589E-2</v>
      </c>
      <c r="AB278" s="66">
        <f t="shared" si="143"/>
        <v>1.3112947102935963E-2</v>
      </c>
      <c r="AC278" s="67">
        <f t="shared" si="147"/>
        <v>26376626.988425393</v>
      </c>
      <c r="AD278" s="67">
        <f t="shared" si="130"/>
        <v>16107456</v>
      </c>
      <c r="AE278" s="66">
        <f t="shared" si="150"/>
        <v>3.2000000000000028E-2</v>
      </c>
      <c r="AF278" s="67">
        <f t="shared" si="131"/>
        <v>16107456</v>
      </c>
      <c r="AG278" s="67">
        <f t="shared" si="144"/>
        <v>1</v>
      </c>
      <c r="AH278" s="67">
        <f t="shared" si="133"/>
        <v>16107456</v>
      </c>
      <c r="AI278" s="67">
        <f t="shared" si="148"/>
        <v>32.909912746541579</v>
      </c>
      <c r="AJ278" s="67">
        <f t="shared" si="149"/>
        <v>0</v>
      </c>
      <c r="AK278" s="66">
        <f t="shared" si="151"/>
        <v>3.2000000000000028E-2</v>
      </c>
    </row>
    <row r="279" spans="1:37" ht="12.75" customHeight="1" x14ac:dyDescent="0.25">
      <c r="A279" s="55" t="s">
        <v>663</v>
      </c>
      <c r="B279" s="55" t="s">
        <v>452</v>
      </c>
      <c r="C279" s="55" t="s">
        <v>457</v>
      </c>
      <c r="D279" s="128">
        <v>2019</v>
      </c>
      <c r="E279" s="55" t="s">
        <v>676</v>
      </c>
      <c r="F279" s="57">
        <f>SIM_Parametres!$C$25</f>
        <v>1228362768</v>
      </c>
      <c r="G279" s="129">
        <f>SIM_Districts!D66*(1+SIM_Parametres!$B$6)^(2019-2023)</f>
        <v>98102.297395610804</v>
      </c>
      <c r="H279" s="129">
        <f>MAX(0,MIN(100,SIM_Districts!F66+(2019-2022)*SIM_Parametres!$B$7))</f>
        <v>32.39</v>
      </c>
      <c r="I279" s="129">
        <f>SIM_Districts!G66*(1+SIM_Parametres!$B$8)^(2019-2023)</f>
        <v>51.232857229806619</v>
      </c>
      <c r="J279" s="129">
        <f>SIM_Districts!H66*(1+SIM_Parametres!$B$9)^(2019-2023)</f>
        <v>24.234110653863738</v>
      </c>
      <c r="K279" s="129">
        <f>MAX(0,MIN(100,SIM_Districts!I66+(2019-2023)*SIM_Parametres!$B$10))</f>
        <v>89.3</v>
      </c>
      <c r="L279" s="129">
        <f>SIM_Districts!E66</f>
        <v>230</v>
      </c>
      <c r="M279" s="68">
        <f t="shared" si="145"/>
        <v>426.53172780700351</v>
      </c>
      <c r="N279" s="129">
        <f>N208*(1+SIM_Parametres!$B$6)/(1+SIM_Parametres!$B$11)</f>
        <v>153373</v>
      </c>
      <c r="O279" s="72"/>
      <c r="P279" s="130">
        <f>SIM_Parametres!$D$25</f>
        <v>0</v>
      </c>
      <c r="Q279" s="130">
        <f>SIM_Parametres!$B$12</f>
        <v>0.2</v>
      </c>
      <c r="R279" s="59">
        <f t="shared" si="134"/>
        <v>6.0913955940918854E-3</v>
      </c>
      <c r="S279" s="59">
        <f t="shared" si="135"/>
        <v>0.36524822695035464</v>
      </c>
      <c r="T279" s="59">
        <f t="shared" si="136"/>
        <v>0.65469613259668513</v>
      </c>
      <c r="U279" s="59">
        <f t="shared" si="137"/>
        <v>0.50090567337352976</v>
      </c>
      <c r="V279" s="59">
        <f t="shared" si="138"/>
        <v>0.65207282116061327</v>
      </c>
      <c r="W279" s="59">
        <f t="shared" si="139"/>
        <v>8.7085182836609577E-3</v>
      </c>
      <c r="X279" s="59">
        <f t="shared" si="140"/>
        <v>1.2955775433225826E-2</v>
      </c>
      <c r="Y279" s="59">
        <f t="shared" si="141"/>
        <v>1.2797994425854201E-2</v>
      </c>
      <c r="Z279" s="59">
        <f t="shared" si="142"/>
        <v>2.3933256909947777E-2</v>
      </c>
      <c r="AA279" s="59">
        <f t="shared" si="146"/>
        <v>8.7410439807782472E-3</v>
      </c>
      <c r="AB279" s="59">
        <f t="shared" si="143"/>
        <v>1.2876026864402651E-2</v>
      </c>
      <c r="AC279" s="60">
        <f t="shared" si="147"/>
        <v>12049915.194818411</v>
      </c>
      <c r="AD279" s="60">
        <f t="shared" si="130"/>
        <v>15816432</v>
      </c>
      <c r="AE279" s="59">
        <f t="shared" si="150"/>
        <v>3.2000000000000028E-2</v>
      </c>
      <c r="AF279" s="60">
        <f t="shared" si="131"/>
        <v>15816432</v>
      </c>
      <c r="AG279" s="60">
        <f t="shared" si="144"/>
        <v>1</v>
      </c>
      <c r="AH279" s="60">
        <f t="shared" si="133"/>
        <v>15816432</v>
      </c>
      <c r="AI279" s="60">
        <f t="shared" si="148"/>
        <v>161.22386957176033</v>
      </c>
      <c r="AJ279" s="60">
        <f t="shared" si="149"/>
        <v>0</v>
      </c>
      <c r="AK279" s="59">
        <f t="shared" si="151"/>
        <v>3.2000000000000028E-2</v>
      </c>
    </row>
    <row r="280" spans="1:37" ht="12.75" customHeight="1" x14ac:dyDescent="0.25">
      <c r="A280" s="62" t="s">
        <v>664</v>
      </c>
      <c r="B280" s="62" t="s">
        <v>452</v>
      </c>
      <c r="C280" s="62" t="s">
        <v>458</v>
      </c>
      <c r="D280" s="124">
        <v>2019</v>
      </c>
      <c r="E280" s="62" t="s">
        <v>676</v>
      </c>
      <c r="F280" s="64">
        <f>SIM_Parametres!$C$25</f>
        <v>1228362768</v>
      </c>
      <c r="G280" s="125">
        <f>SIM_Districts!D67*(1+SIM_Parametres!$B$6)^(2019-2023)</f>
        <v>162546.92844207946</v>
      </c>
      <c r="H280" s="125">
        <f>MAX(0,MIN(100,SIM_Districts!F67+(2019-2022)*SIM_Parametres!$B$7))</f>
        <v>32.39</v>
      </c>
      <c r="I280" s="125">
        <f>SIM_Districts!G67*(1+SIM_Parametres!$B$8)^(2019-2023)</f>
        <v>51.232857229806619</v>
      </c>
      <c r="J280" s="125">
        <f>SIM_Districts!H67*(1+SIM_Parametres!$B$9)^(2019-2023)</f>
        <v>24.234110653863738</v>
      </c>
      <c r="K280" s="125">
        <f>MAX(0,MIN(100,SIM_Districts!I67+(2019-2023)*SIM_Parametres!$B$10))</f>
        <v>89.3</v>
      </c>
      <c r="L280" s="125">
        <f>SIM_Districts!E67</f>
        <v>557</v>
      </c>
      <c r="M280" s="61">
        <f t="shared" si="145"/>
        <v>291.82572431253044</v>
      </c>
      <c r="N280" s="125">
        <f>N209*(1+SIM_Parametres!$B$6)/(1+SIM_Parametres!$B$11)</f>
        <v>153373</v>
      </c>
      <c r="O280" s="132"/>
      <c r="P280" s="126">
        <f>SIM_Parametres!$D$25</f>
        <v>0</v>
      </c>
      <c r="Q280" s="126">
        <f>SIM_Parametres!$B$12</f>
        <v>0.2</v>
      </c>
      <c r="R280" s="66">
        <f t="shared" si="134"/>
        <v>1.0092909850544963E-2</v>
      </c>
      <c r="S280" s="66">
        <f t="shared" si="135"/>
        <v>0.36524822695035464</v>
      </c>
      <c r="T280" s="66">
        <f t="shared" si="136"/>
        <v>0.65469613259668513</v>
      </c>
      <c r="U280" s="66">
        <f t="shared" si="137"/>
        <v>0.51437733390901985</v>
      </c>
      <c r="V280" s="66">
        <f t="shared" si="138"/>
        <v>0.65207282116061327</v>
      </c>
      <c r="W280" s="66">
        <f t="shared" si="139"/>
        <v>8.7085182836609577E-3</v>
      </c>
      <c r="X280" s="66">
        <f t="shared" si="140"/>
        <v>1.2955775433225826E-2</v>
      </c>
      <c r="Y280" s="66">
        <f t="shared" si="141"/>
        <v>1.3142191438595229E-2</v>
      </c>
      <c r="Z280" s="66">
        <f t="shared" si="142"/>
        <v>2.3933256909947777E-2</v>
      </c>
      <c r="AA280" s="66">
        <f t="shared" si="146"/>
        <v>1.1159162385287144E-2</v>
      </c>
      <c r="AB280" s="66">
        <f t="shared" si="143"/>
        <v>1.2245079704336985E-2</v>
      </c>
      <c r="AC280" s="67">
        <f t="shared" si="147"/>
        <v>14426176.488189846</v>
      </c>
      <c r="AD280" s="67">
        <f t="shared" si="130"/>
        <v>15041400</v>
      </c>
      <c r="AE280" s="66">
        <f t="shared" si="150"/>
        <v>3.2000000000000028E-2</v>
      </c>
      <c r="AF280" s="67">
        <f t="shared" si="131"/>
        <v>15041400</v>
      </c>
      <c r="AG280" s="67">
        <f t="shared" si="144"/>
        <v>1</v>
      </c>
      <c r="AH280" s="67">
        <f t="shared" si="133"/>
        <v>15041400</v>
      </c>
      <c r="AI280" s="67">
        <f t="shared" si="148"/>
        <v>92.535738104455902</v>
      </c>
      <c r="AJ280" s="67">
        <f t="shared" si="149"/>
        <v>0</v>
      </c>
      <c r="AK280" s="66">
        <f t="shared" si="151"/>
        <v>3.2000000000000028E-2</v>
      </c>
    </row>
    <row r="281" spans="1:37" ht="12.75" customHeight="1" x14ac:dyDescent="0.25">
      <c r="A281" s="55" t="s">
        <v>665</v>
      </c>
      <c r="B281" s="55" t="s">
        <v>452</v>
      </c>
      <c r="C281" s="55" t="s">
        <v>459</v>
      </c>
      <c r="D281" s="128">
        <v>2019</v>
      </c>
      <c r="E281" s="55" t="s">
        <v>676</v>
      </c>
      <c r="F281" s="57">
        <f>SIM_Parametres!$C$25</f>
        <v>1228362768</v>
      </c>
      <c r="G281" s="129">
        <f>SIM_Districts!D68*(1+SIM_Parametres!$B$6)^(2019-2023)</f>
        <v>206466.62019464781</v>
      </c>
      <c r="H281" s="129">
        <f>MAX(0,MIN(100,SIM_Districts!F68+(2019-2022)*SIM_Parametres!$B$7))</f>
        <v>32.39</v>
      </c>
      <c r="I281" s="129">
        <f>SIM_Districts!G68*(1+SIM_Parametres!$B$8)^(2019-2023)</f>
        <v>51.232857229806619</v>
      </c>
      <c r="J281" s="129">
        <f>SIM_Districts!H68*(1+SIM_Parametres!$B$9)^(2019-2023)</f>
        <v>24.234110653863738</v>
      </c>
      <c r="K281" s="129">
        <f>MAX(0,MIN(100,SIM_Districts!I68+(2019-2023)*SIM_Parametres!$B$10))</f>
        <v>89.3</v>
      </c>
      <c r="L281" s="129">
        <f>SIM_Districts!E68</f>
        <v>793</v>
      </c>
      <c r="M281" s="68">
        <f t="shared" si="145"/>
        <v>260.36143782427212</v>
      </c>
      <c r="N281" s="129">
        <f>N210*(1+SIM_Parametres!$B$6)/(1+SIM_Parametres!$B$11)</f>
        <v>153373</v>
      </c>
      <c r="O281" s="72"/>
      <c r="P281" s="130">
        <f>SIM_Parametres!$D$25</f>
        <v>0</v>
      </c>
      <c r="Q281" s="130">
        <f>SIM_Parametres!$B$12</f>
        <v>0.2</v>
      </c>
      <c r="R281" s="59">
        <f t="shared" ref="R281:R287" si="152">IFERROR(G281/SUM($G$217:$G$287),1/71)</f>
        <v>1.281998377172551E-2</v>
      </c>
      <c r="S281" s="59">
        <f t="shared" ref="S281:S287" si="153">IF(MAX($H$217:$H$287)=MIN($H$217:$H$287),1,(H281-MIN($H$217:$H$287))/(MAX($H$217:$H$287)-MIN($H$217:$H$287)))</f>
        <v>0.36524822695035464</v>
      </c>
      <c r="T281" s="59">
        <f t="shared" ref="T281:T287" si="154">(IF(MAX($I$217:$I$287)=MIN($I$217:$I$287),1,(I281-MIN($I$217:$I$287))/(MAX($I$217:$I$287)-MIN($I$217:$I$287)))+IF(MAX($J$217:$J$287)=MIN($J$217:$J$287),1,(J281-MIN($J$217:$J$287))/(MAX($J$217:$J$287)-MIN($J$217:$J$287))))/2</f>
        <v>0.65469613259668513</v>
      </c>
      <c r="U281" s="59">
        <f t="shared" ref="U281:U287" si="155">(IF(MAX($L$217:$L$287)=MIN($L$217:$L$287),1,(L281-MIN($L$217:$L$287))/(MAX($L$217:$L$287)-MIN($L$217:$L$287)))+IF(MAX($M$217:$M$287)=MIN($M$217:$M$287),1,(MAX($M$217:$M$287)-M281)/(MAX($M$217:$M$287)-MIN($M$217:$M$287))))/2</f>
        <v>0.52305332187907938</v>
      </c>
      <c r="V281" s="59">
        <f t="shared" ref="V281:V287" si="156">IF(MAX($N$217:$N$287)=MIN($N$217:$N$287),1,(N281-MIN($N$217:$N$287))/(MAX($N$217:$N$287)-MIN($N$217:$N$287)))</f>
        <v>0.65207282116061327</v>
      </c>
      <c r="W281" s="59">
        <f t="shared" ref="W281:W287" si="157">IFERROR(S281/SUM($S$217:$S$287),1/71)</f>
        <v>8.7085182836609577E-3</v>
      </c>
      <c r="X281" s="59">
        <f t="shared" ref="X281:X287" si="158">IFERROR(T281/SUM($T$217:$T$287),1/71)</f>
        <v>1.2955775433225826E-2</v>
      </c>
      <c r="Y281" s="59">
        <f t="shared" ref="Y281:Y287" si="159">IFERROR(U281/SUM($U$217:$U$287),1/71)</f>
        <v>1.3363860410583095E-2</v>
      </c>
      <c r="Z281" s="59">
        <f t="shared" ref="Z281:Z287" si="160">IFERROR(V281/SUM($V$217:$V$287),1/71)</f>
        <v>2.3933256909947777E-2</v>
      </c>
      <c r="AA281" s="59">
        <f t="shared" si="146"/>
        <v>1.2806490186594868E-2</v>
      </c>
      <c r="AB281" s="59">
        <f t="shared" ref="AB281:AB287" si="161">IFERROR(AH210/SUM($AH$146:$AH$216),1/71)</f>
        <v>1.2935676995380896E-2</v>
      </c>
      <c r="AC281" s="60">
        <f t="shared" si="147"/>
        <v>16044989.398444014</v>
      </c>
      <c r="AD281" s="60">
        <f t="shared" ref="AD281:AD344" si="162">F281*((1-P281)*AB281+P281*(Q281/71+(1-Q281)*AA281))</f>
        <v>15889704</v>
      </c>
      <c r="AE281" s="59">
        <f t="shared" si="150"/>
        <v>3.2000000000000028E-2</v>
      </c>
      <c r="AF281" s="60">
        <f t="shared" ref="AF281:AF344" si="163">AD281</f>
        <v>15889704</v>
      </c>
      <c r="AG281" s="60">
        <f t="shared" ref="AG281:AG287" si="164">IFERROR(F281/SUM($AF$217:$AF$287),1)</f>
        <v>1</v>
      </c>
      <c r="AH281" s="60">
        <f t="shared" ref="AH281:AH344" si="165">AF281*AG281</f>
        <v>15889704</v>
      </c>
      <c r="AI281" s="60">
        <f t="shared" si="148"/>
        <v>76.960159395353458</v>
      </c>
      <c r="AJ281" s="60">
        <f t="shared" si="149"/>
        <v>0</v>
      </c>
      <c r="AK281" s="59">
        <f t="shared" si="151"/>
        <v>3.2000000000000028E-2</v>
      </c>
    </row>
    <row r="282" spans="1:37" ht="12.75" customHeight="1" x14ac:dyDescent="0.25">
      <c r="A282" s="62" t="s">
        <v>666</v>
      </c>
      <c r="B282" s="62" t="s">
        <v>452</v>
      </c>
      <c r="C282" s="62" t="s">
        <v>452</v>
      </c>
      <c r="D282" s="124">
        <v>2019</v>
      </c>
      <c r="E282" s="62" t="s">
        <v>676</v>
      </c>
      <c r="F282" s="64">
        <f>SIM_Parametres!$C$25</f>
        <v>1228362768</v>
      </c>
      <c r="G282" s="125">
        <f>SIM_Districts!D69*(1+SIM_Parametres!$B$6)^(2019-2023)</f>
        <v>550500.35547922552</v>
      </c>
      <c r="H282" s="125">
        <f>MAX(0,MIN(100,SIM_Districts!F69+(2019-2022)*SIM_Parametres!$B$7))</f>
        <v>32.39</v>
      </c>
      <c r="I282" s="125">
        <f>SIM_Districts!G69*(1+SIM_Parametres!$B$8)^(2019-2023)</f>
        <v>51.232857229806619</v>
      </c>
      <c r="J282" s="125">
        <f>SIM_Districts!H69*(1+SIM_Parametres!$B$9)^(2019-2023)</f>
        <v>24.234110653863738</v>
      </c>
      <c r="K282" s="125">
        <f>MAX(0,MIN(100,SIM_Districts!I69+(2019-2023)*SIM_Parametres!$B$10))</f>
        <v>89.3</v>
      </c>
      <c r="L282" s="125">
        <f>SIM_Districts!E69</f>
        <v>503</v>
      </c>
      <c r="M282" s="61">
        <f t="shared" si="145"/>
        <v>1094.4341063205279</v>
      </c>
      <c r="N282" s="125">
        <f>N211*(1+SIM_Parametres!$B$6)/(1+SIM_Parametres!$B$11)</f>
        <v>153373</v>
      </c>
      <c r="O282" s="132"/>
      <c r="P282" s="126">
        <f>SIM_Parametres!$D$25</f>
        <v>0</v>
      </c>
      <c r="Q282" s="126">
        <f>SIM_Parametres!$B$12</f>
        <v>0.2</v>
      </c>
      <c r="R282" s="66">
        <f t="shared" si="152"/>
        <v>3.4181823758820569E-2</v>
      </c>
      <c r="S282" s="66">
        <f t="shared" si="153"/>
        <v>0.36524822695035464</v>
      </c>
      <c r="T282" s="66">
        <f t="shared" si="154"/>
        <v>0.65469613259668513</v>
      </c>
      <c r="U282" s="66">
        <f t="shared" si="155"/>
        <v>0.49973089584614422</v>
      </c>
      <c r="V282" s="66">
        <f t="shared" si="156"/>
        <v>0.65207282116061327</v>
      </c>
      <c r="W282" s="66">
        <f t="shared" si="157"/>
        <v>8.7085182836609577E-3</v>
      </c>
      <c r="X282" s="66">
        <f t="shared" si="158"/>
        <v>1.2955775433225826E-2</v>
      </c>
      <c r="Y282" s="66">
        <f t="shared" si="159"/>
        <v>1.2767979201339289E-2</v>
      </c>
      <c r="Z282" s="66">
        <f t="shared" si="160"/>
        <v>2.3933256909947777E-2</v>
      </c>
      <c r="AA282" s="66">
        <f t="shared" si="146"/>
        <v>2.5593800118389715E-2</v>
      </c>
      <c r="AB282" s="66">
        <f t="shared" si="161"/>
        <v>1.6176107350072338E-2</v>
      </c>
      <c r="AC282" s="67">
        <f t="shared" si="147"/>
        <v>28610953.73691874</v>
      </c>
      <c r="AD282" s="67">
        <f t="shared" si="162"/>
        <v>19870128</v>
      </c>
      <c r="AE282" s="66">
        <f t="shared" si="150"/>
        <v>3.2000000000000028E-2</v>
      </c>
      <c r="AF282" s="67">
        <f t="shared" si="163"/>
        <v>19870128</v>
      </c>
      <c r="AG282" s="67">
        <f t="shared" si="164"/>
        <v>1</v>
      </c>
      <c r="AH282" s="67">
        <f t="shared" si="165"/>
        <v>19870128</v>
      </c>
      <c r="AI282" s="67">
        <f t="shared" si="148"/>
        <v>36.094668790363478</v>
      </c>
      <c r="AJ282" s="67">
        <f t="shared" si="149"/>
        <v>0</v>
      </c>
      <c r="AK282" s="66">
        <f t="shared" si="151"/>
        <v>3.2000000000000028E-2</v>
      </c>
    </row>
    <row r="283" spans="1:37" ht="12.75" customHeight="1" x14ac:dyDescent="0.25">
      <c r="A283" s="55" t="s">
        <v>667</v>
      </c>
      <c r="B283" s="55" t="s">
        <v>452</v>
      </c>
      <c r="C283" s="55" t="s">
        <v>460</v>
      </c>
      <c r="D283" s="128">
        <v>2019</v>
      </c>
      <c r="E283" s="55" t="s">
        <v>676</v>
      </c>
      <c r="F283" s="57">
        <f>SIM_Parametres!$C$25</f>
        <v>1228362768</v>
      </c>
      <c r="G283" s="129">
        <f>SIM_Districts!D70*(1+SIM_Parametres!$B$6)^(2019-2023)</f>
        <v>385456.77843250294</v>
      </c>
      <c r="H283" s="129">
        <f>MAX(0,MIN(100,SIM_Districts!F70+(2019-2022)*SIM_Parametres!$B$7))</f>
        <v>32.39</v>
      </c>
      <c r="I283" s="129">
        <f>SIM_Districts!G70*(1+SIM_Parametres!$B$8)^(2019-2023)</f>
        <v>51.232857229806619</v>
      </c>
      <c r="J283" s="129">
        <f>SIM_Districts!H70*(1+SIM_Parametres!$B$9)^(2019-2023)</f>
        <v>24.234110653863738</v>
      </c>
      <c r="K283" s="129">
        <f>MAX(0,MIN(100,SIM_Districts!I70+(2019-2023)*SIM_Parametres!$B$10))</f>
        <v>89.3</v>
      </c>
      <c r="L283" s="129">
        <f>SIM_Districts!E70</f>
        <v>1739</v>
      </c>
      <c r="M283" s="68">
        <f t="shared" si="145"/>
        <v>221.65427166906437</v>
      </c>
      <c r="N283" s="129">
        <f>N212*(1+SIM_Parametres!$B$6)/(1+SIM_Parametres!$B$11)</f>
        <v>153373</v>
      </c>
      <c r="O283" s="72"/>
      <c r="P283" s="130">
        <f>SIM_Parametres!$D$25</f>
        <v>0</v>
      </c>
      <c r="Q283" s="130">
        <f>SIM_Parametres!$B$12</f>
        <v>0.2</v>
      </c>
      <c r="R283" s="59">
        <f t="shared" si="152"/>
        <v>2.3933891297041644E-2</v>
      </c>
      <c r="S283" s="59">
        <f t="shared" si="153"/>
        <v>0.36524822695035464</v>
      </c>
      <c r="T283" s="59">
        <f t="shared" si="154"/>
        <v>0.65469613259668513</v>
      </c>
      <c r="U283" s="59">
        <f t="shared" si="155"/>
        <v>0.55643930835847488</v>
      </c>
      <c r="V283" s="59">
        <f t="shared" si="156"/>
        <v>0.65207282116061327</v>
      </c>
      <c r="W283" s="59">
        <f t="shared" si="157"/>
        <v>8.7085182836609577E-3</v>
      </c>
      <c r="X283" s="59">
        <f t="shared" si="158"/>
        <v>1.2955775433225826E-2</v>
      </c>
      <c r="Y283" s="59">
        <f t="shared" si="159"/>
        <v>1.4216862665453396E-2</v>
      </c>
      <c r="Z283" s="59">
        <f t="shared" si="160"/>
        <v>2.3933256909947777E-2</v>
      </c>
      <c r="AA283" s="59">
        <f t="shared" si="146"/>
        <v>1.9517484814528061E-2</v>
      </c>
      <c r="AB283" s="59">
        <f t="shared" si="161"/>
        <v>1.423621787924461E-2</v>
      </c>
      <c r="AC283" s="60">
        <f t="shared" si="147"/>
        <v>22639818.14820493</v>
      </c>
      <c r="AD283" s="60">
        <f t="shared" si="162"/>
        <v>17487240</v>
      </c>
      <c r="AE283" s="59">
        <f t="shared" si="150"/>
        <v>3.2000000000000028E-2</v>
      </c>
      <c r="AF283" s="60">
        <f t="shared" si="163"/>
        <v>17487240</v>
      </c>
      <c r="AG283" s="60">
        <f t="shared" si="164"/>
        <v>1</v>
      </c>
      <c r="AH283" s="60">
        <f t="shared" si="165"/>
        <v>17487240</v>
      </c>
      <c r="AI283" s="60">
        <f t="shared" si="148"/>
        <v>45.367576803587532</v>
      </c>
      <c r="AJ283" s="60">
        <f t="shared" si="149"/>
        <v>0</v>
      </c>
      <c r="AK283" s="59">
        <f t="shared" si="151"/>
        <v>3.2000000000000028E-2</v>
      </c>
    </row>
    <row r="284" spans="1:37" ht="12.75" customHeight="1" x14ac:dyDescent="0.25">
      <c r="A284" s="62" t="s">
        <v>668</v>
      </c>
      <c r="B284" s="62" t="s">
        <v>461</v>
      </c>
      <c r="C284" s="62" t="s">
        <v>463</v>
      </c>
      <c r="D284" s="124">
        <v>2019</v>
      </c>
      <c r="E284" s="62" t="s">
        <v>676</v>
      </c>
      <c r="F284" s="64">
        <f>SIM_Parametres!$C$25</f>
        <v>1228362768</v>
      </c>
      <c r="G284" s="125">
        <f>SIM_Districts!D71*(1+SIM_Parametres!$B$6)^(2019-2023)</f>
        <v>141871.83483708138</v>
      </c>
      <c r="H284" s="125">
        <f>MAX(0,MIN(100,SIM_Districts!F71+(2019-2022)*SIM_Parametres!$B$7))</f>
        <v>50.79</v>
      </c>
      <c r="I284" s="125">
        <f>SIM_Districts!G71*(1+SIM_Parametres!$B$8)^(2019-2023)</f>
        <v>51.232857229806619</v>
      </c>
      <c r="J284" s="125">
        <f>SIM_Districts!H71*(1+SIM_Parametres!$B$9)^(2019-2023)</f>
        <v>15.698826398414875</v>
      </c>
      <c r="K284" s="125">
        <f>MAX(0,MIN(100,SIM_Districts!I71+(2019-2023)*SIM_Parametres!$B$10))</f>
        <v>88.3</v>
      </c>
      <c r="L284" s="125">
        <f>SIM_Districts!E71</f>
        <v>2537</v>
      </c>
      <c r="M284" s="61">
        <f t="shared" si="145"/>
        <v>55.921101630698217</v>
      </c>
      <c r="N284" s="125">
        <f>N213*(1+SIM_Parametres!$B$6)/(1+SIM_Parametres!$B$11)</f>
        <v>69419</v>
      </c>
      <c r="O284" s="132"/>
      <c r="P284" s="126">
        <f>SIM_Parametres!$D$25</f>
        <v>0</v>
      </c>
      <c r="Q284" s="126">
        <f>SIM_Parametres!$B$12</f>
        <v>0.2</v>
      </c>
      <c r="R284" s="66">
        <f t="shared" si="152"/>
        <v>8.8091460913227726E-3</v>
      </c>
      <c r="S284" s="66">
        <f t="shared" si="153"/>
        <v>0.69148936170212771</v>
      </c>
      <c r="T284" s="66">
        <f t="shared" si="154"/>
        <v>0.5</v>
      </c>
      <c r="U284" s="66">
        <f t="shared" si="155"/>
        <v>0.58672050041788648</v>
      </c>
      <c r="V284" s="66">
        <f t="shared" si="156"/>
        <v>6.9378604793203735E-2</v>
      </c>
      <c r="W284" s="66">
        <f t="shared" si="157"/>
        <v>1.6487000634115404E-2</v>
      </c>
      <c r="X284" s="66">
        <f t="shared" si="158"/>
        <v>9.8944951620838582E-3</v>
      </c>
      <c r="Y284" s="66">
        <f t="shared" si="159"/>
        <v>1.4990538324933458E-2</v>
      </c>
      <c r="Z284" s="66">
        <f t="shared" si="160"/>
        <v>2.5464272067252584E-3</v>
      </c>
      <c r="AA284" s="66">
        <f t="shared" si="146"/>
        <v>1.0119560300806487E-2</v>
      </c>
      <c r="AB284" s="66">
        <f t="shared" si="161"/>
        <v>1.7832028591736021E-2</v>
      </c>
      <c r="AC284" s="67">
        <f t="shared" si="147"/>
        <v>13404569.692900861</v>
      </c>
      <c r="AD284" s="67">
        <f t="shared" si="162"/>
        <v>21904200</v>
      </c>
      <c r="AE284" s="66">
        <f t="shared" si="150"/>
        <v>3.2000000000000028E-2</v>
      </c>
      <c r="AF284" s="67">
        <f t="shared" si="163"/>
        <v>21904200</v>
      </c>
      <c r="AG284" s="67">
        <f t="shared" si="164"/>
        <v>1</v>
      </c>
      <c r="AH284" s="67">
        <f t="shared" si="165"/>
        <v>21904200</v>
      </c>
      <c r="AI284" s="67">
        <f t="shared" si="148"/>
        <v>154.39428146646375</v>
      </c>
      <c r="AJ284" s="67">
        <f t="shared" si="149"/>
        <v>0</v>
      </c>
      <c r="AK284" s="66">
        <f t="shared" si="151"/>
        <v>3.2000000000000028E-2</v>
      </c>
    </row>
    <row r="285" spans="1:37" ht="12.75" customHeight="1" x14ac:dyDescent="0.25">
      <c r="A285" s="55" t="s">
        <v>670</v>
      </c>
      <c r="B285" s="55" t="s">
        <v>461</v>
      </c>
      <c r="C285" s="55" t="s">
        <v>464</v>
      </c>
      <c r="D285" s="128">
        <v>2019</v>
      </c>
      <c r="E285" s="55" t="s">
        <v>676</v>
      </c>
      <c r="F285" s="57">
        <f>SIM_Parametres!$C$25</f>
        <v>1228362768</v>
      </c>
      <c r="G285" s="129">
        <f>SIM_Districts!D72*(1+SIM_Parametres!$B$6)^(2019-2023)</f>
        <v>86644.368425690074</v>
      </c>
      <c r="H285" s="129">
        <f>MAX(0,MIN(100,SIM_Districts!F72+(2019-2022)*SIM_Parametres!$B$7))</f>
        <v>50.79</v>
      </c>
      <c r="I285" s="129">
        <f>SIM_Districts!G72*(1+SIM_Parametres!$B$8)^(2019-2023)</f>
        <v>51.232857229806619</v>
      </c>
      <c r="J285" s="129">
        <f>SIM_Districts!H72*(1+SIM_Parametres!$B$9)^(2019-2023)</f>
        <v>15.698826398414875</v>
      </c>
      <c r="K285" s="129">
        <f>MAX(0,MIN(100,SIM_Districts!I72+(2019-2023)*SIM_Parametres!$B$10))</f>
        <v>88.3</v>
      </c>
      <c r="L285" s="129">
        <f>SIM_Districts!E72</f>
        <v>1893</v>
      </c>
      <c r="M285" s="68">
        <f t="shared" si="145"/>
        <v>45.770928909503475</v>
      </c>
      <c r="N285" s="129">
        <f>N214*(1+SIM_Parametres!$B$6)/(1+SIM_Parametres!$B$11)</f>
        <v>69419</v>
      </c>
      <c r="O285" s="72"/>
      <c r="P285" s="130">
        <f>SIM_Parametres!$D$25</f>
        <v>0</v>
      </c>
      <c r="Q285" s="130">
        <f>SIM_Parametres!$B$12</f>
        <v>0.2</v>
      </c>
      <c r="R285" s="59">
        <f t="shared" si="152"/>
        <v>5.3799466280871847E-3</v>
      </c>
      <c r="S285" s="59">
        <f t="shared" si="153"/>
        <v>0.69148936170212771</v>
      </c>
      <c r="T285" s="59">
        <f t="shared" si="154"/>
        <v>0.5</v>
      </c>
      <c r="U285" s="59">
        <f t="shared" si="155"/>
        <v>0.56457363162952034</v>
      </c>
      <c r="V285" s="59">
        <f t="shared" si="156"/>
        <v>6.9378604793203735E-2</v>
      </c>
      <c r="W285" s="59">
        <f t="shared" si="157"/>
        <v>1.6487000634115404E-2</v>
      </c>
      <c r="X285" s="59">
        <f t="shared" si="158"/>
        <v>9.8944951620838582E-3</v>
      </c>
      <c r="Y285" s="59">
        <f t="shared" si="159"/>
        <v>1.4424692261752069E-2</v>
      </c>
      <c r="Z285" s="59">
        <f t="shared" si="160"/>
        <v>2.5464272067252584E-3</v>
      </c>
      <c r="AA285" s="59">
        <f t="shared" si="146"/>
        <v>8.0337483197060657E-3</v>
      </c>
      <c r="AB285" s="59">
        <f t="shared" si="161"/>
        <v>1.2086292735958275E-2</v>
      </c>
      <c r="AC285" s="60">
        <f t="shared" si="147"/>
        <v>11354862.6699952</v>
      </c>
      <c r="AD285" s="60">
        <f t="shared" si="162"/>
        <v>14846352</v>
      </c>
      <c r="AE285" s="59">
        <f t="shared" si="150"/>
        <v>3.2000000000000028E-2</v>
      </c>
      <c r="AF285" s="60">
        <f t="shared" si="163"/>
        <v>14846352</v>
      </c>
      <c r="AG285" s="60">
        <f t="shared" si="164"/>
        <v>1</v>
      </c>
      <c r="AH285" s="60">
        <f t="shared" si="165"/>
        <v>14846352</v>
      </c>
      <c r="AI285" s="60">
        <f t="shared" si="148"/>
        <v>171.34814725705883</v>
      </c>
      <c r="AJ285" s="60">
        <f t="shared" si="149"/>
        <v>0</v>
      </c>
      <c r="AK285" s="59">
        <f t="shared" si="151"/>
        <v>3.2000000000000028E-2</v>
      </c>
    </row>
    <row r="286" spans="1:37" ht="12.75" customHeight="1" x14ac:dyDescent="0.25">
      <c r="A286" s="62" t="s">
        <v>671</v>
      </c>
      <c r="B286" s="62" t="s">
        <v>461</v>
      </c>
      <c r="C286" s="62" t="s">
        <v>465</v>
      </c>
      <c r="D286" s="124">
        <v>2019</v>
      </c>
      <c r="E286" s="62" t="s">
        <v>676</v>
      </c>
      <c r="F286" s="64">
        <f>SIM_Parametres!$C$25</f>
        <v>1228362768</v>
      </c>
      <c r="G286" s="125">
        <f>SIM_Districts!D73*(1+SIM_Parametres!$B$6)^(2019-2023)</f>
        <v>52174.624914753003</v>
      </c>
      <c r="H286" s="125">
        <f>MAX(0,MIN(100,SIM_Districts!F73+(2019-2022)*SIM_Parametres!$B$7))</f>
        <v>50.79</v>
      </c>
      <c r="I286" s="125">
        <f>SIM_Districts!G73*(1+SIM_Parametres!$B$8)^(2019-2023)</f>
        <v>51.232857229806619</v>
      </c>
      <c r="J286" s="125">
        <f>SIM_Districts!H73*(1+SIM_Parametres!$B$9)^(2019-2023)</f>
        <v>15.698826398414875</v>
      </c>
      <c r="K286" s="125">
        <f>MAX(0,MIN(100,SIM_Districts!I73+(2019-2023)*SIM_Parametres!$B$10))</f>
        <v>88.3</v>
      </c>
      <c r="L286" s="125">
        <f>SIM_Districts!E73</f>
        <v>877</v>
      </c>
      <c r="M286" s="61">
        <f t="shared" si="145"/>
        <v>59.492160678167622</v>
      </c>
      <c r="N286" s="125">
        <f>N215*(1+SIM_Parametres!$B$6)/(1+SIM_Parametres!$B$11)</f>
        <v>69419</v>
      </c>
      <c r="O286" s="132"/>
      <c r="P286" s="126">
        <f>SIM_Parametres!$D$25</f>
        <v>0</v>
      </c>
      <c r="Q286" s="126">
        <f>SIM_Parametres!$B$12</f>
        <v>0.2</v>
      </c>
      <c r="R286" s="66">
        <f t="shared" si="152"/>
        <v>3.2396415656555516E-3</v>
      </c>
      <c r="S286" s="66">
        <f t="shared" si="153"/>
        <v>0.69148936170212771</v>
      </c>
      <c r="T286" s="66">
        <f t="shared" si="154"/>
        <v>0.5</v>
      </c>
      <c r="U286" s="66">
        <f t="shared" si="155"/>
        <v>0.52916053895252124</v>
      </c>
      <c r="V286" s="66">
        <f t="shared" si="156"/>
        <v>6.9378604793203735E-2</v>
      </c>
      <c r="W286" s="66">
        <f t="shared" si="157"/>
        <v>1.6487000634115404E-2</v>
      </c>
      <c r="X286" s="66">
        <f t="shared" si="158"/>
        <v>9.8944951620838582E-3</v>
      </c>
      <c r="Y286" s="66">
        <f t="shared" si="159"/>
        <v>1.3519898032471051E-2</v>
      </c>
      <c r="Z286" s="66">
        <f t="shared" si="160"/>
        <v>2.5464272067252584E-3</v>
      </c>
      <c r="AA286" s="66">
        <f t="shared" si="146"/>
        <v>6.7043255707830368E-3</v>
      </c>
      <c r="AB286" s="66">
        <f t="shared" si="161"/>
        <v>1.345488517769858E-2</v>
      </c>
      <c r="AC286" s="67">
        <f t="shared" si="147"/>
        <v>10048451.943827791</v>
      </c>
      <c r="AD286" s="67">
        <f t="shared" si="162"/>
        <v>16527480</v>
      </c>
      <c r="AE286" s="66">
        <f t="shared" si="150"/>
        <v>3.2000000000000028E-2</v>
      </c>
      <c r="AF286" s="67">
        <f t="shared" si="163"/>
        <v>16527480</v>
      </c>
      <c r="AG286" s="67">
        <f t="shared" si="164"/>
        <v>1</v>
      </c>
      <c r="AH286" s="67">
        <f t="shared" si="165"/>
        <v>16527480</v>
      </c>
      <c r="AI286" s="67">
        <f t="shared" si="148"/>
        <v>316.77237789450129</v>
      </c>
      <c r="AJ286" s="67">
        <f t="shared" si="149"/>
        <v>0</v>
      </c>
      <c r="AK286" s="66">
        <f t="shared" si="151"/>
        <v>3.2000000000000028E-2</v>
      </c>
    </row>
    <row r="287" spans="1:37" ht="12.75" customHeight="1" x14ac:dyDescent="0.25">
      <c r="A287" s="55" t="s">
        <v>672</v>
      </c>
      <c r="B287" s="55" t="s">
        <v>461</v>
      </c>
      <c r="C287" s="55" t="s">
        <v>461</v>
      </c>
      <c r="D287" s="128">
        <v>2019</v>
      </c>
      <c r="E287" s="55" t="s">
        <v>676</v>
      </c>
      <c r="F287" s="57">
        <f>SIM_Parametres!$C$25</f>
        <v>1228362768</v>
      </c>
      <c r="G287" s="129">
        <f>SIM_Districts!D74*(1+SIM_Parametres!$B$6)^(2019-2023)</f>
        <v>268009.45254262385</v>
      </c>
      <c r="H287" s="129">
        <f>MAX(0,MIN(100,SIM_Districts!F74+(2019-2022)*SIM_Parametres!$B$7))</f>
        <v>50.79</v>
      </c>
      <c r="I287" s="129">
        <f>SIM_Districts!G74*(1+SIM_Parametres!$B$8)^(2019-2023)</f>
        <v>51.232857229806619</v>
      </c>
      <c r="J287" s="129">
        <f>SIM_Districts!H74*(1+SIM_Parametres!$B$9)^(2019-2023)</f>
        <v>15.698826398414875</v>
      </c>
      <c r="K287" s="129">
        <f>MAX(0,MIN(100,SIM_Districts!I74+(2019-2023)*SIM_Parametres!$B$10))</f>
        <v>88.3</v>
      </c>
      <c r="L287" s="129">
        <f>SIM_Districts!E74</f>
        <v>1136</v>
      </c>
      <c r="M287" s="68">
        <f t="shared" si="145"/>
        <v>235.92381385794354</v>
      </c>
      <c r="N287" s="129">
        <f>N216*(1+SIM_Parametres!$B$6)/(1+SIM_Parametres!$B$11)</f>
        <v>69419</v>
      </c>
      <c r="O287" s="72"/>
      <c r="P287" s="130">
        <f>SIM_Parametres!$D$25</f>
        <v>0</v>
      </c>
      <c r="Q287" s="130">
        <f>SIM_Parametres!$B$12</f>
        <v>0.2</v>
      </c>
      <c r="R287" s="59">
        <f t="shared" si="152"/>
        <v>1.6641318722737265E-2</v>
      </c>
      <c r="S287" s="59">
        <f t="shared" si="153"/>
        <v>0.69148936170212771</v>
      </c>
      <c r="T287" s="59">
        <f t="shared" si="154"/>
        <v>0.5</v>
      </c>
      <c r="U287" s="59">
        <f t="shared" si="155"/>
        <v>0.53532398626606026</v>
      </c>
      <c r="V287" s="59">
        <f t="shared" si="156"/>
        <v>6.9378604793203735E-2</v>
      </c>
      <c r="W287" s="59">
        <f t="shared" si="157"/>
        <v>1.6487000634115404E-2</v>
      </c>
      <c r="X287" s="59">
        <f t="shared" si="158"/>
        <v>9.8944951620838582E-3</v>
      </c>
      <c r="Y287" s="59">
        <f t="shared" si="159"/>
        <v>1.3677372320656836E-2</v>
      </c>
      <c r="Z287" s="59">
        <f t="shared" si="160"/>
        <v>2.5464272067252584E-3</v>
      </c>
      <c r="AA287" s="59">
        <f t="shared" si="146"/>
        <v>1.4753205579441353E-2</v>
      </c>
      <c r="AB287" s="59">
        <f t="shared" si="161"/>
        <v>1.6014799953624124E-2</v>
      </c>
      <c r="AC287" s="60">
        <f t="shared" si="147"/>
        <v>17958007.565216105</v>
      </c>
      <c r="AD287" s="60">
        <f t="shared" si="162"/>
        <v>19671984</v>
      </c>
      <c r="AE287" s="59">
        <f t="shared" si="150"/>
        <v>3.2000000000000028E-2</v>
      </c>
      <c r="AF287" s="60">
        <f t="shared" si="163"/>
        <v>19671984</v>
      </c>
      <c r="AG287" s="60">
        <f t="shared" si="164"/>
        <v>1</v>
      </c>
      <c r="AH287" s="60">
        <f t="shared" si="165"/>
        <v>19671984</v>
      </c>
      <c r="AI287" s="60">
        <f t="shared" si="148"/>
        <v>73.400336493248858</v>
      </c>
      <c r="AJ287" s="60">
        <f t="shared" si="149"/>
        <v>0</v>
      </c>
      <c r="AK287" s="59">
        <f t="shared" si="151"/>
        <v>3.2000000000000028E-2</v>
      </c>
    </row>
    <row r="288" spans="1:37" ht="12.75" customHeight="1" x14ac:dyDescent="0.25">
      <c r="A288" s="62" t="s">
        <v>587</v>
      </c>
      <c r="B288" s="62" t="s">
        <v>376</v>
      </c>
      <c r="C288" s="62" t="s">
        <v>379</v>
      </c>
      <c r="D288" s="124">
        <v>2020</v>
      </c>
      <c r="E288" s="62" t="s">
        <v>676</v>
      </c>
      <c r="F288" s="64">
        <f>SIM_Parametres!$C$26</f>
        <v>1267670376.576</v>
      </c>
      <c r="G288" s="125">
        <f>SIM_Districts!D4*(1+SIM_Parametres!$B$6)^(2020-2023)</f>
        <v>415440.45310493838</v>
      </c>
      <c r="H288" s="125">
        <f>MAX(0,MIN(100,SIM_Districts!F4+(2020-2022)*SIM_Parametres!$B$7))</f>
        <v>10.96</v>
      </c>
      <c r="I288" s="125">
        <f>SIM_Districts!G4*(1+SIM_Parametres!$B$8)^(2020-2023)</f>
        <v>48.158885796018225</v>
      </c>
      <c r="J288" s="125">
        <f>SIM_Districts!H4*(1+SIM_Parametres!$B$9)^(2020-2023)</f>
        <v>14.266117969821671</v>
      </c>
      <c r="K288" s="125">
        <f>MAX(0,MIN(100,SIM_Districts!I4+(2020-2023)*SIM_Parametres!$B$10))</f>
        <v>92.9</v>
      </c>
      <c r="L288" s="125">
        <f>SIM_Districts!E4</f>
        <v>13</v>
      </c>
      <c r="M288" s="61">
        <f t="shared" si="145"/>
        <v>31956.957931149107</v>
      </c>
      <c r="N288" s="125">
        <f>N217*(1+SIM_Parametres!$B$6)/(1+SIM_Parametres!$B$11)</f>
        <v>73189</v>
      </c>
      <c r="O288" s="132"/>
      <c r="P288" s="126">
        <f>SIM_Parametres!$D$26</f>
        <v>0</v>
      </c>
      <c r="Q288" s="126">
        <f>SIM_Parametres!$B$12</f>
        <v>0.2</v>
      </c>
      <c r="R288" s="66">
        <f t="shared" ref="R288:R319" si="166">IFERROR(G288/SUM($G$288:$G$358),1/71)</f>
        <v>2.5044316606264851E-2</v>
      </c>
      <c r="S288" s="66">
        <f t="shared" ref="S288:S319" si="167">IF(MAX($H$288:$H$358)=MIN($H$288:$H$358),1,(H288-MIN($H$288:$H$358))/(MAX($H$288:$H$358)-MIN($H$288:$H$358)))</f>
        <v>0</v>
      </c>
      <c r="T288" s="66">
        <f t="shared" ref="T288:T319" si="168">(IF(MAX($I$288:$I$358)=MIN($I$288:$I$358),1,(I288-MIN($I$288:$I$358))/(MAX($I$288:$I$358)-MIN($I$288:$I$358)))+IF(MAX($J$288:$J$358)=MIN($J$288:$J$358),1,(J288-MIN($J$288:$J$358))/(MAX($J$288:$J$358)-MIN($J$288:$J$358))))/2</f>
        <v>0.50276243093922646</v>
      </c>
      <c r="U288" s="66">
        <f t="shared" ref="U288:U319" si="169">(IF(MAX($L$288:$L$358)=MIN($L$288:$L$358),1,(L288-MIN($L$288:$L$358))/(MAX($L$288:$L$358)-MIN($L$288:$L$358)))+IF(MAX($M$288:$M$358)=MIN($M$288:$M$358),1,(MAX($M$288:$M$358)-M288)/(MAX($M$288:$M$358)-MIN($M$288:$M$358))))/2</f>
        <v>6.3061112543856363E-3</v>
      </c>
      <c r="V288" s="66">
        <f t="shared" ref="V288:V319" si="170">IF(MAX($N$288:$N$358)=MIN($N$288:$N$358),1,(N288-MIN($N$288:$N$358))/(MAX($N$288:$N$358)-MIN($N$288:$N$358)))</f>
        <v>9.5544805280436421E-2</v>
      </c>
      <c r="W288" s="66">
        <f t="shared" ref="W288:W319" si="171">IFERROR(S288/SUM($S$288:$S$358),1/71)</f>
        <v>0</v>
      </c>
      <c r="X288" s="66">
        <f t="shared" ref="X288:X319" si="172">IFERROR(T288/SUM($T$288:$T$358),1/71)</f>
        <v>9.9491608812113923E-3</v>
      </c>
      <c r="Y288" s="66">
        <f t="shared" ref="Y288:Y319" si="173">IFERROR(U288/SUM($U$288:$U$358),1/71)</f>
        <v>1.6111931042605892E-4</v>
      </c>
      <c r="Z288" s="66">
        <f t="shared" ref="Z288:Z319" si="174">IFERROR(V288/SUM($V$288:$V$358),1/71)</f>
        <v>3.506814418545408E-3</v>
      </c>
      <c r="AA288" s="66">
        <f t="shared" si="146"/>
        <v>1.6702360782389188E-2</v>
      </c>
      <c r="AB288" s="66">
        <f t="shared" ref="AB288:AB319" si="175">IFERROR(AH217/SUM($AH$217:$AH$287),1/71)</f>
        <v>1.5515755195862466E-2</v>
      </c>
      <c r="AC288" s="67">
        <f t="shared" si="147"/>
        <v>20509372.855403785</v>
      </c>
      <c r="AD288" s="67">
        <f t="shared" si="162"/>
        <v>19668863.232000001</v>
      </c>
      <c r="AE288" s="66">
        <f t="shared" si="150"/>
        <v>3.2000000000000028E-2</v>
      </c>
      <c r="AF288" s="67">
        <f t="shared" si="163"/>
        <v>19668863.232000001</v>
      </c>
      <c r="AG288" s="67">
        <f t="shared" ref="AG288:AG319" si="176">IFERROR(F288/SUM($AF$288:$AF$358),1)</f>
        <v>1.0000000000000004</v>
      </c>
      <c r="AH288" s="67">
        <f t="shared" si="165"/>
        <v>19668863.232000008</v>
      </c>
      <c r="AI288" s="67">
        <f t="shared" si="148"/>
        <v>47.344602782415464</v>
      </c>
      <c r="AJ288" s="67">
        <f t="shared" si="149"/>
        <v>0</v>
      </c>
      <c r="AK288" s="66">
        <f t="shared" si="151"/>
        <v>3.2000000000000473E-2</v>
      </c>
    </row>
    <row r="289" spans="1:37" ht="12.75" customHeight="1" x14ac:dyDescent="0.25">
      <c r="A289" s="55" t="s">
        <v>590</v>
      </c>
      <c r="B289" s="55" t="s">
        <v>376</v>
      </c>
      <c r="C289" s="55" t="s">
        <v>381</v>
      </c>
      <c r="D289" s="128">
        <v>2020</v>
      </c>
      <c r="E289" s="55" t="s">
        <v>676</v>
      </c>
      <c r="F289" s="57">
        <f>SIM_Parametres!$C$26</f>
        <v>1267670376.576</v>
      </c>
      <c r="G289" s="129">
        <f>SIM_Districts!D5*(1+SIM_Parametres!$B$6)^(2020-2023)</f>
        <v>217748.8064264908</v>
      </c>
      <c r="H289" s="129">
        <f>MAX(0,MIN(100,SIM_Districts!F5+(2020-2022)*SIM_Parametres!$B$7))</f>
        <v>10.96</v>
      </c>
      <c r="I289" s="129">
        <f>SIM_Districts!G5*(1+SIM_Parametres!$B$8)^(2020-2023)</f>
        <v>48.158885796018225</v>
      </c>
      <c r="J289" s="129">
        <f>SIM_Districts!H5*(1+SIM_Parametres!$B$9)^(2020-2023)</f>
        <v>14.266117969821671</v>
      </c>
      <c r="K289" s="129">
        <f>MAX(0,MIN(100,SIM_Districts!I5+(2020-2023)*SIM_Parametres!$B$10))</f>
        <v>92.9</v>
      </c>
      <c r="L289" s="129">
        <f>SIM_Districts!E5</f>
        <v>10</v>
      </c>
      <c r="M289" s="68">
        <f t="shared" si="145"/>
        <v>21774.880642649081</v>
      </c>
      <c r="N289" s="129">
        <f>N218*(1+SIM_Parametres!$B$6)/(1+SIM_Parametres!$B$11)</f>
        <v>73189</v>
      </c>
      <c r="O289" s="72"/>
      <c r="P289" s="130">
        <f>SIM_Parametres!$D$26</f>
        <v>0</v>
      </c>
      <c r="Q289" s="130">
        <f>SIM_Parametres!$B$12</f>
        <v>0.2</v>
      </c>
      <c r="R289" s="59">
        <f t="shared" si="166"/>
        <v>1.3126718902850363E-2</v>
      </c>
      <c r="S289" s="59">
        <f t="shared" si="167"/>
        <v>0</v>
      </c>
      <c r="T289" s="59">
        <f t="shared" si="168"/>
        <v>0.50276243093922646</v>
      </c>
      <c r="U289" s="59">
        <f t="shared" si="169"/>
        <v>0.16355896203869916</v>
      </c>
      <c r="V289" s="59">
        <f t="shared" si="170"/>
        <v>9.5544805280436421E-2</v>
      </c>
      <c r="W289" s="59">
        <f t="shared" si="171"/>
        <v>0</v>
      </c>
      <c r="X289" s="59">
        <f t="shared" si="172"/>
        <v>9.9491608812113923E-3</v>
      </c>
      <c r="Y289" s="59">
        <f t="shared" si="173"/>
        <v>4.1788839610703175E-3</v>
      </c>
      <c r="Z289" s="59">
        <f t="shared" si="174"/>
        <v>3.506814418545408E-3</v>
      </c>
      <c r="AA289" s="59">
        <f t="shared" si="146"/>
        <v>9.7526903928727132E-3</v>
      </c>
      <c r="AB289" s="59">
        <f t="shared" si="175"/>
        <v>1.4020301207957159E-2</v>
      </c>
      <c r="AC289" s="60">
        <f t="shared" si="147"/>
        <v>13461459.83159784</v>
      </c>
      <c r="AD289" s="60">
        <f t="shared" si="162"/>
        <v>17773120.511999998</v>
      </c>
      <c r="AE289" s="59">
        <f t="shared" si="150"/>
        <v>3.1999999999999806E-2</v>
      </c>
      <c r="AF289" s="60">
        <f t="shared" si="163"/>
        <v>17773120.511999998</v>
      </c>
      <c r="AG289" s="60">
        <f t="shared" si="176"/>
        <v>1.0000000000000004</v>
      </c>
      <c r="AH289" s="60">
        <f t="shared" si="165"/>
        <v>17773120.512000006</v>
      </c>
      <c r="AI289" s="60">
        <f t="shared" si="148"/>
        <v>81.622125988552696</v>
      </c>
      <c r="AJ289" s="60">
        <f t="shared" si="149"/>
        <v>0</v>
      </c>
      <c r="AK289" s="59">
        <f t="shared" si="151"/>
        <v>3.200000000000025E-2</v>
      </c>
    </row>
    <row r="290" spans="1:37" ht="12.75" customHeight="1" x14ac:dyDescent="0.25">
      <c r="A290" s="62" t="s">
        <v>591</v>
      </c>
      <c r="B290" s="62" t="s">
        <v>376</v>
      </c>
      <c r="C290" s="62" t="s">
        <v>382</v>
      </c>
      <c r="D290" s="124">
        <v>2020</v>
      </c>
      <c r="E290" s="62" t="s">
        <v>676</v>
      </c>
      <c r="F290" s="64">
        <f>SIM_Parametres!$C$26</f>
        <v>1267670376.576</v>
      </c>
      <c r="G290" s="125">
        <f>SIM_Districts!D6*(1+SIM_Parametres!$B$6)^(2020-2023)</f>
        <v>165957.27935705808</v>
      </c>
      <c r="H290" s="125">
        <f>MAX(0,MIN(100,SIM_Districts!F6+(2020-2022)*SIM_Parametres!$B$7))</f>
        <v>10.96</v>
      </c>
      <c r="I290" s="125">
        <f>SIM_Districts!G6*(1+SIM_Parametres!$B$8)^(2020-2023)</f>
        <v>48.158885796018225</v>
      </c>
      <c r="J290" s="125">
        <f>SIM_Districts!H6*(1+SIM_Parametres!$B$9)^(2020-2023)</f>
        <v>14.266117969821671</v>
      </c>
      <c r="K290" s="125">
        <f>MAX(0,MIN(100,SIM_Districts!I6+(2020-2023)*SIM_Parametres!$B$10))</f>
        <v>92.9</v>
      </c>
      <c r="L290" s="125">
        <f>SIM_Districts!E6</f>
        <v>169</v>
      </c>
      <c r="M290" s="61">
        <f t="shared" si="145"/>
        <v>981.99573584058032</v>
      </c>
      <c r="N290" s="125">
        <f>N219*(1+SIM_Parametres!$B$6)/(1+SIM_Parametres!$B$11)</f>
        <v>73189</v>
      </c>
      <c r="O290" s="132"/>
      <c r="P290" s="126">
        <f>SIM_Parametres!$D$26</f>
        <v>0</v>
      </c>
      <c r="Q290" s="126">
        <f>SIM_Parametres!$B$12</f>
        <v>0.2</v>
      </c>
      <c r="R290" s="66">
        <f t="shared" si="166"/>
        <v>1.0004530411684887E-2</v>
      </c>
      <c r="S290" s="66">
        <f t="shared" si="167"/>
        <v>0</v>
      </c>
      <c r="T290" s="66">
        <f t="shared" si="168"/>
        <v>0.50276243093922646</v>
      </c>
      <c r="U290" s="66">
        <f t="shared" si="169"/>
        <v>0.49040605765544515</v>
      </c>
      <c r="V290" s="66">
        <f t="shared" si="170"/>
        <v>9.5544805280436421E-2</v>
      </c>
      <c r="W290" s="66">
        <f t="shared" si="171"/>
        <v>0</v>
      </c>
      <c r="X290" s="66">
        <f t="shared" si="172"/>
        <v>9.9491608812113923E-3</v>
      </c>
      <c r="Y290" s="66">
        <f t="shared" si="173"/>
        <v>1.2529732294725465E-2</v>
      </c>
      <c r="Z290" s="66">
        <f t="shared" si="174"/>
        <v>3.506814418545408E-3</v>
      </c>
      <c r="AA290" s="66">
        <f t="shared" si="146"/>
        <v>8.2969197148561845E-3</v>
      </c>
      <c r="AB290" s="66">
        <f t="shared" si="175"/>
        <v>1.2123259014310991E-2</v>
      </c>
      <c r="AC290" s="67">
        <f t="shared" si="147"/>
        <v>11985109.940710232</v>
      </c>
      <c r="AD290" s="67">
        <f t="shared" si="162"/>
        <v>15368296.32</v>
      </c>
      <c r="AE290" s="66">
        <f t="shared" si="150"/>
        <v>3.2000000000000028E-2</v>
      </c>
      <c r="AF290" s="67">
        <f t="shared" si="163"/>
        <v>15368296.32</v>
      </c>
      <c r="AG290" s="67">
        <f t="shared" si="176"/>
        <v>1.0000000000000004</v>
      </c>
      <c r="AH290" s="67">
        <f t="shared" si="165"/>
        <v>15368296.320000008</v>
      </c>
      <c r="AI290" s="67">
        <f t="shared" si="148"/>
        <v>92.60393023758256</v>
      </c>
      <c r="AJ290" s="67">
        <f t="shared" si="149"/>
        <v>0</v>
      </c>
      <c r="AK290" s="66">
        <f t="shared" si="151"/>
        <v>3.2000000000000473E-2</v>
      </c>
    </row>
    <row r="291" spans="1:37" ht="12.75" customHeight="1" x14ac:dyDescent="0.25">
      <c r="A291" s="55" t="s">
        <v>592</v>
      </c>
      <c r="B291" s="55" t="s">
        <v>376</v>
      </c>
      <c r="C291" s="55" t="s">
        <v>383</v>
      </c>
      <c r="D291" s="128">
        <v>2020</v>
      </c>
      <c r="E291" s="55" t="s">
        <v>676</v>
      </c>
      <c r="F291" s="57">
        <f>SIM_Parametres!$C$26</f>
        <v>1267670376.576</v>
      </c>
      <c r="G291" s="129">
        <f>SIM_Districts!D7*(1+SIM_Parametres!$B$6)^(2020-2023)</f>
        <v>420657.67570491077</v>
      </c>
      <c r="H291" s="129">
        <f>MAX(0,MIN(100,SIM_Districts!F7+(2020-2022)*SIM_Parametres!$B$7))</f>
        <v>10.96</v>
      </c>
      <c r="I291" s="129">
        <f>SIM_Districts!G7*(1+SIM_Parametres!$B$8)^(2020-2023)</f>
        <v>48.158885796018225</v>
      </c>
      <c r="J291" s="129">
        <f>SIM_Districts!H7*(1+SIM_Parametres!$B$9)^(2020-2023)</f>
        <v>14.266117969821671</v>
      </c>
      <c r="K291" s="129">
        <f>MAX(0,MIN(100,SIM_Districts!I7+(2020-2023)*SIM_Parametres!$B$10))</f>
        <v>92.9</v>
      </c>
      <c r="L291" s="129">
        <f>SIM_Districts!E7</f>
        <v>13</v>
      </c>
      <c r="M291" s="68">
        <f t="shared" si="145"/>
        <v>32358.282746531597</v>
      </c>
      <c r="N291" s="129">
        <f>N220*(1+SIM_Parametres!$B$6)/(1+SIM_Parametres!$B$11)</f>
        <v>73189</v>
      </c>
      <c r="O291" s="72"/>
      <c r="P291" s="130">
        <f>SIM_Parametres!$D$26</f>
        <v>0</v>
      </c>
      <c r="Q291" s="130">
        <f>SIM_Parametres!$B$12</f>
        <v>0.2</v>
      </c>
      <c r="R291" s="59">
        <f t="shared" si="166"/>
        <v>2.5358830452045934E-2</v>
      </c>
      <c r="S291" s="59">
        <f t="shared" si="167"/>
        <v>0</v>
      </c>
      <c r="T291" s="59">
        <f t="shared" si="168"/>
        <v>0.50276243093922646</v>
      </c>
      <c r="U291" s="59">
        <f t="shared" si="169"/>
        <v>1.0392129693778578E-4</v>
      </c>
      <c r="V291" s="59">
        <f t="shared" si="170"/>
        <v>9.5544805280436421E-2</v>
      </c>
      <c r="W291" s="59">
        <f t="shared" si="171"/>
        <v>0</v>
      </c>
      <c r="X291" s="59">
        <f t="shared" si="172"/>
        <v>9.9491608812113923E-3</v>
      </c>
      <c r="Y291" s="59">
        <f t="shared" si="173"/>
        <v>2.6551589443578546E-6</v>
      </c>
      <c r="Z291" s="59">
        <f t="shared" si="174"/>
        <v>3.506814418545408E-3</v>
      </c>
      <c r="AA291" s="59">
        <f t="shared" si="146"/>
        <v>1.6883145882283755E-2</v>
      </c>
      <c r="AB291" s="59">
        <f t="shared" si="175"/>
        <v>1.6212233485735219E-2</v>
      </c>
      <c r="AC291" s="60">
        <f t="shared" si="147"/>
        <v>20692713.58793392</v>
      </c>
      <c r="AD291" s="60">
        <f t="shared" si="162"/>
        <v>20551768.128000002</v>
      </c>
      <c r="AE291" s="59">
        <f t="shared" si="150"/>
        <v>3.2000000000000028E-2</v>
      </c>
      <c r="AF291" s="60">
        <f t="shared" si="163"/>
        <v>20551768.128000002</v>
      </c>
      <c r="AG291" s="60">
        <f t="shared" si="176"/>
        <v>1.0000000000000004</v>
      </c>
      <c r="AH291" s="60">
        <f t="shared" si="165"/>
        <v>20551768.12800001</v>
      </c>
      <c r="AI291" s="60">
        <f t="shared" si="148"/>
        <v>48.856277479213219</v>
      </c>
      <c r="AJ291" s="60">
        <f t="shared" si="149"/>
        <v>0</v>
      </c>
      <c r="AK291" s="59">
        <f t="shared" si="151"/>
        <v>3.200000000000025E-2</v>
      </c>
    </row>
    <row r="292" spans="1:37" ht="12.75" customHeight="1" x14ac:dyDescent="0.25">
      <c r="A292" s="62" t="s">
        <v>593</v>
      </c>
      <c r="B292" s="62" t="s">
        <v>376</v>
      </c>
      <c r="C292" s="62" t="s">
        <v>384</v>
      </c>
      <c r="D292" s="124">
        <v>2020</v>
      </c>
      <c r="E292" s="62" t="s">
        <v>676</v>
      </c>
      <c r="F292" s="64">
        <f>SIM_Parametres!$C$26</f>
        <v>1267670376.576</v>
      </c>
      <c r="G292" s="125">
        <f>SIM_Districts!D8*(1+SIM_Parametres!$B$6)^(2020-2023)</f>
        <v>298316.04783262429</v>
      </c>
      <c r="H292" s="125">
        <f>MAX(0,MIN(100,SIM_Districts!F8+(2020-2022)*SIM_Parametres!$B$7))</f>
        <v>10.96</v>
      </c>
      <c r="I292" s="125">
        <f>SIM_Districts!G8*(1+SIM_Parametres!$B$8)^(2020-2023)</f>
        <v>48.158885796018225</v>
      </c>
      <c r="J292" s="125">
        <f>SIM_Districts!H8*(1+SIM_Parametres!$B$9)^(2020-2023)</f>
        <v>14.266117969821671</v>
      </c>
      <c r="K292" s="125">
        <f>MAX(0,MIN(100,SIM_Districts!I8+(2020-2023)*SIM_Parametres!$B$10))</f>
        <v>92.9</v>
      </c>
      <c r="L292" s="125">
        <f>SIM_Districts!E8</f>
        <v>34</v>
      </c>
      <c r="M292" s="61">
        <f t="shared" si="145"/>
        <v>8774.0014068418914</v>
      </c>
      <c r="N292" s="125">
        <f>N221*(1+SIM_Parametres!$B$6)/(1+SIM_Parametres!$B$11)</f>
        <v>73189</v>
      </c>
      <c r="O292" s="132"/>
      <c r="P292" s="126">
        <f>SIM_Parametres!$D$26</f>
        <v>0</v>
      </c>
      <c r="Q292" s="126">
        <f>SIM_Parametres!$B$12</f>
        <v>0.2</v>
      </c>
      <c r="R292" s="66">
        <f t="shared" si="166"/>
        <v>1.7983615930542807E-2</v>
      </c>
      <c r="S292" s="66">
        <f t="shared" si="167"/>
        <v>0</v>
      </c>
      <c r="T292" s="66">
        <f t="shared" si="168"/>
        <v>0.50276243093922646</v>
      </c>
      <c r="U292" s="66">
        <f t="shared" si="169"/>
        <v>0.36530968637307898</v>
      </c>
      <c r="V292" s="66">
        <f t="shared" si="170"/>
        <v>9.5544805280436421E-2</v>
      </c>
      <c r="W292" s="66">
        <f t="shared" si="171"/>
        <v>0</v>
      </c>
      <c r="X292" s="66">
        <f t="shared" si="172"/>
        <v>9.9491608812113923E-3</v>
      </c>
      <c r="Y292" s="66">
        <f t="shared" si="173"/>
        <v>9.3335563528881213E-3</v>
      </c>
      <c r="Z292" s="66">
        <f t="shared" si="174"/>
        <v>3.506814418545408E-3</v>
      </c>
      <c r="AA292" s="66">
        <f t="shared" si="146"/>
        <v>1.292456222907907E-2</v>
      </c>
      <c r="AB292" s="66">
        <f t="shared" si="175"/>
        <v>1.1514995706870855E-2</v>
      </c>
      <c r="AC292" s="67">
        <f t="shared" si="147"/>
        <v>16678170.203641459</v>
      </c>
      <c r="AD292" s="67">
        <f t="shared" si="162"/>
        <v>14597218.944</v>
      </c>
      <c r="AE292" s="66">
        <f t="shared" si="150"/>
        <v>3.2000000000000028E-2</v>
      </c>
      <c r="AF292" s="67">
        <f t="shared" si="163"/>
        <v>14597218.944</v>
      </c>
      <c r="AG292" s="67">
        <f t="shared" si="176"/>
        <v>1.0000000000000004</v>
      </c>
      <c r="AH292" s="67">
        <f t="shared" si="165"/>
        <v>14597218.944000006</v>
      </c>
      <c r="AI292" s="67">
        <f t="shared" si="148"/>
        <v>48.932060645259163</v>
      </c>
      <c r="AJ292" s="67">
        <f t="shared" si="149"/>
        <v>0</v>
      </c>
      <c r="AK292" s="66">
        <f t="shared" si="151"/>
        <v>3.2000000000000473E-2</v>
      </c>
    </row>
    <row r="293" spans="1:37" ht="12.75" customHeight="1" x14ac:dyDescent="0.25">
      <c r="A293" s="55" t="s">
        <v>594</v>
      </c>
      <c r="B293" s="55" t="s">
        <v>376</v>
      </c>
      <c r="C293" s="55" t="s">
        <v>385</v>
      </c>
      <c r="D293" s="128">
        <v>2020</v>
      </c>
      <c r="E293" s="55" t="s">
        <v>676</v>
      </c>
      <c r="F293" s="57">
        <f>SIM_Parametres!$C$26</f>
        <v>1267670376.576</v>
      </c>
      <c r="G293" s="129">
        <f>SIM_Districts!D9*(1+SIM_Parametres!$B$6)^(2020-2023)</f>
        <v>437682.05599385756</v>
      </c>
      <c r="H293" s="129">
        <f>MAX(0,MIN(100,SIM_Districts!F9+(2020-2022)*SIM_Parametres!$B$7))</f>
        <v>10.96</v>
      </c>
      <c r="I293" s="129">
        <f>SIM_Districts!G9*(1+SIM_Parametres!$B$8)^(2020-2023)</f>
        <v>48.158885796018225</v>
      </c>
      <c r="J293" s="129">
        <f>SIM_Districts!H9*(1+SIM_Parametres!$B$9)^(2020-2023)</f>
        <v>14.266117969821671</v>
      </c>
      <c r="K293" s="129">
        <f>MAX(0,MIN(100,SIM_Districts!I9+(2020-2023)*SIM_Parametres!$B$10))</f>
        <v>92.9</v>
      </c>
      <c r="L293" s="129">
        <f>SIM_Districts!E9</f>
        <v>28</v>
      </c>
      <c r="M293" s="68">
        <f t="shared" si="145"/>
        <v>15631.501999780627</v>
      </c>
      <c r="N293" s="129">
        <f>N222*(1+SIM_Parametres!$B$6)/(1+SIM_Parametres!$B$11)</f>
        <v>73189</v>
      </c>
      <c r="O293" s="72"/>
      <c r="P293" s="130">
        <f>SIM_Parametres!$D$26</f>
        <v>0</v>
      </c>
      <c r="Q293" s="130">
        <f>SIM_Parametres!$B$12</f>
        <v>0.2</v>
      </c>
      <c r="R293" s="59">
        <f t="shared" si="166"/>
        <v>2.6385124272966017E-2</v>
      </c>
      <c r="S293" s="59">
        <f t="shared" si="167"/>
        <v>0</v>
      </c>
      <c r="T293" s="59">
        <f t="shared" si="168"/>
        <v>0.50276243093922646</v>
      </c>
      <c r="U293" s="59">
        <f t="shared" si="169"/>
        <v>0.2591240430539184</v>
      </c>
      <c r="V293" s="59">
        <f t="shared" si="170"/>
        <v>9.5544805280436421E-2</v>
      </c>
      <c r="W293" s="59">
        <f t="shared" si="171"/>
        <v>0</v>
      </c>
      <c r="X293" s="59">
        <f t="shared" si="172"/>
        <v>9.9491608812113923E-3</v>
      </c>
      <c r="Y293" s="59">
        <f t="shared" si="173"/>
        <v>6.6205440163499231E-3</v>
      </c>
      <c r="Z293" s="59">
        <f t="shared" si="174"/>
        <v>3.506814418545408E-3</v>
      </c>
      <c r="AA293" s="59">
        <f t="shared" si="146"/>
        <v>1.7829816617706083E-2</v>
      </c>
      <c r="AB293" s="59">
        <f t="shared" si="175"/>
        <v>1.143266172326708E-2</v>
      </c>
      <c r="AC293" s="60">
        <f t="shared" si="147"/>
        <v>21652766.746066961</v>
      </c>
      <c r="AD293" s="60">
        <f t="shared" si="162"/>
        <v>14492846.592</v>
      </c>
      <c r="AE293" s="59">
        <f t="shared" si="150"/>
        <v>3.2000000000000028E-2</v>
      </c>
      <c r="AF293" s="60">
        <f t="shared" si="163"/>
        <v>14492846.592</v>
      </c>
      <c r="AG293" s="60">
        <f t="shared" si="176"/>
        <v>1.0000000000000004</v>
      </c>
      <c r="AH293" s="60">
        <f t="shared" si="165"/>
        <v>14492846.592000006</v>
      </c>
      <c r="AI293" s="60">
        <f t="shared" si="148"/>
        <v>33.112727363452613</v>
      </c>
      <c r="AJ293" s="60">
        <f t="shared" si="149"/>
        <v>0</v>
      </c>
      <c r="AK293" s="59">
        <f t="shared" si="151"/>
        <v>3.2000000000000473E-2</v>
      </c>
    </row>
    <row r="294" spans="1:37" ht="12.75" customHeight="1" x14ac:dyDescent="0.25">
      <c r="A294" s="62" t="s">
        <v>595</v>
      </c>
      <c r="B294" s="62" t="s">
        <v>376</v>
      </c>
      <c r="C294" s="62" t="s">
        <v>386</v>
      </c>
      <c r="D294" s="124">
        <v>2020</v>
      </c>
      <c r="E294" s="62" t="s">
        <v>676</v>
      </c>
      <c r="F294" s="64">
        <f>SIM_Parametres!$C$26</f>
        <v>1267670376.576</v>
      </c>
      <c r="G294" s="125">
        <f>SIM_Districts!D10*(1+SIM_Parametres!$B$6)^(2020-2023)</f>
        <v>559579.84016135777</v>
      </c>
      <c r="H294" s="125">
        <f>MAX(0,MIN(100,SIM_Districts!F10+(2020-2022)*SIM_Parametres!$B$7))</f>
        <v>10.96</v>
      </c>
      <c r="I294" s="125">
        <f>SIM_Districts!G10*(1+SIM_Parametres!$B$8)^(2020-2023)</f>
        <v>48.158885796018225</v>
      </c>
      <c r="J294" s="125">
        <f>SIM_Districts!H10*(1+SIM_Parametres!$B$9)^(2020-2023)</f>
        <v>14.266117969821671</v>
      </c>
      <c r="K294" s="125">
        <f>MAX(0,MIN(100,SIM_Districts!I10+(2020-2023)*SIM_Parametres!$B$10))</f>
        <v>92.9</v>
      </c>
      <c r="L294" s="125">
        <f>SIM_Districts!E10</f>
        <v>22</v>
      </c>
      <c r="M294" s="61">
        <f t="shared" si="145"/>
        <v>25435.447280061719</v>
      </c>
      <c r="N294" s="125">
        <f>N223*(1+SIM_Parametres!$B$6)/(1+SIM_Parametres!$B$11)</f>
        <v>73189</v>
      </c>
      <c r="O294" s="132"/>
      <c r="P294" s="126">
        <f>SIM_Parametres!$D$26</f>
        <v>0</v>
      </c>
      <c r="Q294" s="126">
        <f>SIM_Parametres!$B$12</f>
        <v>0.2</v>
      </c>
      <c r="R294" s="66">
        <f t="shared" si="166"/>
        <v>3.3733582222779293E-2</v>
      </c>
      <c r="S294" s="66">
        <f t="shared" si="167"/>
        <v>0</v>
      </c>
      <c r="T294" s="66">
        <f t="shared" si="168"/>
        <v>0.50276243093922646</v>
      </c>
      <c r="U294" s="66">
        <f t="shared" si="169"/>
        <v>0.10740318997556662</v>
      </c>
      <c r="V294" s="66">
        <f t="shared" si="170"/>
        <v>9.5544805280436421E-2</v>
      </c>
      <c r="W294" s="66">
        <f t="shared" si="171"/>
        <v>0</v>
      </c>
      <c r="X294" s="66">
        <f t="shared" si="172"/>
        <v>9.9491608812113923E-3</v>
      </c>
      <c r="Y294" s="66">
        <f t="shared" si="173"/>
        <v>2.7441202998738064E-3</v>
      </c>
      <c r="Z294" s="66">
        <f t="shared" si="174"/>
        <v>3.506814418545408E-3</v>
      </c>
      <c r="AA294" s="66">
        <f t="shared" si="146"/>
        <v>2.2045070201770243E-2</v>
      </c>
      <c r="AB294" s="66">
        <f t="shared" si="175"/>
        <v>1.8445332755315163E-2</v>
      </c>
      <c r="AC294" s="67">
        <f t="shared" si="147"/>
        <v>25927608.424686119</v>
      </c>
      <c r="AD294" s="67">
        <f t="shared" si="162"/>
        <v>23382601.919999998</v>
      </c>
      <c r="AE294" s="66">
        <f t="shared" si="150"/>
        <v>3.1999999999999806E-2</v>
      </c>
      <c r="AF294" s="67">
        <f t="shared" si="163"/>
        <v>23382601.919999998</v>
      </c>
      <c r="AG294" s="67">
        <f t="shared" si="176"/>
        <v>1.0000000000000004</v>
      </c>
      <c r="AH294" s="67">
        <f t="shared" si="165"/>
        <v>23382601.920000009</v>
      </c>
      <c r="AI294" s="67">
        <f t="shared" si="148"/>
        <v>41.785997710813731</v>
      </c>
      <c r="AJ294" s="67">
        <f t="shared" si="149"/>
        <v>0</v>
      </c>
      <c r="AK294" s="66">
        <f t="shared" si="151"/>
        <v>3.2000000000000473E-2</v>
      </c>
    </row>
    <row r="295" spans="1:37" ht="12.75" customHeight="1" x14ac:dyDescent="0.25">
      <c r="A295" s="55" t="s">
        <v>596</v>
      </c>
      <c r="B295" s="55" t="s">
        <v>376</v>
      </c>
      <c r="C295" s="55" t="s">
        <v>387</v>
      </c>
      <c r="D295" s="128">
        <v>2020</v>
      </c>
      <c r="E295" s="55" t="s">
        <v>676</v>
      </c>
      <c r="F295" s="57">
        <f>SIM_Parametres!$C$26</f>
        <v>1267670376.576</v>
      </c>
      <c r="G295" s="129">
        <f>SIM_Districts!D11*(1+SIM_Parametres!$B$6)^(2020-2023)</f>
        <v>269647.40507006785</v>
      </c>
      <c r="H295" s="129">
        <f>MAX(0,MIN(100,SIM_Districts!F11+(2020-2022)*SIM_Parametres!$B$7))</f>
        <v>10.96</v>
      </c>
      <c r="I295" s="129">
        <f>SIM_Districts!G11*(1+SIM_Parametres!$B$8)^(2020-2023)</f>
        <v>48.158885796018225</v>
      </c>
      <c r="J295" s="129">
        <f>SIM_Districts!H11*(1+SIM_Parametres!$B$9)^(2020-2023)</f>
        <v>14.266117969821671</v>
      </c>
      <c r="K295" s="129">
        <f>MAX(0,MIN(100,SIM_Districts!I11+(2020-2023)*SIM_Parametres!$B$10))</f>
        <v>92.9</v>
      </c>
      <c r="L295" s="129">
        <f>SIM_Districts!E11</f>
        <v>34</v>
      </c>
      <c r="M295" s="68">
        <f t="shared" si="145"/>
        <v>7930.8060314725835</v>
      </c>
      <c r="N295" s="129">
        <f>N224*(1+SIM_Parametres!$B$6)/(1+SIM_Parametres!$B$11)</f>
        <v>73189</v>
      </c>
      <c r="O295" s="72"/>
      <c r="P295" s="130">
        <f>SIM_Parametres!$D$26</f>
        <v>0</v>
      </c>
      <c r="Q295" s="130">
        <f>SIM_Parametres!$B$12</f>
        <v>0.2</v>
      </c>
      <c r="R295" s="59">
        <f t="shared" si="166"/>
        <v>1.6255362072134835E-2</v>
      </c>
      <c r="S295" s="59">
        <f t="shared" si="167"/>
        <v>0</v>
      </c>
      <c r="T295" s="59">
        <f t="shared" si="168"/>
        <v>0.50276243093922646</v>
      </c>
      <c r="U295" s="59">
        <f t="shared" si="169"/>
        <v>0.37834067197086158</v>
      </c>
      <c r="V295" s="59">
        <f t="shared" si="170"/>
        <v>9.5544805280436421E-2</v>
      </c>
      <c r="W295" s="59">
        <f t="shared" si="171"/>
        <v>0</v>
      </c>
      <c r="X295" s="59">
        <f t="shared" si="172"/>
        <v>9.9491608812113923E-3</v>
      </c>
      <c r="Y295" s="59">
        <f t="shared" si="173"/>
        <v>9.6664942490006407E-3</v>
      </c>
      <c r="Z295" s="59">
        <f t="shared" si="174"/>
        <v>3.506814418545408E-3</v>
      </c>
      <c r="AA295" s="59">
        <f t="shared" si="146"/>
        <v>1.1904256808839912E-2</v>
      </c>
      <c r="AB295" s="59">
        <f t="shared" si="175"/>
        <v>1.2725641322922285E-2</v>
      </c>
      <c r="AC295" s="60">
        <f t="shared" si="147"/>
        <v>15643441.438603772</v>
      </c>
      <c r="AD295" s="60">
        <f t="shared" si="162"/>
        <v>16131918.528000001</v>
      </c>
      <c r="AE295" s="59">
        <f t="shared" si="150"/>
        <v>3.2000000000000028E-2</v>
      </c>
      <c r="AF295" s="60">
        <f t="shared" si="163"/>
        <v>16131918.528000001</v>
      </c>
      <c r="AG295" s="60">
        <f t="shared" si="176"/>
        <v>1.0000000000000004</v>
      </c>
      <c r="AH295" s="60">
        <f t="shared" si="165"/>
        <v>16131918.528000008</v>
      </c>
      <c r="AI295" s="60">
        <f t="shared" si="148"/>
        <v>59.825973566510427</v>
      </c>
      <c r="AJ295" s="60">
        <f t="shared" si="149"/>
        <v>0</v>
      </c>
      <c r="AK295" s="59">
        <f t="shared" si="151"/>
        <v>3.2000000000000473E-2</v>
      </c>
    </row>
    <row r="296" spans="1:37" ht="12.75" customHeight="1" x14ac:dyDescent="0.25">
      <c r="A296" s="62" t="s">
        <v>597</v>
      </c>
      <c r="B296" s="62" t="s">
        <v>376</v>
      </c>
      <c r="C296" s="62" t="s">
        <v>388</v>
      </c>
      <c r="D296" s="124">
        <v>2020</v>
      </c>
      <c r="E296" s="62" t="s">
        <v>676</v>
      </c>
      <c r="F296" s="64">
        <f>SIM_Parametres!$C$26</f>
        <v>1267670376.576</v>
      </c>
      <c r="G296" s="125">
        <f>SIM_Districts!D12*(1+SIM_Parametres!$B$6)^(2020-2023)</f>
        <v>419400.27106495952</v>
      </c>
      <c r="H296" s="125">
        <f>MAX(0,MIN(100,SIM_Districts!F12+(2020-2022)*SIM_Parametres!$B$7))</f>
        <v>10.96</v>
      </c>
      <c r="I296" s="125">
        <f>SIM_Districts!G12*(1+SIM_Parametres!$B$8)^(2020-2023)</f>
        <v>48.158885796018225</v>
      </c>
      <c r="J296" s="125">
        <f>SIM_Districts!H12*(1+SIM_Parametres!$B$9)^(2020-2023)</f>
        <v>14.266117969821671</v>
      </c>
      <c r="K296" s="125">
        <f>MAX(0,MIN(100,SIM_Districts!I12+(2020-2023)*SIM_Parametres!$B$10))</f>
        <v>92.9</v>
      </c>
      <c r="L296" s="125">
        <f>SIM_Districts!E12</f>
        <v>18</v>
      </c>
      <c r="M296" s="61">
        <f t="shared" si="145"/>
        <v>23300.01505916442</v>
      </c>
      <c r="N296" s="125">
        <f>N225*(1+SIM_Parametres!$B$6)/(1+SIM_Parametres!$B$11)</f>
        <v>73189</v>
      </c>
      <c r="O296" s="132"/>
      <c r="P296" s="126">
        <f>SIM_Parametres!$D$26</f>
        <v>0</v>
      </c>
      <c r="Q296" s="126">
        <f>SIM_Parametres!$B$12</f>
        <v>0.2</v>
      </c>
      <c r="R296" s="66">
        <f t="shared" si="166"/>
        <v>2.528302936028954E-2</v>
      </c>
      <c r="S296" s="66">
        <f t="shared" si="167"/>
        <v>0</v>
      </c>
      <c r="T296" s="66">
        <f t="shared" si="168"/>
        <v>0.50276243093922646</v>
      </c>
      <c r="U296" s="66">
        <f t="shared" si="169"/>
        <v>0.14026621640536643</v>
      </c>
      <c r="V296" s="66">
        <f t="shared" si="170"/>
        <v>9.5544805280436421E-2</v>
      </c>
      <c r="W296" s="66">
        <f t="shared" si="171"/>
        <v>0</v>
      </c>
      <c r="X296" s="66">
        <f t="shared" si="172"/>
        <v>9.9491608812113923E-3</v>
      </c>
      <c r="Y296" s="66">
        <f t="shared" si="173"/>
        <v>3.5837610774132663E-3</v>
      </c>
      <c r="Z296" s="66">
        <f t="shared" si="174"/>
        <v>3.506814418545408E-3</v>
      </c>
      <c r="AA296" s="66">
        <f t="shared" si="146"/>
        <v>1.7016720523153363E-2</v>
      </c>
      <c r="AB296" s="66">
        <f t="shared" si="175"/>
        <v>1.7623673204657079E-2</v>
      </c>
      <c r="AC296" s="67">
        <f t="shared" si="147"/>
        <v>20828176.480167668</v>
      </c>
      <c r="AD296" s="67">
        <f t="shared" si="162"/>
        <v>22341008.447999999</v>
      </c>
      <c r="AE296" s="66">
        <f t="shared" si="150"/>
        <v>3.2000000000000028E-2</v>
      </c>
      <c r="AF296" s="67">
        <f t="shared" si="163"/>
        <v>22341008.447999999</v>
      </c>
      <c r="AG296" s="67">
        <f t="shared" si="176"/>
        <v>1.0000000000000004</v>
      </c>
      <c r="AH296" s="67">
        <f t="shared" si="165"/>
        <v>22341008.44800001</v>
      </c>
      <c r="AI296" s="67">
        <f t="shared" si="148"/>
        <v>53.268941365418634</v>
      </c>
      <c r="AJ296" s="67">
        <f t="shared" si="149"/>
        <v>0</v>
      </c>
      <c r="AK296" s="66">
        <f t="shared" si="151"/>
        <v>3.2000000000000473E-2</v>
      </c>
    </row>
    <row r="297" spans="1:37" ht="12.75" customHeight="1" x14ac:dyDescent="0.25">
      <c r="A297" s="55" t="s">
        <v>598</v>
      </c>
      <c r="B297" s="55" t="s">
        <v>376</v>
      </c>
      <c r="C297" s="55" t="s">
        <v>389</v>
      </c>
      <c r="D297" s="128">
        <v>2020</v>
      </c>
      <c r="E297" s="55" t="s">
        <v>676</v>
      </c>
      <c r="F297" s="57">
        <f>SIM_Parametres!$C$26</f>
        <v>1267670376.576</v>
      </c>
      <c r="G297" s="129">
        <f>SIM_Districts!D13*(1+SIM_Parametres!$B$6)^(2020-2023)</f>
        <v>460187.21968067047</v>
      </c>
      <c r="H297" s="129">
        <f>MAX(0,MIN(100,SIM_Districts!F13+(2020-2022)*SIM_Parametres!$B$7))</f>
        <v>10.96</v>
      </c>
      <c r="I297" s="129">
        <f>SIM_Districts!G13*(1+SIM_Parametres!$B$8)^(2020-2023)</f>
        <v>48.158885796018225</v>
      </c>
      <c r="J297" s="129">
        <f>SIM_Districts!H13*(1+SIM_Parametres!$B$9)^(2020-2023)</f>
        <v>14.266117969821671</v>
      </c>
      <c r="K297" s="129">
        <f>MAX(0,MIN(100,SIM_Districts!I13+(2020-2023)*SIM_Parametres!$B$10))</f>
        <v>92.9</v>
      </c>
      <c r="L297" s="129">
        <f>SIM_Districts!E13</f>
        <v>203</v>
      </c>
      <c r="M297" s="68">
        <f t="shared" si="145"/>
        <v>2266.9321166535492</v>
      </c>
      <c r="N297" s="129">
        <f>N226*(1+SIM_Parametres!$B$6)/(1+SIM_Parametres!$B$11)</f>
        <v>73189</v>
      </c>
      <c r="O297" s="72"/>
      <c r="P297" s="130">
        <f>SIM_Parametres!$D$26</f>
        <v>0</v>
      </c>
      <c r="Q297" s="130">
        <f>SIM_Parametres!$B$12</f>
        <v>0.2</v>
      </c>
      <c r="R297" s="59">
        <f t="shared" si="166"/>
        <v>2.7741820378113936E-2</v>
      </c>
      <c r="S297" s="59">
        <f t="shared" si="167"/>
        <v>0</v>
      </c>
      <c r="T297" s="59">
        <f t="shared" si="168"/>
        <v>0.50276243093922646</v>
      </c>
      <c r="U297" s="59">
        <f t="shared" si="169"/>
        <v>0.47172605328939687</v>
      </c>
      <c r="V297" s="59">
        <f t="shared" si="170"/>
        <v>9.5544805280436421E-2</v>
      </c>
      <c r="W297" s="59">
        <f t="shared" si="171"/>
        <v>0</v>
      </c>
      <c r="X297" s="59">
        <f t="shared" si="172"/>
        <v>9.9491608812113923E-3</v>
      </c>
      <c r="Y297" s="59">
        <f t="shared" si="173"/>
        <v>1.2052463610301233E-2</v>
      </c>
      <c r="Z297" s="59">
        <f t="shared" si="174"/>
        <v>3.506814418545408E-3</v>
      </c>
      <c r="AA297" s="59">
        <f t="shared" si="146"/>
        <v>1.8915430260492399E-2</v>
      </c>
      <c r="AB297" s="59">
        <f t="shared" si="175"/>
        <v>1.9934905744391627E-2</v>
      </c>
      <c r="AC297" s="60">
        <f t="shared" si="147"/>
        <v>22753726.95036054</v>
      </c>
      <c r="AD297" s="60">
        <f t="shared" si="162"/>
        <v>25270889.471999999</v>
      </c>
      <c r="AE297" s="59">
        <f t="shared" si="150"/>
        <v>3.2000000000000028E-2</v>
      </c>
      <c r="AF297" s="60">
        <f t="shared" si="163"/>
        <v>25270889.471999999</v>
      </c>
      <c r="AG297" s="60">
        <f t="shared" si="176"/>
        <v>1.0000000000000004</v>
      </c>
      <c r="AH297" s="60">
        <f t="shared" si="165"/>
        <v>25270889.47200001</v>
      </c>
      <c r="AI297" s="60">
        <f t="shared" si="148"/>
        <v>54.914366134582764</v>
      </c>
      <c r="AJ297" s="60">
        <f t="shared" si="149"/>
        <v>0</v>
      </c>
      <c r="AK297" s="59">
        <f t="shared" si="151"/>
        <v>3.2000000000000473E-2</v>
      </c>
    </row>
    <row r="298" spans="1:37" ht="12.75" customHeight="1" x14ac:dyDescent="0.25">
      <c r="A298" s="62" t="s">
        <v>599</v>
      </c>
      <c r="B298" s="62" t="s">
        <v>390</v>
      </c>
      <c r="C298" s="62" t="s">
        <v>392</v>
      </c>
      <c r="D298" s="124">
        <v>2020</v>
      </c>
      <c r="E298" s="62" t="s">
        <v>676</v>
      </c>
      <c r="F298" s="64">
        <f>SIM_Parametres!$C$26</f>
        <v>1267670376.576</v>
      </c>
      <c r="G298" s="125">
        <f>SIM_Districts!D14*(1+SIM_Parametres!$B$6)^(2020-2023)</f>
        <v>794387.8022598509</v>
      </c>
      <c r="H298" s="125">
        <f>MAX(0,MIN(100,SIM_Districts!F14+(2020-2022)*SIM_Parametres!$B$7))</f>
        <v>39.059999999999995</v>
      </c>
      <c r="I298" s="125">
        <f>SIM_Districts!G14*(1+SIM_Parametres!$B$8)^(2020-2023)</f>
        <v>48.158885796018225</v>
      </c>
      <c r="J298" s="125">
        <f>SIM_Districts!H14*(1+SIM_Parametres!$B$9)^(2020-2023)</f>
        <v>24.005486968449929</v>
      </c>
      <c r="K298" s="125">
        <f>MAX(0,MIN(100,SIM_Districts!I14+(2020-2023)*SIM_Parametres!$B$10))</f>
        <v>88.2</v>
      </c>
      <c r="L298" s="125">
        <f>SIM_Districts!E14</f>
        <v>1335</v>
      </c>
      <c r="M298" s="61">
        <f t="shared" si="145"/>
        <v>595.04704289127403</v>
      </c>
      <c r="N298" s="125">
        <f>N227*(1+SIM_Parametres!$B$6)/(1+SIM_Parametres!$B$11)</f>
        <v>203502</v>
      </c>
      <c r="O298" s="132"/>
      <c r="P298" s="126">
        <f>SIM_Parametres!$D$26</f>
        <v>0</v>
      </c>
      <c r="Q298" s="126">
        <f>SIM_Parametres!$B$12</f>
        <v>0.2</v>
      </c>
      <c r="R298" s="66">
        <f t="shared" si="166"/>
        <v>4.7888691337733692E-2</v>
      </c>
      <c r="S298" s="66">
        <f t="shared" si="167"/>
        <v>0.49822695035460984</v>
      </c>
      <c r="T298" s="66">
        <f t="shared" si="168"/>
        <v>0.69889502762430944</v>
      </c>
      <c r="U298" s="66">
        <f t="shared" si="169"/>
        <v>0.53677681892865114</v>
      </c>
      <c r="V298" s="66">
        <f t="shared" si="170"/>
        <v>1</v>
      </c>
      <c r="W298" s="66">
        <f t="shared" si="171"/>
        <v>1.1879095328683151E-2</v>
      </c>
      <c r="X298" s="66">
        <f t="shared" si="172"/>
        <v>1.3830426939266388E-2</v>
      </c>
      <c r="Y298" s="66">
        <f t="shared" si="173"/>
        <v>1.3714491773092488E-2</v>
      </c>
      <c r="Z298" s="66">
        <f t="shared" si="174"/>
        <v>3.6703349891733537E-2</v>
      </c>
      <c r="AA298" s="66">
        <f t="shared" si="146"/>
        <v>3.5110535226073943E-2</v>
      </c>
      <c r="AB298" s="66">
        <f t="shared" si="175"/>
        <v>1.3175957804673545E-2</v>
      </c>
      <c r="AC298" s="67">
        <f t="shared" si="147"/>
        <v>39177770.798685826</v>
      </c>
      <c r="AD298" s="67">
        <f t="shared" si="162"/>
        <v>16702771.391999999</v>
      </c>
      <c r="AE298" s="66">
        <f t="shared" si="150"/>
        <v>3.2000000000000028E-2</v>
      </c>
      <c r="AF298" s="67">
        <f t="shared" si="163"/>
        <v>16702771.391999999</v>
      </c>
      <c r="AG298" s="67">
        <f t="shared" si="176"/>
        <v>1.0000000000000004</v>
      </c>
      <c r="AH298" s="67">
        <f t="shared" si="165"/>
        <v>16702771.392000007</v>
      </c>
      <c r="AI298" s="67">
        <f t="shared" si="148"/>
        <v>21.025966592745327</v>
      </c>
      <c r="AJ298" s="67">
        <f t="shared" si="149"/>
        <v>0</v>
      </c>
      <c r="AK298" s="66">
        <f t="shared" si="151"/>
        <v>3.2000000000000473E-2</v>
      </c>
    </row>
    <row r="299" spans="1:37" ht="12.75" customHeight="1" x14ac:dyDescent="0.25">
      <c r="A299" s="55" t="s">
        <v>601</v>
      </c>
      <c r="B299" s="55" t="s">
        <v>390</v>
      </c>
      <c r="C299" s="55" t="s">
        <v>390</v>
      </c>
      <c r="D299" s="128">
        <v>2020</v>
      </c>
      <c r="E299" s="55" t="s">
        <v>676</v>
      </c>
      <c r="F299" s="57">
        <f>SIM_Parametres!$C$26</f>
        <v>1267670376.576</v>
      </c>
      <c r="G299" s="129">
        <f>SIM_Districts!D15*(1+SIM_Parametres!$B$6)^(2020-2023)</f>
        <v>711463.15593922359</v>
      </c>
      <c r="H299" s="129">
        <f>MAX(0,MIN(100,SIM_Districts!F15+(2020-2022)*SIM_Parametres!$B$7))</f>
        <v>39.059999999999995</v>
      </c>
      <c r="I299" s="129">
        <f>SIM_Districts!G15*(1+SIM_Parametres!$B$8)^(2020-2023)</f>
        <v>48.158885796018225</v>
      </c>
      <c r="J299" s="129">
        <f>SIM_Districts!H15*(1+SIM_Parametres!$B$9)^(2020-2023)</f>
        <v>24.005486968449929</v>
      </c>
      <c r="K299" s="129">
        <f>MAX(0,MIN(100,SIM_Districts!I15+(2020-2023)*SIM_Parametres!$B$10))</f>
        <v>88.2</v>
      </c>
      <c r="L299" s="129">
        <f>SIM_Districts!E15</f>
        <v>1292</v>
      </c>
      <c r="M299" s="68">
        <f t="shared" si="145"/>
        <v>550.66807735234022</v>
      </c>
      <c r="N299" s="129">
        <f>N228*(1+SIM_Parametres!$B$6)/(1+SIM_Parametres!$B$11)</f>
        <v>203502</v>
      </c>
      <c r="O299" s="72"/>
      <c r="P299" s="130">
        <f>SIM_Parametres!$D$26</f>
        <v>0</v>
      </c>
      <c r="Q299" s="130">
        <f>SIM_Parametres!$B$12</f>
        <v>0.2</v>
      </c>
      <c r="R299" s="59">
        <f t="shared" si="166"/>
        <v>4.2889681055045266E-2</v>
      </c>
      <c r="S299" s="59">
        <f t="shared" si="167"/>
        <v>0.49822695035460984</v>
      </c>
      <c r="T299" s="59">
        <f t="shared" si="168"/>
        <v>0.69889502762430944</v>
      </c>
      <c r="U299" s="59">
        <f t="shared" si="169"/>
        <v>0.53597312572887268</v>
      </c>
      <c r="V299" s="59">
        <f t="shared" si="170"/>
        <v>1</v>
      </c>
      <c r="W299" s="59">
        <f t="shared" si="171"/>
        <v>1.1879095328683151E-2</v>
      </c>
      <c r="X299" s="59">
        <f t="shared" si="172"/>
        <v>1.3830426939266388E-2</v>
      </c>
      <c r="Y299" s="59">
        <f t="shared" si="173"/>
        <v>1.3693957645336279E-2</v>
      </c>
      <c r="Z299" s="59">
        <f t="shared" si="174"/>
        <v>3.6703349891733537E-2</v>
      </c>
      <c r="AA299" s="59">
        <f t="shared" si="146"/>
        <v>3.2110102350073083E-2</v>
      </c>
      <c r="AB299" s="59">
        <f t="shared" si="175"/>
        <v>1.3421279470105203E-2</v>
      </c>
      <c r="AC299" s="60">
        <f t="shared" si="147"/>
        <v>36134922.899637006</v>
      </c>
      <c r="AD299" s="60">
        <f t="shared" si="162"/>
        <v>17013758.399999999</v>
      </c>
      <c r="AE299" s="59">
        <f t="shared" si="150"/>
        <v>3.1999999999999806E-2</v>
      </c>
      <c r="AF299" s="60">
        <f t="shared" si="163"/>
        <v>17013758.399999999</v>
      </c>
      <c r="AG299" s="60">
        <f t="shared" si="176"/>
        <v>1.0000000000000004</v>
      </c>
      <c r="AH299" s="60">
        <f t="shared" si="165"/>
        <v>17013758.400000006</v>
      </c>
      <c r="AI299" s="60">
        <f t="shared" si="148"/>
        <v>23.91375893181656</v>
      </c>
      <c r="AJ299" s="60">
        <f t="shared" si="149"/>
        <v>0</v>
      </c>
      <c r="AK299" s="59">
        <f t="shared" si="151"/>
        <v>3.2000000000000473E-2</v>
      </c>
    </row>
    <row r="300" spans="1:37" ht="12.75" customHeight="1" x14ac:dyDescent="0.25">
      <c r="A300" s="62" t="s">
        <v>602</v>
      </c>
      <c r="B300" s="62" t="s">
        <v>390</v>
      </c>
      <c r="C300" s="62" t="s">
        <v>393</v>
      </c>
      <c r="D300" s="124">
        <v>2020</v>
      </c>
      <c r="E300" s="62" t="s">
        <v>676</v>
      </c>
      <c r="F300" s="64">
        <f>SIM_Parametres!$C$26</f>
        <v>1267670376.576</v>
      </c>
      <c r="G300" s="125">
        <f>SIM_Districts!D16*(1+SIM_Parametres!$B$6)^(2020-2023)</f>
        <v>397948.4354280621</v>
      </c>
      <c r="H300" s="125">
        <f>MAX(0,MIN(100,SIM_Districts!F16+(2020-2022)*SIM_Parametres!$B$7))</f>
        <v>39.059999999999995</v>
      </c>
      <c r="I300" s="125">
        <f>SIM_Districts!G16*(1+SIM_Parametres!$B$8)^(2020-2023)</f>
        <v>48.158885796018225</v>
      </c>
      <c r="J300" s="125">
        <f>SIM_Districts!H16*(1+SIM_Parametres!$B$9)^(2020-2023)</f>
        <v>24.005486968449929</v>
      </c>
      <c r="K300" s="125">
        <f>MAX(0,MIN(100,SIM_Districts!I16+(2020-2023)*SIM_Parametres!$B$10))</f>
        <v>88.2</v>
      </c>
      <c r="L300" s="125">
        <f>SIM_Districts!E16</f>
        <v>1729</v>
      </c>
      <c r="M300" s="61">
        <f t="shared" si="145"/>
        <v>230.1610384199318</v>
      </c>
      <c r="N300" s="125">
        <f>N229*(1+SIM_Parametres!$B$6)/(1+SIM_Parametres!$B$11)</f>
        <v>203502</v>
      </c>
      <c r="O300" s="132"/>
      <c r="P300" s="126">
        <f>SIM_Parametres!$D$26</f>
        <v>0</v>
      </c>
      <c r="Q300" s="126">
        <f>SIM_Parametres!$B$12</f>
        <v>0.2</v>
      </c>
      <c r="R300" s="66">
        <f t="shared" si="166"/>
        <v>2.3989831840739589E-2</v>
      </c>
      <c r="S300" s="66">
        <f t="shared" si="167"/>
        <v>0.49822695035460984</v>
      </c>
      <c r="T300" s="66">
        <f t="shared" si="168"/>
        <v>0.69889502762430944</v>
      </c>
      <c r="U300" s="66">
        <f t="shared" si="169"/>
        <v>0.55606420327741424</v>
      </c>
      <c r="V300" s="66">
        <f t="shared" si="170"/>
        <v>1</v>
      </c>
      <c r="W300" s="66">
        <f t="shared" si="171"/>
        <v>1.1879095328683151E-2</v>
      </c>
      <c r="X300" s="66">
        <f t="shared" si="172"/>
        <v>1.3830426939266388E-2</v>
      </c>
      <c r="Y300" s="66">
        <f t="shared" si="173"/>
        <v>1.4207278839612111E-2</v>
      </c>
      <c r="Z300" s="66">
        <f t="shared" si="174"/>
        <v>3.6703349891733537E-2</v>
      </c>
      <c r="AA300" s="66">
        <f t="shared" si="146"/>
        <v>2.0795858881203465E-2</v>
      </c>
      <c r="AB300" s="66">
        <f t="shared" si="175"/>
        <v>1.2249280417786158E-2</v>
      </c>
      <c r="AC300" s="67">
        <f t="shared" si="147"/>
        <v>24660737.876553409</v>
      </c>
      <c r="AD300" s="67">
        <f t="shared" si="162"/>
        <v>15528049.92</v>
      </c>
      <c r="AE300" s="66">
        <f t="shared" si="150"/>
        <v>3.1999999999999806E-2</v>
      </c>
      <c r="AF300" s="67">
        <f t="shared" si="163"/>
        <v>15528049.92</v>
      </c>
      <c r="AG300" s="67">
        <f t="shared" si="176"/>
        <v>1.0000000000000004</v>
      </c>
      <c r="AH300" s="67">
        <f t="shared" si="165"/>
        <v>15528049.920000007</v>
      </c>
      <c r="AI300" s="67">
        <f t="shared" si="148"/>
        <v>39.020256238215673</v>
      </c>
      <c r="AJ300" s="67">
        <f t="shared" si="149"/>
        <v>0</v>
      </c>
      <c r="AK300" s="66">
        <f t="shared" si="151"/>
        <v>3.2000000000000473E-2</v>
      </c>
    </row>
    <row r="301" spans="1:37" ht="12.75" customHeight="1" x14ac:dyDescent="0.25">
      <c r="A301" s="55" t="s">
        <v>603</v>
      </c>
      <c r="B301" s="55" t="s">
        <v>394</v>
      </c>
      <c r="C301" s="55" t="s">
        <v>396</v>
      </c>
      <c r="D301" s="128">
        <v>2020</v>
      </c>
      <c r="E301" s="55" t="s">
        <v>676</v>
      </c>
      <c r="F301" s="57">
        <f>SIM_Parametres!$C$26</f>
        <v>1267670376.576</v>
      </c>
      <c r="G301" s="129">
        <f>SIM_Districts!D17*(1+SIM_Parametres!$B$6)^(2020-2023)</f>
        <v>88184.88057858916</v>
      </c>
      <c r="H301" s="129">
        <f>MAX(0,MIN(100,SIM_Districts!F17+(2020-2022)*SIM_Parametres!$B$7))</f>
        <v>48.16</v>
      </c>
      <c r="I301" s="129">
        <f>SIM_Districts!G17*(1+SIM_Parametres!$B$8)^(2020-2023)</f>
        <v>48.158885796018225</v>
      </c>
      <c r="J301" s="129">
        <f>SIM_Districts!H17*(1+SIM_Parametres!$B$9)^(2020-2023)</f>
        <v>21.810699588477362</v>
      </c>
      <c r="K301" s="129">
        <f>MAX(0,MIN(100,SIM_Districts!I17+(2020-2023)*SIM_Parametres!$B$10))</f>
        <v>85.5</v>
      </c>
      <c r="L301" s="129">
        <f>SIM_Districts!E17</f>
        <v>978</v>
      </c>
      <c r="M301" s="68">
        <f t="shared" si="145"/>
        <v>90.168589548659668</v>
      </c>
      <c r="N301" s="129">
        <f>N230*(1+SIM_Parametres!$B$6)/(1+SIM_Parametres!$B$11)</f>
        <v>95110</v>
      </c>
      <c r="O301" s="72"/>
      <c r="P301" s="130">
        <f>SIM_Parametres!$D$26</f>
        <v>0</v>
      </c>
      <c r="Q301" s="130">
        <f>SIM_Parametres!$B$12</f>
        <v>0.2</v>
      </c>
      <c r="R301" s="59">
        <f t="shared" si="166"/>
        <v>5.3161170333549069E-3</v>
      </c>
      <c r="S301" s="59">
        <f t="shared" si="167"/>
        <v>0.65957446808510634</v>
      </c>
      <c r="T301" s="59">
        <f t="shared" si="168"/>
        <v>0.65469613259668502</v>
      </c>
      <c r="U301" s="59">
        <f t="shared" si="169"/>
        <v>0.53221272247018292</v>
      </c>
      <c r="V301" s="59">
        <f t="shared" si="170"/>
        <v>0.24769050312675686</v>
      </c>
      <c r="W301" s="59">
        <f t="shared" si="171"/>
        <v>1.5726062143310078E-2</v>
      </c>
      <c r="X301" s="59">
        <f t="shared" si="172"/>
        <v>1.2955775433225824E-2</v>
      </c>
      <c r="Y301" s="59">
        <f t="shared" si="173"/>
        <v>1.3597880434592077E-2</v>
      </c>
      <c r="Z301" s="59">
        <f t="shared" si="174"/>
        <v>9.0910712011208778E-3</v>
      </c>
      <c r="AA301" s="59">
        <f t="shared" si="146"/>
        <v>8.6263934382789752E-3</v>
      </c>
      <c r="AB301" s="59">
        <f t="shared" si="175"/>
        <v>1.1797283650655228E-2</v>
      </c>
      <c r="AC301" s="60">
        <f t="shared" si="147"/>
        <v>12319241.203944845</v>
      </c>
      <c r="AD301" s="60">
        <f t="shared" si="162"/>
        <v>14955067.008000001</v>
      </c>
      <c r="AE301" s="59">
        <f t="shared" si="150"/>
        <v>3.2000000000000028E-2</v>
      </c>
      <c r="AF301" s="60">
        <f t="shared" si="163"/>
        <v>14955067.008000001</v>
      </c>
      <c r="AG301" s="60">
        <f t="shared" si="176"/>
        <v>1.0000000000000004</v>
      </c>
      <c r="AH301" s="60">
        <f t="shared" si="165"/>
        <v>14955067.008000009</v>
      </c>
      <c r="AI301" s="60">
        <f t="shared" si="148"/>
        <v>169.58765391389579</v>
      </c>
      <c r="AJ301" s="60">
        <f t="shared" si="149"/>
        <v>0</v>
      </c>
      <c r="AK301" s="59">
        <f t="shared" si="151"/>
        <v>3.2000000000000695E-2</v>
      </c>
    </row>
    <row r="302" spans="1:37" ht="12.75" customHeight="1" x14ac:dyDescent="0.25">
      <c r="A302" s="62" t="s">
        <v>605</v>
      </c>
      <c r="B302" s="62" t="s">
        <v>394</v>
      </c>
      <c r="C302" s="62" t="s">
        <v>394</v>
      </c>
      <c r="D302" s="124">
        <v>2020</v>
      </c>
      <c r="E302" s="62" t="s">
        <v>676</v>
      </c>
      <c r="F302" s="64">
        <f>SIM_Parametres!$C$26</f>
        <v>1267670376.576</v>
      </c>
      <c r="G302" s="125">
        <f>SIM_Districts!D18*(1+SIM_Parametres!$B$6)^(2020-2023)</f>
        <v>215565.27842727417</v>
      </c>
      <c r="H302" s="125">
        <f>MAX(0,MIN(100,SIM_Districts!F18+(2020-2022)*SIM_Parametres!$B$7))</f>
        <v>48.16</v>
      </c>
      <c r="I302" s="125">
        <f>SIM_Districts!G18*(1+SIM_Parametres!$B$8)^(2020-2023)</f>
        <v>48.158885796018225</v>
      </c>
      <c r="J302" s="125">
        <f>SIM_Districts!H18*(1+SIM_Parametres!$B$9)^(2020-2023)</f>
        <v>21.810699588477362</v>
      </c>
      <c r="K302" s="125">
        <f>MAX(0,MIN(100,SIM_Districts!I18+(2020-2023)*SIM_Parametres!$B$10))</f>
        <v>85.5</v>
      </c>
      <c r="L302" s="125">
        <f>SIM_Districts!E18</f>
        <v>1155</v>
      </c>
      <c r="M302" s="61">
        <f t="shared" si="145"/>
        <v>186.63660469893867</v>
      </c>
      <c r="N302" s="125">
        <f>N231*(1+SIM_Parametres!$B$6)/(1+SIM_Parametres!$B$11)</f>
        <v>95110</v>
      </c>
      <c r="O302" s="132"/>
      <c r="P302" s="126">
        <f>SIM_Parametres!$D$26</f>
        <v>0</v>
      </c>
      <c r="Q302" s="126">
        <f>SIM_Parametres!$B$12</f>
        <v>0.2</v>
      </c>
      <c r="R302" s="66">
        <f t="shared" si="166"/>
        <v>1.2995087603774122E-2</v>
      </c>
      <c r="S302" s="66">
        <f t="shared" si="167"/>
        <v>0.65957446808510634</v>
      </c>
      <c r="T302" s="66">
        <f t="shared" si="168"/>
        <v>0.65469613259668502</v>
      </c>
      <c r="U302" s="66">
        <f t="shared" si="169"/>
        <v>0.53685323433738241</v>
      </c>
      <c r="V302" s="66">
        <f t="shared" si="170"/>
        <v>0.24769050312675686</v>
      </c>
      <c r="W302" s="66">
        <f t="shared" si="171"/>
        <v>1.5726062143310078E-2</v>
      </c>
      <c r="X302" s="66">
        <f t="shared" si="172"/>
        <v>1.2955775433225824E-2</v>
      </c>
      <c r="Y302" s="66">
        <f t="shared" si="173"/>
        <v>1.3716444164584495E-2</v>
      </c>
      <c r="Z302" s="66">
        <f t="shared" si="174"/>
        <v>9.0910712011208778E-3</v>
      </c>
      <c r="AA302" s="66">
        <f t="shared" si="146"/>
        <v>1.3239703967030126E-2</v>
      </c>
      <c r="AB302" s="66">
        <f t="shared" si="175"/>
        <v>1.3643077140221496E-2</v>
      </c>
      <c r="AC302" s="67">
        <f t="shared" si="147"/>
        <v>16997766.880140044</v>
      </c>
      <c r="AD302" s="67">
        <f t="shared" si="162"/>
        <v>17294924.736000001</v>
      </c>
      <c r="AE302" s="66">
        <f t="shared" si="150"/>
        <v>3.2000000000000028E-2</v>
      </c>
      <c r="AF302" s="67">
        <f t="shared" si="163"/>
        <v>17294924.736000001</v>
      </c>
      <c r="AG302" s="67">
        <f t="shared" si="176"/>
        <v>1.0000000000000004</v>
      </c>
      <c r="AH302" s="67">
        <f t="shared" si="165"/>
        <v>17294924.736000009</v>
      </c>
      <c r="AI302" s="67">
        <f t="shared" si="148"/>
        <v>80.230568031088751</v>
      </c>
      <c r="AJ302" s="67">
        <f t="shared" si="149"/>
        <v>0</v>
      </c>
      <c r="AK302" s="66">
        <f t="shared" si="151"/>
        <v>3.2000000000000473E-2</v>
      </c>
    </row>
    <row r="303" spans="1:37" ht="12.75" customHeight="1" x14ac:dyDescent="0.25">
      <c r="A303" s="55" t="s">
        <v>606</v>
      </c>
      <c r="B303" s="55" t="s">
        <v>394</v>
      </c>
      <c r="C303" s="55" t="s">
        <v>397</v>
      </c>
      <c r="D303" s="128">
        <v>2020</v>
      </c>
      <c r="E303" s="55" t="s">
        <v>676</v>
      </c>
      <c r="F303" s="57">
        <f>SIM_Parametres!$C$26</f>
        <v>1267670376.576</v>
      </c>
      <c r="G303" s="129">
        <f>SIM_Districts!D19*(1+SIM_Parametres!$B$6)^(2020-2023)</f>
        <v>58897.602054310002</v>
      </c>
      <c r="H303" s="129">
        <f>MAX(0,MIN(100,SIM_Districts!F19+(2020-2022)*SIM_Parametres!$B$7))</f>
        <v>48.16</v>
      </c>
      <c r="I303" s="129">
        <f>SIM_Districts!G19*(1+SIM_Parametres!$B$8)^(2020-2023)</f>
        <v>48.158885796018225</v>
      </c>
      <c r="J303" s="129">
        <f>SIM_Districts!H19*(1+SIM_Parametres!$B$9)^(2020-2023)</f>
        <v>21.810699588477362</v>
      </c>
      <c r="K303" s="129">
        <f>MAX(0,MIN(100,SIM_Districts!I19+(2020-2023)*SIM_Parametres!$B$10))</f>
        <v>85.5</v>
      </c>
      <c r="L303" s="129">
        <f>SIM_Districts!E19</f>
        <v>733</v>
      </c>
      <c r="M303" s="68">
        <f t="shared" si="145"/>
        <v>80.351435271909963</v>
      </c>
      <c r="N303" s="129">
        <f>N232*(1+SIM_Parametres!$B$6)/(1+SIM_Parametres!$B$11)</f>
        <v>95110</v>
      </c>
      <c r="O303" s="72"/>
      <c r="P303" s="130">
        <f>SIM_Parametres!$D$26</f>
        <v>0</v>
      </c>
      <c r="Q303" s="130">
        <f>SIM_Parametres!$B$12</f>
        <v>0.2</v>
      </c>
      <c r="R303" s="59">
        <f t="shared" si="166"/>
        <v>3.5505694791483E-3</v>
      </c>
      <c r="S303" s="59">
        <f t="shared" si="167"/>
        <v>0.65957446808510634</v>
      </c>
      <c r="T303" s="59">
        <f t="shared" si="168"/>
        <v>0.65469613259668502</v>
      </c>
      <c r="U303" s="59">
        <f t="shared" si="169"/>
        <v>0.52387753369973944</v>
      </c>
      <c r="V303" s="59">
        <f t="shared" si="170"/>
        <v>0.24769050312675686</v>
      </c>
      <c r="W303" s="59">
        <f t="shared" si="171"/>
        <v>1.5726062143310078E-2</v>
      </c>
      <c r="X303" s="59">
        <f t="shared" si="172"/>
        <v>1.2955775433225824E-2</v>
      </c>
      <c r="Y303" s="59">
        <f t="shared" si="173"/>
        <v>1.3384918783141523E-2</v>
      </c>
      <c r="Z303" s="59">
        <f t="shared" si="174"/>
        <v>9.0910712011208778E-3</v>
      </c>
      <c r="AA303" s="59">
        <f t="shared" si="146"/>
        <v>7.5564168231824847E-3</v>
      </c>
      <c r="AB303" s="59">
        <f t="shared" si="175"/>
        <v>1.2735723035200298E-2</v>
      </c>
      <c r="AC303" s="60">
        <f t="shared" si="147"/>
        <v>11234139.07707534</v>
      </c>
      <c r="AD303" s="60">
        <f t="shared" si="162"/>
        <v>16144698.816</v>
      </c>
      <c r="AE303" s="59">
        <f t="shared" si="150"/>
        <v>3.2000000000000028E-2</v>
      </c>
      <c r="AF303" s="60">
        <f t="shared" si="163"/>
        <v>16144698.816</v>
      </c>
      <c r="AG303" s="60">
        <f t="shared" si="176"/>
        <v>1.0000000000000004</v>
      </c>
      <c r="AH303" s="60">
        <f t="shared" si="165"/>
        <v>16144698.816000007</v>
      </c>
      <c r="AI303" s="60">
        <f t="shared" si="148"/>
        <v>274.11470506240369</v>
      </c>
      <c r="AJ303" s="60">
        <f t="shared" si="149"/>
        <v>0</v>
      </c>
      <c r="AK303" s="59">
        <f t="shared" si="151"/>
        <v>3.2000000000000473E-2</v>
      </c>
    </row>
    <row r="304" spans="1:37" ht="12.75" customHeight="1" x14ac:dyDescent="0.25">
      <c r="A304" s="62" t="s">
        <v>607</v>
      </c>
      <c r="B304" s="62" t="s">
        <v>394</v>
      </c>
      <c r="C304" s="62" t="s">
        <v>398</v>
      </c>
      <c r="D304" s="124">
        <v>2020</v>
      </c>
      <c r="E304" s="62" t="s">
        <v>676</v>
      </c>
      <c r="F304" s="64">
        <f>SIM_Parametres!$C$26</f>
        <v>1267670376.576</v>
      </c>
      <c r="G304" s="125">
        <f>SIM_Districts!D20*(1+SIM_Parametres!$B$6)^(2020-2023)</f>
        <v>111199.77816966177</v>
      </c>
      <c r="H304" s="125">
        <f>MAX(0,MIN(100,SIM_Districts!F20+(2020-2022)*SIM_Parametres!$B$7))</f>
        <v>48.16</v>
      </c>
      <c r="I304" s="125">
        <f>SIM_Districts!G20*(1+SIM_Parametres!$B$8)^(2020-2023)</f>
        <v>48.158885796018225</v>
      </c>
      <c r="J304" s="125">
        <f>SIM_Districts!H20*(1+SIM_Parametres!$B$9)^(2020-2023)</f>
        <v>21.810699588477362</v>
      </c>
      <c r="K304" s="125">
        <f>MAX(0,MIN(100,SIM_Districts!I20+(2020-2023)*SIM_Parametres!$B$10))</f>
        <v>85.5</v>
      </c>
      <c r="L304" s="125">
        <f>SIM_Districts!E20</f>
        <v>1476</v>
      </c>
      <c r="M304" s="61">
        <f t="shared" si="145"/>
        <v>75.338603095976808</v>
      </c>
      <c r="N304" s="125">
        <f>N233*(1+SIM_Parametres!$B$6)/(1+SIM_Parametres!$B$11)</f>
        <v>95110</v>
      </c>
      <c r="O304" s="132"/>
      <c r="P304" s="126">
        <f>SIM_Parametres!$D$26</f>
        <v>0</v>
      </c>
      <c r="Q304" s="126">
        <f>SIM_Parametres!$B$12</f>
        <v>0.2</v>
      </c>
      <c r="R304" s="66">
        <f t="shared" si="166"/>
        <v>6.7035418198043636E-3</v>
      </c>
      <c r="S304" s="66">
        <f t="shared" si="167"/>
        <v>0.65957446808510634</v>
      </c>
      <c r="T304" s="66">
        <f t="shared" si="168"/>
        <v>0.65469613259668502</v>
      </c>
      <c r="U304" s="66">
        <f t="shared" si="169"/>
        <v>0.54969284466862123</v>
      </c>
      <c r="V304" s="66">
        <f t="shared" si="170"/>
        <v>0.24769050312675686</v>
      </c>
      <c r="W304" s="66">
        <f t="shared" si="171"/>
        <v>1.5726062143310078E-2</v>
      </c>
      <c r="X304" s="66">
        <f t="shared" si="172"/>
        <v>1.2955775433225824E-2</v>
      </c>
      <c r="Y304" s="66">
        <f t="shared" si="173"/>
        <v>1.4044492478237349E-2</v>
      </c>
      <c r="Z304" s="66">
        <f t="shared" si="174"/>
        <v>9.0910712011208778E-3</v>
      </c>
      <c r="AA304" s="66">
        <f t="shared" si="146"/>
        <v>9.4811789123309155E-3</v>
      </c>
      <c r="AB304" s="66">
        <f t="shared" si="175"/>
        <v>1.3484290171842786E-2</v>
      </c>
      <c r="AC304" s="67">
        <f t="shared" si="147"/>
        <v>13186110.18297134</v>
      </c>
      <c r="AD304" s="67">
        <f t="shared" si="162"/>
        <v>17093635.199999999</v>
      </c>
      <c r="AE304" s="66">
        <f t="shared" si="150"/>
        <v>3.2000000000000028E-2</v>
      </c>
      <c r="AF304" s="67">
        <f t="shared" si="163"/>
        <v>17093635.199999999</v>
      </c>
      <c r="AG304" s="67">
        <f t="shared" si="176"/>
        <v>1.0000000000000004</v>
      </c>
      <c r="AH304" s="67">
        <f t="shared" si="165"/>
        <v>17093635.200000007</v>
      </c>
      <c r="AI304" s="67">
        <f t="shared" si="148"/>
        <v>153.7200476598037</v>
      </c>
      <c r="AJ304" s="67">
        <f t="shared" si="149"/>
        <v>0</v>
      </c>
      <c r="AK304" s="66">
        <f t="shared" si="151"/>
        <v>3.2000000000000473E-2</v>
      </c>
    </row>
    <row r="305" spans="1:37" ht="12.75" customHeight="1" x14ac:dyDescent="0.25">
      <c r="A305" s="55" t="s">
        <v>608</v>
      </c>
      <c r="B305" s="55" t="s">
        <v>394</v>
      </c>
      <c r="C305" s="55" t="s">
        <v>399</v>
      </c>
      <c r="D305" s="128">
        <v>2020</v>
      </c>
      <c r="E305" s="55" t="s">
        <v>676</v>
      </c>
      <c r="F305" s="57">
        <f>SIM_Parametres!$C$26</f>
        <v>1267670376.576</v>
      </c>
      <c r="G305" s="129">
        <f>SIM_Districts!D21*(1+SIM_Parametres!$B$6)^(2020-2023)</f>
        <v>90365.66315282775</v>
      </c>
      <c r="H305" s="129">
        <f>MAX(0,MIN(100,SIM_Districts!F21+(2020-2022)*SIM_Parametres!$B$7))</f>
        <v>48.16</v>
      </c>
      <c r="I305" s="129">
        <f>SIM_Districts!G21*(1+SIM_Parametres!$B$8)^(2020-2023)</f>
        <v>48.158885796018225</v>
      </c>
      <c r="J305" s="129">
        <f>SIM_Districts!H21*(1+SIM_Parametres!$B$9)^(2020-2023)</f>
        <v>21.810699588477362</v>
      </c>
      <c r="K305" s="129">
        <f>MAX(0,MIN(100,SIM_Districts!I21+(2020-2023)*SIM_Parametres!$B$10))</f>
        <v>85.5</v>
      </c>
      <c r="L305" s="129">
        <f>SIM_Districts!E21</f>
        <v>406</v>
      </c>
      <c r="M305" s="68">
        <f t="shared" si="145"/>
        <v>222.57552500696491</v>
      </c>
      <c r="N305" s="129">
        <f>N234*(1+SIM_Parametres!$B$6)/(1+SIM_Parametres!$B$11)</f>
        <v>95110</v>
      </c>
      <c r="O305" s="72"/>
      <c r="P305" s="130">
        <f>SIM_Parametres!$D$26</f>
        <v>0</v>
      </c>
      <c r="Q305" s="130">
        <f>SIM_Parametres!$B$12</f>
        <v>0.2</v>
      </c>
      <c r="R305" s="59">
        <f t="shared" si="166"/>
        <v>5.4475828278639955E-3</v>
      </c>
      <c r="S305" s="59">
        <f t="shared" si="167"/>
        <v>0.65957446808510634</v>
      </c>
      <c r="T305" s="59">
        <f t="shared" si="168"/>
        <v>0.65469613259668502</v>
      </c>
      <c r="U305" s="59">
        <f t="shared" si="169"/>
        <v>0.51035214004959617</v>
      </c>
      <c r="V305" s="59">
        <f t="shared" si="170"/>
        <v>0.24769050312675686</v>
      </c>
      <c r="W305" s="59">
        <f t="shared" si="171"/>
        <v>1.5726062143310078E-2</v>
      </c>
      <c r="X305" s="59">
        <f t="shared" si="172"/>
        <v>1.2955775433225824E-2</v>
      </c>
      <c r="Y305" s="59">
        <f t="shared" si="173"/>
        <v>1.3039348904932265E-2</v>
      </c>
      <c r="Z305" s="59">
        <f t="shared" si="174"/>
        <v>9.0910712011208778E-3</v>
      </c>
      <c r="AA305" s="59">
        <f t="shared" si="146"/>
        <v>8.6773463385014377E-3</v>
      </c>
      <c r="AB305" s="59">
        <f t="shared" si="175"/>
        <v>1.1049556656702575E-2</v>
      </c>
      <c r="AC305" s="60">
        <f t="shared" si="147"/>
        <v>12370914.389714962</v>
      </c>
      <c r="AD305" s="60">
        <f t="shared" si="162"/>
        <v>14007195.648</v>
      </c>
      <c r="AE305" s="59">
        <f t="shared" si="150"/>
        <v>3.2000000000000028E-2</v>
      </c>
      <c r="AF305" s="60">
        <f t="shared" si="163"/>
        <v>14007195.648</v>
      </c>
      <c r="AG305" s="60">
        <f t="shared" si="176"/>
        <v>1.0000000000000004</v>
      </c>
      <c r="AH305" s="60">
        <f t="shared" si="165"/>
        <v>14007195.648000006</v>
      </c>
      <c r="AI305" s="60">
        <f t="shared" si="148"/>
        <v>155.00573070891792</v>
      </c>
      <c r="AJ305" s="60">
        <f t="shared" si="149"/>
        <v>0</v>
      </c>
      <c r="AK305" s="59">
        <f t="shared" si="151"/>
        <v>3.2000000000000473E-2</v>
      </c>
    </row>
    <row r="306" spans="1:37" ht="12.75" customHeight="1" x14ac:dyDescent="0.25">
      <c r="A306" s="62" t="s">
        <v>609</v>
      </c>
      <c r="B306" s="62" t="s">
        <v>394</v>
      </c>
      <c r="C306" s="62" t="s">
        <v>400</v>
      </c>
      <c r="D306" s="124">
        <v>2020</v>
      </c>
      <c r="E306" s="62" t="s">
        <v>676</v>
      </c>
      <c r="F306" s="64">
        <f>SIM_Parametres!$C$26</f>
        <v>1267670376.576</v>
      </c>
      <c r="G306" s="125">
        <f>SIM_Districts!D22*(1+SIM_Parametres!$B$6)^(2020-2023)</f>
        <v>94965.165132736729</v>
      </c>
      <c r="H306" s="125">
        <f>MAX(0,MIN(100,SIM_Districts!F22+(2020-2022)*SIM_Parametres!$B$7))</f>
        <v>48.16</v>
      </c>
      <c r="I306" s="125">
        <f>SIM_Districts!G22*(1+SIM_Parametres!$B$8)^(2020-2023)</f>
        <v>48.158885796018225</v>
      </c>
      <c r="J306" s="125">
        <f>SIM_Districts!H22*(1+SIM_Parametres!$B$9)^(2020-2023)</f>
        <v>21.810699588477362</v>
      </c>
      <c r="K306" s="125">
        <f>MAX(0,MIN(100,SIM_Districts!I22+(2020-2023)*SIM_Parametres!$B$10))</f>
        <v>85.5</v>
      </c>
      <c r="L306" s="125">
        <f>SIM_Districts!E22</f>
        <v>866</v>
      </c>
      <c r="M306" s="61">
        <f t="shared" si="145"/>
        <v>109.65954403318329</v>
      </c>
      <c r="N306" s="125">
        <f>N235*(1+SIM_Parametres!$B$6)/(1+SIM_Parametres!$B$11)</f>
        <v>95110</v>
      </c>
      <c r="O306" s="132"/>
      <c r="P306" s="126">
        <f>SIM_Parametres!$D$26</f>
        <v>0</v>
      </c>
      <c r="Q306" s="126">
        <f>SIM_Parametres!$B$12</f>
        <v>0.2</v>
      </c>
      <c r="R306" s="66">
        <f t="shared" si="166"/>
        <v>5.7248581460354921E-3</v>
      </c>
      <c r="S306" s="66">
        <f t="shared" si="167"/>
        <v>0.65957446808510634</v>
      </c>
      <c r="T306" s="66">
        <f t="shared" si="168"/>
        <v>0.65469613259668502</v>
      </c>
      <c r="U306" s="66">
        <f t="shared" si="169"/>
        <v>0.52803177519419775</v>
      </c>
      <c r="V306" s="66">
        <f t="shared" si="170"/>
        <v>0.24769050312675686</v>
      </c>
      <c r="W306" s="66">
        <f t="shared" si="171"/>
        <v>1.5726062143310078E-2</v>
      </c>
      <c r="X306" s="66">
        <f t="shared" si="172"/>
        <v>1.2955775433225824E-2</v>
      </c>
      <c r="Y306" s="66">
        <f t="shared" si="173"/>
        <v>1.3491058446387229E-2</v>
      </c>
      <c r="Z306" s="66">
        <f t="shared" si="174"/>
        <v>9.0910712011208778E-3</v>
      </c>
      <c r="AA306" s="66">
        <f t="shared" si="146"/>
        <v>8.8662970064770849E-3</v>
      </c>
      <c r="AB306" s="66">
        <f t="shared" si="175"/>
        <v>1.2519806363912847E-2</v>
      </c>
      <c r="AC306" s="67">
        <f t="shared" si="147"/>
        <v>12562536.121256543</v>
      </c>
      <c r="AD306" s="67">
        <f t="shared" si="162"/>
        <v>15870987.648</v>
      </c>
      <c r="AE306" s="66">
        <f t="shared" si="150"/>
        <v>3.2000000000000028E-2</v>
      </c>
      <c r="AF306" s="67">
        <f t="shared" si="163"/>
        <v>15870987.648</v>
      </c>
      <c r="AG306" s="67">
        <f t="shared" si="176"/>
        <v>1.0000000000000004</v>
      </c>
      <c r="AH306" s="67">
        <f t="shared" si="165"/>
        <v>15870987.648000007</v>
      </c>
      <c r="AI306" s="67">
        <f t="shared" si="148"/>
        <v>167.12430948565691</v>
      </c>
      <c r="AJ306" s="67">
        <f t="shared" si="149"/>
        <v>0</v>
      </c>
      <c r="AK306" s="66">
        <f t="shared" si="151"/>
        <v>3.2000000000000473E-2</v>
      </c>
    </row>
    <row r="307" spans="1:37" ht="12.75" customHeight="1" x14ac:dyDescent="0.25">
      <c r="A307" s="55" t="s">
        <v>610</v>
      </c>
      <c r="B307" s="55" t="s">
        <v>394</v>
      </c>
      <c r="C307" s="55" t="s">
        <v>401</v>
      </c>
      <c r="D307" s="128">
        <v>2020</v>
      </c>
      <c r="E307" s="55" t="s">
        <v>676</v>
      </c>
      <c r="F307" s="57">
        <f>SIM_Parametres!$C$26</f>
        <v>1267670376.576</v>
      </c>
      <c r="G307" s="129">
        <f>SIM_Districts!D23*(1+SIM_Parametres!$B$6)^(2020-2023)</f>
        <v>170780.07590184922</v>
      </c>
      <c r="H307" s="129">
        <f>MAX(0,MIN(100,SIM_Districts!F23+(2020-2022)*SIM_Parametres!$B$7))</f>
        <v>48.16</v>
      </c>
      <c r="I307" s="129">
        <f>SIM_Districts!G23*(1+SIM_Parametres!$B$8)^(2020-2023)</f>
        <v>48.158885796018225</v>
      </c>
      <c r="J307" s="129">
        <f>SIM_Districts!H23*(1+SIM_Parametres!$B$9)^(2020-2023)</f>
        <v>21.810699588477362</v>
      </c>
      <c r="K307" s="129">
        <f>MAX(0,MIN(100,SIM_Districts!I23+(2020-2023)*SIM_Parametres!$B$10))</f>
        <v>85.5</v>
      </c>
      <c r="L307" s="129">
        <f>SIM_Districts!E23</f>
        <v>1459</v>
      </c>
      <c r="M307" s="68">
        <f t="shared" si="145"/>
        <v>117.05282789708652</v>
      </c>
      <c r="N307" s="129">
        <f>N236*(1+SIM_Parametres!$B$6)/(1+SIM_Parametres!$B$11)</f>
        <v>95110</v>
      </c>
      <c r="O307" s="72"/>
      <c r="P307" s="130">
        <f>SIM_Parametres!$D$26</f>
        <v>0</v>
      </c>
      <c r="Q307" s="130">
        <f>SIM_Parametres!$B$12</f>
        <v>0.2</v>
      </c>
      <c r="R307" s="59">
        <f t="shared" si="166"/>
        <v>1.0295266767984883E-2</v>
      </c>
      <c r="S307" s="59">
        <f t="shared" si="167"/>
        <v>0.65957446808510634</v>
      </c>
      <c r="T307" s="59">
        <f t="shared" si="168"/>
        <v>0.65469613259668502</v>
      </c>
      <c r="U307" s="59">
        <f t="shared" si="169"/>
        <v>0.54845929360496004</v>
      </c>
      <c r="V307" s="59">
        <f t="shared" si="170"/>
        <v>0.24769050312675686</v>
      </c>
      <c r="W307" s="59">
        <f t="shared" si="171"/>
        <v>1.5726062143310078E-2</v>
      </c>
      <c r="X307" s="59">
        <f t="shared" si="172"/>
        <v>1.2955775433225824E-2</v>
      </c>
      <c r="Y307" s="59">
        <f t="shared" si="173"/>
        <v>1.4012975606946155E-2</v>
      </c>
      <c r="Z307" s="59">
        <f t="shared" si="174"/>
        <v>9.0910712011208778E-3</v>
      </c>
      <c r="AA307" s="59">
        <f t="shared" si="146"/>
        <v>1.1634638037674666E-2</v>
      </c>
      <c r="AB307" s="59">
        <f t="shared" si="175"/>
        <v>1.3653158852499509E-2</v>
      </c>
      <c r="AC307" s="60">
        <f t="shared" si="147"/>
        <v>15370011.255263766</v>
      </c>
      <c r="AD307" s="60">
        <f t="shared" si="162"/>
        <v>17307705.024</v>
      </c>
      <c r="AE307" s="59">
        <f t="shared" si="150"/>
        <v>3.2000000000000028E-2</v>
      </c>
      <c r="AF307" s="60">
        <f t="shared" si="163"/>
        <v>17307705.024</v>
      </c>
      <c r="AG307" s="60">
        <f t="shared" si="176"/>
        <v>1.0000000000000004</v>
      </c>
      <c r="AH307" s="60">
        <f t="shared" si="165"/>
        <v>17307705.024000008</v>
      </c>
      <c r="AI307" s="60">
        <f t="shared" si="148"/>
        <v>101.34498964590634</v>
      </c>
      <c r="AJ307" s="60">
        <f t="shared" si="149"/>
        <v>0</v>
      </c>
      <c r="AK307" s="59">
        <f t="shared" si="151"/>
        <v>3.2000000000000473E-2</v>
      </c>
    </row>
    <row r="308" spans="1:37" ht="12.75" customHeight="1" x14ac:dyDescent="0.25">
      <c r="A308" s="62" t="s">
        <v>611</v>
      </c>
      <c r="B308" s="62" t="s">
        <v>402</v>
      </c>
      <c r="C308" s="62" t="s">
        <v>404</v>
      </c>
      <c r="D308" s="124">
        <v>2020</v>
      </c>
      <c r="E308" s="62" t="s">
        <v>676</v>
      </c>
      <c r="F308" s="64">
        <f>SIM_Parametres!$C$26</f>
        <v>1267670376.576</v>
      </c>
      <c r="G308" s="125">
        <f>SIM_Districts!D24*(1+SIM_Parametres!$B$6)^(2020-2023)</f>
        <v>134024.32629558892</v>
      </c>
      <c r="H308" s="125">
        <f>MAX(0,MIN(100,SIM_Districts!F24+(2020-2022)*SIM_Parametres!$B$7))</f>
        <v>59.86</v>
      </c>
      <c r="I308" s="125">
        <f>SIM_Districts!G24*(1+SIM_Parametres!$B$8)^(2020-2023)</f>
        <v>48.158885796018225</v>
      </c>
      <c r="J308" s="125">
        <f>SIM_Districts!H24*(1+SIM_Parametres!$B$9)^(2020-2023)</f>
        <v>38.957475994513025</v>
      </c>
      <c r="K308" s="125">
        <f>MAX(0,MIN(100,SIM_Districts!I24+(2020-2023)*SIM_Parametres!$B$10))</f>
        <v>79.400000000000006</v>
      </c>
      <c r="L308" s="125">
        <f>SIM_Districts!E24</f>
        <v>1150</v>
      </c>
      <c r="M308" s="61">
        <f t="shared" si="145"/>
        <v>116.54289243094689</v>
      </c>
      <c r="N308" s="125">
        <f>N237*(1+SIM_Parametres!$B$6)/(1+SIM_Parametres!$B$11)</f>
        <v>169739</v>
      </c>
      <c r="O308" s="132"/>
      <c r="P308" s="126">
        <f>SIM_Parametres!$D$26</f>
        <v>0</v>
      </c>
      <c r="Q308" s="126">
        <f>SIM_Parametres!$B$12</f>
        <v>0.2</v>
      </c>
      <c r="R308" s="66">
        <f t="shared" si="166"/>
        <v>8.0794916229311644E-3</v>
      </c>
      <c r="S308" s="66">
        <f t="shared" si="167"/>
        <v>0.86702127659574468</v>
      </c>
      <c r="T308" s="66">
        <f t="shared" si="168"/>
        <v>1</v>
      </c>
      <c r="U308" s="66">
        <f t="shared" si="169"/>
        <v>0.53776328071078594</v>
      </c>
      <c r="V308" s="66">
        <f t="shared" si="170"/>
        <v>0.76566328194948607</v>
      </c>
      <c r="W308" s="66">
        <f t="shared" si="171"/>
        <v>2.0672162333544703E-2</v>
      </c>
      <c r="X308" s="66">
        <f t="shared" si="172"/>
        <v>1.9788990324167716E-2</v>
      </c>
      <c r="Y308" s="66">
        <f t="shared" si="173"/>
        <v>1.3739695585027883E-2</v>
      </c>
      <c r="Z308" s="66">
        <f t="shared" si="174"/>
        <v>2.8102407336645013E-2</v>
      </c>
      <c r="AA308" s="66">
        <f t="shared" si="146"/>
        <v>1.3008973018499206E-2</v>
      </c>
      <c r="AB308" s="66">
        <f t="shared" si="175"/>
        <v>1.1367130593459993E-2</v>
      </c>
      <c r="AC308" s="67">
        <f t="shared" si="147"/>
        <v>16763774.249410497</v>
      </c>
      <c r="AD308" s="67">
        <f t="shared" si="162"/>
        <v>14409774.719999999</v>
      </c>
      <c r="AE308" s="66">
        <f t="shared" si="150"/>
        <v>3.1999999999999806E-2</v>
      </c>
      <c r="AF308" s="67">
        <f t="shared" si="163"/>
        <v>14409774.719999999</v>
      </c>
      <c r="AG308" s="67">
        <f t="shared" si="176"/>
        <v>1.0000000000000004</v>
      </c>
      <c r="AH308" s="67">
        <f t="shared" si="165"/>
        <v>14409774.720000004</v>
      </c>
      <c r="AI308" s="67">
        <f t="shared" si="148"/>
        <v>107.51611381518481</v>
      </c>
      <c r="AJ308" s="67">
        <f t="shared" si="149"/>
        <v>0</v>
      </c>
      <c r="AK308" s="66">
        <f t="shared" si="151"/>
        <v>3.200000000000025E-2</v>
      </c>
    </row>
    <row r="309" spans="1:37" ht="12.75" customHeight="1" x14ac:dyDescent="0.25">
      <c r="A309" s="55" t="s">
        <v>613</v>
      </c>
      <c r="B309" s="55" t="s">
        <v>402</v>
      </c>
      <c r="C309" s="55" t="s">
        <v>402</v>
      </c>
      <c r="D309" s="128">
        <v>2020</v>
      </c>
      <c r="E309" s="55" t="s">
        <v>676</v>
      </c>
      <c r="F309" s="57">
        <f>SIM_Parametres!$C$26</f>
        <v>1267670376.576</v>
      </c>
      <c r="G309" s="129">
        <f>SIM_Districts!D25*(1+SIM_Parametres!$B$6)^(2020-2023)</f>
        <v>274996.40806898708</v>
      </c>
      <c r="H309" s="129">
        <f>MAX(0,MIN(100,SIM_Districts!F25+(2020-2022)*SIM_Parametres!$B$7))</f>
        <v>59.86</v>
      </c>
      <c r="I309" s="129">
        <f>SIM_Districts!G25*(1+SIM_Parametres!$B$8)^(2020-2023)</f>
        <v>48.158885796018225</v>
      </c>
      <c r="J309" s="129">
        <f>SIM_Districts!H25*(1+SIM_Parametres!$B$9)^(2020-2023)</f>
        <v>38.957475994513025</v>
      </c>
      <c r="K309" s="129">
        <f>MAX(0,MIN(100,SIM_Districts!I25+(2020-2023)*SIM_Parametres!$B$10))</f>
        <v>79.400000000000006</v>
      </c>
      <c r="L309" s="129">
        <f>SIM_Districts!E25</f>
        <v>2609</v>
      </c>
      <c r="M309" s="68">
        <f t="shared" si="145"/>
        <v>105.40299274395825</v>
      </c>
      <c r="N309" s="129">
        <f>N238*(1+SIM_Parametres!$B$6)/(1+SIM_Parametres!$B$11)</f>
        <v>169739</v>
      </c>
      <c r="O309" s="72"/>
      <c r="P309" s="130">
        <f>SIM_Parametres!$D$26</f>
        <v>0</v>
      </c>
      <c r="Q309" s="130">
        <f>SIM_Parametres!$B$12</f>
        <v>0.2</v>
      </c>
      <c r="R309" s="59">
        <f t="shared" si="166"/>
        <v>1.657782013713929E-2</v>
      </c>
      <c r="S309" s="59">
        <f t="shared" si="167"/>
        <v>0.86702127659574468</v>
      </c>
      <c r="T309" s="59">
        <f t="shared" si="168"/>
        <v>1</v>
      </c>
      <c r="U309" s="59">
        <f t="shared" si="169"/>
        <v>0.58847583069176324</v>
      </c>
      <c r="V309" s="59">
        <f t="shared" si="170"/>
        <v>0.76566328194948607</v>
      </c>
      <c r="W309" s="59">
        <f t="shared" si="171"/>
        <v>2.0672162333544703E-2</v>
      </c>
      <c r="X309" s="59">
        <f t="shared" si="172"/>
        <v>1.9788990324167716E-2</v>
      </c>
      <c r="Y309" s="59">
        <f t="shared" si="173"/>
        <v>1.5035386503452401E-2</v>
      </c>
      <c r="Z309" s="59">
        <f t="shared" si="174"/>
        <v>2.8102407336645013E-2</v>
      </c>
      <c r="AA309" s="59">
        <f t="shared" si="146"/>
        <v>1.817275467294531E-2</v>
      </c>
      <c r="AB309" s="59">
        <f t="shared" si="175"/>
        <v>1.3225526223373777E-2</v>
      </c>
      <c r="AC309" s="60">
        <f t="shared" si="147"/>
        <v>22000552.676968846</v>
      </c>
      <c r="AD309" s="60">
        <f t="shared" si="162"/>
        <v>16765607.807999998</v>
      </c>
      <c r="AE309" s="59">
        <f t="shared" si="150"/>
        <v>3.1999999999999806E-2</v>
      </c>
      <c r="AF309" s="60">
        <f t="shared" si="163"/>
        <v>16765607.807999998</v>
      </c>
      <c r="AG309" s="60">
        <f t="shared" si="176"/>
        <v>1.0000000000000004</v>
      </c>
      <c r="AH309" s="60">
        <f t="shared" si="165"/>
        <v>16765607.808000006</v>
      </c>
      <c r="AI309" s="60">
        <f t="shared" si="148"/>
        <v>60.966642894455902</v>
      </c>
      <c r="AJ309" s="60">
        <f t="shared" si="149"/>
        <v>0</v>
      </c>
      <c r="AK309" s="59">
        <f t="shared" si="151"/>
        <v>3.200000000000025E-2</v>
      </c>
    </row>
    <row r="310" spans="1:37" ht="12.75" customHeight="1" x14ac:dyDescent="0.25">
      <c r="A310" s="62" t="s">
        <v>614</v>
      </c>
      <c r="B310" s="62" t="s">
        <v>402</v>
      </c>
      <c r="C310" s="62" t="s">
        <v>405</v>
      </c>
      <c r="D310" s="124">
        <v>2020</v>
      </c>
      <c r="E310" s="62" t="s">
        <v>676</v>
      </c>
      <c r="F310" s="64">
        <f>SIM_Parametres!$C$26</f>
        <v>1267670376.576</v>
      </c>
      <c r="G310" s="125">
        <f>SIM_Districts!D26*(1+SIM_Parametres!$B$6)^(2020-2023)</f>
        <v>216416.36017047259</v>
      </c>
      <c r="H310" s="125">
        <f>MAX(0,MIN(100,SIM_Districts!F26+(2020-2022)*SIM_Parametres!$B$7))</f>
        <v>59.86</v>
      </c>
      <c r="I310" s="125">
        <f>SIM_Districts!G26*(1+SIM_Parametres!$B$8)^(2020-2023)</f>
        <v>48.158885796018225</v>
      </c>
      <c r="J310" s="125">
        <f>SIM_Districts!H26*(1+SIM_Parametres!$B$9)^(2020-2023)</f>
        <v>38.957475994513025</v>
      </c>
      <c r="K310" s="125">
        <f>MAX(0,MIN(100,SIM_Districts!I26+(2020-2023)*SIM_Parametres!$B$10))</f>
        <v>79.400000000000006</v>
      </c>
      <c r="L310" s="125">
        <f>SIM_Districts!E26</f>
        <v>4537</v>
      </c>
      <c r="M310" s="61">
        <f t="shared" si="145"/>
        <v>47.700321836119151</v>
      </c>
      <c r="N310" s="125">
        <f>N239*(1+SIM_Parametres!$B$6)/(1+SIM_Parametres!$B$11)</f>
        <v>169739</v>
      </c>
      <c r="O310" s="132"/>
      <c r="P310" s="126">
        <f>SIM_Parametres!$D$26</f>
        <v>0</v>
      </c>
      <c r="Q310" s="126">
        <f>SIM_Parametres!$B$12</f>
        <v>0.2</v>
      </c>
      <c r="R310" s="66">
        <f t="shared" si="166"/>
        <v>1.3046394019591767E-2</v>
      </c>
      <c r="S310" s="66">
        <f t="shared" si="167"/>
        <v>0.86702127659574468</v>
      </c>
      <c r="T310" s="66">
        <f t="shared" si="168"/>
        <v>1</v>
      </c>
      <c r="U310" s="66">
        <f t="shared" si="169"/>
        <v>0.65615433798264988</v>
      </c>
      <c r="V310" s="66">
        <f t="shared" si="170"/>
        <v>0.76566328194948607</v>
      </c>
      <c r="W310" s="66">
        <f t="shared" si="171"/>
        <v>2.0672162333544703E-2</v>
      </c>
      <c r="X310" s="66">
        <f t="shared" si="172"/>
        <v>1.9788990324167716E-2</v>
      </c>
      <c r="Y310" s="66">
        <f t="shared" si="173"/>
        <v>1.6764552702001334E-2</v>
      </c>
      <c r="Z310" s="66">
        <f t="shared" si="174"/>
        <v>2.8102407336645013E-2</v>
      </c>
      <c r="AA310" s="66">
        <f t="shared" si="146"/>
        <v>1.6140357312344242E-2</v>
      </c>
      <c r="AB310" s="66">
        <f t="shared" si="175"/>
        <v>1.9379571426411061E-2</v>
      </c>
      <c r="AC310" s="67">
        <f t="shared" si="147"/>
        <v>19939424.734996665</v>
      </c>
      <c r="AD310" s="67">
        <f t="shared" si="162"/>
        <v>24566908.607999999</v>
      </c>
      <c r="AE310" s="66">
        <f t="shared" si="150"/>
        <v>3.2000000000000028E-2</v>
      </c>
      <c r="AF310" s="67">
        <f t="shared" si="163"/>
        <v>24566908.607999999</v>
      </c>
      <c r="AG310" s="67">
        <f t="shared" si="176"/>
        <v>1.0000000000000004</v>
      </c>
      <c r="AH310" s="67">
        <f t="shared" si="165"/>
        <v>24566908.60800001</v>
      </c>
      <c r="AI310" s="67">
        <f t="shared" si="148"/>
        <v>113.51687362567458</v>
      </c>
      <c r="AJ310" s="67">
        <f t="shared" si="149"/>
        <v>0</v>
      </c>
      <c r="AK310" s="66">
        <f t="shared" si="151"/>
        <v>3.2000000000000473E-2</v>
      </c>
    </row>
    <row r="311" spans="1:37" ht="12.75" customHeight="1" x14ac:dyDescent="0.25">
      <c r="A311" s="55" t="s">
        <v>615</v>
      </c>
      <c r="B311" s="55" t="s">
        <v>402</v>
      </c>
      <c r="C311" s="55" t="s">
        <v>406</v>
      </c>
      <c r="D311" s="128">
        <v>2020</v>
      </c>
      <c r="E311" s="55" t="s">
        <v>676</v>
      </c>
      <c r="F311" s="57">
        <f>SIM_Parametres!$C$26</f>
        <v>1267670376.576</v>
      </c>
      <c r="G311" s="129">
        <f>SIM_Districts!D27*(1+SIM_Parametres!$B$6)^(2020-2023)</f>
        <v>125349.69850658033</v>
      </c>
      <c r="H311" s="129">
        <f>MAX(0,MIN(100,SIM_Districts!F27+(2020-2022)*SIM_Parametres!$B$7))</f>
        <v>59.86</v>
      </c>
      <c r="I311" s="129">
        <f>SIM_Districts!G27*(1+SIM_Parametres!$B$8)^(2020-2023)</f>
        <v>48.158885796018225</v>
      </c>
      <c r="J311" s="129">
        <f>SIM_Districts!H27*(1+SIM_Parametres!$B$9)^(2020-2023)</f>
        <v>38.957475994513025</v>
      </c>
      <c r="K311" s="129">
        <f>MAX(0,MIN(100,SIM_Districts!I27+(2020-2023)*SIM_Parametres!$B$10))</f>
        <v>79.400000000000006</v>
      </c>
      <c r="L311" s="129">
        <f>SIM_Districts!E27</f>
        <v>2765</v>
      </c>
      <c r="M311" s="68">
        <f t="shared" si="145"/>
        <v>45.33442983963122</v>
      </c>
      <c r="N311" s="129">
        <f>N240*(1+SIM_Parametres!$B$6)/(1+SIM_Parametres!$B$11)</f>
        <v>169739</v>
      </c>
      <c r="O311" s="72"/>
      <c r="P311" s="130">
        <f>SIM_Parametres!$D$26</f>
        <v>0</v>
      </c>
      <c r="Q311" s="130">
        <f>SIM_Parametres!$B$12</f>
        <v>0.2</v>
      </c>
      <c r="R311" s="59">
        <f t="shared" si="166"/>
        <v>7.5565523589145277E-3</v>
      </c>
      <c r="S311" s="59">
        <f t="shared" si="167"/>
        <v>0.86702127659574468</v>
      </c>
      <c r="T311" s="59">
        <f t="shared" si="168"/>
        <v>1</v>
      </c>
      <c r="U311" s="59">
        <f t="shared" si="169"/>
        <v>0.59480805510502455</v>
      </c>
      <c r="V311" s="59">
        <f t="shared" si="170"/>
        <v>0.76566328194948607</v>
      </c>
      <c r="W311" s="59">
        <f t="shared" si="171"/>
        <v>2.0672162333544703E-2</v>
      </c>
      <c r="X311" s="59">
        <f t="shared" si="172"/>
        <v>1.9788990324167716E-2</v>
      </c>
      <c r="Y311" s="59">
        <f t="shared" si="173"/>
        <v>1.519717299750104E-2</v>
      </c>
      <c r="Z311" s="59">
        <f t="shared" si="174"/>
        <v>2.8102407336645013E-2</v>
      </c>
      <c r="AA311" s="59">
        <f t="shared" si="146"/>
        <v>1.2768083330712882E-2</v>
      </c>
      <c r="AB311" s="59">
        <f t="shared" si="175"/>
        <v>1.2841581014119438E-2</v>
      </c>
      <c r="AC311" s="60">
        <f t="shared" si="147"/>
        <v>16519479.272427008</v>
      </c>
      <c r="AD311" s="60">
        <f t="shared" si="162"/>
        <v>16278891.84</v>
      </c>
      <c r="AE311" s="59">
        <f t="shared" si="150"/>
        <v>3.2000000000000028E-2</v>
      </c>
      <c r="AF311" s="60">
        <f t="shared" si="163"/>
        <v>16278891.84</v>
      </c>
      <c r="AG311" s="60">
        <f t="shared" si="176"/>
        <v>1.0000000000000004</v>
      </c>
      <c r="AH311" s="60">
        <f t="shared" si="165"/>
        <v>16278891.840000007</v>
      </c>
      <c r="AI311" s="60">
        <f t="shared" si="148"/>
        <v>129.86781806376212</v>
      </c>
      <c r="AJ311" s="60">
        <f t="shared" si="149"/>
        <v>0</v>
      </c>
      <c r="AK311" s="59">
        <f t="shared" si="151"/>
        <v>3.2000000000000473E-2</v>
      </c>
    </row>
    <row r="312" spans="1:37" ht="12.75" customHeight="1" x14ac:dyDescent="0.25">
      <c r="A312" s="62" t="s">
        <v>616</v>
      </c>
      <c r="B312" s="62" t="s">
        <v>407</v>
      </c>
      <c r="C312" s="62" t="s">
        <v>409</v>
      </c>
      <c r="D312" s="124">
        <v>2020</v>
      </c>
      <c r="E312" s="62" t="s">
        <v>676</v>
      </c>
      <c r="F312" s="64">
        <f>SIM_Parametres!$C$26</f>
        <v>1267670376.576</v>
      </c>
      <c r="G312" s="125">
        <f>SIM_Districts!D28*(1+SIM_Parametres!$B$6)^(2020-2023)</f>
        <v>146639.55406977225</v>
      </c>
      <c r="H312" s="125">
        <f>MAX(0,MIN(100,SIM_Districts!F28+(2020-2022)*SIM_Parametres!$B$7))</f>
        <v>51.26</v>
      </c>
      <c r="I312" s="125">
        <f>SIM_Districts!G28*(1+SIM_Parametres!$B$8)^(2020-2023)</f>
        <v>48.158885796018225</v>
      </c>
      <c r="J312" s="125">
        <f>SIM_Districts!H28*(1+SIM_Parametres!$B$9)^(2020-2023)</f>
        <v>20.027434842249654</v>
      </c>
      <c r="K312" s="125">
        <f>MAX(0,MIN(100,SIM_Districts!I28+(2020-2023)*SIM_Parametres!$B$10))</f>
        <v>87.1</v>
      </c>
      <c r="L312" s="125">
        <f>SIM_Districts!E28</f>
        <v>1066</v>
      </c>
      <c r="M312" s="61">
        <f t="shared" si="145"/>
        <v>137.56055728871692</v>
      </c>
      <c r="N312" s="125">
        <f>N241*(1+SIM_Parametres!$B$6)/(1+SIM_Parametres!$B$11)</f>
        <v>190293</v>
      </c>
      <c r="O312" s="132"/>
      <c r="P312" s="126">
        <f>SIM_Parametres!$D$26</f>
        <v>0</v>
      </c>
      <c r="Q312" s="126">
        <f>SIM_Parametres!$B$12</f>
        <v>0.2</v>
      </c>
      <c r="R312" s="66">
        <f t="shared" si="166"/>
        <v>8.8399851090024111E-3</v>
      </c>
      <c r="S312" s="66">
        <f t="shared" si="167"/>
        <v>0.71453900709219853</v>
      </c>
      <c r="T312" s="66">
        <f t="shared" si="168"/>
        <v>0.61878453038674031</v>
      </c>
      <c r="U312" s="66">
        <f t="shared" si="169"/>
        <v>0.53452867131516979</v>
      </c>
      <c r="V312" s="66">
        <f t="shared" si="170"/>
        <v>0.90832112938040932</v>
      </c>
      <c r="W312" s="66">
        <f t="shared" si="171"/>
        <v>1.7036567321919254E-2</v>
      </c>
      <c r="X312" s="66">
        <f t="shared" si="172"/>
        <v>1.2245121084567868E-2</v>
      </c>
      <c r="Y312" s="66">
        <f t="shared" si="173"/>
        <v>1.3657052254725572E-2</v>
      </c>
      <c r="Z312" s="66">
        <f t="shared" si="174"/>
        <v>3.333842822570373E-2</v>
      </c>
      <c r="AA312" s="66">
        <f t="shared" si="146"/>
        <v>1.204601835039598E-2</v>
      </c>
      <c r="AB312" s="66">
        <f t="shared" si="175"/>
        <v>1.2106456160514301E-2</v>
      </c>
      <c r="AC312" s="67">
        <f t="shared" si="147"/>
        <v>15787206.964018472</v>
      </c>
      <c r="AD312" s="67">
        <f t="shared" si="162"/>
        <v>15346995.84</v>
      </c>
      <c r="AE312" s="66">
        <f t="shared" si="150"/>
        <v>3.2000000000000028E-2</v>
      </c>
      <c r="AF312" s="67">
        <f t="shared" si="163"/>
        <v>15346995.84</v>
      </c>
      <c r="AG312" s="67">
        <f t="shared" si="176"/>
        <v>1.0000000000000004</v>
      </c>
      <c r="AH312" s="67">
        <f t="shared" si="165"/>
        <v>15346995.840000007</v>
      </c>
      <c r="AI312" s="67">
        <f t="shared" si="148"/>
        <v>104.65795492461595</v>
      </c>
      <c r="AJ312" s="67">
        <f t="shared" si="149"/>
        <v>0</v>
      </c>
      <c r="AK312" s="66">
        <f t="shared" si="151"/>
        <v>3.2000000000000473E-2</v>
      </c>
    </row>
    <row r="313" spans="1:37" ht="12.75" customHeight="1" x14ac:dyDescent="0.25">
      <c r="A313" s="55" t="s">
        <v>618</v>
      </c>
      <c r="B313" s="55" t="s">
        <v>407</v>
      </c>
      <c r="C313" s="55" t="s">
        <v>410</v>
      </c>
      <c r="D313" s="128">
        <v>2020</v>
      </c>
      <c r="E313" s="55" t="s">
        <v>676</v>
      </c>
      <c r="F313" s="57">
        <f>SIM_Parametres!$C$26</f>
        <v>1267670376.576</v>
      </c>
      <c r="G313" s="129">
        <f>SIM_Districts!D29*(1+SIM_Parametres!$B$6)^(2020-2023)</f>
        <v>398622.89483100537</v>
      </c>
      <c r="H313" s="129">
        <f>MAX(0,MIN(100,SIM_Districts!F29+(2020-2022)*SIM_Parametres!$B$7))</f>
        <v>51.26</v>
      </c>
      <c r="I313" s="129">
        <f>SIM_Districts!G29*(1+SIM_Parametres!$B$8)^(2020-2023)</f>
        <v>48.158885796018225</v>
      </c>
      <c r="J313" s="129">
        <f>SIM_Districts!H29*(1+SIM_Parametres!$B$9)^(2020-2023)</f>
        <v>20.027434842249654</v>
      </c>
      <c r="K313" s="129">
        <f>MAX(0,MIN(100,SIM_Districts!I29+(2020-2023)*SIM_Parametres!$B$10))</f>
        <v>87.1</v>
      </c>
      <c r="L313" s="129">
        <f>SIM_Districts!E29</f>
        <v>535</v>
      </c>
      <c r="M313" s="68">
        <f t="shared" si="145"/>
        <v>745.08952304860816</v>
      </c>
      <c r="N313" s="129">
        <f>N242*(1+SIM_Parametres!$B$6)/(1+SIM_Parametres!$B$11)</f>
        <v>190293</v>
      </c>
      <c r="O313" s="72"/>
      <c r="P313" s="130">
        <f>SIM_Parametres!$D$26</f>
        <v>0</v>
      </c>
      <c r="Q313" s="130">
        <f>SIM_Parametres!$B$12</f>
        <v>0.2</v>
      </c>
      <c r="R313" s="59">
        <f t="shared" si="166"/>
        <v>2.4030490796070343E-2</v>
      </c>
      <c r="S313" s="59">
        <f t="shared" si="167"/>
        <v>0.71453900709219853</v>
      </c>
      <c r="T313" s="59">
        <f t="shared" si="168"/>
        <v>0.61878453038674031</v>
      </c>
      <c r="U313" s="59">
        <f t="shared" si="169"/>
        <v>0.50674567312414032</v>
      </c>
      <c r="V313" s="59">
        <f t="shared" si="170"/>
        <v>0.90832112938040932</v>
      </c>
      <c r="W313" s="59">
        <f t="shared" si="171"/>
        <v>1.7036567321919254E-2</v>
      </c>
      <c r="X313" s="59">
        <f t="shared" si="172"/>
        <v>1.2245121084567868E-2</v>
      </c>
      <c r="Y313" s="59">
        <f t="shared" si="173"/>
        <v>1.2947204722778846E-2</v>
      </c>
      <c r="Z313" s="59">
        <f t="shared" si="174"/>
        <v>3.333842822570373E-2</v>
      </c>
      <c r="AA313" s="59">
        <f t="shared" si="146"/>
        <v>2.11248293860394E-2</v>
      </c>
      <c r="AB313" s="59">
        <f t="shared" si="175"/>
        <v>1.423789816462428E-2</v>
      </c>
      <c r="AC313" s="60">
        <f t="shared" si="147"/>
        <v>24994358.807551622</v>
      </c>
      <c r="AD313" s="60">
        <f t="shared" si="162"/>
        <v>18048961.728</v>
      </c>
      <c r="AE313" s="59">
        <f t="shared" si="150"/>
        <v>3.2000000000000028E-2</v>
      </c>
      <c r="AF313" s="60">
        <f t="shared" si="163"/>
        <v>18048961.728</v>
      </c>
      <c r="AG313" s="60">
        <f t="shared" si="176"/>
        <v>1.0000000000000004</v>
      </c>
      <c r="AH313" s="60">
        <f t="shared" si="165"/>
        <v>18048961.728000008</v>
      </c>
      <c r="AI313" s="60">
        <f t="shared" si="148"/>
        <v>45.278286726736546</v>
      </c>
      <c r="AJ313" s="60">
        <f t="shared" si="149"/>
        <v>0</v>
      </c>
      <c r="AK313" s="59">
        <f t="shared" si="151"/>
        <v>3.2000000000000473E-2</v>
      </c>
    </row>
    <row r="314" spans="1:37" ht="12.75" customHeight="1" x14ac:dyDescent="0.25">
      <c r="A314" s="62" t="s">
        <v>619</v>
      </c>
      <c r="B314" s="62" t="s">
        <v>407</v>
      </c>
      <c r="C314" s="62" t="s">
        <v>411</v>
      </c>
      <c r="D314" s="124">
        <v>2020</v>
      </c>
      <c r="E314" s="62" t="s">
        <v>676</v>
      </c>
      <c r="F314" s="64">
        <f>SIM_Parametres!$C$26</f>
        <v>1267670376.576</v>
      </c>
      <c r="G314" s="125">
        <f>SIM_Districts!D30*(1+SIM_Parametres!$B$6)^(2020-2023)</f>
        <v>223620.35531290068</v>
      </c>
      <c r="H314" s="125">
        <f>MAX(0,MIN(100,SIM_Districts!F30+(2020-2022)*SIM_Parametres!$B$7))</f>
        <v>51.26</v>
      </c>
      <c r="I314" s="125">
        <f>SIM_Districts!G30*(1+SIM_Parametres!$B$8)^(2020-2023)</f>
        <v>48.158885796018225</v>
      </c>
      <c r="J314" s="125">
        <f>SIM_Districts!H30*(1+SIM_Parametres!$B$9)^(2020-2023)</f>
        <v>20.027434842249654</v>
      </c>
      <c r="K314" s="125">
        <f>MAX(0,MIN(100,SIM_Districts!I30+(2020-2023)*SIM_Parametres!$B$10))</f>
        <v>87.1</v>
      </c>
      <c r="L314" s="125">
        <f>SIM_Districts!E30</f>
        <v>1359</v>
      </c>
      <c r="M314" s="61">
        <f t="shared" si="145"/>
        <v>164.54772282038314</v>
      </c>
      <c r="N314" s="125">
        <f>N243*(1+SIM_Parametres!$B$6)/(1+SIM_Parametres!$B$11)</f>
        <v>190293</v>
      </c>
      <c r="O314" s="132"/>
      <c r="P314" s="126">
        <f>SIM_Parametres!$D$26</f>
        <v>0</v>
      </c>
      <c r="Q314" s="126">
        <f>SIM_Parametres!$B$12</f>
        <v>0.2</v>
      </c>
      <c r="R314" s="66">
        <f t="shared" si="166"/>
        <v>1.3480678003803074E-2</v>
      </c>
      <c r="S314" s="66">
        <f t="shared" si="167"/>
        <v>0.71453900709219853</v>
      </c>
      <c r="T314" s="66">
        <f t="shared" si="168"/>
        <v>0.61878453038674031</v>
      </c>
      <c r="U314" s="66">
        <f t="shared" si="169"/>
        <v>0.54426125050867202</v>
      </c>
      <c r="V314" s="66">
        <f t="shared" si="170"/>
        <v>0.90832112938040932</v>
      </c>
      <c r="W314" s="66">
        <f t="shared" si="171"/>
        <v>1.7036567321919254E-2</v>
      </c>
      <c r="X314" s="66">
        <f t="shared" si="172"/>
        <v>1.2245121084567868E-2</v>
      </c>
      <c r="Y314" s="66">
        <f t="shared" si="173"/>
        <v>1.3905716825499443E-2</v>
      </c>
      <c r="Z314" s="66">
        <f t="shared" si="174"/>
        <v>3.333842822570373E-2</v>
      </c>
      <c r="AA314" s="66">
        <f t="shared" si="146"/>
        <v>1.4842867315815071E-2</v>
      </c>
      <c r="AB314" s="66">
        <f t="shared" si="175"/>
        <v>1.3021371549744009E-2</v>
      </c>
      <c r="AC314" s="67">
        <f t="shared" si="147"/>
        <v>18623593.028993685</v>
      </c>
      <c r="AD314" s="67">
        <f t="shared" si="162"/>
        <v>16506806.976</v>
      </c>
      <c r="AE314" s="66">
        <f t="shared" si="150"/>
        <v>3.1999999999999806E-2</v>
      </c>
      <c r="AF314" s="67">
        <f t="shared" si="163"/>
        <v>16506806.976</v>
      </c>
      <c r="AG314" s="67">
        <f t="shared" si="176"/>
        <v>1.0000000000000004</v>
      </c>
      <c r="AH314" s="67">
        <f t="shared" si="165"/>
        <v>16506806.976000007</v>
      </c>
      <c r="AI314" s="67">
        <f t="shared" si="148"/>
        <v>73.81620940948271</v>
      </c>
      <c r="AJ314" s="67">
        <f t="shared" si="149"/>
        <v>0</v>
      </c>
      <c r="AK314" s="66">
        <f t="shared" si="151"/>
        <v>3.200000000000025E-2</v>
      </c>
    </row>
    <row r="315" spans="1:37" ht="12.75" customHeight="1" x14ac:dyDescent="0.25">
      <c r="A315" s="55" t="s">
        <v>620</v>
      </c>
      <c r="B315" s="55" t="s">
        <v>407</v>
      </c>
      <c r="C315" s="55" t="s">
        <v>412</v>
      </c>
      <c r="D315" s="128">
        <v>2020</v>
      </c>
      <c r="E315" s="55" t="s">
        <v>676</v>
      </c>
      <c r="F315" s="57">
        <f>SIM_Parametres!$C$26</f>
        <v>1267670376.576</v>
      </c>
      <c r="G315" s="129">
        <f>SIM_Districts!D31*(1+SIM_Parametres!$B$6)^(2020-2023)</f>
        <v>454405.35467687721</v>
      </c>
      <c r="H315" s="129">
        <f>MAX(0,MIN(100,SIM_Districts!F31+(2020-2022)*SIM_Parametres!$B$7))</f>
        <v>51.26</v>
      </c>
      <c r="I315" s="129">
        <f>SIM_Districts!G31*(1+SIM_Parametres!$B$8)^(2020-2023)</f>
        <v>48.158885796018225</v>
      </c>
      <c r="J315" s="129">
        <f>SIM_Districts!H31*(1+SIM_Parametres!$B$9)^(2020-2023)</f>
        <v>20.027434842249654</v>
      </c>
      <c r="K315" s="129">
        <f>MAX(0,MIN(100,SIM_Districts!I31+(2020-2023)*SIM_Parametres!$B$10))</f>
        <v>87.1</v>
      </c>
      <c r="L315" s="129">
        <f>SIM_Districts!E31</f>
        <v>2302</v>
      </c>
      <c r="M315" s="68">
        <f t="shared" si="145"/>
        <v>197.39589690568081</v>
      </c>
      <c r="N315" s="129">
        <f>N244*(1+SIM_Parametres!$B$6)/(1+SIM_Parametres!$B$11)</f>
        <v>190293</v>
      </c>
      <c r="O315" s="72"/>
      <c r="P315" s="130">
        <f>SIM_Parametres!$D$26</f>
        <v>0</v>
      </c>
      <c r="Q315" s="130">
        <f>SIM_Parametres!$B$12</f>
        <v>0.2</v>
      </c>
      <c r="R315" s="59">
        <f t="shared" si="166"/>
        <v>2.7393267759688249E-2</v>
      </c>
      <c r="S315" s="59">
        <f t="shared" si="167"/>
        <v>0.71453900709219853</v>
      </c>
      <c r="T315" s="59">
        <f t="shared" si="168"/>
        <v>0.61878453038674031</v>
      </c>
      <c r="U315" s="59">
        <f t="shared" si="169"/>
        <v>0.5764195329812869</v>
      </c>
      <c r="V315" s="59">
        <f t="shared" si="170"/>
        <v>0.90832112938040932</v>
      </c>
      <c r="W315" s="59">
        <f t="shared" si="171"/>
        <v>1.7036567321919254E-2</v>
      </c>
      <c r="X315" s="59">
        <f t="shared" si="172"/>
        <v>1.2245121084567868E-2</v>
      </c>
      <c r="Y315" s="59">
        <f t="shared" si="173"/>
        <v>1.4727351599683094E-2</v>
      </c>
      <c r="Z315" s="59">
        <f t="shared" si="174"/>
        <v>3.333842822570373E-2</v>
      </c>
      <c r="AA315" s="59">
        <f t="shared" si="146"/>
        <v>2.3231502908055361E-2</v>
      </c>
      <c r="AB315" s="59">
        <f t="shared" si="175"/>
        <v>1.7670721195287807E-2</v>
      </c>
      <c r="AC315" s="60">
        <f t="shared" si="147"/>
        <v>27130812.901132952</v>
      </c>
      <c r="AD315" s="60">
        <f t="shared" si="162"/>
        <v>22400649.791999999</v>
      </c>
      <c r="AE315" s="59">
        <f t="shared" si="150"/>
        <v>3.2000000000000028E-2</v>
      </c>
      <c r="AF315" s="60">
        <f t="shared" si="163"/>
        <v>22400649.791999999</v>
      </c>
      <c r="AG315" s="60">
        <f t="shared" si="176"/>
        <v>1.0000000000000004</v>
      </c>
      <c r="AH315" s="60">
        <f t="shared" si="165"/>
        <v>22400649.792000011</v>
      </c>
      <c r="AI315" s="60">
        <f t="shared" si="148"/>
        <v>49.296623733514039</v>
      </c>
      <c r="AJ315" s="60">
        <f t="shared" si="149"/>
        <v>0</v>
      </c>
      <c r="AK315" s="59">
        <f t="shared" si="151"/>
        <v>3.2000000000000473E-2</v>
      </c>
    </row>
    <row r="316" spans="1:37" ht="12.75" customHeight="1" x14ac:dyDescent="0.25">
      <c r="A316" s="62" t="s">
        <v>621</v>
      </c>
      <c r="B316" s="62" t="s">
        <v>413</v>
      </c>
      <c r="C316" s="62" t="s">
        <v>413</v>
      </c>
      <c r="D316" s="124">
        <v>2020</v>
      </c>
      <c r="E316" s="62" t="s">
        <v>676</v>
      </c>
      <c r="F316" s="64">
        <f>SIM_Parametres!$C$26</f>
        <v>1267670376.576</v>
      </c>
      <c r="G316" s="125">
        <f>SIM_Districts!D32*(1+SIM_Parametres!$B$6)^(2020-2023)</f>
        <v>116386.80109487548</v>
      </c>
      <c r="H316" s="125">
        <f>MAX(0,MIN(100,SIM_Districts!F32+(2020-2022)*SIM_Parametres!$B$7))</f>
        <v>67.36</v>
      </c>
      <c r="I316" s="125">
        <f>SIM_Districts!G32*(1+SIM_Parametres!$B$8)^(2020-2023)</f>
        <v>48.158885796018225</v>
      </c>
      <c r="J316" s="125">
        <f>SIM_Districts!H32*(1+SIM_Parametres!$B$9)^(2020-2023)</f>
        <v>29.218106995884771</v>
      </c>
      <c r="K316" s="125">
        <f>MAX(0,MIN(100,SIM_Districts!I32+(2020-2023)*SIM_Parametres!$B$10))</f>
        <v>81.599999999999994</v>
      </c>
      <c r="L316" s="125">
        <f>SIM_Districts!E32</f>
        <v>7061</v>
      </c>
      <c r="M316" s="61">
        <f t="shared" si="145"/>
        <v>16.483047882010407</v>
      </c>
      <c r="N316" s="125">
        <f>N245*(1+SIM_Parametres!$B$6)/(1+SIM_Parametres!$B$11)</f>
        <v>59423</v>
      </c>
      <c r="O316" s="132"/>
      <c r="P316" s="126">
        <f>SIM_Parametres!$D$26</f>
        <v>0</v>
      </c>
      <c r="Q316" s="126">
        <f>SIM_Parametres!$B$12</f>
        <v>0.2</v>
      </c>
      <c r="R316" s="66">
        <f t="shared" si="166"/>
        <v>7.0162351153467521E-3</v>
      </c>
      <c r="S316" s="66">
        <f t="shared" si="167"/>
        <v>1</v>
      </c>
      <c r="T316" s="66">
        <f t="shared" si="168"/>
        <v>0.80386740331491713</v>
      </c>
      <c r="U316" s="66">
        <f t="shared" si="169"/>
        <v>0.74406922993471691</v>
      </c>
      <c r="V316" s="66">
        <f t="shared" si="170"/>
        <v>0</v>
      </c>
      <c r="W316" s="66">
        <f t="shared" si="171"/>
        <v>2.3842739378566898E-2</v>
      </c>
      <c r="X316" s="66">
        <f t="shared" si="172"/>
        <v>1.590772426611272E-2</v>
      </c>
      <c r="Y316" s="66">
        <f t="shared" si="173"/>
        <v>1.9010752649337739E-2</v>
      </c>
      <c r="Z316" s="66">
        <f t="shared" si="174"/>
        <v>0</v>
      </c>
      <c r="AA316" s="66">
        <f t="shared" si="146"/>
        <v>1.1122848248376881E-2</v>
      </c>
      <c r="AB316" s="66">
        <f t="shared" si="175"/>
        <v>1.7768177747308603E-2</v>
      </c>
      <c r="AC316" s="67">
        <f t="shared" si="147"/>
        <v>14850986.651322268</v>
      </c>
      <c r="AD316" s="67">
        <f t="shared" si="162"/>
        <v>22524192.576000001</v>
      </c>
      <c r="AE316" s="66">
        <f t="shared" si="150"/>
        <v>3.2000000000000028E-2</v>
      </c>
      <c r="AF316" s="67">
        <f t="shared" si="163"/>
        <v>22524192.576000001</v>
      </c>
      <c r="AG316" s="67">
        <f t="shared" si="176"/>
        <v>1.0000000000000004</v>
      </c>
      <c r="AH316" s="67">
        <f t="shared" si="165"/>
        <v>22524192.576000012</v>
      </c>
      <c r="AI316" s="67">
        <f t="shared" si="148"/>
        <v>193.52875381151577</v>
      </c>
      <c r="AJ316" s="67">
        <f t="shared" si="149"/>
        <v>0</v>
      </c>
      <c r="AK316" s="66">
        <f t="shared" si="151"/>
        <v>3.2000000000000473E-2</v>
      </c>
    </row>
    <row r="317" spans="1:37" ht="12.75" customHeight="1" x14ac:dyDescent="0.25">
      <c r="A317" s="55" t="s">
        <v>623</v>
      </c>
      <c r="B317" s="55" t="s">
        <v>413</v>
      </c>
      <c r="C317" s="55" t="s">
        <v>415</v>
      </c>
      <c r="D317" s="128">
        <v>2020</v>
      </c>
      <c r="E317" s="55" t="s">
        <v>676</v>
      </c>
      <c r="F317" s="57">
        <f>SIM_Parametres!$C$26</f>
        <v>1267670376.576</v>
      </c>
      <c r="G317" s="129">
        <f>SIM_Districts!D33*(1+SIM_Parametres!$B$6)^(2020-2023)</f>
        <v>32773.053104755352</v>
      </c>
      <c r="H317" s="129">
        <f>MAX(0,MIN(100,SIM_Districts!F33+(2020-2022)*SIM_Parametres!$B$7))</f>
        <v>67.36</v>
      </c>
      <c r="I317" s="129">
        <f>SIM_Districts!G33*(1+SIM_Parametres!$B$8)^(2020-2023)</f>
        <v>48.158885796018225</v>
      </c>
      <c r="J317" s="129">
        <f>SIM_Districts!H33*(1+SIM_Parametres!$B$9)^(2020-2023)</f>
        <v>29.218106995884771</v>
      </c>
      <c r="K317" s="129">
        <f>MAX(0,MIN(100,SIM_Districts!I33+(2020-2023)*SIM_Parametres!$B$10))</f>
        <v>81.599999999999994</v>
      </c>
      <c r="L317" s="129">
        <f>SIM_Districts!E33</f>
        <v>1931</v>
      </c>
      <c r="M317" s="68">
        <f t="shared" si="145"/>
        <v>16.972062716082522</v>
      </c>
      <c r="N317" s="129">
        <f>N246*(1+SIM_Parametres!$B$6)/(1+SIM_Parametres!$B$11)</f>
        <v>59423</v>
      </c>
      <c r="O317" s="72"/>
      <c r="P317" s="130">
        <f>SIM_Parametres!$D$26</f>
        <v>0</v>
      </c>
      <c r="Q317" s="130">
        <f>SIM_Parametres!$B$12</f>
        <v>0.2</v>
      </c>
      <c r="R317" s="59">
        <f t="shared" si="166"/>
        <v>1.9756831863027534E-3</v>
      </c>
      <c r="S317" s="59">
        <f t="shared" si="167"/>
        <v>1</v>
      </c>
      <c r="T317" s="59">
        <f t="shared" si="168"/>
        <v>0.80386740331491713</v>
      </c>
      <c r="U317" s="59">
        <f t="shared" si="169"/>
        <v>0.56635625479419383</v>
      </c>
      <c r="V317" s="59">
        <f t="shared" si="170"/>
        <v>0</v>
      </c>
      <c r="W317" s="59">
        <f t="shared" si="171"/>
        <v>2.3842739378566898E-2</v>
      </c>
      <c r="X317" s="59">
        <f t="shared" si="172"/>
        <v>1.590772426611272E-2</v>
      </c>
      <c r="Y317" s="59">
        <f t="shared" si="173"/>
        <v>1.4470237765701426E-2</v>
      </c>
      <c r="Z317" s="59">
        <f t="shared" si="174"/>
        <v>0</v>
      </c>
      <c r="AA317" s="59">
        <f t="shared" si="146"/>
        <v>7.8714913467686654E-3</v>
      </c>
      <c r="AB317" s="59">
        <f t="shared" si="175"/>
        <v>1.2869305722883974E-2</v>
      </c>
      <c r="AC317" s="60">
        <f t="shared" si="147"/>
        <v>11553667.589046538</v>
      </c>
      <c r="AD317" s="60">
        <f t="shared" si="162"/>
        <v>16314037.631999999</v>
      </c>
      <c r="AE317" s="59">
        <f t="shared" si="150"/>
        <v>3.2000000000000028E-2</v>
      </c>
      <c r="AF317" s="60">
        <f t="shared" si="163"/>
        <v>16314037.631999999</v>
      </c>
      <c r="AG317" s="60">
        <f t="shared" si="176"/>
        <v>1.0000000000000004</v>
      </c>
      <c r="AH317" s="60">
        <f t="shared" si="165"/>
        <v>16314037.632000007</v>
      </c>
      <c r="AI317" s="60">
        <f t="shared" si="148"/>
        <v>497.7881547945513</v>
      </c>
      <c r="AJ317" s="60">
        <f t="shared" si="149"/>
        <v>0</v>
      </c>
      <c r="AK317" s="59">
        <f t="shared" si="151"/>
        <v>3.2000000000000473E-2</v>
      </c>
    </row>
    <row r="318" spans="1:37" ht="12.75" customHeight="1" x14ac:dyDescent="0.25">
      <c r="A318" s="62" t="s">
        <v>624</v>
      </c>
      <c r="B318" s="62" t="s">
        <v>413</v>
      </c>
      <c r="C318" s="62" t="s">
        <v>416</v>
      </c>
      <c r="D318" s="124">
        <v>2020</v>
      </c>
      <c r="E318" s="62" t="s">
        <v>676</v>
      </c>
      <c r="F318" s="64">
        <f>SIM_Parametres!$C$26</f>
        <v>1267670376.576</v>
      </c>
      <c r="G318" s="125">
        <f>SIM_Districts!D34*(1+SIM_Parametres!$B$6)^(2020-2023)</f>
        <v>75184.378165818183</v>
      </c>
      <c r="H318" s="125">
        <f>MAX(0,MIN(100,SIM_Districts!F34+(2020-2022)*SIM_Parametres!$B$7))</f>
        <v>67.36</v>
      </c>
      <c r="I318" s="125">
        <f>SIM_Districts!G34*(1+SIM_Parametres!$B$8)^(2020-2023)</f>
        <v>48.158885796018225</v>
      </c>
      <c r="J318" s="125">
        <f>SIM_Districts!H34*(1+SIM_Parametres!$B$9)^(2020-2023)</f>
        <v>29.218106995884771</v>
      </c>
      <c r="K318" s="125">
        <f>MAX(0,MIN(100,SIM_Districts!I34+(2020-2023)*SIM_Parametres!$B$10))</f>
        <v>81.599999999999994</v>
      </c>
      <c r="L318" s="125">
        <f>SIM_Districts!E34</f>
        <v>7918</v>
      </c>
      <c r="M318" s="61">
        <f t="shared" si="145"/>
        <v>9.4953748630737795</v>
      </c>
      <c r="N318" s="125">
        <f>N247*(1+SIM_Parametres!$B$6)/(1+SIM_Parametres!$B$11)</f>
        <v>59423</v>
      </c>
      <c r="O318" s="132"/>
      <c r="P318" s="126">
        <f>SIM_Parametres!$D$26</f>
        <v>0</v>
      </c>
      <c r="Q318" s="126">
        <f>SIM_Parametres!$B$12</f>
        <v>0.2</v>
      </c>
      <c r="R318" s="66">
        <f t="shared" si="166"/>
        <v>4.5323977396930929E-3</v>
      </c>
      <c r="S318" s="66">
        <f t="shared" si="167"/>
        <v>1</v>
      </c>
      <c r="T318" s="66">
        <f t="shared" si="168"/>
        <v>0.80386740331491713</v>
      </c>
      <c r="U318" s="66">
        <f t="shared" si="169"/>
        <v>0.77386406994971768</v>
      </c>
      <c r="V318" s="66">
        <f t="shared" si="170"/>
        <v>0</v>
      </c>
      <c r="W318" s="66">
        <f t="shared" si="171"/>
        <v>2.3842739378566898E-2</v>
      </c>
      <c r="X318" s="66">
        <f t="shared" si="172"/>
        <v>1.590772426611272E-2</v>
      </c>
      <c r="Y318" s="66">
        <f t="shared" si="173"/>
        <v>1.9772002155383658E-2</v>
      </c>
      <c r="Z318" s="66">
        <f t="shared" si="174"/>
        <v>0</v>
      </c>
      <c r="AA318" s="66">
        <f t="shared" si="146"/>
        <v>9.6706082982869809E-3</v>
      </c>
      <c r="AB318" s="66">
        <f t="shared" si="175"/>
        <v>1.2918874141584206E-2</v>
      </c>
      <c r="AC318" s="67">
        <f t="shared" si="147"/>
        <v>13378217.399794927</v>
      </c>
      <c r="AD318" s="67">
        <f t="shared" si="162"/>
        <v>16376874.047999999</v>
      </c>
      <c r="AE318" s="66">
        <f t="shared" si="150"/>
        <v>3.1999999999999806E-2</v>
      </c>
      <c r="AF318" s="67">
        <f t="shared" si="163"/>
        <v>16376874.047999999</v>
      </c>
      <c r="AG318" s="67">
        <f t="shared" si="176"/>
        <v>1.0000000000000004</v>
      </c>
      <c r="AH318" s="67">
        <f t="shared" si="165"/>
        <v>16376874.048000006</v>
      </c>
      <c r="AI318" s="67">
        <f t="shared" si="148"/>
        <v>217.82283032096134</v>
      </c>
      <c r="AJ318" s="67">
        <f t="shared" si="149"/>
        <v>0</v>
      </c>
      <c r="AK318" s="66">
        <f t="shared" si="151"/>
        <v>3.2000000000000473E-2</v>
      </c>
    </row>
    <row r="319" spans="1:37" ht="12.75" customHeight="1" x14ac:dyDescent="0.25">
      <c r="A319" s="55" t="s">
        <v>625</v>
      </c>
      <c r="B319" s="55" t="s">
        <v>417</v>
      </c>
      <c r="C319" s="55" t="s">
        <v>417</v>
      </c>
      <c r="D319" s="128">
        <v>2020</v>
      </c>
      <c r="E319" s="55" t="s">
        <v>676</v>
      </c>
      <c r="F319" s="57">
        <f>SIM_Parametres!$C$26</f>
        <v>1267670376.576</v>
      </c>
      <c r="G319" s="129">
        <f>SIM_Districts!D35*(1+SIM_Parametres!$B$6)^(2020-2023)</f>
        <v>310865.38540733414</v>
      </c>
      <c r="H319" s="129">
        <f>MAX(0,MIN(100,SIM_Districts!F35+(2020-2022)*SIM_Parametres!$B$7))</f>
        <v>64.16</v>
      </c>
      <c r="I319" s="129">
        <f>SIM_Districts!G35*(1+SIM_Parametres!$B$8)^(2020-2023)</f>
        <v>48.158885796018225</v>
      </c>
      <c r="J319" s="129">
        <f>SIM_Districts!H35*(1+SIM_Parametres!$B$9)^(2020-2023)</f>
        <v>24.554183813443068</v>
      </c>
      <c r="K319" s="129">
        <f>MAX(0,MIN(100,SIM_Districts!I35+(2020-2023)*SIM_Parametres!$B$10))</f>
        <v>82.5</v>
      </c>
      <c r="L319" s="129">
        <f>SIM_Districts!E35</f>
        <v>3571</v>
      </c>
      <c r="M319" s="68">
        <f t="shared" si="145"/>
        <v>87.052754244562905</v>
      </c>
      <c r="N319" s="129">
        <f>N248*(1+SIM_Parametres!$B$6)/(1+SIM_Parametres!$B$11)</f>
        <v>155501</v>
      </c>
      <c r="O319" s="72"/>
      <c r="P319" s="130">
        <f>SIM_Parametres!$D$26</f>
        <v>0</v>
      </c>
      <c r="Q319" s="130">
        <f>SIM_Parametres!$B$12</f>
        <v>0.2</v>
      </c>
      <c r="R319" s="59">
        <f t="shared" si="166"/>
        <v>1.8740137307002365E-2</v>
      </c>
      <c r="S319" s="59">
        <f t="shared" si="167"/>
        <v>0.94326241134751765</v>
      </c>
      <c r="T319" s="59">
        <f t="shared" si="168"/>
        <v>0.70994475138121538</v>
      </c>
      <c r="U319" s="59">
        <f t="shared" si="169"/>
        <v>0.62208351647816396</v>
      </c>
      <c r="V319" s="59">
        <f t="shared" si="170"/>
        <v>0.66684249613059499</v>
      </c>
      <c r="W319" s="59">
        <f t="shared" si="171"/>
        <v>2.2489959839357424E-2</v>
      </c>
      <c r="X319" s="59">
        <f t="shared" si="172"/>
        <v>1.4049089815776525E-2</v>
      </c>
      <c r="Y319" s="59">
        <f t="shared" si="173"/>
        <v>1.589405311120607E-2</v>
      </c>
      <c r="Z319" s="59">
        <f t="shared" si="174"/>
        <v>2.4475353458158197E-2</v>
      </c>
      <c r="AA319" s="59">
        <f t="shared" si="146"/>
        <v>1.8743410160939722E-2</v>
      </c>
      <c r="AB319" s="59">
        <f t="shared" si="175"/>
        <v>1.4750385205423289E-2</v>
      </c>
      <c r="AC319" s="60">
        <f t="shared" si="147"/>
        <v>22579275.122857675</v>
      </c>
      <c r="AD319" s="60">
        <f t="shared" si="162"/>
        <v>18698626.368000001</v>
      </c>
      <c r="AE319" s="59">
        <f t="shared" si="150"/>
        <v>3.2000000000000028E-2</v>
      </c>
      <c r="AF319" s="60">
        <f t="shared" si="163"/>
        <v>18698626.368000001</v>
      </c>
      <c r="AG319" s="60">
        <f t="shared" si="176"/>
        <v>1.0000000000000004</v>
      </c>
      <c r="AH319" s="60">
        <f t="shared" si="165"/>
        <v>18698626.368000008</v>
      </c>
      <c r="AI319" s="60">
        <f t="shared" si="148"/>
        <v>60.150236230060685</v>
      </c>
      <c r="AJ319" s="60">
        <f t="shared" si="149"/>
        <v>0</v>
      </c>
      <c r="AK319" s="59">
        <f t="shared" si="151"/>
        <v>3.2000000000000473E-2</v>
      </c>
    </row>
    <row r="320" spans="1:37" ht="12.75" customHeight="1" x14ac:dyDescent="0.25">
      <c r="A320" s="62" t="s">
        <v>627</v>
      </c>
      <c r="B320" s="62" t="s">
        <v>417</v>
      </c>
      <c r="C320" s="62" t="s">
        <v>419</v>
      </c>
      <c r="D320" s="124">
        <v>2020</v>
      </c>
      <c r="E320" s="62" t="s">
        <v>676</v>
      </c>
      <c r="F320" s="64">
        <f>SIM_Parametres!$C$26</f>
        <v>1267670376.576</v>
      </c>
      <c r="G320" s="125">
        <f>SIM_Districts!D36*(1+SIM_Parametres!$B$6)^(2020-2023)</f>
        <v>174502.87217209788</v>
      </c>
      <c r="H320" s="125">
        <f>MAX(0,MIN(100,SIM_Districts!F36+(2020-2022)*SIM_Parametres!$B$7))</f>
        <v>64.16</v>
      </c>
      <c r="I320" s="125">
        <f>SIM_Districts!G36*(1+SIM_Parametres!$B$8)^(2020-2023)</f>
        <v>48.158885796018225</v>
      </c>
      <c r="J320" s="125">
        <f>SIM_Districts!H36*(1+SIM_Parametres!$B$9)^(2020-2023)</f>
        <v>24.554183813443068</v>
      </c>
      <c r="K320" s="125">
        <f>MAX(0,MIN(100,SIM_Districts!I36+(2020-2023)*SIM_Parametres!$B$10))</f>
        <v>82.5</v>
      </c>
      <c r="L320" s="125">
        <f>SIM_Districts!E36</f>
        <v>4702</v>
      </c>
      <c r="M320" s="61">
        <f t="shared" si="145"/>
        <v>37.112478131028901</v>
      </c>
      <c r="N320" s="125">
        <f>N249*(1+SIM_Parametres!$B$6)/(1+SIM_Parametres!$B$11)</f>
        <v>155501</v>
      </c>
      <c r="O320" s="132"/>
      <c r="P320" s="126">
        <f>SIM_Parametres!$D$26</f>
        <v>0</v>
      </c>
      <c r="Q320" s="126">
        <f>SIM_Parametres!$B$12</f>
        <v>0.2</v>
      </c>
      <c r="R320" s="66">
        <f t="shared" ref="R320:R351" si="177">IFERROR(G320/SUM($G$288:$G$358),1/71)</f>
        <v>1.0519690961045299E-2</v>
      </c>
      <c r="S320" s="66">
        <f t="shared" ref="S320:S351" si="178">IF(MAX($H$288:$H$358)=MIN($H$288:$H$358),1,(H320-MIN($H$288:$H$358))/(MAX($H$288:$H$358)-MIN($H$288:$H$358)))</f>
        <v>0.94326241134751765</v>
      </c>
      <c r="T320" s="66">
        <f t="shared" ref="T320:T351" si="179">(IF(MAX($I$288:$I$358)=MIN($I$288:$I$358),1,(I320-MIN($I$288:$I$358))/(MAX($I$288:$I$358)-MIN($I$288:$I$358)))+IF(MAX($J$288:$J$358)=MIN($J$288:$J$358),1,(J320-MIN($J$288:$J$358))/(MAX($J$288:$J$358)-MIN($J$288:$J$358))))/2</f>
        <v>0.70994475138121538</v>
      </c>
      <c r="U320" s="66">
        <f t="shared" ref="U320:U351" si="180">(IF(MAX($L$288:$L$358)=MIN($L$288:$L$358),1,(L320-MIN($L$288:$L$358))/(MAX($L$288:$L$358)-MIN($L$288:$L$358)))+IF(MAX($M$288:$M$358)=MIN($M$288:$M$358),1,(MAX($M$288:$M$358)-M320)/(MAX($M$288:$M$358)-MIN($M$288:$M$358))))/2</f>
        <v>0.66203363691805861</v>
      </c>
      <c r="V320" s="66">
        <f t="shared" ref="V320:V351" si="181">IF(MAX($N$288:$N$358)=MIN($N$288:$N$358),1,(N320-MIN($N$288:$N$358))/(MAX($N$288:$N$358)-MIN($N$288:$N$358)))</f>
        <v>0.66684249613059499</v>
      </c>
      <c r="W320" s="66">
        <f t="shared" ref="W320:W351" si="182">IFERROR(S320/SUM($S$288:$S$358),1/71)</f>
        <v>2.2489959839357424E-2</v>
      </c>
      <c r="X320" s="66">
        <f t="shared" ref="X320:X351" si="183">IFERROR(T320/SUM($T$288:$T$358),1/71)</f>
        <v>1.4049089815776525E-2</v>
      </c>
      <c r="Y320" s="66">
        <f t="shared" ref="Y320:Y351" si="184">IFERROR(U320/SUM($U$288:$U$358),1/71)</f>
        <v>1.6914767081679924E-2</v>
      </c>
      <c r="Z320" s="66">
        <f t="shared" ref="Z320:Z351" si="185">IFERROR(V320/SUM($V$288:$V$358),1/71)</f>
        <v>2.4475353458158197E-2</v>
      </c>
      <c r="AA320" s="66">
        <f t="shared" si="146"/>
        <v>1.3862178051889178E-2</v>
      </c>
      <c r="AB320" s="66">
        <f t="shared" ref="AB320:AB351" si="186">IFERROR(AH249/SUM($AH$217:$AH$287),1/71)</f>
        <v>1.3806064822049376E-2</v>
      </c>
      <c r="AC320" s="67">
        <f t="shared" si="147"/>
        <v>17629040.446189702</v>
      </c>
      <c r="AD320" s="67">
        <f t="shared" si="162"/>
        <v>17501539.391999997</v>
      </c>
      <c r="AE320" s="66">
        <f t="shared" si="150"/>
        <v>3.1999999999999806E-2</v>
      </c>
      <c r="AF320" s="67">
        <f t="shared" si="163"/>
        <v>17501539.391999997</v>
      </c>
      <c r="AG320" s="67">
        <f t="shared" ref="AG320:AG351" si="187">IFERROR(F320/SUM($AF$288:$AF$358),1)</f>
        <v>1.0000000000000004</v>
      </c>
      <c r="AH320" s="67">
        <f t="shared" si="165"/>
        <v>17501539.392000005</v>
      </c>
      <c r="AI320" s="67">
        <f t="shared" si="148"/>
        <v>100.29370390385134</v>
      </c>
      <c r="AJ320" s="67">
        <f t="shared" si="149"/>
        <v>0</v>
      </c>
      <c r="AK320" s="66">
        <f t="shared" si="151"/>
        <v>3.200000000000025E-2</v>
      </c>
    </row>
    <row r="321" spans="1:37" ht="12.75" customHeight="1" x14ac:dyDescent="0.25">
      <c r="A321" s="55" t="s">
        <v>628</v>
      </c>
      <c r="B321" s="55" t="s">
        <v>417</v>
      </c>
      <c r="C321" s="55" t="s">
        <v>420</v>
      </c>
      <c r="D321" s="128">
        <v>2020</v>
      </c>
      <c r="E321" s="55" t="s">
        <v>676</v>
      </c>
      <c r="F321" s="57">
        <f>SIM_Parametres!$C$26</f>
        <v>1267670376.576</v>
      </c>
      <c r="G321" s="129">
        <f>SIM_Districts!D37*(1+SIM_Parametres!$B$6)^(2020-2023)</f>
        <v>351801.5021135197</v>
      </c>
      <c r="H321" s="129">
        <f>MAX(0,MIN(100,SIM_Districts!F37+(2020-2022)*SIM_Parametres!$B$7))</f>
        <v>64.16</v>
      </c>
      <c r="I321" s="129">
        <f>SIM_Districts!G37*(1+SIM_Parametres!$B$8)^(2020-2023)</f>
        <v>48.158885796018225</v>
      </c>
      <c r="J321" s="129">
        <f>SIM_Districts!H37*(1+SIM_Parametres!$B$9)^(2020-2023)</f>
        <v>24.554183813443068</v>
      </c>
      <c r="K321" s="129">
        <f>MAX(0,MIN(100,SIM_Districts!I37+(2020-2023)*SIM_Parametres!$B$10))</f>
        <v>82.5</v>
      </c>
      <c r="L321" s="129">
        <f>SIM_Districts!E37</f>
        <v>5498</v>
      </c>
      <c r="M321" s="68">
        <f t="shared" si="145"/>
        <v>63.987177539745311</v>
      </c>
      <c r="N321" s="129">
        <f>N250*(1+SIM_Parametres!$B$6)/(1+SIM_Parametres!$B$11)</f>
        <v>155501</v>
      </c>
      <c r="O321" s="72"/>
      <c r="P321" s="130">
        <f>SIM_Parametres!$D$26</f>
        <v>0</v>
      </c>
      <c r="Q321" s="130">
        <f>SIM_Parametres!$B$12</f>
        <v>0.2</v>
      </c>
      <c r="R321" s="59">
        <f t="shared" si="177"/>
        <v>2.1207920739642117E-2</v>
      </c>
      <c r="S321" s="59">
        <f t="shared" si="178"/>
        <v>0.94326241134751765</v>
      </c>
      <c r="T321" s="59">
        <f t="shared" si="179"/>
        <v>0.70994475138121538</v>
      </c>
      <c r="U321" s="59">
        <f t="shared" si="180"/>
        <v>0.68919209164884077</v>
      </c>
      <c r="V321" s="59">
        <f t="shared" si="181"/>
        <v>0.66684249613059499</v>
      </c>
      <c r="W321" s="59">
        <f t="shared" si="182"/>
        <v>2.2489959839357424E-2</v>
      </c>
      <c r="X321" s="59">
        <f t="shared" si="183"/>
        <v>1.4049089815776525E-2</v>
      </c>
      <c r="Y321" s="59">
        <f t="shared" si="184"/>
        <v>1.7608657709666832E-2</v>
      </c>
      <c r="Z321" s="59">
        <f t="shared" si="185"/>
        <v>2.4475353458158197E-2</v>
      </c>
      <c r="AA321" s="59">
        <f t="shared" si="146"/>
        <v>2.0309810450446615E-2</v>
      </c>
      <c r="AB321" s="59">
        <f t="shared" si="186"/>
        <v>1.8667130425431454E-2</v>
      </c>
      <c r="AC321" s="60">
        <f t="shared" si="147"/>
        <v>24167818.518752038</v>
      </c>
      <c r="AD321" s="60">
        <f t="shared" si="162"/>
        <v>23663768.255999997</v>
      </c>
      <c r="AE321" s="59">
        <f t="shared" si="150"/>
        <v>3.1999999999999806E-2</v>
      </c>
      <c r="AF321" s="60">
        <f t="shared" si="163"/>
        <v>23663768.255999997</v>
      </c>
      <c r="AG321" s="60">
        <f t="shared" si="187"/>
        <v>1.0000000000000004</v>
      </c>
      <c r="AH321" s="60">
        <f t="shared" si="165"/>
        <v>23663768.256000008</v>
      </c>
      <c r="AI321" s="60">
        <f t="shared" si="148"/>
        <v>67.264545813008368</v>
      </c>
      <c r="AJ321" s="60">
        <f t="shared" si="149"/>
        <v>0</v>
      </c>
      <c r="AK321" s="59">
        <f t="shared" si="151"/>
        <v>3.2000000000000473E-2</v>
      </c>
    </row>
    <row r="322" spans="1:37" ht="12.75" customHeight="1" x14ac:dyDescent="0.25">
      <c r="A322" s="62" t="s">
        <v>629</v>
      </c>
      <c r="B322" s="62" t="s">
        <v>421</v>
      </c>
      <c r="C322" s="62" t="s">
        <v>423</v>
      </c>
      <c r="D322" s="124">
        <v>2020</v>
      </c>
      <c r="E322" s="62" t="s">
        <v>676</v>
      </c>
      <c r="F322" s="64">
        <f>SIM_Parametres!$C$26</f>
        <v>1267670376.576</v>
      </c>
      <c r="G322" s="125">
        <f>SIM_Districts!D38*(1+SIM_Parametres!$B$6)^(2020-2023)</f>
        <v>74778.970410724738</v>
      </c>
      <c r="H322" s="125">
        <f>MAX(0,MIN(100,SIM_Districts!F38+(2020-2022)*SIM_Parametres!$B$7))</f>
        <v>48.66</v>
      </c>
      <c r="I322" s="125">
        <f>SIM_Districts!G38*(1+SIM_Parametres!$B$8)^(2020-2023)</f>
        <v>48.158885796018225</v>
      </c>
      <c r="J322" s="125">
        <f>SIM_Districts!H38*(1+SIM_Parametres!$B$9)^(2020-2023)</f>
        <v>24.691358024691354</v>
      </c>
      <c r="K322" s="125">
        <f>MAX(0,MIN(100,SIM_Districts!I38+(2020-2023)*SIM_Parametres!$B$10))</f>
        <v>87.8</v>
      </c>
      <c r="L322" s="125">
        <f>SIM_Districts!E38</f>
        <v>822</v>
      </c>
      <c r="M322" s="61">
        <f t="shared" si="145"/>
        <v>90.971983468034963</v>
      </c>
      <c r="N322" s="125">
        <f>N251*(1+SIM_Parametres!$B$6)/(1+SIM_Parametres!$B$11)</f>
        <v>97480</v>
      </c>
      <c r="O322" s="132"/>
      <c r="P322" s="126">
        <f>SIM_Parametres!$D$26</f>
        <v>0</v>
      </c>
      <c r="Q322" s="126">
        <f>SIM_Parametres!$B$12</f>
        <v>0.2</v>
      </c>
      <c r="R322" s="66">
        <f t="shared" si="177"/>
        <v>4.5079582319433962E-3</v>
      </c>
      <c r="S322" s="66">
        <f t="shared" si="178"/>
        <v>0.66843971631205668</v>
      </c>
      <c r="T322" s="66">
        <f t="shared" si="179"/>
        <v>0.71270718232044195</v>
      </c>
      <c r="U322" s="66">
        <f t="shared" si="180"/>
        <v>0.52679639914705134</v>
      </c>
      <c r="V322" s="66">
        <f t="shared" si="181"/>
        <v>0.26413981218637</v>
      </c>
      <c r="W322" s="66">
        <f t="shared" si="182"/>
        <v>1.5937433946311558E-2</v>
      </c>
      <c r="X322" s="66">
        <f t="shared" si="183"/>
        <v>1.4103755534904061E-2</v>
      </c>
      <c r="Y322" s="66">
        <f t="shared" si="184"/>
        <v>1.3459494947298202E-2</v>
      </c>
      <c r="Z322" s="66">
        <f t="shared" si="185"/>
        <v>9.6948159470131197E-3</v>
      </c>
      <c r="AA322" s="66">
        <f t="shared" si="146"/>
        <v>8.3686689060639453E-3</v>
      </c>
      <c r="AB322" s="66">
        <f t="shared" si="186"/>
        <v>1.1122649070718171E-2</v>
      </c>
      <c r="AC322" s="67">
        <f t="shared" si="147"/>
        <v>12057873.400100123</v>
      </c>
      <c r="AD322" s="67">
        <f t="shared" si="162"/>
        <v>14099852.736</v>
      </c>
      <c r="AE322" s="66">
        <f t="shared" si="150"/>
        <v>3.2000000000000028E-2</v>
      </c>
      <c r="AF322" s="67">
        <f t="shared" si="163"/>
        <v>14099852.736</v>
      </c>
      <c r="AG322" s="67">
        <f t="shared" si="187"/>
        <v>1.0000000000000004</v>
      </c>
      <c r="AH322" s="67">
        <f t="shared" si="165"/>
        <v>14099852.736000005</v>
      </c>
      <c r="AI322" s="67">
        <f t="shared" si="148"/>
        <v>188.55371581818164</v>
      </c>
      <c r="AJ322" s="67">
        <f t="shared" si="149"/>
        <v>0</v>
      </c>
      <c r="AK322" s="66">
        <f t="shared" si="151"/>
        <v>3.2000000000000473E-2</v>
      </c>
    </row>
    <row r="323" spans="1:37" ht="12.75" customHeight="1" x14ac:dyDescent="0.25">
      <c r="A323" s="55" t="s">
        <v>631</v>
      </c>
      <c r="B323" s="55" t="s">
        <v>421</v>
      </c>
      <c r="C323" s="55" t="s">
        <v>424</v>
      </c>
      <c r="D323" s="128">
        <v>2020</v>
      </c>
      <c r="E323" s="55" t="s">
        <v>676</v>
      </c>
      <c r="F323" s="57">
        <f>SIM_Parametres!$C$26</f>
        <v>1267670376.576</v>
      </c>
      <c r="G323" s="129">
        <f>SIM_Districts!D39*(1+SIM_Parametres!$B$6)^(2020-2023)</f>
        <v>155361.7692250672</v>
      </c>
      <c r="H323" s="129">
        <f>MAX(0,MIN(100,SIM_Districts!F39+(2020-2022)*SIM_Parametres!$B$7))</f>
        <v>48.66</v>
      </c>
      <c r="I323" s="129">
        <f>SIM_Districts!G39*(1+SIM_Parametres!$B$8)^(2020-2023)</f>
        <v>48.158885796018225</v>
      </c>
      <c r="J323" s="129">
        <f>SIM_Districts!H39*(1+SIM_Parametres!$B$9)^(2020-2023)</f>
        <v>24.691358024691354</v>
      </c>
      <c r="K323" s="129">
        <f>MAX(0,MIN(100,SIM_Districts!I39+(2020-2023)*SIM_Parametres!$B$10))</f>
        <v>87.8</v>
      </c>
      <c r="L323" s="129">
        <f>SIM_Districts!E39</f>
        <v>6832</v>
      </c>
      <c r="M323" s="68">
        <f t="shared" si="145"/>
        <v>22.740305799922012</v>
      </c>
      <c r="N323" s="129">
        <f>N252*(1+SIM_Parametres!$B$6)/(1+SIM_Parametres!$B$11)</f>
        <v>97480</v>
      </c>
      <c r="O323" s="72"/>
      <c r="P323" s="130">
        <f>SIM_Parametres!$D$26</f>
        <v>0</v>
      </c>
      <c r="Q323" s="130">
        <f>SIM_Parametres!$B$12</f>
        <v>0.2</v>
      </c>
      <c r="R323" s="59">
        <f t="shared" si="177"/>
        <v>9.3657931188497121E-3</v>
      </c>
      <c r="S323" s="59">
        <f t="shared" si="178"/>
        <v>0.66843971631205668</v>
      </c>
      <c r="T323" s="59">
        <f t="shared" si="179"/>
        <v>0.71270718232044195</v>
      </c>
      <c r="U323" s="59">
        <f t="shared" si="180"/>
        <v>0.73603986945859257</v>
      </c>
      <c r="V323" s="59">
        <f t="shared" si="181"/>
        <v>0.26413981218637</v>
      </c>
      <c r="W323" s="59">
        <f t="shared" si="182"/>
        <v>1.5937433946311558E-2</v>
      </c>
      <c r="X323" s="59">
        <f t="shared" si="183"/>
        <v>1.4103755534904061E-2</v>
      </c>
      <c r="Y323" s="59">
        <f t="shared" si="184"/>
        <v>1.880560482195431E-2</v>
      </c>
      <c r="Z323" s="59">
        <f t="shared" si="185"/>
        <v>9.6948159470131197E-3</v>
      </c>
      <c r="AA323" s="59">
        <f t="shared" si="146"/>
        <v>1.1550675331940541E-2</v>
      </c>
      <c r="AB323" s="59">
        <f t="shared" si="186"/>
        <v>1.7022971181425452E-2</v>
      </c>
      <c r="AC323" s="60">
        <f t="shared" si="147"/>
        <v>15284861.627426712</v>
      </c>
      <c r="AD323" s="60">
        <f t="shared" si="162"/>
        <v>21579516.287999999</v>
      </c>
      <c r="AE323" s="59">
        <f t="shared" si="150"/>
        <v>3.2000000000000028E-2</v>
      </c>
      <c r="AF323" s="60">
        <f t="shared" si="163"/>
        <v>21579516.287999999</v>
      </c>
      <c r="AG323" s="60">
        <f t="shared" si="187"/>
        <v>1.0000000000000004</v>
      </c>
      <c r="AH323" s="60">
        <f t="shared" si="165"/>
        <v>21579516.28800001</v>
      </c>
      <c r="AI323" s="60">
        <f t="shared" si="148"/>
        <v>138.89849733069474</v>
      </c>
      <c r="AJ323" s="60">
        <f t="shared" si="149"/>
        <v>0</v>
      </c>
      <c r="AK323" s="59">
        <f t="shared" si="151"/>
        <v>3.2000000000000473E-2</v>
      </c>
    </row>
    <row r="324" spans="1:37" ht="12.75" customHeight="1" x14ac:dyDescent="0.25">
      <c r="A324" s="62" t="s">
        <v>632</v>
      </c>
      <c r="B324" s="62" t="s">
        <v>421</v>
      </c>
      <c r="C324" s="62" t="s">
        <v>425</v>
      </c>
      <c r="D324" s="124">
        <v>2020</v>
      </c>
      <c r="E324" s="62" t="s">
        <v>676</v>
      </c>
      <c r="F324" s="64">
        <f>SIM_Parametres!$C$26</f>
        <v>1267670376.576</v>
      </c>
      <c r="G324" s="125">
        <f>SIM_Districts!D40*(1+SIM_Parametres!$B$6)^(2020-2023)</f>
        <v>97680.390436037545</v>
      </c>
      <c r="H324" s="125">
        <f>MAX(0,MIN(100,SIM_Districts!F40+(2020-2022)*SIM_Parametres!$B$7))</f>
        <v>48.66</v>
      </c>
      <c r="I324" s="125">
        <f>SIM_Districts!G40*(1+SIM_Parametres!$B$8)^(2020-2023)</f>
        <v>48.158885796018225</v>
      </c>
      <c r="J324" s="125">
        <f>SIM_Districts!H40*(1+SIM_Parametres!$B$9)^(2020-2023)</f>
        <v>24.691358024691354</v>
      </c>
      <c r="K324" s="125">
        <f>MAX(0,MIN(100,SIM_Districts!I40+(2020-2023)*SIM_Parametres!$B$10))</f>
        <v>87.8</v>
      </c>
      <c r="L324" s="125">
        <f>SIM_Districts!E40</f>
        <v>1601</v>
      </c>
      <c r="M324" s="61">
        <f t="shared" ref="M324:M387" si="188">IFERROR(G324/L324,0)</f>
        <v>61.012111452865426</v>
      </c>
      <c r="N324" s="125">
        <f>N253*(1+SIM_Parametres!$B$6)/(1+SIM_Parametres!$B$11)</f>
        <v>97480</v>
      </c>
      <c r="O324" s="132"/>
      <c r="P324" s="126">
        <f>SIM_Parametres!$D$26</f>
        <v>0</v>
      </c>
      <c r="Q324" s="126">
        <f>SIM_Parametres!$B$12</f>
        <v>0.2</v>
      </c>
      <c r="R324" s="66">
        <f t="shared" si="177"/>
        <v>5.8885421629504995E-3</v>
      </c>
      <c r="S324" s="66">
        <f t="shared" si="178"/>
        <v>0.66843971631205668</v>
      </c>
      <c r="T324" s="66">
        <f t="shared" si="179"/>
        <v>0.71270718232044195</v>
      </c>
      <c r="U324" s="66">
        <f t="shared" si="180"/>
        <v>0.5542443044598161</v>
      </c>
      <c r="V324" s="66">
        <f t="shared" si="181"/>
        <v>0.26413981218637</v>
      </c>
      <c r="W324" s="66">
        <f t="shared" si="182"/>
        <v>1.5937433946311558E-2</v>
      </c>
      <c r="X324" s="66">
        <f t="shared" si="183"/>
        <v>1.4103755534904061E-2</v>
      </c>
      <c r="Y324" s="66">
        <f t="shared" si="184"/>
        <v>1.4160780953560275E-2</v>
      </c>
      <c r="Z324" s="66">
        <f t="shared" si="185"/>
        <v>9.6948159470131197E-3</v>
      </c>
      <c r="AA324" s="66">
        <f t="shared" ref="AA324:AA387" si="189">0.6*R324+0.15*W324+0.15*X324+0.05*Y324+0.05*Z324</f>
        <v>9.2320835649813103E-3</v>
      </c>
      <c r="AB324" s="66">
        <f t="shared" si="186"/>
        <v>1.7858913157810723E-2</v>
      </c>
      <c r="AC324" s="67">
        <f t="shared" ref="AC324:AC387" si="190">F324*(Q324/71+(1-Q324)*AA324)</f>
        <v>12933493.548748937</v>
      </c>
      <c r="AD324" s="67">
        <f t="shared" si="162"/>
        <v>22639215.168000001</v>
      </c>
      <c r="AE324" s="66">
        <f t="shared" si="150"/>
        <v>3.2000000000000028E-2</v>
      </c>
      <c r="AF324" s="67">
        <f t="shared" si="163"/>
        <v>22639215.168000001</v>
      </c>
      <c r="AG324" s="67">
        <f t="shared" si="187"/>
        <v>1.0000000000000004</v>
      </c>
      <c r="AH324" s="67">
        <f t="shared" si="165"/>
        <v>22639215.168000013</v>
      </c>
      <c r="AI324" s="67">
        <f t="shared" ref="AI324:AI387" si="191">IFERROR(AH324/G324,0)</f>
        <v>231.76827065228082</v>
      </c>
      <c r="AJ324" s="67">
        <f t="shared" ref="AJ324:AJ387" si="192">AH324-F324*AB324</f>
        <v>0</v>
      </c>
      <c r="AK324" s="66">
        <f t="shared" si="151"/>
        <v>3.2000000000000473E-2</v>
      </c>
    </row>
    <row r="325" spans="1:37" ht="12.75" customHeight="1" x14ac:dyDescent="0.25">
      <c r="A325" s="55" t="s">
        <v>633</v>
      </c>
      <c r="B325" s="55" t="s">
        <v>421</v>
      </c>
      <c r="C325" s="55" t="s">
        <v>426</v>
      </c>
      <c r="D325" s="128">
        <v>2020</v>
      </c>
      <c r="E325" s="55" t="s">
        <v>676</v>
      </c>
      <c r="F325" s="57">
        <f>SIM_Parametres!$C$26</f>
        <v>1267670376.576</v>
      </c>
      <c r="G325" s="129">
        <f>SIM_Districts!D41*(1+SIM_Parametres!$B$6)^(2020-2023)</f>
        <v>207688.65416522152</v>
      </c>
      <c r="H325" s="129">
        <f>MAX(0,MIN(100,SIM_Districts!F41+(2020-2022)*SIM_Parametres!$B$7))</f>
        <v>48.66</v>
      </c>
      <c r="I325" s="129">
        <f>SIM_Districts!G41*(1+SIM_Parametres!$B$8)^(2020-2023)</f>
        <v>48.158885796018225</v>
      </c>
      <c r="J325" s="129">
        <f>SIM_Districts!H41*(1+SIM_Parametres!$B$9)^(2020-2023)</f>
        <v>24.691358024691354</v>
      </c>
      <c r="K325" s="129">
        <f>MAX(0,MIN(100,SIM_Districts!I41+(2020-2023)*SIM_Parametres!$B$10))</f>
        <v>87.8</v>
      </c>
      <c r="L325" s="129">
        <f>SIM_Districts!E41</f>
        <v>2260</v>
      </c>
      <c r="M325" s="68">
        <f t="shared" si="188"/>
        <v>91.897634586381201</v>
      </c>
      <c r="N325" s="129">
        <f>N254*(1+SIM_Parametres!$B$6)/(1+SIM_Parametres!$B$11)</f>
        <v>97480</v>
      </c>
      <c r="O325" s="72"/>
      <c r="P325" s="130">
        <f>SIM_Parametres!$D$26</f>
        <v>0</v>
      </c>
      <c r="Q325" s="130">
        <f>SIM_Parametres!$B$12</f>
        <v>0.2</v>
      </c>
      <c r="R325" s="59">
        <f t="shared" si="177"/>
        <v>1.252025500061016E-2</v>
      </c>
      <c r="S325" s="59">
        <f t="shared" si="178"/>
        <v>0.66843971631205668</v>
      </c>
      <c r="T325" s="59">
        <f t="shared" si="179"/>
        <v>0.71270718232044195</v>
      </c>
      <c r="U325" s="59">
        <f t="shared" si="180"/>
        <v>0.57659503553202685</v>
      </c>
      <c r="V325" s="59">
        <f t="shared" si="181"/>
        <v>0.26413981218637</v>
      </c>
      <c r="W325" s="59">
        <f t="shared" si="182"/>
        <v>1.5937433946311558E-2</v>
      </c>
      <c r="X325" s="59">
        <f t="shared" si="183"/>
        <v>1.4103755534904061E-2</v>
      </c>
      <c r="Y325" s="59">
        <f t="shared" si="184"/>
        <v>1.4731835638865494E-2</v>
      </c>
      <c r="Z325" s="59">
        <f t="shared" si="185"/>
        <v>9.6948159470131197E-3</v>
      </c>
      <c r="AA325" s="59">
        <f t="shared" si="189"/>
        <v>1.3239664001842368E-2</v>
      </c>
      <c r="AB325" s="59">
        <f t="shared" si="186"/>
        <v>1.3885878377583649E-2</v>
      </c>
      <c r="AC325" s="60">
        <f t="shared" si="190"/>
        <v>16997726.34999235</v>
      </c>
      <c r="AD325" s="60">
        <f t="shared" si="162"/>
        <v>17602716.671999998</v>
      </c>
      <c r="AE325" s="59">
        <f t="shared" si="150"/>
        <v>3.1999999999999806E-2</v>
      </c>
      <c r="AF325" s="60">
        <f t="shared" si="163"/>
        <v>17602716.671999998</v>
      </c>
      <c r="AG325" s="60">
        <f t="shared" si="187"/>
        <v>1.0000000000000004</v>
      </c>
      <c r="AH325" s="60">
        <f t="shared" si="165"/>
        <v>17602716.672000006</v>
      </c>
      <c r="AI325" s="60">
        <f t="shared" si="191"/>
        <v>84.755311948801037</v>
      </c>
      <c r="AJ325" s="60">
        <f t="shared" si="192"/>
        <v>0</v>
      </c>
      <c r="AK325" s="59">
        <f t="shared" si="151"/>
        <v>3.200000000000025E-2</v>
      </c>
    </row>
    <row r="326" spans="1:37" ht="12.75" customHeight="1" x14ac:dyDescent="0.25">
      <c r="A326" s="62" t="s">
        <v>634</v>
      </c>
      <c r="B326" s="62" t="s">
        <v>421</v>
      </c>
      <c r="C326" s="62" t="s">
        <v>427</v>
      </c>
      <c r="D326" s="124">
        <v>2020</v>
      </c>
      <c r="E326" s="62" t="s">
        <v>676</v>
      </c>
      <c r="F326" s="64">
        <f>SIM_Parametres!$C$26</f>
        <v>1267670376.576</v>
      </c>
      <c r="G326" s="125">
        <f>SIM_Districts!D42*(1+SIM_Parametres!$B$6)^(2020-2023)</f>
        <v>89167.742720734459</v>
      </c>
      <c r="H326" s="125">
        <f>MAX(0,MIN(100,SIM_Districts!F42+(2020-2022)*SIM_Parametres!$B$7))</f>
        <v>48.66</v>
      </c>
      <c r="I326" s="125">
        <f>SIM_Districts!G42*(1+SIM_Parametres!$B$8)^(2020-2023)</f>
        <v>48.158885796018225</v>
      </c>
      <c r="J326" s="125">
        <f>SIM_Districts!H42*(1+SIM_Parametres!$B$9)^(2020-2023)</f>
        <v>24.691358024691354</v>
      </c>
      <c r="K326" s="125">
        <f>MAX(0,MIN(100,SIM_Districts!I42+(2020-2023)*SIM_Parametres!$B$10))</f>
        <v>87.8</v>
      </c>
      <c r="L326" s="125">
        <f>SIM_Districts!E42</f>
        <v>2889</v>
      </c>
      <c r="M326" s="61">
        <f t="shared" si="188"/>
        <v>30.86456999679282</v>
      </c>
      <c r="N326" s="125">
        <f>N255*(1+SIM_Parametres!$B$6)/(1+SIM_Parametres!$B$11)</f>
        <v>97480</v>
      </c>
      <c r="O326" s="132"/>
      <c r="P326" s="126">
        <f>SIM_Parametres!$D$26</f>
        <v>0</v>
      </c>
      <c r="Q326" s="126">
        <f>SIM_Parametres!$B$12</f>
        <v>0.2</v>
      </c>
      <c r="R326" s="66">
        <f t="shared" si="177"/>
        <v>5.3753676683959313E-3</v>
      </c>
      <c r="S326" s="66">
        <f t="shared" si="178"/>
        <v>0.66843971631205668</v>
      </c>
      <c r="T326" s="66">
        <f t="shared" si="179"/>
        <v>0.71270718232044195</v>
      </c>
      <c r="U326" s="66">
        <f t="shared" si="180"/>
        <v>0.59932709011759788</v>
      </c>
      <c r="V326" s="66">
        <f t="shared" si="181"/>
        <v>0.26413981218637</v>
      </c>
      <c r="W326" s="66">
        <f t="shared" si="182"/>
        <v>1.5937433946311558E-2</v>
      </c>
      <c r="X326" s="66">
        <f t="shared" si="183"/>
        <v>1.4103755534904061E-2</v>
      </c>
      <c r="Y326" s="66">
        <f t="shared" si="184"/>
        <v>1.5312633029150603E-2</v>
      </c>
      <c r="Z326" s="66">
        <f t="shared" si="185"/>
        <v>9.6948159470131197E-3</v>
      </c>
      <c r="AA326" s="66">
        <f t="shared" si="189"/>
        <v>8.9817714720280863E-3</v>
      </c>
      <c r="AB326" s="66">
        <f t="shared" si="186"/>
        <v>1.2318172118352582E-2</v>
      </c>
      <c r="AC326" s="67">
        <f t="shared" si="190"/>
        <v>12679642.968640504</v>
      </c>
      <c r="AD326" s="67">
        <f t="shared" si="162"/>
        <v>15615381.888</v>
      </c>
      <c r="AE326" s="66">
        <f t="shared" si="150"/>
        <v>3.2000000000000028E-2</v>
      </c>
      <c r="AF326" s="67">
        <f t="shared" si="163"/>
        <v>15615381.888</v>
      </c>
      <c r="AG326" s="67">
        <f t="shared" si="187"/>
        <v>1.0000000000000004</v>
      </c>
      <c r="AH326" s="67">
        <f t="shared" si="165"/>
        <v>15615381.888000008</v>
      </c>
      <c r="AI326" s="67">
        <f t="shared" si="191"/>
        <v>175.12366480898831</v>
      </c>
      <c r="AJ326" s="67">
        <f t="shared" si="192"/>
        <v>0</v>
      </c>
      <c r="AK326" s="66">
        <f t="shared" si="151"/>
        <v>3.2000000000000473E-2</v>
      </c>
    </row>
    <row r="327" spans="1:37" ht="12.75" customHeight="1" x14ac:dyDescent="0.25">
      <c r="A327" s="55" t="s">
        <v>635</v>
      </c>
      <c r="B327" s="55" t="s">
        <v>421</v>
      </c>
      <c r="C327" s="55" t="s">
        <v>428</v>
      </c>
      <c r="D327" s="128">
        <v>2020</v>
      </c>
      <c r="E327" s="55" t="s">
        <v>676</v>
      </c>
      <c r="F327" s="57">
        <f>SIM_Parametres!$C$26</f>
        <v>1267670376.576</v>
      </c>
      <c r="G327" s="129">
        <f>SIM_Districts!D43*(1+SIM_Parametres!$B$6)^(2020-2023)</f>
        <v>129750.61474640967</v>
      </c>
      <c r="H327" s="129">
        <f>MAX(0,MIN(100,SIM_Districts!F43+(2020-2022)*SIM_Parametres!$B$7))</f>
        <v>48.66</v>
      </c>
      <c r="I327" s="129">
        <f>SIM_Districts!G43*(1+SIM_Parametres!$B$8)^(2020-2023)</f>
        <v>48.158885796018225</v>
      </c>
      <c r="J327" s="129">
        <f>SIM_Districts!H43*(1+SIM_Parametres!$B$9)^(2020-2023)</f>
        <v>24.691358024691354</v>
      </c>
      <c r="K327" s="129">
        <f>MAX(0,MIN(100,SIM_Districts!I43+(2020-2023)*SIM_Parametres!$B$10))</f>
        <v>87.8</v>
      </c>
      <c r="L327" s="129">
        <f>SIM_Districts!E43</f>
        <v>8907</v>
      </c>
      <c r="M327" s="68">
        <f t="shared" si="188"/>
        <v>14.567263359875342</v>
      </c>
      <c r="N327" s="129">
        <f>N256*(1+SIM_Parametres!$B$6)/(1+SIM_Parametres!$B$11)</f>
        <v>97480</v>
      </c>
      <c r="O327" s="72"/>
      <c r="P327" s="130">
        <f>SIM_Parametres!$D$26</f>
        <v>0</v>
      </c>
      <c r="Q327" s="130">
        <f>SIM_Parametres!$B$12</f>
        <v>0.2</v>
      </c>
      <c r="R327" s="59">
        <f t="shared" si="177"/>
        <v>7.8218561800619067E-3</v>
      </c>
      <c r="S327" s="59">
        <f t="shared" si="178"/>
        <v>0.66843971631205668</v>
      </c>
      <c r="T327" s="59">
        <f t="shared" si="179"/>
        <v>0.71270718232044195</v>
      </c>
      <c r="U327" s="59">
        <f t="shared" si="180"/>
        <v>0.80804507507275991</v>
      </c>
      <c r="V327" s="59">
        <f t="shared" si="181"/>
        <v>0.26413981218637</v>
      </c>
      <c r="W327" s="59">
        <f t="shared" si="182"/>
        <v>1.5937433946311558E-2</v>
      </c>
      <c r="X327" s="59">
        <f t="shared" si="183"/>
        <v>1.4103755534904061E-2</v>
      </c>
      <c r="Y327" s="59">
        <f t="shared" si="184"/>
        <v>2.0645316905621231E-2</v>
      </c>
      <c r="Z327" s="59">
        <f t="shared" si="185"/>
        <v>9.6948159470131197E-3</v>
      </c>
      <c r="AA327" s="59">
        <f t="shared" si="189"/>
        <v>1.0716298772851206E-2</v>
      </c>
      <c r="AB327" s="59">
        <f t="shared" si="186"/>
        <v>1.3706927984648913E-2</v>
      </c>
      <c r="AC327" s="60">
        <f t="shared" si="190"/>
        <v>14438690.069933141</v>
      </c>
      <c r="AD327" s="60">
        <f t="shared" si="162"/>
        <v>17375866.559999999</v>
      </c>
      <c r="AE327" s="59">
        <f t="shared" si="150"/>
        <v>3.2000000000000028E-2</v>
      </c>
      <c r="AF327" s="60">
        <f t="shared" si="163"/>
        <v>17375866.559999999</v>
      </c>
      <c r="AG327" s="60">
        <f t="shared" si="187"/>
        <v>1.0000000000000004</v>
      </c>
      <c r="AH327" s="60">
        <f t="shared" si="165"/>
        <v>17375866.560000006</v>
      </c>
      <c r="AI327" s="60">
        <f t="shared" si="191"/>
        <v>133.9174122138856</v>
      </c>
      <c r="AJ327" s="60">
        <f t="shared" si="192"/>
        <v>0</v>
      </c>
      <c r="AK327" s="59">
        <f t="shared" si="151"/>
        <v>3.2000000000000473E-2</v>
      </c>
    </row>
    <row r="328" spans="1:37" ht="12.75" customHeight="1" x14ac:dyDescent="0.25">
      <c r="A328" s="62" t="s">
        <v>636</v>
      </c>
      <c r="B328" s="62" t="s">
        <v>421</v>
      </c>
      <c r="C328" s="62" t="s">
        <v>421</v>
      </c>
      <c r="D328" s="124">
        <v>2020</v>
      </c>
      <c r="E328" s="62" t="s">
        <v>676</v>
      </c>
      <c r="F328" s="64">
        <f>SIM_Parametres!$C$26</f>
        <v>1267670376.576</v>
      </c>
      <c r="G328" s="125">
        <f>SIM_Districts!D44*(1+SIM_Parametres!$B$6)^(2020-2023)</f>
        <v>191429.33230349392</v>
      </c>
      <c r="H328" s="125">
        <f>MAX(0,MIN(100,SIM_Districts!F44+(2020-2022)*SIM_Parametres!$B$7))</f>
        <v>48.66</v>
      </c>
      <c r="I328" s="125">
        <f>SIM_Districts!G44*(1+SIM_Parametres!$B$8)^(2020-2023)</f>
        <v>48.158885796018225</v>
      </c>
      <c r="J328" s="125">
        <f>SIM_Districts!H44*(1+SIM_Parametres!$B$9)^(2020-2023)</f>
        <v>24.691358024691354</v>
      </c>
      <c r="K328" s="125">
        <f>MAX(0,MIN(100,SIM_Districts!I44+(2020-2023)*SIM_Parametres!$B$10))</f>
        <v>87.8</v>
      </c>
      <c r="L328" s="125">
        <f>SIM_Districts!E44</f>
        <v>759</v>
      </c>
      <c r="M328" s="61">
        <f t="shared" si="188"/>
        <v>252.21255902963625</v>
      </c>
      <c r="N328" s="125">
        <f>N257*(1+SIM_Parametres!$B$6)/(1+SIM_Parametres!$B$11)</f>
        <v>97480</v>
      </c>
      <c r="O328" s="132"/>
      <c r="P328" s="126">
        <f>SIM_Parametres!$D$26</f>
        <v>0</v>
      </c>
      <c r="Q328" s="126">
        <f>SIM_Parametres!$B$12</f>
        <v>0.2</v>
      </c>
      <c r="R328" s="66">
        <f t="shared" si="177"/>
        <v>1.1540081785736903E-2</v>
      </c>
      <c r="S328" s="66">
        <f t="shared" si="178"/>
        <v>0.66843971631205668</v>
      </c>
      <c r="T328" s="66">
        <f t="shared" si="179"/>
        <v>0.71270718232044195</v>
      </c>
      <c r="U328" s="66">
        <f t="shared" si="180"/>
        <v>0.52212219334654875</v>
      </c>
      <c r="V328" s="66">
        <f t="shared" si="181"/>
        <v>0.26413981218637</v>
      </c>
      <c r="W328" s="66">
        <f t="shared" si="182"/>
        <v>1.5937433946311558E-2</v>
      </c>
      <c r="X328" s="66">
        <f t="shared" si="183"/>
        <v>1.4103755534904061E-2</v>
      </c>
      <c r="Y328" s="66">
        <f t="shared" si="184"/>
        <v>1.3340070347099038E-2</v>
      </c>
      <c r="Z328" s="66">
        <f t="shared" si="185"/>
        <v>9.6948159470131197E-3</v>
      </c>
      <c r="AA328" s="66">
        <f t="shared" si="189"/>
        <v>1.2581971808330091E-2</v>
      </c>
      <c r="AB328" s="66">
        <f t="shared" si="186"/>
        <v>1.6193750346558861E-2</v>
      </c>
      <c r="AC328" s="67">
        <f t="shared" si="190"/>
        <v>16330736.821495706</v>
      </c>
      <c r="AD328" s="67">
        <f t="shared" si="162"/>
        <v>20528337.600000001</v>
      </c>
      <c r="AE328" s="66">
        <f t="shared" si="150"/>
        <v>3.1999999999999806E-2</v>
      </c>
      <c r="AF328" s="67">
        <f t="shared" si="163"/>
        <v>20528337.600000001</v>
      </c>
      <c r="AG328" s="67">
        <f t="shared" si="187"/>
        <v>1.0000000000000004</v>
      </c>
      <c r="AH328" s="67">
        <f t="shared" si="165"/>
        <v>20528337.600000009</v>
      </c>
      <c r="AI328" s="67">
        <f t="shared" si="191"/>
        <v>107.2371582399618</v>
      </c>
      <c r="AJ328" s="67">
        <f t="shared" si="192"/>
        <v>0</v>
      </c>
      <c r="AK328" s="66">
        <f t="shared" si="151"/>
        <v>3.200000000000025E-2</v>
      </c>
    </row>
    <row r="329" spans="1:37" ht="12.75" customHeight="1" x14ac:dyDescent="0.25">
      <c r="A329" s="55" t="s">
        <v>637</v>
      </c>
      <c r="B329" s="55" t="s">
        <v>421</v>
      </c>
      <c r="C329" s="55" t="s">
        <v>429</v>
      </c>
      <c r="D329" s="128">
        <v>2020</v>
      </c>
      <c r="E329" s="55" t="s">
        <v>676</v>
      </c>
      <c r="F329" s="57">
        <f>SIM_Parametres!$C$26</f>
        <v>1267670376.576</v>
      </c>
      <c r="G329" s="129">
        <f>SIM_Districts!D45*(1+SIM_Parametres!$B$6)^(2020-2023)</f>
        <v>84507.841391308175</v>
      </c>
      <c r="H329" s="129">
        <f>MAX(0,MIN(100,SIM_Districts!F45+(2020-2022)*SIM_Parametres!$B$7))</f>
        <v>48.66</v>
      </c>
      <c r="I329" s="129">
        <f>SIM_Districts!G45*(1+SIM_Parametres!$B$8)^(2020-2023)</f>
        <v>48.158885796018225</v>
      </c>
      <c r="J329" s="129">
        <f>SIM_Districts!H45*(1+SIM_Parametres!$B$9)^(2020-2023)</f>
        <v>24.691358024691354</v>
      </c>
      <c r="K329" s="129">
        <f>MAX(0,MIN(100,SIM_Districts!I45+(2020-2023)*SIM_Parametres!$B$10))</f>
        <v>87.8</v>
      </c>
      <c r="L329" s="129">
        <f>SIM_Districts!E45</f>
        <v>1185</v>
      </c>
      <c r="M329" s="68">
        <f t="shared" si="188"/>
        <v>71.314634085492131</v>
      </c>
      <c r="N329" s="129">
        <f>N258*(1+SIM_Parametres!$B$6)/(1+SIM_Parametres!$B$11)</f>
        <v>97480</v>
      </c>
      <c r="O329" s="72"/>
      <c r="P329" s="130">
        <f>SIM_Parametres!$D$26</f>
        <v>0</v>
      </c>
      <c r="Q329" s="130">
        <f>SIM_Parametres!$B$12</f>
        <v>0.2</v>
      </c>
      <c r="R329" s="59">
        <f t="shared" si="177"/>
        <v>5.0944512497470536E-3</v>
      </c>
      <c r="S329" s="59">
        <f t="shared" si="178"/>
        <v>0.66843971631205668</v>
      </c>
      <c r="T329" s="59">
        <f t="shared" si="179"/>
        <v>0.71270718232044195</v>
      </c>
      <c r="U329" s="59">
        <f t="shared" si="180"/>
        <v>0.53967466644845508</v>
      </c>
      <c r="V329" s="59">
        <f t="shared" si="181"/>
        <v>0.26413981218637</v>
      </c>
      <c r="W329" s="59">
        <f t="shared" si="182"/>
        <v>1.5937433946311558E-2</v>
      </c>
      <c r="X329" s="59">
        <f t="shared" si="183"/>
        <v>1.4103755534904061E-2</v>
      </c>
      <c r="Y329" s="59">
        <f t="shared" si="184"/>
        <v>1.3788530935307707E-2</v>
      </c>
      <c r="Z329" s="59">
        <f t="shared" si="185"/>
        <v>9.6948159470131197E-3</v>
      </c>
      <c r="AA329" s="59">
        <f t="shared" si="189"/>
        <v>8.7370165161466153E-3</v>
      </c>
      <c r="AB329" s="59">
        <f t="shared" si="186"/>
        <v>1.2926435425792717E-2</v>
      </c>
      <c r="AC329" s="60">
        <f t="shared" si="190"/>
        <v>12431428.082967618</v>
      </c>
      <c r="AD329" s="60">
        <f t="shared" si="162"/>
        <v>16386459.264</v>
      </c>
      <c r="AE329" s="59">
        <f t="shared" si="150"/>
        <v>3.2000000000000028E-2</v>
      </c>
      <c r="AF329" s="60">
        <f t="shared" si="163"/>
        <v>16386459.264</v>
      </c>
      <c r="AG329" s="60">
        <f t="shared" si="187"/>
        <v>1.0000000000000004</v>
      </c>
      <c r="AH329" s="60">
        <f t="shared" si="165"/>
        <v>16386459.264000008</v>
      </c>
      <c r="AI329" s="60">
        <f t="shared" si="191"/>
        <v>193.90460097215774</v>
      </c>
      <c r="AJ329" s="60">
        <f t="shared" si="192"/>
        <v>0</v>
      </c>
      <c r="AK329" s="59">
        <f t="shared" si="151"/>
        <v>3.2000000000000473E-2</v>
      </c>
    </row>
    <row r="330" spans="1:37" ht="12.75" customHeight="1" x14ac:dyDescent="0.25">
      <c r="A330" s="62" t="s">
        <v>638</v>
      </c>
      <c r="B330" s="62" t="s">
        <v>430</v>
      </c>
      <c r="C330" s="62" t="s">
        <v>432</v>
      </c>
      <c r="D330" s="124">
        <v>2020</v>
      </c>
      <c r="E330" s="62" t="s">
        <v>676</v>
      </c>
      <c r="F330" s="64">
        <f>SIM_Parametres!$C$26</f>
        <v>1267670376.576</v>
      </c>
      <c r="G330" s="125">
        <f>SIM_Districts!D46*(1+SIM_Parametres!$B$6)^(2020-2023)</f>
        <v>322809.81434521161</v>
      </c>
      <c r="H330" s="125">
        <f>MAX(0,MIN(100,SIM_Districts!F46+(2020-2022)*SIM_Parametres!$B$7))</f>
        <v>46.36</v>
      </c>
      <c r="I330" s="125">
        <f>SIM_Districts!G46*(1+SIM_Parametres!$B$8)^(2020-2023)</f>
        <v>48.158885796018225</v>
      </c>
      <c r="J330" s="125">
        <f>SIM_Districts!H46*(1+SIM_Parametres!$B$9)^(2020-2023)</f>
        <v>34.705075445816185</v>
      </c>
      <c r="K330" s="125">
        <f>MAX(0,MIN(100,SIM_Districts!I46+(2020-2023)*SIM_Parametres!$B$10))</f>
        <v>75.7</v>
      </c>
      <c r="L330" s="125">
        <f>SIM_Districts!E46</f>
        <v>8704</v>
      </c>
      <c r="M330" s="61">
        <f t="shared" si="188"/>
        <v>37.087524626058318</v>
      </c>
      <c r="N330" s="125">
        <f>N259*(1+SIM_Parametres!$B$6)/(1+SIM_Parametres!$B$11)</f>
        <v>133963</v>
      </c>
      <c r="O330" s="132"/>
      <c r="P330" s="126">
        <f>SIM_Parametres!$D$26</f>
        <v>0</v>
      </c>
      <c r="Q330" s="126">
        <f>SIM_Parametres!$B$12</f>
        <v>0.2</v>
      </c>
      <c r="R330" s="66">
        <f t="shared" si="177"/>
        <v>1.9460192510499057E-2</v>
      </c>
      <c r="S330" s="66">
        <f t="shared" si="178"/>
        <v>0.62765957446808507</v>
      </c>
      <c r="T330" s="66">
        <f t="shared" si="179"/>
        <v>0.91436464088397795</v>
      </c>
      <c r="U330" s="66">
        <f t="shared" si="180"/>
        <v>0.80066503267175948</v>
      </c>
      <c r="V330" s="66">
        <f t="shared" si="181"/>
        <v>0.51735506215340199</v>
      </c>
      <c r="W330" s="66">
        <f t="shared" si="182"/>
        <v>1.4965123652504754E-2</v>
      </c>
      <c r="X330" s="66">
        <f t="shared" si="183"/>
        <v>1.8094353031214129E-2</v>
      </c>
      <c r="Y330" s="66">
        <f t="shared" si="184"/>
        <v>2.0456758966409912E-2</v>
      </c>
      <c r="Z330" s="66">
        <f t="shared" si="185"/>
        <v>1.8988663864475865E-2</v>
      </c>
      <c r="AA330" s="66">
        <f t="shared" si="189"/>
        <v>1.8607308150401559E-2</v>
      </c>
      <c r="AB330" s="66">
        <f t="shared" si="186"/>
        <v>1.6362619027215582E-2</v>
      </c>
      <c r="AC330" s="67">
        <f t="shared" si="190"/>
        <v>22441249.133296344</v>
      </c>
      <c r="AD330" s="67">
        <f t="shared" si="162"/>
        <v>20742407.423999999</v>
      </c>
      <c r="AE330" s="66">
        <f t="shared" si="150"/>
        <v>3.2000000000000028E-2</v>
      </c>
      <c r="AF330" s="67">
        <f t="shared" si="163"/>
        <v>20742407.423999999</v>
      </c>
      <c r="AG330" s="67">
        <f t="shared" si="187"/>
        <v>1.0000000000000004</v>
      </c>
      <c r="AH330" s="67">
        <f t="shared" si="165"/>
        <v>20742407.424000006</v>
      </c>
      <c r="AI330" s="67">
        <f t="shared" si="191"/>
        <v>64.255814111705277</v>
      </c>
      <c r="AJ330" s="67">
        <f t="shared" si="192"/>
        <v>0</v>
      </c>
      <c r="AK330" s="66">
        <f t="shared" si="151"/>
        <v>3.200000000000025E-2</v>
      </c>
    </row>
    <row r="331" spans="1:37" ht="12.75" customHeight="1" x14ac:dyDescent="0.25">
      <c r="A331" s="55" t="s">
        <v>640</v>
      </c>
      <c r="B331" s="55" t="s">
        <v>430</v>
      </c>
      <c r="C331" s="55" t="s">
        <v>430</v>
      </c>
      <c r="D331" s="128">
        <v>2020</v>
      </c>
      <c r="E331" s="55" t="s">
        <v>676</v>
      </c>
      <c r="F331" s="57">
        <f>SIM_Parametres!$C$26</f>
        <v>1267670376.576</v>
      </c>
      <c r="G331" s="129">
        <f>SIM_Districts!D47*(1+SIM_Parametres!$B$6)^(2020-2023)</f>
        <v>261871.44639054404</v>
      </c>
      <c r="H331" s="129">
        <f>MAX(0,MIN(100,SIM_Districts!F47+(2020-2022)*SIM_Parametres!$B$7))</f>
        <v>46.36</v>
      </c>
      <c r="I331" s="129">
        <f>SIM_Districts!G47*(1+SIM_Parametres!$B$8)^(2020-2023)</f>
        <v>48.158885796018225</v>
      </c>
      <c r="J331" s="129">
        <f>SIM_Districts!H47*(1+SIM_Parametres!$B$9)^(2020-2023)</f>
        <v>34.705075445816185</v>
      </c>
      <c r="K331" s="129">
        <f>MAX(0,MIN(100,SIM_Districts!I47+(2020-2023)*SIM_Parametres!$B$10))</f>
        <v>75.7</v>
      </c>
      <c r="L331" s="129">
        <f>SIM_Districts!E47</f>
        <v>3957</v>
      </c>
      <c r="M331" s="68">
        <f t="shared" si="188"/>
        <v>66.179288953890335</v>
      </c>
      <c r="N331" s="129">
        <f>N260*(1+SIM_Parametres!$B$6)/(1+SIM_Parametres!$B$11)</f>
        <v>133963</v>
      </c>
      <c r="O331" s="72"/>
      <c r="P331" s="130">
        <f>SIM_Parametres!$D$26</f>
        <v>0</v>
      </c>
      <c r="Q331" s="130">
        <f>SIM_Parametres!$B$12</f>
        <v>0.2</v>
      </c>
      <c r="R331" s="59">
        <f t="shared" si="177"/>
        <v>1.5786597969766506E-2</v>
      </c>
      <c r="S331" s="59">
        <f t="shared" si="178"/>
        <v>0.62765957446808507</v>
      </c>
      <c r="T331" s="59">
        <f t="shared" si="179"/>
        <v>0.91436464088397795</v>
      </c>
      <c r="U331" s="59">
        <f t="shared" si="180"/>
        <v>0.63577730793030052</v>
      </c>
      <c r="V331" s="59">
        <f t="shared" si="181"/>
        <v>0.51735506215340199</v>
      </c>
      <c r="W331" s="59">
        <f t="shared" si="182"/>
        <v>1.4965123652504754E-2</v>
      </c>
      <c r="X331" s="59">
        <f t="shared" si="183"/>
        <v>1.8094353031214129E-2</v>
      </c>
      <c r="Y331" s="59">
        <f t="shared" si="184"/>
        <v>1.6243925504331402E-2</v>
      </c>
      <c r="Z331" s="59">
        <f t="shared" si="185"/>
        <v>1.8988663864475865E-2</v>
      </c>
      <c r="AA331" s="59">
        <f t="shared" si="189"/>
        <v>1.61925097528581E-2</v>
      </c>
      <c r="AB331" s="59">
        <f t="shared" si="186"/>
        <v>1.4458855692050738E-2</v>
      </c>
      <c r="AC331" s="60">
        <f t="shared" si="190"/>
        <v>19992314.418121114</v>
      </c>
      <c r="AD331" s="60">
        <f t="shared" si="162"/>
        <v>18329063.039999999</v>
      </c>
      <c r="AE331" s="59">
        <f t="shared" ref="AE331:AE394" si="193">IFERROR(AD331/AH260-1,0)</f>
        <v>3.2000000000000028E-2</v>
      </c>
      <c r="AF331" s="60">
        <f t="shared" si="163"/>
        <v>18329063.039999999</v>
      </c>
      <c r="AG331" s="60">
        <f t="shared" si="187"/>
        <v>1.0000000000000004</v>
      </c>
      <c r="AH331" s="60">
        <f t="shared" si="165"/>
        <v>18329063.040000007</v>
      </c>
      <c r="AI331" s="60">
        <f t="shared" si="191"/>
        <v>69.992598630492978</v>
      </c>
      <c r="AJ331" s="60">
        <f t="shared" si="192"/>
        <v>0</v>
      </c>
      <c r="AK331" s="59">
        <f t="shared" ref="AK331:AK394" si="194">IFERROR(AH331/AH260-1,0)</f>
        <v>3.2000000000000473E-2</v>
      </c>
    </row>
    <row r="332" spans="1:37" ht="12.75" customHeight="1" x14ac:dyDescent="0.25">
      <c r="A332" s="62" t="s">
        <v>641</v>
      </c>
      <c r="B332" s="62" t="s">
        <v>430</v>
      </c>
      <c r="C332" s="62" t="s">
        <v>433</v>
      </c>
      <c r="D332" s="124">
        <v>2020</v>
      </c>
      <c r="E332" s="62" t="s">
        <v>676</v>
      </c>
      <c r="F332" s="64">
        <f>SIM_Parametres!$C$26</f>
        <v>1267670376.576</v>
      </c>
      <c r="G332" s="125">
        <f>SIM_Districts!D48*(1+SIM_Parametres!$B$6)^(2020-2023)</f>
        <v>69419.900853552623</v>
      </c>
      <c r="H332" s="125">
        <f>MAX(0,MIN(100,SIM_Districts!F48+(2020-2022)*SIM_Parametres!$B$7))</f>
        <v>46.36</v>
      </c>
      <c r="I332" s="125">
        <f>SIM_Districts!G48*(1+SIM_Parametres!$B$8)^(2020-2023)</f>
        <v>48.158885796018225</v>
      </c>
      <c r="J332" s="125">
        <f>SIM_Districts!H48*(1+SIM_Parametres!$B$9)^(2020-2023)</f>
        <v>34.705075445816185</v>
      </c>
      <c r="K332" s="125">
        <f>MAX(0,MIN(100,SIM_Districts!I48+(2020-2023)*SIM_Parametres!$B$10))</f>
        <v>75.7</v>
      </c>
      <c r="L332" s="125">
        <f>SIM_Districts!E48</f>
        <v>14444</v>
      </c>
      <c r="M332" s="61">
        <f t="shared" si="188"/>
        <v>4.8061410172772518</v>
      </c>
      <c r="N332" s="125">
        <f>N261*(1+SIM_Parametres!$B$6)/(1+SIM_Parametres!$B$11)</f>
        <v>133963</v>
      </c>
      <c r="O332" s="132"/>
      <c r="P332" s="126">
        <f>SIM_Parametres!$D$26</f>
        <v>0</v>
      </c>
      <c r="Q332" s="126">
        <f>SIM_Parametres!$B$12</f>
        <v>0.2</v>
      </c>
      <c r="R332" s="66">
        <f t="shared" si="177"/>
        <v>4.1848933168593758E-3</v>
      </c>
      <c r="S332" s="66">
        <f t="shared" si="178"/>
        <v>0.62765957446808507</v>
      </c>
      <c r="T332" s="66">
        <f t="shared" si="179"/>
        <v>0.91436464088397795</v>
      </c>
      <c r="U332" s="66">
        <f t="shared" si="180"/>
        <v>1</v>
      </c>
      <c r="V332" s="66">
        <f t="shared" si="181"/>
        <v>0.51735506215340199</v>
      </c>
      <c r="W332" s="66">
        <f t="shared" si="182"/>
        <v>1.4965123652504754E-2</v>
      </c>
      <c r="X332" s="66">
        <f t="shared" si="183"/>
        <v>1.8094353031214129E-2</v>
      </c>
      <c r="Y332" s="66">
        <f t="shared" si="184"/>
        <v>2.5549709468574183E-2</v>
      </c>
      <c r="Z332" s="66">
        <f t="shared" si="185"/>
        <v>1.8988663864475865E-2</v>
      </c>
      <c r="AA332" s="66">
        <f t="shared" si="189"/>
        <v>9.6967761593259594E-3</v>
      </c>
      <c r="AB332" s="66">
        <f t="shared" si="186"/>
        <v>1.3574185439655072E-2</v>
      </c>
      <c r="AC332" s="67">
        <f t="shared" si="190"/>
        <v>13404755.177600905</v>
      </c>
      <c r="AD332" s="67">
        <f t="shared" si="162"/>
        <v>17207592.767999999</v>
      </c>
      <c r="AE332" s="66">
        <f t="shared" si="193"/>
        <v>3.1999999999999806E-2</v>
      </c>
      <c r="AF332" s="67">
        <f t="shared" si="163"/>
        <v>17207592.767999999</v>
      </c>
      <c r="AG332" s="67">
        <f t="shared" si="187"/>
        <v>1.0000000000000004</v>
      </c>
      <c r="AH332" s="67">
        <f t="shared" si="165"/>
        <v>17207592.768000007</v>
      </c>
      <c r="AI332" s="67">
        <f t="shared" si="191"/>
        <v>247.87694243904116</v>
      </c>
      <c r="AJ332" s="67">
        <f t="shared" si="192"/>
        <v>0</v>
      </c>
      <c r="AK332" s="66">
        <f t="shared" si="194"/>
        <v>3.200000000000025E-2</v>
      </c>
    </row>
    <row r="333" spans="1:37" ht="12.75" customHeight="1" x14ac:dyDescent="0.25">
      <c r="A333" s="55" t="s">
        <v>642</v>
      </c>
      <c r="B333" s="55" t="s">
        <v>430</v>
      </c>
      <c r="C333" s="55" t="s">
        <v>434</v>
      </c>
      <c r="D333" s="128">
        <v>2020</v>
      </c>
      <c r="E333" s="55" t="s">
        <v>676</v>
      </c>
      <c r="F333" s="57">
        <f>SIM_Parametres!$C$26</f>
        <v>1267670376.576</v>
      </c>
      <c r="G333" s="129">
        <f>SIM_Districts!D49*(1+SIM_Parametres!$B$6)^(2020-2023)</f>
        <v>106958.09657855988</v>
      </c>
      <c r="H333" s="129">
        <f>MAX(0,MIN(100,SIM_Districts!F49+(2020-2022)*SIM_Parametres!$B$7))</f>
        <v>46.36</v>
      </c>
      <c r="I333" s="129">
        <f>SIM_Districts!G49*(1+SIM_Parametres!$B$8)^(2020-2023)</f>
        <v>48.158885796018225</v>
      </c>
      <c r="J333" s="129">
        <f>SIM_Districts!H49*(1+SIM_Parametres!$B$9)^(2020-2023)</f>
        <v>34.705075445816185</v>
      </c>
      <c r="K333" s="129">
        <f>MAX(0,MIN(100,SIM_Districts!I49+(2020-2023)*SIM_Parametres!$B$10))</f>
        <v>75.7</v>
      </c>
      <c r="L333" s="129">
        <f>SIM_Districts!E49</f>
        <v>1898</v>
      </c>
      <c r="M333" s="68">
        <f t="shared" si="188"/>
        <v>56.353054045605838</v>
      </c>
      <c r="N333" s="129">
        <f>N262*(1+SIM_Parametres!$B$6)/(1+SIM_Parametres!$B$11)</f>
        <v>133963</v>
      </c>
      <c r="O333" s="72"/>
      <c r="P333" s="130">
        <f>SIM_Parametres!$D$26</f>
        <v>0</v>
      </c>
      <c r="Q333" s="130">
        <f>SIM_Parametres!$B$12</f>
        <v>0.2</v>
      </c>
      <c r="R333" s="59">
        <f t="shared" si="177"/>
        <v>6.4478372635518996E-3</v>
      </c>
      <c r="S333" s="59">
        <f t="shared" si="178"/>
        <v>0.62765957446808507</v>
      </c>
      <c r="T333" s="59">
        <f t="shared" si="179"/>
        <v>0.91436464088397795</v>
      </c>
      <c r="U333" s="59">
        <f t="shared" si="180"/>
        <v>0.5646045152795196</v>
      </c>
      <c r="V333" s="59">
        <f t="shared" si="181"/>
        <v>0.51735506215340199</v>
      </c>
      <c r="W333" s="59">
        <f t="shared" si="182"/>
        <v>1.4965123652504754E-2</v>
      </c>
      <c r="X333" s="59">
        <f t="shared" si="183"/>
        <v>1.8094353031214129E-2</v>
      </c>
      <c r="Y333" s="59">
        <f t="shared" si="184"/>
        <v>1.442548133003688E-2</v>
      </c>
      <c r="Z333" s="59">
        <f t="shared" si="185"/>
        <v>1.8988663864475865E-2</v>
      </c>
      <c r="AA333" s="59">
        <f t="shared" si="189"/>
        <v>1.0498331120414608E-2</v>
      </c>
      <c r="AB333" s="59">
        <f t="shared" si="186"/>
        <v>1.2930636139241889E-2</v>
      </c>
      <c r="AC333" s="60">
        <f t="shared" si="190"/>
        <v>14217641.161096592</v>
      </c>
      <c r="AD333" s="60">
        <f t="shared" si="162"/>
        <v>16391784.384</v>
      </c>
      <c r="AE333" s="59">
        <f t="shared" si="193"/>
        <v>3.2000000000000028E-2</v>
      </c>
      <c r="AF333" s="60">
        <f t="shared" si="163"/>
        <v>16391784.384</v>
      </c>
      <c r="AG333" s="60">
        <f t="shared" si="187"/>
        <v>1.0000000000000004</v>
      </c>
      <c r="AH333" s="60">
        <f t="shared" si="165"/>
        <v>16391784.384000007</v>
      </c>
      <c r="AI333" s="60">
        <f t="shared" si="191"/>
        <v>153.25426413100359</v>
      </c>
      <c r="AJ333" s="60">
        <f t="shared" si="192"/>
        <v>0</v>
      </c>
      <c r="AK333" s="59">
        <f t="shared" si="194"/>
        <v>3.2000000000000473E-2</v>
      </c>
    </row>
    <row r="334" spans="1:37" ht="12.75" customHeight="1" x14ac:dyDescent="0.25">
      <c r="A334" s="62" t="s">
        <v>643</v>
      </c>
      <c r="B334" s="62" t="s">
        <v>435</v>
      </c>
      <c r="C334" s="62" t="s">
        <v>437</v>
      </c>
      <c r="D334" s="124">
        <v>2020</v>
      </c>
      <c r="E334" s="62" t="s">
        <v>676</v>
      </c>
      <c r="F334" s="64">
        <f>SIM_Parametres!$C$26</f>
        <v>1267670376.576</v>
      </c>
      <c r="G334" s="125">
        <f>SIM_Districts!D50*(1+SIM_Parametres!$B$6)^(2020-2023)</f>
        <v>90004.182197383241</v>
      </c>
      <c r="H334" s="125">
        <f>MAX(0,MIN(100,SIM_Districts!F50+(2020-2022)*SIM_Parametres!$B$7))</f>
        <v>38.959999999999994</v>
      </c>
      <c r="I334" s="125">
        <f>SIM_Districts!G50*(1+SIM_Parametres!$B$8)^(2020-2023)</f>
        <v>48.158885796018225</v>
      </c>
      <c r="J334" s="125">
        <f>SIM_Districts!H50*(1+SIM_Parametres!$B$9)^(2020-2023)</f>
        <v>31.412894375857334</v>
      </c>
      <c r="K334" s="125">
        <f>MAX(0,MIN(100,SIM_Districts!I50+(2020-2023)*SIM_Parametres!$B$10))</f>
        <v>79.900000000000006</v>
      </c>
      <c r="L334" s="125">
        <f>SIM_Districts!E50</f>
        <v>2448</v>
      </c>
      <c r="M334" s="61">
        <f t="shared" si="188"/>
        <v>36.766414296316682</v>
      </c>
      <c r="N334" s="125">
        <f>N263*(1+SIM_Parametres!$B$6)/(1+SIM_Parametres!$B$11)</f>
        <v>89545</v>
      </c>
      <c r="O334" s="132"/>
      <c r="P334" s="126">
        <f>SIM_Parametres!$D$26</f>
        <v>0</v>
      </c>
      <c r="Q334" s="126">
        <f>SIM_Parametres!$B$12</f>
        <v>0.2</v>
      </c>
      <c r="R334" s="66">
        <f t="shared" si="177"/>
        <v>5.4257913931887577E-3</v>
      </c>
      <c r="S334" s="66">
        <f t="shared" si="178"/>
        <v>0.49645390070921974</v>
      </c>
      <c r="T334" s="66">
        <f t="shared" si="179"/>
        <v>0.84806629834254144</v>
      </c>
      <c r="U334" s="66">
        <f t="shared" si="180"/>
        <v>0.58395945065622246</v>
      </c>
      <c r="V334" s="66">
        <f t="shared" si="181"/>
        <v>0.20906585970196906</v>
      </c>
      <c r="W334" s="66">
        <f t="shared" si="182"/>
        <v>1.1836820968082853E-2</v>
      </c>
      <c r="X334" s="66">
        <f t="shared" si="183"/>
        <v>1.6782375772153284E-2</v>
      </c>
      <c r="Y334" s="66">
        <f t="shared" si="184"/>
        <v>1.4919994305694666E-2</v>
      </c>
      <c r="Z334" s="66">
        <f t="shared" si="185"/>
        <v>7.6734173990574452E-3</v>
      </c>
      <c r="AA334" s="66">
        <f t="shared" si="189"/>
        <v>8.6780249321862808E-3</v>
      </c>
      <c r="AB334" s="66">
        <f t="shared" si="186"/>
        <v>1.2822257732253246E-2</v>
      </c>
      <c r="AC334" s="67">
        <f t="shared" si="190"/>
        <v>12371602.57620457</v>
      </c>
      <c r="AD334" s="67">
        <f t="shared" si="162"/>
        <v>16254396.288000001</v>
      </c>
      <c r="AE334" s="66">
        <f t="shared" si="193"/>
        <v>3.2000000000000028E-2</v>
      </c>
      <c r="AF334" s="67">
        <f t="shared" si="163"/>
        <v>16254396.288000001</v>
      </c>
      <c r="AG334" s="67">
        <f t="shared" si="187"/>
        <v>1.0000000000000004</v>
      </c>
      <c r="AH334" s="67">
        <f t="shared" si="165"/>
        <v>16254396.288000008</v>
      </c>
      <c r="AI334" s="67">
        <f t="shared" si="191"/>
        <v>180.59601110927693</v>
      </c>
      <c r="AJ334" s="67">
        <f t="shared" si="192"/>
        <v>0</v>
      </c>
      <c r="AK334" s="66">
        <f t="shared" si="194"/>
        <v>3.2000000000000473E-2</v>
      </c>
    </row>
    <row r="335" spans="1:37" ht="12.75" customHeight="1" x14ac:dyDescent="0.25">
      <c r="A335" s="55" t="s">
        <v>645</v>
      </c>
      <c r="B335" s="55" t="s">
        <v>435</v>
      </c>
      <c r="C335" s="55" t="s">
        <v>438</v>
      </c>
      <c r="D335" s="128">
        <v>2020</v>
      </c>
      <c r="E335" s="55" t="s">
        <v>676</v>
      </c>
      <c r="F335" s="57">
        <f>SIM_Parametres!$C$26</f>
        <v>1267670376.576</v>
      </c>
      <c r="G335" s="129">
        <f>SIM_Districts!D51*(1+SIM_Parametres!$B$6)^(2020-2023)</f>
        <v>169736.81441018663</v>
      </c>
      <c r="H335" s="129">
        <f>MAX(0,MIN(100,SIM_Districts!F51+(2020-2022)*SIM_Parametres!$B$7))</f>
        <v>38.959999999999994</v>
      </c>
      <c r="I335" s="129">
        <f>SIM_Districts!G51*(1+SIM_Parametres!$B$8)^(2020-2023)</f>
        <v>48.158885796018225</v>
      </c>
      <c r="J335" s="129">
        <f>SIM_Districts!H51*(1+SIM_Parametres!$B$9)^(2020-2023)</f>
        <v>31.412894375857334</v>
      </c>
      <c r="K335" s="129">
        <f>MAX(0,MIN(100,SIM_Districts!I51+(2020-2023)*SIM_Parametres!$B$10))</f>
        <v>79.900000000000006</v>
      </c>
      <c r="L335" s="129">
        <f>SIM_Districts!E51</f>
        <v>6989</v>
      </c>
      <c r="M335" s="68">
        <f t="shared" si="188"/>
        <v>24.286280499382833</v>
      </c>
      <c r="N335" s="129">
        <f>N264*(1+SIM_Parametres!$B$6)/(1+SIM_Parametres!$B$11)</f>
        <v>89545</v>
      </c>
      <c r="O335" s="72"/>
      <c r="P335" s="130">
        <f>SIM_Parametres!$D$26</f>
        <v>0</v>
      </c>
      <c r="Q335" s="130">
        <f>SIM_Parametres!$B$12</f>
        <v>0.2</v>
      </c>
      <c r="R335" s="59">
        <f t="shared" si="177"/>
        <v>1.0232375032466479E-2</v>
      </c>
      <c r="S335" s="59">
        <f t="shared" si="178"/>
        <v>0.49645390070921974</v>
      </c>
      <c r="T335" s="59">
        <f t="shared" si="179"/>
        <v>0.84806629834254144</v>
      </c>
      <c r="U335" s="59">
        <f t="shared" si="180"/>
        <v>0.74145452539080825</v>
      </c>
      <c r="V335" s="59">
        <f t="shared" si="181"/>
        <v>0.20906585970196906</v>
      </c>
      <c r="W335" s="59">
        <f t="shared" si="182"/>
        <v>1.1836820968082853E-2</v>
      </c>
      <c r="X335" s="59">
        <f t="shared" si="183"/>
        <v>1.6782375772153284E-2</v>
      </c>
      <c r="Y335" s="59">
        <f t="shared" si="184"/>
        <v>1.8943947707894711E-2</v>
      </c>
      <c r="Z335" s="59">
        <f t="shared" si="185"/>
        <v>7.6734173990574452E-3</v>
      </c>
      <c r="AA335" s="59">
        <f t="shared" si="189"/>
        <v>1.1763172785862917E-2</v>
      </c>
      <c r="AB335" s="59">
        <f t="shared" si="186"/>
        <v>1.2647508052767683E-2</v>
      </c>
      <c r="AC335" s="60">
        <f t="shared" si="190"/>
        <v>15500363.009374887</v>
      </c>
      <c r="AD335" s="60">
        <f t="shared" si="162"/>
        <v>16032871.296</v>
      </c>
      <c r="AE335" s="59">
        <f t="shared" si="193"/>
        <v>3.2000000000000028E-2</v>
      </c>
      <c r="AF335" s="60">
        <f t="shared" si="163"/>
        <v>16032871.296</v>
      </c>
      <c r="AG335" s="60">
        <f t="shared" si="187"/>
        <v>1.0000000000000004</v>
      </c>
      <c r="AH335" s="60">
        <f t="shared" si="165"/>
        <v>16032871.296000008</v>
      </c>
      <c r="AI335" s="60">
        <f t="shared" si="191"/>
        <v>94.457241652096229</v>
      </c>
      <c r="AJ335" s="60">
        <f t="shared" si="192"/>
        <v>0</v>
      </c>
      <c r="AK335" s="59">
        <f t="shared" si="194"/>
        <v>3.2000000000000473E-2</v>
      </c>
    </row>
    <row r="336" spans="1:37" ht="12.75" customHeight="1" x14ac:dyDescent="0.25">
      <c r="A336" s="62" t="s">
        <v>646</v>
      </c>
      <c r="B336" s="62" t="s">
        <v>435</v>
      </c>
      <c r="C336" s="62" t="s">
        <v>439</v>
      </c>
      <c r="D336" s="124">
        <v>2020</v>
      </c>
      <c r="E336" s="62" t="s">
        <v>676</v>
      </c>
      <c r="F336" s="64">
        <f>SIM_Parametres!$C$26</f>
        <v>1267670376.576</v>
      </c>
      <c r="G336" s="125">
        <f>SIM_Districts!D52*(1+SIM_Parametres!$B$6)^(2020-2023)</f>
        <v>279109.96982777951</v>
      </c>
      <c r="H336" s="125">
        <f>MAX(0,MIN(100,SIM_Districts!F52+(2020-2022)*SIM_Parametres!$B$7))</f>
        <v>38.959999999999994</v>
      </c>
      <c r="I336" s="125">
        <f>SIM_Districts!G52*(1+SIM_Parametres!$B$8)^(2020-2023)</f>
        <v>48.158885796018225</v>
      </c>
      <c r="J336" s="125">
        <f>SIM_Districts!H52*(1+SIM_Parametres!$B$9)^(2020-2023)</f>
        <v>31.412894375857334</v>
      </c>
      <c r="K336" s="125">
        <f>MAX(0,MIN(100,SIM_Districts!I52+(2020-2023)*SIM_Parametres!$B$10))</f>
        <v>79.900000000000006</v>
      </c>
      <c r="L336" s="125">
        <f>SIM_Districts!E52</f>
        <v>5859</v>
      </c>
      <c r="M336" s="61">
        <f t="shared" si="188"/>
        <v>47.637817004229305</v>
      </c>
      <c r="N336" s="125">
        <f>N265*(1+SIM_Parametres!$B$6)/(1+SIM_Parametres!$B$11)</f>
        <v>89545</v>
      </c>
      <c r="O336" s="132"/>
      <c r="P336" s="126">
        <f>SIM_Parametres!$D$26</f>
        <v>0</v>
      </c>
      <c r="Q336" s="126">
        <f>SIM_Parametres!$B$12</f>
        <v>0.2</v>
      </c>
      <c r="R336" s="66">
        <f t="shared" si="177"/>
        <v>1.6825801146924581E-2</v>
      </c>
      <c r="S336" s="66">
        <f t="shared" si="178"/>
        <v>0.49645390070921974</v>
      </c>
      <c r="T336" s="66">
        <f t="shared" si="179"/>
        <v>0.84806629834254144</v>
      </c>
      <c r="U336" s="66">
        <f t="shared" si="180"/>
        <v>0.70194995546768002</v>
      </c>
      <c r="V336" s="66">
        <f t="shared" si="181"/>
        <v>0.20906585970196906</v>
      </c>
      <c r="W336" s="66">
        <f t="shared" si="182"/>
        <v>1.1836820968082853E-2</v>
      </c>
      <c r="X336" s="66">
        <f t="shared" si="183"/>
        <v>1.6782375772153284E-2</v>
      </c>
      <c r="Y336" s="66">
        <f t="shared" si="184"/>
        <v>1.7934617423677812E-2</v>
      </c>
      <c r="Z336" s="66">
        <f t="shared" si="185"/>
        <v>7.6734173990574452E-3</v>
      </c>
      <c r="AA336" s="66">
        <f t="shared" si="189"/>
        <v>1.5668761940326934E-2</v>
      </c>
      <c r="AB336" s="66">
        <f t="shared" si="186"/>
        <v>1.5369570367831273E-2</v>
      </c>
      <c r="AC336" s="67">
        <f t="shared" si="190"/>
        <v>19461162.748727322</v>
      </c>
      <c r="AD336" s="67">
        <f t="shared" si="162"/>
        <v>19483549.056000002</v>
      </c>
      <c r="AE336" s="66">
        <f t="shared" si="193"/>
        <v>3.2000000000000028E-2</v>
      </c>
      <c r="AF336" s="67">
        <f t="shared" si="163"/>
        <v>19483549.056000002</v>
      </c>
      <c r="AG336" s="67">
        <f t="shared" si="187"/>
        <v>1.0000000000000004</v>
      </c>
      <c r="AH336" s="67">
        <f t="shared" si="165"/>
        <v>19483549.056000009</v>
      </c>
      <c r="AI336" s="67">
        <f t="shared" si="191"/>
        <v>69.805994633663687</v>
      </c>
      <c r="AJ336" s="67">
        <f t="shared" si="192"/>
        <v>0</v>
      </c>
      <c r="AK336" s="66">
        <f t="shared" si="194"/>
        <v>3.2000000000000473E-2</v>
      </c>
    </row>
    <row r="337" spans="1:37" ht="12.75" customHeight="1" x14ac:dyDescent="0.25">
      <c r="A337" s="55" t="s">
        <v>647</v>
      </c>
      <c r="B337" s="55" t="s">
        <v>435</v>
      </c>
      <c r="C337" s="55" t="s">
        <v>440</v>
      </c>
      <c r="D337" s="128">
        <v>2020</v>
      </c>
      <c r="E337" s="55" t="s">
        <v>676</v>
      </c>
      <c r="F337" s="57">
        <f>SIM_Parametres!$C$26</f>
        <v>1267670376.576</v>
      </c>
      <c r="G337" s="129">
        <f>SIM_Districts!D53*(1+SIM_Parametres!$B$6)^(2020-2023)</f>
        <v>202602.29682253665</v>
      </c>
      <c r="H337" s="129">
        <f>MAX(0,MIN(100,SIM_Districts!F53+(2020-2022)*SIM_Parametres!$B$7))</f>
        <v>38.959999999999994</v>
      </c>
      <c r="I337" s="129">
        <f>SIM_Districts!G53*(1+SIM_Parametres!$B$8)^(2020-2023)</f>
        <v>48.158885796018225</v>
      </c>
      <c r="J337" s="129">
        <f>SIM_Districts!H53*(1+SIM_Parametres!$B$9)^(2020-2023)</f>
        <v>31.412894375857334</v>
      </c>
      <c r="K337" s="129">
        <f>MAX(0,MIN(100,SIM_Districts!I53+(2020-2023)*SIM_Parametres!$B$10))</f>
        <v>79.900000000000006</v>
      </c>
      <c r="L337" s="129">
        <f>SIM_Districts!E53</f>
        <v>3143</v>
      </c>
      <c r="M337" s="68">
        <f t="shared" si="188"/>
        <v>64.461437105484137</v>
      </c>
      <c r="N337" s="129">
        <f>N266*(1+SIM_Parametres!$B$6)/(1+SIM_Parametres!$B$11)</f>
        <v>89545</v>
      </c>
      <c r="O337" s="72"/>
      <c r="P337" s="130">
        <f>SIM_Parametres!$D$26</f>
        <v>0</v>
      </c>
      <c r="Q337" s="130">
        <f>SIM_Parametres!$B$12</f>
        <v>0.2</v>
      </c>
      <c r="R337" s="59">
        <f t="shared" si="177"/>
        <v>1.2213630205863406E-2</v>
      </c>
      <c r="S337" s="59">
        <f t="shared" si="178"/>
        <v>0.49645390070921974</v>
      </c>
      <c r="T337" s="59">
        <f t="shared" si="179"/>
        <v>0.84806629834254144</v>
      </c>
      <c r="U337" s="59">
        <f t="shared" si="180"/>
        <v>0.6076065442079609</v>
      </c>
      <c r="V337" s="59">
        <f t="shared" si="181"/>
        <v>0.20906585970196906</v>
      </c>
      <c r="W337" s="59">
        <f t="shared" si="182"/>
        <v>1.1836820968082853E-2</v>
      </c>
      <c r="X337" s="59">
        <f t="shared" si="183"/>
        <v>1.6782375772153284E-2</v>
      </c>
      <c r="Y337" s="59">
        <f t="shared" si="184"/>
        <v>1.5524170675717777E-2</v>
      </c>
      <c r="Z337" s="59">
        <f t="shared" si="185"/>
        <v>7.6734173990574452E-3</v>
      </c>
      <c r="AA337" s="59">
        <f t="shared" si="189"/>
        <v>1.2780937038292224E-2</v>
      </c>
      <c r="AB337" s="59">
        <f t="shared" si="186"/>
        <v>1.3896800232551496E-2</v>
      </c>
      <c r="AC337" s="60">
        <f t="shared" si="190"/>
        <v>16532514.683889009</v>
      </c>
      <c r="AD337" s="60">
        <f t="shared" si="162"/>
        <v>17616561.984000001</v>
      </c>
      <c r="AE337" s="59">
        <f t="shared" si="193"/>
        <v>3.2000000000000028E-2</v>
      </c>
      <c r="AF337" s="60">
        <f t="shared" si="163"/>
        <v>17616561.984000001</v>
      </c>
      <c r="AG337" s="60">
        <f t="shared" si="187"/>
        <v>1.0000000000000004</v>
      </c>
      <c r="AH337" s="60">
        <f t="shared" si="165"/>
        <v>17616561.984000009</v>
      </c>
      <c r="AI337" s="60">
        <f t="shared" si="191"/>
        <v>86.951442605957737</v>
      </c>
      <c r="AJ337" s="60">
        <f t="shared" si="192"/>
        <v>0</v>
      </c>
      <c r="AK337" s="59">
        <f t="shared" si="194"/>
        <v>3.2000000000000473E-2</v>
      </c>
    </row>
    <row r="338" spans="1:37" ht="12.75" customHeight="1" x14ac:dyDescent="0.25">
      <c r="A338" s="62" t="s">
        <v>648</v>
      </c>
      <c r="B338" s="62" t="s">
        <v>435</v>
      </c>
      <c r="C338" s="62" t="s">
        <v>435</v>
      </c>
      <c r="D338" s="124">
        <v>2020</v>
      </c>
      <c r="E338" s="62" t="s">
        <v>676</v>
      </c>
      <c r="F338" s="64">
        <f>SIM_Parametres!$C$26</f>
        <v>1267670376.576</v>
      </c>
      <c r="G338" s="125">
        <f>SIM_Districts!D54*(1+SIM_Parametres!$B$6)^(2020-2023)</f>
        <v>358950.58875638654</v>
      </c>
      <c r="H338" s="125">
        <f>MAX(0,MIN(100,SIM_Districts!F54+(2020-2022)*SIM_Parametres!$B$7))</f>
        <v>38.959999999999994</v>
      </c>
      <c r="I338" s="125">
        <f>SIM_Districts!G54*(1+SIM_Parametres!$B$8)^(2020-2023)</f>
        <v>48.158885796018225</v>
      </c>
      <c r="J338" s="125">
        <f>SIM_Districts!H54*(1+SIM_Parametres!$B$9)^(2020-2023)</f>
        <v>31.412894375857334</v>
      </c>
      <c r="K338" s="125">
        <f>MAX(0,MIN(100,SIM_Districts!I54+(2020-2023)*SIM_Parametres!$B$10))</f>
        <v>79.900000000000006</v>
      </c>
      <c r="L338" s="125">
        <f>SIM_Districts!E54</f>
        <v>802</v>
      </c>
      <c r="M338" s="61">
        <f t="shared" si="188"/>
        <v>447.56931266382361</v>
      </c>
      <c r="N338" s="125">
        <f>N267*(1+SIM_Parametres!$B$6)/(1+SIM_Parametres!$B$11)</f>
        <v>89545</v>
      </c>
      <c r="O338" s="132"/>
      <c r="P338" s="126">
        <f>SIM_Parametres!$D$26</f>
        <v>0</v>
      </c>
      <c r="Q338" s="126">
        <f>SIM_Parametres!$B$12</f>
        <v>0.2</v>
      </c>
      <c r="R338" s="66">
        <f t="shared" si="177"/>
        <v>2.1638894632510345E-2</v>
      </c>
      <c r="S338" s="66">
        <f t="shared" si="178"/>
        <v>0.49645390070921974</v>
      </c>
      <c r="T338" s="66">
        <f t="shared" si="179"/>
        <v>0.84806629834254144</v>
      </c>
      <c r="U338" s="66">
        <f t="shared" si="180"/>
        <v>0.52059263207206885</v>
      </c>
      <c r="V338" s="66">
        <f t="shared" si="181"/>
        <v>0.20906585970196906</v>
      </c>
      <c r="W338" s="66">
        <f t="shared" si="182"/>
        <v>1.1836820968082853E-2</v>
      </c>
      <c r="X338" s="66">
        <f t="shared" si="183"/>
        <v>1.6782375772153284E-2</v>
      </c>
      <c r="Y338" s="66">
        <f t="shared" si="184"/>
        <v>1.3300990500921693E-2</v>
      </c>
      <c r="Z338" s="66">
        <f t="shared" si="185"/>
        <v>7.6734173990574452E-3</v>
      </c>
      <c r="AA338" s="66">
        <f t="shared" si="189"/>
        <v>1.8324936685540583E-2</v>
      </c>
      <c r="AB338" s="66">
        <f t="shared" si="186"/>
        <v>1.3760697116798316E-2</v>
      </c>
      <c r="AC338" s="67">
        <f t="shared" si="190"/>
        <v>22154885.980340641</v>
      </c>
      <c r="AD338" s="67">
        <f t="shared" si="162"/>
        <v>17444028.095999997</v>
      </c>
      <c r="AE338" s="66">
        <f t="shared" si="193"/>
        <v>3.1999999999999806E-2</v>
      </c>
      <c r="AF338" s="67">
        <f t="shared" si="163"/>
        <v>17444028.095999997</v>
      </c>
      <c r="AG338" s="67">
        <f t="shared" si="187"/>
        <v>1.0000000000000004</v>
      </c>
      <c r="AH338" s="67">
        <f t="shared" si="165"/>
        <v>17444028.096000005</v>
      </c>
      <c r="AI338" s="67">
        <f t="shared" si="191"/>
        <v>48.597296236332291</v>
      </c>
      <c r="AJ338" s="67">
        <f t="shared" si="192"/>
        <v>0</v>
      </c>
      <c r="AK338" s="66">
        <f t="shared" si="194"/>
        <v>3.200000000000025E-2</v>
      </c>
    </row>
    <row r="339" spans="1:37" ht="12.75" customHeight="1" x14ac:dyDescent="0.25">
      <c r="A339" s="55" t="s">
        <v>649</v>
      </c>
      <c r="B339" s="55" t="s">
        <v>441</v>
      </c>
      <c r="C339" s="55" t="s">
        <v>443</v>
      </c>
      <c r="D339" s="128">
        <v>2020</v>
      </c>
      <c r="E339" s="55" t="s">
        <v>676</v>
      </c>
      <c r="F339" s="57">
        <f>SIM_Parametres!$C$26</f>
        <v>1267670376.576</v>
      </c>
      <c r="G339" s="129">
        <f>SIM_Districts!D55*(1+SIM_Parametres!$B$6)^(2020-2023)</f>
        <v>264400.89793699619</v>
      </c>
      <c r="H339" s="129">
        <f>MAX(0,MIN(100,SIM_Districts!F55+(2020-2022)*SIM_Parametres!$B$7))</f>
        <v>66.06</v>
      </c>
      <c r="I339" s="129">
        <f>SIM_Districts!G55*(1+SIM_Parametres!$B$8)^(2020-2023)</f>
        <v>48.158885796018225</v>
      </c>
      <c r="J339" s="129">
        <f>SIM_Districts!H55*(1+SIM_Parametres!$B$9)^(2020-2023)</f>
        <v>33.607681755829901</v>
      </c>
      <c r="K339" s="129">
        <f>MAX(0,MIN(100,SIM_Districts!I55+(2020-2023)*SIM_Parametres!$B$10))</f>
        <v>75.599999999999994</v>
      </c>
      <c r="L339" s="129">
        <f>SIM_Districts!E55</f>
        <v>2865</v>
      </c>
      <c r="M339" s="68">
        <f t="shared" si="188"/>
        <v>92.286526330539687</v>
      </c>
      <c r="N339" s="129">
        <f>N268*(1+SIM_Parametres!$B$6)/(1+SIM_Parametres!$B$11)</f>
        <v>178218</v>
      </c>
      <c r="O339" s="72"/>
      <c r="P339" s="130">
        <f>SIM_Parametres!$D$26</f>
        <v>0</v>
      </c>
      <c r="Q339" s="130">
        <f>SIM_Parametres!$B$12</f>
        <v>0.2</v>
      </c>
      <c r="R339" s="59">
        <f t="shared" si="177"/>
        <v>1.5939082844304116E-2</v>
      </c>
      <c r="S339" s="59">
        <f t="shared" si="178"/>
        <v>0.97695035460992907</v>
      </c>
      <c r="T339" s="59">
        <f t="shared" si="179"/>
        <v>0.89226519337016574</v>
      </c>
      <c r="U339" s="59">
        <f t="shared" si="180"/>
        <v>0.59754648703547397</v>
      </c>
      <c r="V339" s="59">
        <f t="shared" si="181"/>
        <v>0.82451294081719062</v>
      </c>
      <c r="W339" s="59">
        <f t="shared" si="182"/>
        <v>2.3293172690763048E-2</v>
      </c>
      <c r="X339" s="59">
        <f t="shared" si="183"/>
        <v>1.7657027278193845E-2</v>
      </c>
      <c r="Y339" s="59">
        <f t="shared" si="184"/>
        <v>1.526713913772349E-2</v>
      </c>
      <c r="Z339" s="59">
        <f t="shared" si="185"/>
        <v>3.0262386957075536E-2</v>
      </c>
      <c r="AA339" s="59">
        <f t="shared" si="189"/>
        <v>1.7982456006665957E-2</v>
      </c>
      <c r="AB339" s="59">
        <f t="shared" si="186"/>
        <v>1.2724801180232451E-2</v>
      </c>
      <c r="AC339" s="60">
        <f t="shared" si="190"/>
        <v>21807563.891413439</v>
      </c>
      <c r="AD339" s="60">
        <f t="shared" si="162"/>
        <v>16130853.504000001</v>
      </c>
      <c r="AE339" s="59">
        <f t="shared" si="193"/>
        <v>3.2000000000000028E-2</v>
      </c>
      <c r="AF339" s="60">
        <f t="shared" si="163"/>
        <v>16130853.504000001</v>
      </c>
      <c r="AG339" s="60">
        <f t="shared" si="187"/>
        <v>1.0000000000000004</v>
      </c>
      <c r="AH339" s="60">
        <f t="shared" si="165"/>
        <v>16130853.504000008</v>
      </c>
      <c r="AI339" s="60">
        <f t="shared" si="191"/>
        <v>61.009072321092539</v>
      </c>
      <c r="AJ339" s="60">
        <f t="shared" si="192"/>
        <v>0</v>
      </c>
      <c r="AK339" s="59">
        <f t="shared" si="194"/>
        <v>3.2000000000000473E-2</v>
      </c>
    </row>
    <row r="340" spans="1:37" ht="12.75" customHeight="1" x14ac:dyDescent="0.25">
      <c r="A340" s="62" t="s">
        <v>651</v>
      </c>
      <c r="B340" s="62" t="s">
        <v>441</v>
      </c>
      <c r="C340" s="62" t="s">
        <v>441</v>
      </c>
      <c r="D340" s="124">
        <v>2020</v>
      </c>
      <c r="E340" s="62" t="s">
        <v>676</v>
      </c>
      <c r="F340" s="64">
        <f>SIM_Parametres!$C$26</f>
        <v>1267670376.576</v>
      </c>
      <c r="G340" s="125">
        <f>SIM_Districts!D56*(1+SIM_Parametres!$B$6)^(2020-2023)</f>
        <v>274860.96710340277</v>
      </c>
      <c r="H340" s="125">
        <f>MAX(0,MIN(100,SIM_Districts!F56+(2020-2022)*SIM_Parametres!$B$7))</f>
        <v>66.06</v>
      </c>
      <c r="I340" s="125">
        <f>SIM_Districts!G56*(1+SIM_Parametres!$B$8)^(2020-2023)</f>
        <v>48.158885796018225</v>
      </c>
      <c r="J340" s="125">
        <f>SIM_Districts!H56*(1+SIM_Parametres!$B$9)^(2020-2023)</f>
        <v>33.607681755829901</v>
      </c>
      <c r="K340" s="125">
        <f>MAX(0,MIN(100,SIM_Districts!I56+(2020-2023)*SIM_Parametres!$B$10))</f>
        <v>75.599999999999994</v>
      </c>
      <c r="L340" s="125">
        <f>SIM_Districts!E56</f>
        <v>2749</v>
      </c>
      <c r="M340" s="61">
        <f t="shared" si="188"/>
        <v>99.985801056166892</v>
      </c>
      <c r="N340" s="125">
        <f>N269*(1+SIM_Parametres!$B$6)/(1+SIM_Parametres!$B$11)</f>
        <v>178218</v>
      </c>
      <c r="O340" s="132"/>
      <c r="P340" s="126">
        <f>SIM_Parametres!$D$26</f>
        <v>0</v>
      </c>
      <c r="Q340" s="126">
        <f>SIM_Parametres!$B$12</f>
        <v>0.2</v>
      </c>
      <c r="R340" s="66">
        <f t="shared" si="177"/>
        <v>1.6569655245159708E-2</v>
      </c>
      <c r="S340" s="66">
        <f t="shared" si="178"/>
        <v>0.97695035460992907</v>
      </c>
      <c r="T340" s="66">
        <f t="shared" si="179"/>
        <v>0.89226519337016574</v>
      </c>
      <c r="U340" s="66">
        <f t="shared" si="180"/>
        <v>0.59340921006518599</v>
      </c>
      <c r="V340" s="66">
        <f t="shared" si="181"/>
        <v>0.82451294081719062</v>
      </c>
      <c r="W340" s="66">
        <f t="shared" si="182"/>
        <v>2.3293172690763048E-2</v>
      </c>
      <c r="X340" s="66">
        <f t="shared" si="183"/>
        <v>1.7657027278193845E-2</v>
      </c>
      <c r="Y340" s="66">
        <f t="shared" si="184"/>
        <v>1.516143291314161E-2</v>
      </c>
      <c r="Z340" s="66">
        <f t="shared" si="185"/>
        <v>3.0262386957075536E-2</v>
      </c>
      <c r="AA340" s="66">
        <f t="shared" si="189"/>
        <v>1.8355514135950213E-2</v>
      </c>
      <c r="AB340" s="66">
        <f t="shared" si="186"/>
        <v>1.4496662113093287E-2</v>
      </c>
      <c r="AC340" s="67">
        <f t="shared" si="190"/>
        <v>22185895.682801049</v>
      </c>
      <c r="AD340" s="67">
        <f t="shared" si="162"/>
        <v>18376989.119999997</v>
      </c>
      <c r="AE340" s="66">
        <f t="shared" si="193"/>
        <v>3.1999999999999806E-2</v>
      </c>
      <c r="AF340" s="67">
        <f t="shared" si="163"/>
        <v>18376989.119999997</v>
      </c>
      <c r="AG340" s="67">
        <f t="shared" si="187"/>
        <v>1.0000000000000004</v>
      </c>
      <c r="AH340" s="67">
        <f t="shared" si="165"/>
        <v>18376989.120000005</v>
      </c>
      <c r="AI340" s="67">
        <f t="shared" si="191"/>
        <v>66.859217275061752</v>
      </c>
      <c r="AJ340" s="67">
        <f t="shared" si="192"/>
        <v>0</v>
      </c>
      <c r="AK340" s="66">
        <f t="shared" si="194"/>
        <v>3.200000000000025E-2</v>
      </c>
    </row>
    <row r="341" spans="1:37" ht="12.75" customHeight="1" x14ac:dyDescent="0.25">
      <c r="A341" s="55" t="s">
        <v>652</v>
      </c>
      <c r="B341" s="55" t="s">
        <v>444</v>
      </c>
      <c r="C341" s="55" t="s">
        <v>446</v>
      </c>
      <c r="D341" s="128">
        <v>2020</v>
      </c>
      <c r="E341" s="55" t="s">
        <v>676</v>
      </c>
      <c r="F341" s="57">
        <f>SIM_Parametres!$C$26</f>
        <v>1267670376.576</v>
      </c>
      <c r="G341" s="129">
        <f>SIM_Districts!D57*(1+SIM_Parametres!$B$6)^(2020-2023)</f>
        <v>138568.00463427737</v>
      </c>
      <c r="H341" s="129">
        <f>MAX(0,MIN(100,SIM_Districts!F57+(2020-2022)*SIM_Parametres!$B$7))</f>
        <v>64.459999999999994</v>
      </c>
      <c r="I341" s="129">
        <f>SIM_Districts!G57*(1+SIM_Parametres!$B$8)^(2020-2023)</f>
        <v>48.158885796018225</v>
      </c>
      <c r="J341" s="129">
        <f>SIM_Districts!H57*(1+SIM_Parametres!$B$9)^(2020-2023)</f>
        <v>32.235939643347045</v>
      </c>
      <c r="K341" s="129">
        <f>MAX(0,MIN(100,SIM_Districts!I57+(2020-2023)*SIM_Parametres!$B$10))</f>
        <v>79.599999999999994</v>
      </c>
      <c r="L341" s="129">
        <f>SIM_Districts!E57</f>
        <v>1360</v>
      </c>
      <c r="M341" s="68">
        <f t="shared" si="188"/>
        <v>101.88823870167454</v>
      </c>
      <c r="N341" s="129">
        <f>N270*(1+SIM_Parametres!$B$6)/(1+SIM_Parametres!$B$11)</f>
        <v>71159</v>
      </c>
      <c r="O341" s="72"/>
      <c r="P341" s="130">
        <f>SIM_Parametres!$D$26</f>
        <v>0</v>
      </c>
      <c r="Q341" s="130">
        <f>SIM_Parametres!$B$12</f>
        <v>0.2</v>
      </c>
      <c r="R341" s="59">
        <f t="shared" si="177"/>
        <v>8.353401681570536E-3</v>
      </c>
      <c r="S341" s="59">
        <f t="shared" si="178"/>
        <v>0.94858156028368779</v>
      </c>
      <c r="T341" s="59">
        <f t="shared" si="179"/>
        <v>0.86464088397790051</v>
      </c>
      <c r="U341" s="59">
        <f t="shared" si="180"/>
        <v>0.54526424876049684</v>
      </c>
      <c r="V341" s="59">
        <f t="shared" si="181"/>
        <v>8.1455312710388056E-2</v>
      </c>
      <c r="W341" s="59">
        <f t="shared" si="182"/>
        <v>2.2616782921158311E-2</v>
      </c>
      <c r="X341" s="59">
        <f t="shared" si="183"/>
        <v>1.7110370086918493E-2</v>
      </c>
      <c r="Y341" s="59">
        <f t="shared" si="184"/>
        <v>1.3931343139431056E-2</v>
      </c>
      <c r="Z341" s="59">
        <f t="shared" si="185"/>
        <v>2.9896828429499429E-3</v>
      </c>
      <c r="AA341" s="59">
        <f t="shared" si="189"/>
        <v>1.1817165259272892E-2</v>
      </c>
      <c r="AB341" s="59">
        <f t="shared" si="186"/>
        <v>1.4601679949322592E-2</v>
      </c>
      <c r="AC341" s="60">
        <f t="shared" si="190"/>
        <v>15555118.736654803</v>
      </c>
      <c r="AD341" s="60">
        <f t="shared" si="162"/>
        <v>18510117.119999997</v>
      </c>
      <c r="AE341" s="59">
        <f t="shared" si="193"/>
        <v>3.1999999999999806E-2</v>
      </c>
      <c r="AF341" s="60">
        <f t="shared" si="163"/>
        <v>18510117.119999997</v>
      </c>
      <c r="AG341" s="60">
        <f t="shared" si="187"/>
        <v>1.0000000000000004</v>
      </c>
      <c r="AH341" s="60">
        <f t="shared" si="165"/>
        <v>18510117.120000005</v>
      </c>
      <c r="AI341" s="60">
        <f t="shared" si="191"/>
        <v>133.58146542453122</v>
      </c>
      <c r="AJ341" s="60">
        <f t="shared" si="192"/>
        <v>0</v>
      </c>
      <c r="AK341" s="59">
        <f t="shared" si="194"/>
        <v>3.200000000000025E-2</v>
      </c>
    </row>
    <row r="342" spans="1:37" ht="12.75" customHeight="1" x14ac:dyDescent="0.25">
      <c r="A342" s="62" t="s">
        <v>654</v>
      </c>
      <c r="B342" s="62" t="s">
        <v>444</v>
      </c>
      <c r="C342" s="62" t="s">
        <v>447</v>
      </c>
      <c r="D342" s="124">
        <v>2020</v>
      </c>
      <c r="E342" s="62" t="s">
        <v>676</v>
      </c>
      <c r="F342" s="64">
        <f>SIM_Parametres!$C$26</f>
        <v>1267670376.576</v>
      </c>
      <c r="G342" s="125">
        <f>SIM_Districts!D58*(1+SIM_Parametres!$B$6)^(2020-2023)</f>
        <v>67952.013631950162</v>
      </c>
      <c r="H342" s="125">
        <f>MAX(0,MIN(100,SIM_Districts!F58+(2020-2022)*SIM_Parametres!$B$7))</f>
        <v>64.459999999999994</v>
      </c>
      <c r="I342" s="125">
        <f>SIM_Districts!G58*(1+SIM_Parametres!$B$8)^(2020-2023)</f>
        <v>48.158885796018225</v>
      </c>
      <c r="J342" s="125">
        <f>SIM_Districts!H58*(1+SIM_Parametres!$B$9)^(2020-2023)</f>
        <v>32.235939643347045</v>
      </c>
      <c r="K342" s="125">
        <f>MAX(0,MIN(100,SIM_Districts!I58+(2020-2023)*SIM_Parametres!$B$10))</f>
        <v>79.599999999999994</v>
      </c>
      <c r="L342" s="125">
        <f>SIM_Districts!E58</f>
        <v>6089</v>
      </c>
      <c r="M342" s="61">
        <f t="shared" si="188"/>
        <v>11.159798592864208</v>
      </c>
      <c r="N342" s="125">
        <f>N271*(1+SIM_Parametres!$B$6)/(1+SIM_Parametres!$B$11)</f>
        <v>71159</v>
      </c>
      <c r="O342" s="132"/>
      <c r="P342" s="126">
        <f>SIM_Parametres!$D$26</f>
        <v>0</v>
      </c>
      <c r="Q342" s="126">
        <f>SIM_Parametres!$B$12</f>
        <v>0.2</v>
      </c>
      <c r="R342" s="66">
        <f t="shared" si="177"/>
        <v>4.0964035416211986E-3</v>
      </c>
      <c r="S342" s="66">
        <f t="shared" si="178"/>
        <v>0.94858156028368779</v>
      </c>
      <c r="T342" s="66">
        <f t="shared" si="179"/>
        <v>0.86464088397790051</v>
      </c>
      <c r="U342" s="66">
        <f t="shared" si="180"/>
        <v>0.71048099676349064</v>
      </c>
      <c r="V342" s="66">
        <f t="shared" si="181"/>
        <v>8.1455312710388056E-2</v>
      </c>
      <c r="W342" s="66">
        <f t="shared" si="182"/>
        <v>2.2616782921158311E-2</v>
      </c>
      <c r="X342" s="66">
        <f t="shared" si="183"/>
        <v>1.7110370086918493E-2</v>
      </c>
      <c r="Y342" s="66">
        <f t="shared" si="184"/>
        <v>1.8152583050250179E-2</v>
      </c>
      <c r="Z342" s="66">
        <f t="shared" si="185"/>
        <v>2.9896828429499429E-3</v>
      </c>
      <c r="AA342" s="66">
        <f t="shared" si="189"/>
        <v>9.4740283708442466E-3</v>
      </c>
      <c r="AB342" s="66">
        <f t="shared" si="186"/>
        <v>1.216274572073321E-2</v>
      </c>
      <c r="AC342" s="67">
        <f t="shared" si="190"/>
        <v>13178858.559276037</v>
      </c>
      <c r="AD342" s="67">
        <f t="shared" si="162"/>
        <v>15418352.448000001</v>
      </c>
      <c r="AE342" s="66">
        <f t="shared" si="193"/>
        <v>3.2000000000000028E-2</v>
      </c>
      <c r="AF342" s="67">
        <f t="shared" si="163"/>
        <v>15418352.448000001</v>
      </c>
      <c r="AG342" s="67">
        <f t="shared" si="187"/>
        <v>1.0000000000000004</v>
      </c>
      <c r="AH342" s="67">
        <f t="shared" si="165"/>
        <v>15418352.448000008</v>
      </c>
      <c r="AI342" s="67">
        <f t="shared" si="191"/>
        <v>226.90059681690576</v>
      </c>
      <c r="AJ342" s="67">
        <f t="shared" si="192"/>
        <v>0</v>
      </c>
      <c r="AK342" s="66">
        <f t="shared" si="194"/>
        <v>3.2000000000000473E-2</v>
      </c>
    </row>
    <row r="343" spans="1:37" ht="12.75" customHeight="1" x14ac:dyDescent="0.25">
      <c r="A343" s="55" t="s">
        <v>655</v>
      </c>
      <c r="B343" s="55" t="s">
        <v>444</v>
      </c>
      <c r="C343" s="55" t="s">
        <v>448</v>
      </c>
      <c r="D343" s="128">
        <v>2020</v>
      </c>
      <c r="E343" s="55" t="s">
        <v>676</v>
      </c>
      <c r="F343" s="57">
        <f>SIM_Parametres!$C$26</f>
        <v>1267670376.576</v>
      </c>
      <c r="G343" s="129">
        <f>SIM_Districts!D59*(1+SIM_Parametres!$B$6)^(2020-2023)</f>
        <v>119705.10475169004</v>
      </c>
      <c r="H343" s="129">
        <f>MAX(0,MIN(100,SIM_Districts!F59+(2020-2022)*SIM_Parametres!$B$7))</f>
        <v>64.459999999999994</v>
      </c>
      <c r="I343" s="129">
        <f>SIM_Districts!G59*(1+SIM_Parametres!$B$8)^(2020-2023)</f>
        <v>48.158885796018225</v>
      </c>
      <c r="J343" s="129">
        <f>SIM_Districts!H59*(1+SIM_Parametres!$B$9)^(2020-2023)</f>
        <v>32.235939643347045</v>
      </c>
      <c r="K343" s="129">
        <f>MAX(0,MIN(100,SIM_Districts!I59+(2020-2023)*SIM_Parametres!$B$10))</f>
        <v>79.599999999999994</v>
      </c>
      <c r="L343" s="129">
        <f>SIM_Districts!E59</f>
        <v>9596</v>
      </c>
      <c r="M343" s="68">
        <f t="shared" si="188"/>
        <v>12.474479444736353</v>
      </c>
      <c r="N343" s="129">
        <f>N272*(1+SIM_Parametres!$B$6)/(1+SIM_Parametres!$B$11)</f>
        <v>71159</v>
      </c>
      <c r="O343" s="72"/>
      <c r="P343" s="130">
        <f>SIM_Parametres!$D$26</f>
        <v>0</v>
      </c>
      <c r="Q343" s="130">
        <f>SIM_Parametres!$B$12</f>
        <v>0.2</v>
      </c>
      <c r="R343" s="59">
        <f t="shared" si="177"/>
        <v>7.2162749688465229E-3</v>
      </c>
      <c r="S343" s="59">
        <f t="shared" si="178"/>
        <v>0.94858156028368779</v>
      </c>
      <c r="T343" s="59">
        <f t="shared" si="179"/>
        <v>0.86464088397790051</v>
      </c>
      <c r="U343" s="59">
        <f t="shared" si="180"/>
        <v>0.83194467542502515</v>
      </c>
      <c r="V343" s="59">
        <f t="shared" si="181"/>
        <v>8.1455312710388056E-2</v>
      </c>
      <c r="W343" s="59">
        <f t="shared" si="182"/>
        <v>2.2616782921158311E-2</v>
      </c>
      <c r="X343" s="59">
        <f t="shared" si="183"/>
        <v>1.7110370086918493E-2</v>
      </c>
      <c r="Y343" s="59">
        <f t="shared" si="184"/>
        <v>2.1255944751036641E-2</v>
      </c>
      <c r="Z343" s="59">
        <f t="shared" si="185"/>
        <v>2.9896828429499429E-3</v>
      </c>
      <c r="AA343" s="59">
        <f t="shared" si="189"/>
        <v>1.1501119312218762E-2</v>
      </c>
      <c r="AB343" s="59">
        <f t="shared" si="186"/>
        <v>1.2786971739280199E-2</v>
      </c>
      <c r="AC343" s="60">
        <f t="shared" si="190"/>
        <v>15234605.06888086</v>
      </c>
      <c r="AD343" s="60">
        <f t="shared" si="162"/>
        <v>16209665.279999999</v>
      </c>
      <c r="AE343" s="59">
        <f t="shared" si="193"/>
        <v>3.2000000000000028E-2</v>
      </c>
      <c r="AF343" s="60">
        <f t="shared" si="163"/>
        <v>16209665.279999999</v>
      </c>
      <c r="AG343" s="60">
        <f t="shared" si="187"/>
        <v>1.0000000000000004</v>
      </c>
      <c r="AH343" s="60">
        <f t="shared" si="165"/>
        <v>16209665.280000007</v>
      </c>
      <c r="AI343" s="60">
        <f t="shared" si="191"/>
        <v>135.41331686417618</v>
      </c>
      <c r="AJ343" s="60">
        <f t="shared" si="192"/>
        <v>0</v>
      </c>
      <c r="AK343" s="59">
        <f t="shared" si="194"/>
        <v>3.2000000000000473E-2</v>
      </c>
    </row>
    <row r="344" spans="1:37" ht="12.75" customHeight="1" x14ac:dyDescent="0.25">
      <c r="A344" s="62" t="s">
        <v>656</v>
      </c>
      <c r="B344" s="62" t="s">
        <v>444</v>
      </c>
      <c r="C344" s="62" t="s">
        <v>449</v>
      </c>
      <c r="D344" s="124">
        <v>2020</v>
      </c>
      <c r="E344" s="62" t="s">
        <v>676</v>
      </c>
      <c r="F344" s="64">
        <f>SIM_Parametres!$C$26</f>
        <v>1267670376.576</v>
      </c>
      <c r="G344" s="125">
        <f>SIM_Districts!D60*(1+SIM_Parametres!$B$6)^(2020-2023)</f>
        <v>88338.624377360495</v>
      </c>
      <c r="H344" s="125">
        <f>MAX(0,MIN(100,SIM_Districts!F60+(2020-2022)*SIM_Parametres!$B$7))</f>
        <v>64.459999999999994</v>
      </c>
      <c r="I344" s="125">
        <f>SIM_Districts!G60*(1+SIM_Parametres!$B$8)^(2020-2023)</f>
        <v>48.158885796018225</v>
      </c>
      <c r="J344" s="125">
        <f>SIM_Districts!H60*(1+SIM_Parametres!$B$9)^(2020-2023)</f>
        <v>32.235939643347045</v>
      </c>
      <c r="K344" s="125">
        <f>MAX(0,MIN(100,SIM_Districts!I60+(2020-2023)*SIM_Parametres!$B$10))</f>
        <v>79.599999999999994</v>
      </c>
      <c r="L344" s="125">
        <f>SIM_Districts!E60</f>
        <v>5363</v>
      </c>
      <c r="M344" s="61">
        <f t="shared" si="188"/>
        <v>16.471867308849617</v>
      </c>
      <c r="N344" s="125">
        <f>N273*(1+SIM_Parametres!$B$6)/(1+SIM_Parametres!$B$11)</f>
        <v>71159</v>
      </c>
      <c r="O344" s="132"/>
      <c r="P344" s="126">
        <f>SIM_Parametres!$D$26</f>
        <v>0</v>
      </c>
      <c r="Q344" s="126">
        <f>SIM_Parametres!$B$12</f>
        <v>0.2</v>
      </c>
      <c r="R344" s="66">
        <f t="shared" si="177"/>
        <v>5.3253852891155147E-3</v>
      </c>
      <c r="S344" s="66">
        <f t="shared" si="178"/>
        <v>0.94858156028368779</v>
      </c>
      <c r="T344" s="66">
        <f t="shared" si="179"/>
        <v>0.86464088397790051</v>
      </c>
      <c r="U344" s="66">
        <f t="shared" si="180"/>
        <v>0.68524994865574673</v>
      </c>
      <c r="V344" s="66">
        <f t="shared" si="181"/>
        <v>8.1455312710388056E-2</v>
      </c>
      <c r="W344" s="66">
        <f t="shared" si="182"/>
        <v>2.2616782921158311E-2</v>
      </c>
      <c r="X344" s="66">
        <f t="shared" si="183"/>
        <v>1.7110370086918493E-2</v>
      </c>
      <c r="Y344" s="66">
        <f t="shared" si="184"/>
        <v>1.7507937101509705E-2</v>
      </c>
      <c r="Z344" s="66">
        <f t="shared" si="185"/>
        <v>2.9896828429499429E-3</v>
      </c>
      <c r="AA344" s="66">
        <f t="shared" si="189"/>
        <v>1.017918512190381E-2</v>
      </c>
      <c r="AB344" s="66">
        <f t="shared" si="186"/>
        <v>1.3375911764854143E-2</v>
      </c>
      <c r="AC344" s="67">
        <f t="shared" si="190"/>
        <v>13893983.618604664</v>
      </c>
      <c r="AD344" s="67">
        <f t="shared" si="162"/>
        <v>16956247.103999998</v>
      </c>
      <c r="AE344" s="66">
        <f t="shared" si="193"/>
        <v>3.1999999999999806E-2</v>
      </c>
      <c r="AF344" s="67">
        <f t="shared" si="163"/>
        <v>16956247.103999998</v>
      </c>
      <c r="AG344" s="67">
        <f t="shared" si="187"/>
        <v>1.0000000000000004</v>
      </c>
      <c r="AH344" s="67">
        <f t="shared" si="165"/>
        <v>16956247.104000006</v>
      </c>
      <c r="AI344" s="67">
        <f t="shared" si="191"/>
        <v>191.94601708497476</v>
      </c>
      <c r="AJ344" s="67">
        <f t="shared" si="192"/>
        <v>0</v>
      </c>
      <c r="AK344" s="66">
        <f t="shared" si="194"/>
        <v>3.200000000000025E-2</v>
      </c>
    </row>
    <row r="345" spans="1:37" ht="12.75" customHeight="1" x14ac:dyDescent="0.25">
      <c r="A345" s="55" t="s">
        <v>657</v>
      </c>
      <c r="B345" s="55" t="s">
        <v>444</v>
      </c>
      <c r="C345" s="55" t="s">
        <v>450</v>
      </c>
      <c r="D345" s="128">
        <v>2020</v>
      </c>
      <c r="E345" s="55" t="s">
        <v>676</v>
      </c>
      <c r="F345" s="57">
        <f>SIM_Parametres!$C$26</f>
        <v>1267670376.576</v>
      </c>
      <c r="G345" s="129">
        <f>SIM_Districts!D61*(1+SIM_Parametres!$B$6)^(2020-2023)</f>
        <v>112251.27593625856</v>
      </c>
      <c r="H345" s="129">
        <f>MAX(0,MIN(100,SIM_Districts!F61+(2020-2022)*SIM_Parametres!$B$7))</f>
        <v>64.459999999999994</v>
      </c>
      <c r="I345" s="129">
        <f>SIM_Districts!G61*(1+SIM_Parametres!$B$8)^(2020-2023)</f>
        <v>48.158885796018225</v>
      </c>
      <c r="J345" s="129">
        <f>SIM_Districts!H61*(1+SIM_Parametres!$B$9)^(2020-2023)</f>
        <v>32.235939643347045</v>
      </c>
      <c r="K345" s="129">
        <f>MAX(0,MIN(100,SIM_Districts!I61+(2020-2023)*SIM_Parametres!$B$10))</f>
        <v>79.599999999999994</v>
      </c>
      <c r="L345" s="129">
        <f>SIM_Districts!E61</f>
        <v>2477</v>
      </c>
      <c r="M345" s="68">
        <f t="shared" si="188"/>
        <v>45.317430737286458</v>
      </c>
      <c r="N345" s="129">
        <f>N274*(1+SIM_Parametres!$B$6)/(1+SIM_Parametres!$B$11)</f>
        <v>71159</v>
      </c>
      <c r="O345" s="72"/>
      <c r="P345" s="130">
        <f>SIM_Parametres!$D$26</f>
        <v>0</v>
      </c>
      <c r="Q345" s="130">
        <f>SIM_Parametres!$B$12</f>
        <v>0.2</v>
      </c>
      <c r="R345" s="59">
        <f t="shared" si="177"/>
        <v>6.7669300690242308E-3</v>
      </c>
      <c r="S345" s="59">
        <f t="shared" si="178"/>
        <v>0.94858156028368779</v>
      </c>
      <c r="T345" s="59">
        <f t="shared" si="179"/>
        <v>0.86464088397790051</v>
      </c>
      <c r="U345" s="59">
        <f t="shared" si="180"/>
        <v>0.5848318733080492</v>
      </c>
      <c r="V345" s="59">
        <f t="shared" si="181"/>
        <v>8.1455312710388056E-2</v>
      </c>
      <c r="W345" s="59">
        <f t="shared" si="182"/>
        <v>2.2616782921158311E-2</v>
      </c>
      <c r="X345" s="59">
        <f t="shared" si="183"/>
        <v>1.7110370086918493E-2</v>
      </c>
      <c r="Y345" s="59">
        <f t="shared" si="184"/>
        <v>1.4942284450982642E-2</v>
      </c>
      <c r="Z345" s="59">
        <f t="shared" si="185"/>
        <v>2.9896828429499429E-3</v>
      </c>
      <c r="AA345" s="59">
        <f t="shared" si="189"/>
        <v>1.0915829357322687E-2</v>
      </c>
      <c r="AB345" s="59">
        <f t="shared" si="186"/>
        <v>1.300288841056765E-2</v>
      </c>
      <c r="AC345" s="60">
        <f t="shared" si="190"/>
        <v>14641041.278857455</v>
      </c>
      <c r="AD345" s="60">
        <f t="shared" ref="AD345:AD408" si="195">F345*((1-P345)*AB345+P345*(Q345/71+(1-Q345)*AA345))</f>
        <v>16483376.447999999</v>
      </c>
      <c r="AE345" s="59">
        <f t="shared" si="193"/>
        <v>3.2000000000000028E-2</v>
      </c>
      <c r="AF345" s="60">
        <f t="shared" ref="AF345:AF408" si="196">AD345</f>
        <v>16483376.447999999</v>
      </c>
      <c r="AG345" s="60">
        <f t="shared" si="187"/>
        <v>1.0000000000000004</v>
      </c>
      <c r="AH345" s="60">
        <f t="shared" ref="AH345:AH408" si="197">AF345*AG345</f>
        <v>16483376.448000006</v>
      </c>
      <c r="AI345" s="60">
        <f t="shared" si="191"/>
        <v>146.84355532279227</v>
      </c>
      <c r="AJ345" s="60">
        <f t="shared" si="192"/>
        <v>0</v>
      </c>
      <c r="AK345" s="59">
        <f t="shared" si="194"/>
        <v>3.2000000000000473E-2</v>
      </c>
    </row>
    <row r="346" spans="1:37" ht="12.75" customHeight="1" x14ac:dyDescent="0.25">
      <c r="A346" s="62" t="s">
        <v>658</v>
      </c>
      <c r="B346" s="62" t="s">
        <v>444</v>
      </c>
      <c r="C346" s="62" t="s">
        <v>451</v>
      </c>
      <c r="D346" s="124">
        <v>2020</v>
      </c>
      <c r="E346" s="62" t="s">
        <v>676</v>
      </c>
      <c r="F346" s="64">
        <f>SIM_Parametres!$C$26</f>
        <v>1267670376.576</v>
      </c>
      <c r="G346" s="125">
        <f>SIM_Districts!D62*(1+SIM_Parametres!$B$6)^(2020-2023)</f>
        <v>376568.8959822536</v>
      </c>
      <c r="H346" s="125">
        <f>MAX(0,MIN(100,SIM_Districts!F62+(2020-2022)*SIM_Parametres!$B$7))</f>
        <v>64.459999999999994</v>
      </c>
      <c r="I346" s="125">
        <f>SIM_Districts!G62*(1+SIM_Parametres!$B$8)^(2020-2023)</f>
        <v>48.158885796018225</v>
      </c>
      <c r="J346" s="125">
        <f>SIM_Districts!H62*(1+SIM_Parametres!$B$9)^(2020-2023)</f>
        <v>32.235939643347045</v>
      </c>
      <c r="K346" s="125">
        <f>MAX(0,MIN(100,SIM_Districts!I62+(2020-2023)*SIM_Parametres!$B$10))</f>
        <v>79.599999999999994</v>
      </c>
      <c r="L346" s="125">
        <f>SIM_Districts!E62</f>
        <v>11599</v>
      </c>
      <c r="M346" s="61">
        <f t="shared" si="188"/>
        <v>32.465634622144464</v>
      </c>
      <c r="N346" s="125">
        <f>N275*(1+SIM_Parametres!$B$6)/(1+SIM_Parametres!$B$11)</f>
        <v>71159</v>
      </c>
      <c r="O346" s="132"/>
      <c r="P346" s="126">
        <f>SIM_Parametres!$D$26</f>
        <v>0</v>
      </c>
      <c r="Q346" s="126">
        <f>SIM_Parametres!$B$12</f>
        <v>0.2</v>
      </c>
      <c r="R346" s="66">
        <f t="shared" si="177"/>
        <v>2.2700992608124686E-2</v>
      </c>
      <c r="S346" s="66">
        <f t="shared" si="178"/>
        <v>0.94858156028368779</v>
      </c>
      <c r="T346" s="66">
        <f t="shared" si="179"/>
        <v>0.86464088397790051</v>
      </c>
      <c r="U346" s="66">
        <f t="shared" si="180"/>
        <v>0.90102051224376711</v>
      </c>
      <c r="V346" s="66">
        <f t="shared" si="181"/>
        <v>8.1455312710388056E-2</v>
      </c>
      <c r="W346" s="66">
        <f t="shared" si="182"/>
        <v>2.2616782921158311E-2</v>
      </c>
      <c r="X346" s="66">
        <f t="shared" si="183"/>
        <v>1.7110370086918493E-2</v>
      </c>
      <c r="Y346" s="66">
        <f t="shared" si="184"/>
        <v>2.3020812313054136E-2</v>
      </c>
      <c r="Z346" s="66">
        <f t="shared" si="185"/>
        <v>2.9896828429499429E-3</v>
      </c>
      <c r="AA346" s="66">
        <f t="shared" si="189"/>
        <v>2.0880193273886537E-2</v>
      </c>
      <c r="AB346" s="66">
        <f t="shared" si="186"/>
        <v>1.4405926702591169E-2</v>
      </c>
      <c r="AC346" s="67">
        <f t="shared" si="190"/>
        <v>24746264.445618097</v>
      </c>
      <c r="AD346" s="67">
        <f t="shared" si="195"/>
        <v>18261966.528000001</v>
      </c>
      <c r="AE346" s="66">
        <f t="shared" si="193"/>
        <v>3.2000000000000028E-2</v>
      </c>
      <c r="AF346" s="67">
        <f t="shared" si="196"/>
        <v>18261966.528000001</v>
      </c>
      <c r="AG346" s="67">
        <f t="shared" si="187"/>
        <v>1.0000000000000004</v>
      </c>
      <c r="AH346" s="67">
        <f t="shared" si="197"/>
        <v>18261966.528000008</v>
      </c>
      <c r="AI346" s="67">
        <f t="shared" si="191"/>
        <v>48.495684914084443</v>
      </c>
      <c r="AJ346" s="67">
        <f t="shared" si="192"/>
        <v>0</v>
      </c>
      <c r="AK346" s="66">
        <f t="shared" si="194"/>
        <v>3.2000000000000473E-2</v>
      </c>
    </row>
    <row r="347" spans="1:37" ht="12.75" customHeight="1" x14ac:dyDescent="0.25">
      <c r="A347" s="55" t="s">
        <v>659</v>
      </c>
      <c r="B347" s="55" t="s">
        <v>452</v>
      </c>
      <c r="C347" s="55" t="s">
        <v>454</v>
      </c>
      <c r="D347" s="128">
        <v>2020</v>
      </c>
      <c r="E347" s="55" t="s">
        <v>676</v>
      </c>
      <c r="F347" s="57">
        <f>SIM_Parametres!$C$26</f>
        <v>1267670376.576</v>
      </c>
      <c r="G347" s="129">
        <f>SIM_Districts!D63*(1+SIM_Parametres!$B$6)^(2020-2023)</f>
        <v>111709.51207392149</v>
      </c>
      <c r="H347" s="129">
        <f>MAX(0,MIN(100,SIM_Districts!F63+(2020-2022)*SIM_Parametres!$B$7))</f>
        <v>31.56</v>
      </c>
      <c r="I347" s="129">
        <f>SIM_Districts!G63*(1+SIM_Parametres!$B$8)^(2020-2023)</f>
        <v>48.158885796018225</v>
      </c>
      <c r="J347" s="129">
        <f>SIM_Districts!H63*(1+SIM_Parametres!$B$9)^(2020-2023)</f>
        <v>21.810699588477362</v>
      </c>
      <c r="K347" s="129">
        <f>MAX(0,MIN(100,SIM_Districts!I63+(2020-2023)*SIM_Parametres!$B$10))</f>
        <v>91.3</v>
      </c>
      <c r="L347" s="129">
        <f>SIM_Districts!E63</f>
        <v>393</v>
      </c>
      <c r="M347" s="68">
        <f t="shared" si="188"/>
        <v>284.24812232549999</v>
      </c>
      <c r="N347" s="129">
        <f>N276*(1+SIM_Parametres!$B$6)/(1+SIM_Parametres!$B$11)</f>
        <v>153373</v>
      </c>
      <c r="O347" s="72"/>
      <c r="P347" s="130">
        <f>SIM_Parametres!$D$26</f>
        <v>0</v>
      </c>
      <c r="Q347" s="130">
        <f>SIM_Parametres!$B$12</f>
        <v>0.2</v>
      </c>
      <c r="R347" s="59">
        <f t="shared" si="177"/>
        <v>6.7342705011059012E-3</v>
      </c>
      <c r="S347" s="59">
        <f t="shared" si="178"/>
        <v>0.36524822695035458</v>
      </c>
      <c r="T347" s="59">
        <f t="shared" si="179"/>
        <v>0.65469613259668502</v>
      </c>
      <c r="U347" s="59">
        <f t="shared" si="180"/>
        <v>0.5089487082445231</v>
      </c>
      <c r="V347" s="59">
        <f t="shared" si="181"/>
        <v>0.65207282116061327</v>
      </c>
      <c r="W347" s="59">
        <f t="shared" si="182"/>
        <v>8.7085182836609577E-3</v>
      </c>
      <c r="X347" s="59">
        <f t="shared" si="183"/>
        <v>1.2955775433225824E-2</v>
      </c>
      <c r="Y347" s="59">
        <f t="shared" si="184"/>
        <v>1.3003491630053692E-2</v>
      </c>
      <c r="Z347" s="59">
        <f t="shared" si="185"/>
        <v>2.3933256909947777E-2</v>
      </c>
      <c r="AA347" s="59">
        <f t="shared" si="189"/>
        <v>9.1370437851966309E-3</v>
      </c>
      <c r="AB347" s="59">
        <f t="shared" si="186"/>
        <v>1.4225296024276763E-2</v>
      </c>
      <c r="AC347" s="60">
        <f t="shared" si="190"/>
        <v>12837110.258005459</v>
      </c>
      <c r="AD347" s="60">
        <f t="shared" si="195"/>
        <v>18032986.368000001</v>
      </c>
      <c r="AE347" s="59">
        <f t="shared" si="193"/>
        <v>3.2000000000000028E-2</v>
      </c>
      <c r="AF347" s="60">
        <f t="shared" si="196"/>
        <v>18032986.368000001</v>
      </c>
      <c r="AG347" s="60">
        <f t="shared" si="187"/>
        <v>1.0000000000000004</v>
      </c>
      <c r="AH347" s="60">
        <f t="shared" si="197"/>
        <v>18032986.368000008</v>
      </c>
      <c r="AI347" s="60">
        <f t="shared" si="191"/>
        <v>161.42749201220258</v>
      </c>
      <c r="AJ347" s="60">
        <f t="shared" si="192"/>
        <v>0</v>
      </c>
      <c r="AK347" s="59">
        <f t="shared" si="194"/>
        <v>3.2000000000000473E-2</v>
      </c>
    </row>
    <row r="348" spans="1:37" ht="12.75" customHeight="1" x14ac:dyDescent="0.25">
      <c r="A348" s="62" t="s">
        <v>661</v>
      </c>
      <c r="B348" s="62" t="s">
        <v>452</v>
      </c>
      <c r="C348" s="62" t="s">
        <v>455</v>
      </c>
      <c r="D348" s="124">
        <v>2020</v>
      </c>
      <c r="E348" s="62" t="s">
        <v>676</v>
      </c>
      <c r="F348" s="64">
        <f>SIM_Parametres!$C$26</f>
        <v>1267670376.576</v>
      </c>
      <c r="G348" s="125">
        <f>SIM_Districts!D64*(1+SIM_Parametres!$B$6)^(2020-2023)</f>
        <v>193614.69058602926</v>
      </c>
      <c r="H348" s="125">
        <f>MAX(0,MIN(100,SIM_Districts!F64+(2020-2022)*SIM_Parametres!$B$7))</f>
        <v>31.56</v>
      </c>
      <c r="I348" s="125">
        <f>SIM_Districts!G64*(1+SIM_Parametres!$B$8)^(2020-2023)</f>
        <v>48.158885796018225</v>
      </c>
      <c r="J348" s="125">
        <f>SIM_Districts!H64*(1+SIM_Parametres!$B$9)^(2020-2023)</f>
        <v>21.810699588477362</v>
      </c>
      <c r="K348" s="125">
        <f>MAX(0,MIN(100,SIM_Districts!I64+(2020-2023)*SIM_Parametres!$B$10))</f>
        <v>91.3</v>
      </c>
      <c r="L348" s="125">
        <f>SIM_Districts!E64</f>
        <v>537</v>
      </c>
      <c r="M348" s="61">
        <f t="shared" si="188"/>
        <v>360.54877204102286</v>
      </c>
      <c r="N348" s="125">
        <f>N277*(1+SIM_Parametres!$B$6)/(1+SIM_Parametres!$B$11)</f>
        <v>153373</v>
      </c>
      <c r="O348" s="132"/>
      <c r="P348" s="126">
        <f>SIM_Parametres!$D$26</f>
        <v>0</v>
      </c>
      <c r="Q348" s="126">
        <f>SIM_Parametres!$B$12</f>
        <v>0.2</v>
      </c>
      <c r="R348" s="66">
        <f t="shared" si="177"/>
        <v>1.1671823421191246E-2</v>
      </c>
      <c r="S348" s="66">
        <f t="shared" si="178"/>
        <v>0.36524822695035458</v>
      </c>
      <c r="T348" s="66">
        <f t="shared" si="179"/>
        <v>0.65469613259668502</v>
      </c>
      <c r="U348" s="66">
        <f t="shared" si="180"/>
        <v>0.51275775815315705</v>
      </c>
      <c r="V348" s="66">
        <f t="shared" si="181"/>
        <v>0.65207282116061327</v>
      </c>
      <c r="W348" s="66">
        <f t="shared" si="182"/>
        <v>8.7085182836609577E-3</v>
      </c>
      <c r="X348" s="66">
        <f t="shared" si="183"/>
        <v>1.2955775433225824E-2</v>
      </c>
      <c r="Y348" s="66">
        <f t="shared" si="184"/>
        <v>1.3100811748570588E-2</v>
      </c>
      <c r="Z348" s="66">
        <f t="shared" si="185"/>
        <v>2.3933256909947777E-2</v>
      </c>
      <c r="AA348" s="66">
        <f t="shared" si="189"/>
        <v>1.2104441543173684E-2</v>
      </c>
      <c r="AB348" s="66">
        <f t="shared" si="186"/>
        <v>1.4479859259296599E-2</v>
      </c>
      <c r="AC348" s="67">
        <f t="shared" si="190"/>
        <v>15846456.044649899</v>
      </c>
      <c r="AD348" s="67">
        <f t="shared" si="195"/>
        <v>18355688.640000001</v>
      </c>
      <c r="AE348" s="66">
        <f t="shared" si="193"/>
        <v>3.2000000000000028E-2</v>
      </c>
      <c r="AF348" s="67">
        <f t="shared" si="196"/>
        <v>18355688.640000001</v>
      </c>
      <c r="AG348" s="67">
        <f t="shared" si="187"/>
        <v>1.0000000000000004</v>
      </c>
      <c r="AH348" s="67">
        <f t="shared" si="197"/>
        <v>18355688.640000008</v>
      </c>
      <c r="AI348" s="67">
        <f t="shared" si="191"/>
        <v>94.805247393373705</v>
      </c>
      <c r="AJ348" s="67">
        <f t="shared" si="192"/>
        <v>0</v>
      </c>
      <c r="AK348" s="66">
        <f t="shared" si="194"/>
        <v>3.2000000000000473E-2</v>
      </c>
    </row>
    <row r="349" spans="1:37" ht="12.75" customHeight="1" x14ac:dyDescent="0.25">
      <c r="A349" s="55" t="s">
        <v>662</v>
      </c>
      <c r="B349" s="55" t="s">
        <v>452</v>
      </c>
      <c r="C349" s="55" t="s">
        <v>456</v>
      </c>
      <c r="D349" s="128">
        <v>2020</v>
      </c>
      <c r="E349" s="55" t="s">
        <v>676</v>
      </c>
      <c r="F349" s="57">
        <f>SIM_Parametres!$C$26</f>
        <v>1267670376.576</v>
      </c>
      <c r="G349" s="129">
        <f>SIM_Districts!D65*(1+SIM_Parametres!$B$6)^(2020-2023)</f>
        <v>504124.08588787506</v>
      </c>
      <c r="H349" s="129">
        <f>MAX(0,MIN(100,SIM_Districts!F65+(2020-2022)*SIM_Parametres!$B$7))</f>
        <v>31.56</v>
      </c>
      <c r="I349" s="129">
        <f>SIM_Districts!G65*(1+SIM_Parametres!$B$8)^(2020-2023)</f>
        <v>48.158885796018225</v>
      </c>
      <c r="J349" s="129">
        <f>SIM_Districts!H65*(1+SIM_Parametres!$B$9)^(2020-2023)</f>
        <v>21.810699588477362</v>
      </c>
      <c r="K349" s="129">
        <f>MAX(0,MIN(100,SIM_Districts!I65+(2020-2023)*SIM_Parametres!$B$10))</f>
        <v>91.3</v>
      </c>
      <c r="L349" s="129">
        <f>SIM_Districts!E65</f>
        <v>487</v>
      </c>
      <c r="M349" s="68">
        <f t="shared" si="188"/>
        <v>1035.1623940202774</v>
      </c>
      <c r="N349" s="129">
        <f>N278*(1+SIM_Parametres!$B$6)/(1+SIM_Parametres!$B$11)</f>
        <v>153373</v>
      </c>
      <c r="O349" s="72"/>
      <c r="P349" s="130">
        <f>SIM_Parametres!$D$26</f>
        <v>0</v>
      </c>
      <c r="Q349" s="130">
        <f>SIM_Parametres!$B$12</f>
        <v>0.2</v>
      </c>
      <c r="R349" s="59">
        <f t="shared" si="177"/>
        <v>3.0390500302652685E-2</v>
      </c>
      <c r="S349" s="59">
        <f t="shared" si="178"/>
        <v>0.36524822695035458</v>
      </c>
      <c r="T349" s="59">
        <f t="shared" si="179"/>
        <v>0.65469613259668502</v>
      </c>
      <c r="U349" s="59">
        <f t="shared" si="180"/>
        <v>0.50060006219339404</v>
      </c>
      <c r="V349" s="59">
        <f t="shared" si="181"/>
        <v>0.65207282116061327</v>
      </c>
      <c r="W349" s="59">
        <f t="shared" si="182"/>
        <v>8.7085182836609577E-3</v>
      </c>
      <c r="X349" s="59">
        <f t="shared" si="183"/>
        <v>1.2955775433225824E-2</v>
      </c>
      <c r="Y349" s="59">
        <f t="shared" si="184"/>
        <v>1.2790186148991385E-2</v>
      </c>
      <c r="Z349" s="59">
        <f t="shared" si="185"/>
        <v>2.3933256909947777E-2</v>
      </c>
      <c r="AA349" s="59">
        <f t="shared" si="189"/>
        <v>2.3320116392071589E-2</v>
      </c>
      <c r="AB349" s="59">
        <f t="shared" si="186"/>
        <v>1.3112947102935963E-2</v>
      </c>
      <c r="AC349" s="60">
        <f t="shared" si="190"/>
        <v>27220679.052055005</v>
      </c>
      <c r="AD349" s="60">
        <f t="shared" si="195"/>
        <v>16622894.592</v>
      </c>
      <c r="AE349" s="59">
        <f t="shared" si="193"/>
        <v>3.2000000000000028E-2</v>
      </c>
      <c r="AF349" s="60">
        <f t="shared" si="196"/>
        <v>16622894.592</v>
      </c>
      <c r="AG349" s="60">
        <f t="shared" si="187"/>
        <v>1.0000000000000004</v>
      </c>
      <c r="AH349" s="60">
        <f t="shared" si="197"/>
        <v>16622894.592000008</v>
      </c>
      <c r="AI349" s="60">
        <f t="shared" si="191"/>
        <v>32.973815489738762</v>
      </c>
      <c r="AJ349" s="60">
        <f t="shared" si="192"/>
        <v>0</v>
      </c>
      <c r="AK349" s="59">
        <f t="shared" si="194"/>
        <v>3.2000000000000473E-2</v>
      </c>
    </row>
    <row r="350" spans="1:37" ht="12.75" customHeight="1" x14ac:dyDescent="0.25">
      <c r="A350" s="62" t="s">
        <v>663</v>
      </c>
      <c r="B350" s="62" t="s">
        <v>452</v>
      </c>
      <c r="C350" s="62" t="s">
        <v>457</v>
      </c>
      <c r="D350" s="124">
        <v>2020</v>
      </c>
      <c r="E350" s="62" t="s">
        <v>676</v>
      </c>
      <c r="F350" s="64">
        <f>SIM_Parametres!$C$26</f>
        <v>1267670376.576</v>
      </c>
      <c r="G350" s="125">
        <f>SIM_Districts!D66*(1+SIM_Parametres!$B$6)^(2020-2023)</f>
        <v>101045.36631747911</v>
      </c>
      <c r="H350" s="125">
        <f>MAX(0,MIN(100,SIM_Districts!F66+(2020-2022)*SIM_Parametres!$B$7))</f>
        <v>31.56</v>
      </c>
      <c r="I350" s="125">
        <f>SIM_Districts!G66*(1+SIM_Parametres!$B$8)^(2020-2023)</f>
        <v>48.158885796018225</v>
      </c>
      <c r="J350" s="125">
        <f>SIM_Districts!H66*(1+SIM_Parametres!$B$9)^(2020-2023)</f>
        <v>21.810699588477362</v>
      </c>
      <c r="K350" s="125">
        <f>MAX(0,MIN(100,SIM_Districts!I66+(2020-2023)*SIM_Parametres!$B$10))</f>
        <v>91.3</v>
      </c>
      <c r="L350" s="125">
        <f>SIM_Districts!E66</f>
        <v>230</v>
      </c>
      <c r="M350" s="61">
        <f t="shared" si="188"/>
        <v>439.32767964121354</v>
      </c>
      <c r="N350" s="125">
        <f>N279*(1+SIM_Parametres!$B$6)/(1+SIM_Parametres!$B$11)</f>
        <v>153373</v>
      </c>
      <c r="O350" s="132"/>
      <c r="P350" s="126">
        <f>SIM_Parametres!$D$26</f>
        <v>0</v>
      </c>
      <c r="Q350" s="126">
        <f>SIM_Parametres!$B$12</f>
        <v>0.2</v>
      </c>
      <c r="R350" s="66">
        <f t="shared" si="177"/>
        <v>6.0913955940918836E-3</v>
      </c>
      <c r="S350" s="66">
        <f t="shared" si="178"/>
        <v>0.36524822695035458</v>
      </c>
      <c r="T350" s="66">
        <f t="shared" si="179"/>
        <v>0.65469613259668502</v>
      </c>
      <c r="U350" s="66">
        <f t="shared" si="180"/>
        <v>0.50090567337352976</v>
      </c>
      <c r="V350" s="66">
        <f t="shared" si="181"/>
        <v>0.65207282116061327</v>
      </c>
      <c r="W350" s="66">
        <f t="shared" si="182"/>
        <v>8.7085182836609577E-3</v>
      </c>
      <c r="X350" s="66">
        <f t="shared" si="183"/>
        <v>1.2955775433225824E-2</v>
      </c>
      <c r="Y350" s="66">
        <f t="shared" si="184"/>
        <v>1.2797994425854201E-2</v>
      </c>
      <c r="Z350" s="66">
        <f t="shared" si="185"/>
        <v>2.3933256909947777E-2</v>
      </c>
      <c r="AA350" s="66">
        <f t="shared" si="189"/>
        <v>8.7410439807782455E-3</v>
      </c>
      <c r="AB350" s="66">
        <f t="shared" si="186"/>
        <v>1.2876026864402651E-2</v>
      </c>
      <c r="AC350" s="67">
        <f t="shared" si="190"/>
        <v>12435512.4810526</v>
      </c>
      <c r="AD350" s="67">
        <f t="shared" si="195"/>
        <v>16322557.824000001</v>
      </c>
      <c r="AE350" s="66">
        <f t="shared" si="193"/>
        <v>3.2000000000000028E-2</v>
      </c>
      <c r="AF350" s="67">
        <f t="shared" si="196"/>
        <v>16322557.824000001</v>
      </c>
      <c r="AG350" s="67">
        <f t="shared" si="187"/>
        <v>1.0000000000000004</v>
      </c>
      <c r="AH350" s="67">
        <f t="shared" si="197"/>
        <v>16322557.824000008</v>
      </c>
      <c r="AI350" s="67">
        <f t="shared" si="191"/>
        <v>161.53692562918133</v>
      </c>
      <c r="AJ350" s="67">
        <f t="shared" si="192"/>
        <v>0</v>
      </c>
      <c r="AK350" s="66">
        <f t="shared" si="194"/>
        <v>3.2000000000000473E-2</v>
      </c>
    </row>
    <row r="351" spans="1:37" ht="12.75" customHeight="1" x14ac:dyDescent="0.25">
      <c r="A351" s="55" t="s">
        <v>664</v>
      </c>
      <c r="B351" s="55" t="s">
        <v>452</v>
      </c>
      <c r="C351" s="55" t="s">
        <v>458</v>
      </c>
      <c r="D351" s="128">
        <v>2020</v>
      </c>
      <c r="E351" s="55" t="s">
        <v>676</v>
      </c>
      <c r="F351" s="57">
        <f>SIM_Parametres!$C$26</f>
        <v>1267670376.576</v>
      </c>
      <c r="G351" s="129">
        <f>SIM_Districts!D67*(1+SIM_Parametres!$B$6)^(2020-2023)</f>
        <v>167423.33629534184</v>
      </c>
      <c r="H351" s="129">
        <f>MAX(0,MIN(100,SIM_Districts!F67+(2020-2022)*SIM_Parametres!$B$7))</f>
        <v>31.56</v>
      </c>
      <c r="I351" s="129">
        <f>SIM_Districts!G67*(1+SIM_Parametres!$B$8)^(2020-2023)</f>
        <v>48.158885796018225</v>
      </c>
      <c r="J351" s="129">
        <f>SIM_Districts!H67*(1+SIM_Parametres!$B$9)^(2020-2023)</f>
        <v>21.810699588477362</v>
      </c>
      <c r="K351" s="129">
        <f>MAX(0,MIN(100,SIM_Districts!I67+(2020-2023)*SIM_Parametres!$B$10))</f>
        <v>91.3</v>
      </c>
      <c r="L351" s="129">
        <f>SIM_Districts!E67</f>
        <v>557</v>
      </c>
      <c r="M351" s="68">
        <f t="shared" si="188"/>
        <v>300.58049604190637</v>
      </c>
      <c r="N351" s="129">
        <f>N280*(1+SIM_Parametres!$B$6)/(1+SIM_Parametres!$B$11)</f>
        <v>153373</v>
      </c>
      <c r="O351" s="72"/>
      <c r="P351" s="130">
        <f>SIM_Parametres!$D$26</f>
        <v>0</v>
      </c>
      <c r="Q351" s="130">
        <f>SIM_Parametres!$B$12</f>
        <v>0.2</v>
      </c>
      <c r="R351" s="59">
        <f t="shared" si="177"/>
        <v>1.0092909850544961E-2</v>
      </c>
      <c r="S351" s="59">
        <f t="shared" si="178"/>
        <v>0.36524822695035458</v>
      </c>
      <c r="T351" s="59">
        <f t="shared" si="179"/>
        <v>0.65469613259668502</v>
      </c>
      <c r="U351" s="59">
        <f t="shared" si="180"/>
        <v>0.51437733390901985</v>
      </c>
      <c r="V351" s="59">
        <f t="shared" si="181"/>
        <v>0.65207282116061327</v>
      </c>
      <c r="W351" s="59">
        <f t="shared" si="182"/>
        <v>8.7085182836609577E-3</v>
      </c>
      <c r="X351" s="59">
        <f t="shared" si="183"/>
        <v>1.2955775433225824E-2</v>
      </c>
      <c r="Y351" s="59">
        <f t="shared" si="184"/>
        <v>1.3142191438595229E-2</v>
      </c>
      <c r="Z351" s="59">
        <f t="shared" si="185"/>
        <v>2.3933256909947777E-2</v>
      </c>
      <c r="AA351" s="59">
        <f t="shared" si="189"/>
        <v>1.1159162385287144E-2</v>
      </c>
      <c r="AB351" s="59">
        <f t="shared" si="186"/>
        <v>1.2245079704336985E-2</v>
      </c>
      <c r="AC351" s="60">
        <f t="shared" si="190"/>
        <v>14887814.135811921</v>
      </c>
      <c r="AD351" s="60">
        <f t="shared" si="195"/>
        <v>15522724.800000001</v>
      </c>
      <c r="AE351" s="59">
        <f t="shared" si="193"/>
        <v>3.2000000000000028E-2</v>
      </c>
      <c r="AF351" s="60">
        <f t="shared" si="196"/>
        <v>15522724.800000001</v>
      </c>
      <c r="AG351" s="60">
        <f t="shared" si="187"/>
        <v>1.0000000000000004</v>
      </c>
      <c r="AH351" s="60">
        <f t="shared" si="197"/>
        <v>15522724.800000008</v>
      </c>
      <c r="AI351" s="60">
        <f t="shared" si="191"/>
        <v>92.715419149318976</v>
      </c>
      <c r="AJ351" s="60">
        <f t="shared" si="192"/>
        <v>0</v>
      </c>
      <c r="AK351" s="59">
        <f t="shared" si="194"/>
        <v>3.2000000000000473E-2</v>
      </c>
    </row>
    <row r="352" spans="1:37" ht="12.75" customHeight="1" x14ac:dyDescent="0.25">
      <c r="A352" s="62" t="s">
        <v>665</v>
      </c>
      <c r="B352" s="62" t="s">
        <v>452</v>
      </c>
      <c r="C352" s="62" t="s">
        <v>459</v>
      </c>
      <c r="D352" s="124">
        <v>2020</v>
      </c>
      <c r="E352" s="62" t="s">
        <v>676</v>
      </c>
      <c r="F352" s="64">
        <f>SIM_Parametres!$C$26</f>
        <v>1267670376.576</v>
      </c>
      <c r="G352" s="125">
        <f>SIM_Districts!D68*(1+SIM_Parametres!$B$6)^(2020-2023)</f>
        <v>212660.61880048722</v>
      </c>
      <c r="H352" s="125">
        <f>MAX(0,MIN(100,SIM_Districts!F68+(2020-2022)*SIM_Parametres!$B$7))</f>
        <v>31.56</v>
      </c>
      <c r="I352" s="125">
        <f>SIM_Districts!G68*(1+SIM_Parametres!$B$8)^(2020-2023)</f>
        <v>48.158885796018225</v>
      </c>
      <c r="J352" s="125">
        <f>SIM_Districts!H68*(1+SIM_Parametres!$B$9)^(2020-2023)</f>
        <v>21.810699588477362</v>
      </c>
      <c r="K352" s="125">
        <f>MAX(0,MIN(100,SIM_Districts!I68+(2020-2023)*SIM_Parametres!$B$10))</f>
        <v>91.3</v>
      </c>
      <c r="L352" s="125">
        <f>SIM_Districts!E68</f>
        <v>793</v>
      </c>
      <c r="M352" s="61">
        <f t="shared" si="188"/>
        <v>268.17228095900026</v>
      </c>
      <c r="N352" s="125">
        <f>N281*(1+SIM_Parametres!$B$6)/(1+SIM_Parametres!$B$11)</f>
        <v>153373</v>
      </c>
      <c r="O352" s="132"/>
      <c r="P352" s="126">
        <f>SIM_Parametres!$D$26</f>
        <v>0</v>
      </c>
      <c r="Q352" s="126">
        <f>SIM_Parametres!$B$12</f>
        <v>0.2</v>
      </c>
      <c r="R352" s="66">
        <f t="shared" ref="R352:R358" si="198">IFERROR(G352/SUM($G$288:$G$358),1/71)</f>
        <v>1.2819983771725506E-2</v>
      </c>
      <c r="S352" s="66">
        <f t="shared" ref="S352:S358" si="199">IF(MAX($H$288:$H$358)=MIN($H$288:$H$358),1,(H352-MIN($H$288:$H$358))/(MAX($H$288:$H$358)-MIN($H$288:$H$358)))</f>
        <v>0.36524822695035458</v>
      </c>
      <c r="T352" s="66">
        <f t="shared" ref="T352:T358" si="200">(IF(MAX($I$288:$I$358)=MIN($I$288:$I$358),1,(I352-MIN($I$288:$I$358))/(MAX($I$288:$I$358)-MIN($I$288:$I$358)))+IF(MAX($J$288:$J$358)=MIN($J$288:$J$358),1,(J352-MIN($J$288:$J$358))/(MAX($J$288:$J$358)-MIN($J$288:$J$358))))/2</f>
        <v>0.65469613259668502</v>
      </c>
      <c r="U352" s="66">
        <f t="shared" ref="U352:U358" si="201">(IF(MAX($L$288:$L$358)=MIN($L$288:$L$358),1,(L352-MIN($L$288:$L$358))/(MAX($L$288:$L$358)-MIN($L$288:$L$358)))+IF(MAX($M$288:$M$358)=MIN($M$288:$M$358),1,(MAX($M$288:$M$358)-M352)/(MAX($M$288:$M$358)-MIN($M$288:$M$358))))/2</f>
        <v>0.52305332187907938</v>
      </c>
      <c r="V352" s="66">
        <f t="shared" ref="V352:V358" si="202">IF(MAX($N$288:$N$358)=MIN($N$288:$N$358),1,(N352-MIN($N$288:$N$358))/(MAX($N$288:$N$358)-MIN($N$288:$N$358)))</f>
        <v>0.65207282116061327</v>
      </c>
      <c r="W352" s="66">
        <f t="shared" ref="W352:W358" si="203">IFERROR(S352/SUM($S$288:$S$358),1/71)</f>
        <v>8.7085182836609577E-3</v>
      </c>
      <c r="X352" s="66">
        <f t="shared" ref="X352:X358" si="204">IFERROR(T352/SUM($T$288:$T$358),1/71)</f>
        <v>1.2955775433225824E-2</v>
      </c>
      <c r="Y352" s="66">
        <f t="shared" ref="Y352:Y358" si="205">IFERROR(U352/SUM($U$288:$U$358),1/71)</f>
        <v>1.3363860410583095E-2</v>
      </c>
      <c r="Z352" s="66">
        <f t="shared" ref="Z352:Z358" si="206">IFERROR(V352/SUM($V$288:$V$358),1/71)</f>
        <v>2.3933256909947777E-2</v>
      </c>
      <c r="AA352" s="66">
        <f t="shared" si="189"/>
        <v>1.2806490186594865E-2</v>
      </c>
      <c r="AB352" s="66">
        <f t="shared" ref="AB352:AB358" si="207">IFERROR(AH281/SUM($AH$217:$AH$287),1/71)</f>
        <v>1.2935676995380896E-2</v>
      </c>
      <c r="AC352" s="67">
        <f t="shared" si="190"/>
        <v>16558429.059194217</v>
      </c>
      <c r="AD352" s="67">
        <f t="shared" si="195"/>
        <v>16398174.528000001</v>
      </c>
      <c r="AE352" s="66">
        <f t="shared" si="193"/>
        <v>3.2000000000000028E-2</v>
      </c>
      <c r="AF352" s="67">
        <f t="shared" si="196"/>
        <v>16398174.528000001</v>
      </c>
      <c r="AG352" s="67">
        <f t="shared" ref="AG352:AG358" si="208">IFERROR(F352/SUM($AF$288:$AF$358),1)</f>
        <v>1.0000000000000004</v>
      </c>
      <c r="AH352" s="67">
        <f t="shared" si="197"/>
        <v>16398174.528000008</v>
      </c>
      <c r="AI352" s="67">
        <f t="shared" si="191"/>
        <v>77.109596598062936</v>
      </c>
      <c r="AJ352" s="67">
        <f t="shared" si="192"/>
        <v>0</v>
      </c>
      <c r="AK352" s="66">
        <f t="shared" si="194"/>
        <v>3.2000000000000473E-2</v>
      </c>
    </row>
    <row r="353" spans="1:37" ht="12.75" customHeight="1" x14ac:dyDescent="0.25">
      <c r="A353" s="55" t="s">
        <v>666</v>
      </c>
      <c r="B353" s="55" t="s">
        <v>452</v>
      </c>
      <c r="C353" s="55" t="s">
        <v>452</v>
      </c>
      <c r="D353" s="128">
        <v>2020</v>
      </c>
      <c r="E353" s="55" t="s">
        <v>676</v>
      </c>
      <c r="F353" s="57">
        <f>SIM_Parametres!$C$26</f>
        <v>1267670376.576</v>
      </c>
      <c r="G353" s="129">
        <f>SIM_Districts!D69*(1+SIM_Parametres!$B$6)^(2020-2023)</f>
        <v>567015.36614360218</v>
      </c>
      <c r="H353" s="129">
        <f>MAX(0,MIN(100,SIM_Districts!F69+(2020-2022)*SIM_Parametres!$B$7))</f>
        <v>31.56</v>
      </c>
      <c r="I353" s="129">
        <f>SIM_Districts!G69*(1+SIM_Parametres!$B$8)^(2020-2023)</f>
        <v>48.158885796018225</v>
      </c>
      <c r="J353" s="129">
        <f>SIM_Districts!H69*(1+SIM_Parametres!$B$9)^(2020-2023)</f>
        <v>21.810699588477362</v>
      </c>
      <c r="K353" s="129">
        <f>MAX(0,MIN(100,SIM_Districts!I69+(2020-2023)*SIM_Parametres!$B$10))</f>
        <v>91.3</v>
      </c>
      <c r="L353" s="129">
        <f>SIM_Districts!E69</f>
        <v>503</v>
      </c>
      <c r="M353" s="68">
        <f t="shared" si="188"/>
        <v>1127.2671295101436</v>
      </c>
      <c r="N353" s="129">
        <f>N282*(1+SIM_Parametres!$B$6)/(1+SIM_Parametres!$B$11)</f>
        <v>153373</v>
      </c>
      <c r="O353" s="72"/>
      <c r="P353" s="130">
        <f>SIM_Parametres!$D$26</f>
        <v>0</v>
      </c>
      <c r="Q353" s="130">
        <f>SIM_Parametres!$B$12</f>
        <v>0.2</v>
      </c>
      <c r="R353" s="59">
        <f t="shared" si="198"/>
        <v>3.4181823758820562E-2</v>
      </c>
      <c r="S353" s="59">
        <f t="shared" si="199"/>
        <v>0.36524822695035458</v>
      </c>
      <c r="T353" s="59">
        <f t="shared" si="200"/>
        <v>0.65469613259668502</v>
      </c>
      <c r="U353" s="59">
        <f t="shared" si="201"/>
        <v>0.49973089584614422</v>
      </c>
      <c r="V353" s="59">
        <f t="shared" si="202"/>
        <v>0.65207282116061327</v>
      </c>
      <c r="W353" s="59">
        <f t="shared" si="203"/>
        <v>8.7085182836609577E-3</v>
      </c>
      <c r="X353" s="59">
        <f t="shared" si="204"/>
        <v>1.2955775433225824E-2</v>
      </c>
      <c r="Y353" s="59">
        <f t="shared" si="205"/>
        <v>1.2767979201339289E-2</v>
      </c>
      <c r="Z353" s="59">
        <f t="shared" si="206"/>
        <v>2.3933256909947777E-2</v>
      </c>
      <c r="AA353" s="59">
        <f t="shared" si="189"/>
        <v>2.5593800118389711E-2</v>
      </c>
      <c r="AB353" s="59">
        <f t="shared" si="207"/>
        <v>1.6176107350072338E-2</v>
      </c>
      <c r="AC353" s="60">
        <f t="shared" si="190"/>
        <v>29526504.256500136</v>
      </c>
      <c r="AD353" s="60">
        <f t="shared" si="195"/>
        <v>20505972.096000001</v>
      </c>
      <c r="AE353" s="59">
        <f t="shared" si="193"/>
        <v>3.2000000000000028E-2</v>
      </c>
      <c r="AF353" s="60">
        <f t="shared" si="196"/>
        <v>20505972.096000001</v>
      </c>
      <c r="AG353" s="60">
        <f t="shared" si="208"/>
        <v>1.0000000000000004</v>
      </c>
      <c r="AH353" s="60">
        <f t="shared" si="197"/>
        <v>20505972.096000008</v>
      </c>
      <c r="AI353" s="60">
        <f t="shared" si="191"/>
        <v>36.164755525878768</v>
      </c>
      <c r="AJ353" s="60">
        <f t="shared" si="192"/>
        <v>0</v>
      </c>
      <c r="AK353" s="59">
        <f t="shared" si="194"/>
        <v>3.2000000000000473E-2</v>
      </c>
    </row>
    <row r="354" spans="1:37" ht="12.75" customHeight="1" x14ac:dyDescent="0.25">
      <c r="A354" s="62" t="s">
        <v>667</v>
      </c>
      <c r="B354" s="62" t="s">
        <v>452</v>
      </c>
      <c r="C354" s="62" t="s">
        <v>460</v>
      </c>
      <c r="D354" s="124">
        <v>2020</v>
      </c>
      <c r="E354" s="62" t="s">
        <v>676</v>
      </c>
      <c r="F354" s="64">
        <f>SIM_Parametres!$C$26</f>
        <v>1267670376.576</v>
      </c>
      <c r="G354" s="125">
        <f>SIM_Districts!D70*(1+SIM_Parametres!$B$6)^(2020-2023)</f>
        <v>397020.48178547801</v>
      </c>
      <c r="H354" s="125">
        <f>MAX(0,MIN(100,SIM_Districts!F70+(2020-2022)*SIM_Parametres!$B$7))</f>
        <v>31.56</v>
      </c>
      <c r="I354" s="125">
        <f>SIM_Districts!G70*(1+SIM_Parametres!$B$8)^(2020-2023)</f>
        <v>48.158885796018225</v>
      </c>
      <c r="J354" s="125">
        <f>SIM_Districts!H70*(1+SIM_Parametres!$B$9)^(2020-2023)</f>
        <v>21.810699588477362</v>
      </c>
      <c r="K354" s="125">
        <f>MAX(0,MIN(100,SIM_Districts!I70+(2020-2023)*SIM_Parametres!$B$10))</f>
        <v>91.3</v>
      </c>
      <c r="L354" s="125">
        <f>SIM_Districts!E70</f>
        <v>1739</v>
      </c>
      <c r="M354" s="61">
        <f t="shared" si="188"/>
        <v>228.30389981913629</v>
      </c>
      <c r="N354" s="125">
        <f>N283*(1+SIM_Parametres!$B$6)/(1+SIM_Parametres!$B$11)</f>
        <v>153373</v>
      </c>
      <c r="O354" s="132"/>
      <c r="P354" s="126">
        <f>SIM_Parametres!$D$26</f>
        <v>0</v>
      </c>
      <c r="Q354" s="126">
        <f>SIM_Parametres!$B$12</f>
        <v>0.2</v>
      </c>
      <c r="R354" s="66">
        <f t="shared" si="198"/>
        <v>2.3933891297041637E-2</v>
      </c>
      <c r="S354" s="66">
        <f t="shared" si="199"/>
        <v>0.36524822695035458</v>
      </c>
      <c r="T354" s="66">
        <f t="shared" si="200"/>
        <v>0.65469613259668502</v>
      </c>
      <c r="U354" s="66">
        <f t="shared" si="201"/>
        <v>0.55643930835847488</v>
      </c>
      <c r="V354" s="66">
        <f t="shared" si="202"/>
        <v>0.65207282116061327</v>
      </c>
      <c r="W354" s="66">
        <f t="shared" si="203"/>
        <v>8.7085182836609577E-3</v>
      </c>
      <c r="X354" s="66">
        <f t="shared" si="204"/>
        <v>1.2955775433225824E-2</v>
      </c>
      <c r="Y354" s="66">
        <f t="shared" si="205"/>
        <v>1.4216862665453396E-2</v>
      </c>
      <c r="Z354" s="66">
        <f t="shared" si="206"/>
        <v>2.3933256909947777E-2</v>
      </c>
      <c r="AA354" s="66">
        <f t="shared" si="189"/>
        <v>1.9517484814528058E-2</v>
      </c>
      <c r="AB354" s="66">
        <f t="shared" si="207"/>
        <v>1.423621787924461E-2</v>
      </c>
      <c r="AC354" s="67">
        <f t="shared" si="190"/>
        <v>23364292.328947488</v>
      </c>
      <c r="AD354" s="67">
        <f t="shared" si="195"/>
        <v>18046831.68</v>
      </c>
      <c r="AE354" s="66">
        <f t="shared" si="193"/>
        <v>3.2000000000000028E-2</v>
      </c>
      <c r="AF354" s="67">
        <f t="shared" si="196"/>
        <v>18046831.68</v>
      </c>
      <c r="AG354" s="67">
        <f t="shared" si="208"/>
        <v>1.0000000000000004</v>
      </c>
      <c r="AH354" s="67">
        <f t="shared" si="197"/>
        <v>18046831.680000007</v>
      </c>
      <c r="AI354" s="67">
        <f t="shared" si="191"/>
        <v>45.455669185730443</v>
      </c>
      <c r="AJ354" s="67">
        <f t="shared" si="192"/>
        <v>0</v>
      </c>
      <c r="AK354" s="66">
        <f t="shared" si="194"/>
        <v>3.2000000000000473E-2</v>
      </c>
    </row>
    <row r="355" spans="1:37" ht="12.75" customHeight="1" x14ac:dyDescent="0.25">
      <c r="A355" s="55" t="s">
        <v>668</v>
      </c>
      <c r="B355" s="55" t="s">
        <v>461</v>
      </c>
      <c r="C355" s="55" t="s">
        <v>463</v>
      </c>
      <c r="D355" s="128">
        <v>2020</v>
      </c>
      <c r="E355" s="55" t="s">
        <v>676</v>
      </c>
      <c r="F355" s="57">
        <f>SIM_Parametres!$C$26</f>
        <v>1267670376.576</v>
      </c>
      <c r="G355" s="129">
        <f>SIM_Districts!D71*(1+SIM_Parametres!$B$6)^(2020-2023)</f>
        <v>146127.98988219383</v>
      </c>
      <c r="H355" s="129">
        <f>MAX(0,MIN(100,SIM_Districts!F71+(2020-2022)*SIM_Parametres!$B$7))</f>
        <v>49.959999999999994</v>
      </c>
      <c r="I355" s="129">
        <f>SIM_Districts!G71*(1+SIM_Parametres!$B$8)^(2020-2023)</f>
        <v>48.158885796018225</v>
      </c>
      <c r="J355" s="129">
        <f>SIM_Districts!H71*(1+SIM_Parametres!$B$9)^(2020-2023)</f>
        <v>14.128943758573387</v>
      </c>
      <c r="K355" s="129">
        <f>MAX(0,MIN(100,SIM_Districts!I71+(2020-2023)*SIM_Parametres!$B$10))</f>
        <v>90.3</v>
      </c>
      <c r="L355" s="129">
        <f>SIM_Districts!E71</f>
        <v>2537</v>
      </c>
      <c r="M355" s="68">
        <f t="shared" si="188"/>
        <v>57.59873467961917</v>
      </c>
      <c r="N355" s="129">
        <f>N284*(1+SIM_Parametres!$B$6)/(1+SIM_Parametres!$B$11)</f>
        <v>69419</v>
      </c>
      <c r="O355" s="72"/>
      <c r="P355" s="130">
        <f>SIM_Parametres!$D$26</f>
        <v>0</v>
      </c>
      <c r="Q355" s="130">
        <f>SIM_Parametres!$B$12</f>
        <v>0.2</v>
      </c>
      <c r="R355" s="59">
        <f t="shared" si="198"/>
        <v>8.8091460913227709E-3</v>
      </c>
      <c r="S355" s="59">
        <f t="shared" si="199"/>
        <v>0.6914893617021276</v>
      </c>
      <c r="T355" s="59">
        <f t="shared" si="200"/>
        <v>0.5</v>
      </c>
      <c r="U355" s="59">
        <f t="shared" si="201"/>
        <v>0.58672050041788648</v>
      </c>
      <c r="V355" s="59">
        <f t="shared" si="202"/>
        <v>6.9378604793203735E-2</v>
      </c>
      <c r="W355" s="59">
        <f t="shared" si="203"/>
        <v>1.6487000634115404E-2</v>
      </c>
      <c r="X355" s="59">
        <f t="shared" si="204"/>
        <v>9.8944951620838582E-3</v>
      </c>
      <c r="Y355" s="59">
        <f t="shared" si="205"/>
        <v>1.4990538324933458E-2</v>
      </c>
      <c r="Z355" s="59">
        <f t="shared" si="206"/>
        <v>2.5464272067252584E-3</v>
      </c>
      <c r="AA355" s="59">
        <f t="shared" si="189"/>
        <v>1.0119560300806487E-2</v>
      </c>
      <c r="AB355" s="59">
        <f t="shared" si="207"/>
        <v>1.7832028591736021E-2</v>
      </c>
      <c r="AC355" s="60">
        <f t="shared" si="190"/>
        <v>13833515.923073689</v>
      </c>
      <c r="AD355" s="60">
        <f t="shared" si="195"/>
        <v>22605134.399999999</v>
      </c>
      <c r="AE355" s="59">
        <f t="shared" si="193"/>
        <v>3.2000000000000028E-2</v>
      </c>
      <c r="AF355" s="60">
        <f t="shared" si="196"/>
        <v>22605134.399999999</v>
      </c>
      <c r="AG355" s="60">
        <f t="shared" si="208"/>
        <v>1.0000000000000004</v>
      </c>
      <c r="AH355" s="60">
        <f t="shared" si="197"/>
        <v>22605134.40000001</v>
      </c>
      <c r="AI355" s="60">
        <f t="shared" si="191"/>
        <v>154.69407618775793</v>
      </c>
      <c r="AJ355" s="60">
        <f t="shared" si="192"/>
        <v>0</v>
      </c>
      <c r="AK355" s="59">
        <f t="shared" si="194"/>
        <v>3.2000000000000473E-2</v>
      </c>
    </row>
    <row r="356" spans="1:37" ht="12.75" customHeight="1" x14ac:dyDescent="0.25">
      <c r="A356" s="62" t="s">
        <v>670</v>
      </c>
      <c r="B356" s="62" t="s">
        <v>461</v>
      </c>
      <c r="C356" s="62" t="s">
        <v>464</v>
      </c>
      <c r="D356" s="124">
        <v>2020</v>
      </c>
      <c r="E356" s="62" t="s">
        <v>676</v>
      </c>
      <c r="F356" s="64">
        <f>SIM_Parametres!$C$26</f>
        <v>1267670376.576</v>
      </c>
      <c r="G356" s="125">
        <f>SIM_Districts!D72*(1+SIM_Parametres!$B$6)^(2020-2023)</f>
        <v>89243.699478460767</v>
      </c>
      <c r="H356" s="125">
        <f>MAX(0,MIN(100,SIM_Districts!F72+(2020-2022)*SIM_Parametres!$B$7))</f>
        <v>49.959999999999994</v>
      </c>
      <c r="I356" s="125">
        <f>SIM_Districts!G72*(1+SIM_Parametres!$B$8)^(2020-2023)</f>
        <v>48.158885796018225</v>
      </c>
      <c r="J356" s="125">
        <f>SIM_Districts!H72*(1+SIM_Parametres!$B$9)^(2020-2023)</f>
        <v>14.128943758573387</v>
      </c>
      <c r="K356" s="125">
        <f>MAX(0,MIN(100,SIM_Districts!I72+(2020-2023)*SIM_Parametres!$B$10))</f>
        <v>90.3</v>
      </c>
      <c r="L356" s="125">
        <f>SIM_Districts!E72</f>
        <v>1893</v>
      </c>
      <c r="M356" s="61">
        <f t="shared" si="188"/>
        <v>47.144056776788574</v>
      </c>
      <c r="N356" s="125">
        <f>N285*(1+SIM_Parametres!$B$6)/(1+SIM_Parametres!$B$11)</f>
        <v>69419</v>
      </c>
      <c r="O356" s="132"/>
      <c r="P356" s="126">
        <f>SIM_Parametres!$D$26</f>
        <v>0</v>
      </c>
      <c r="Q356" s="126">
        <f>SIM_Parametres!$B$12</f>
        <v>0.2</v>
      </c>
      <c r="R356" s="66">
        <f t="shared" si="198"/>
        <v>5.3799466280871839E-3</v>
      </c>
      <c r="S356" s="66">
        <f t="shared" si="199"/>
        <v>0.6914893617021276</v>
      </c>
      <c r="T356" s="66">
        <f t="shared" si="200"/>
        <v>0.5</v>
      </c>
      <c r="U356" s="66">
        <f t="shared" si="201"/>
        <v>0.56457363162952034</v>
      </c>
      <c r="V356" s="66">
        <f t="shared" si="202"/>
        <v>6.9378604793203735E-2</v>
      </c>
      <c r="W356" s="66">
        <f t="shared" si="203"/>
        <v>1.6487000634115404E-2</v>
      </c>
      <c r="X356" s="66">
        <f t="shared" si="204"/>
        <v>9.8944951620838582E-3</v>
      </c>
      <c r="Y356" s="66">
        <f t="shared" si="205"/>
        <v>1.4424692261752069E-2</v>
      </c>
      <c r="Z356" s="66">
        <f t="shared" si="206"/>
        <v>2.5464272067252584E-3</v>
      </c>
      <c r="AA356" s="66">
        <f t="shared" si="189"/>
        <v>8.0337483197060657E-3</v>
      </c>
      <c r="AB356" s="66">
        <f t="shared" si="207"/>
        <v>1.2086292735958275E-2</v>
      </c>
      <c r="AC356" s="67">
        <f t="shared" si="190"/>
        <v>11718218.275435045</v>
      </c>
      <c r="AD356" s="67">
        <f t="shared" si="195"/>
        <v>15321435.264</v>
      </c>
      <c r="AE356" s="66">
        <f t="shared" si="193"/>
        <v>3.2000000000000028E-2</v>
      </c>
      <c r="AF356" s="67">
        <f t="shared" si="196"/>
        <v>15321435.264</v>
      </c>
      <c r="AG356" s="67">
        <f t="shared" si="208"/>
        <v>1.0000000000000004</v>
      </c>
      <c r="AH356" s="67">
        <f t="shared" si="197"/>
        <v>15321435.264000008</v>
      </c>
      <c r="AI356" s="67">
        <f t="shared" si="191"/>
        <v>171.68086210610176</v>
      </c>
      <c r="AJ356" s="67">
        <f t="shared" si="192"/>
        <v>0</v>
      </c>
      <c r="AK356" s="66">
        <f t="shared" si="194"/>
        <v>3.2000000000000473E-2</v>
      </c>
    </row>
    <row r="357" spans="1:37" ht="12.75" customHeight="1" x14ac:dyDescent="0.25">
      <c r="A357" s="55" t="s">
        <v>671</v>
      </c>
      <c r="B357" s="55" t="s">
        <v>461</v>
      </c>
      <c r="C357" s="55" t="s">
        <v>465</v>
      </c>
      <c r="D357" s="128">
        <v>2020</v>
      </c>
      <c r="E357" s="55" t="s">
        <v>676</v>
      </c>
      <c r="F357" s="57">
        <f>SIM_Parametres!$C$26</f>
        <v>1267670376.576</v>
      </c>
      <c r="G357" s="129">
        <f>SIM_Districts!D73*(1+SIM_Parametres!$B$6)^(2020-2023)</f>
        <v>53739.863662195588</v>
      </c>
      <c r="H357" s="129">
        <f>MAX(0,MIN(100,SIM_Districts!F73+(2020-2022)*SIM_Parametres!$B$7))</f>
        <v>49.959999999999994</v>
      </c>
      <c r="I357" s="129">
        <f>SIM_Districts!G73*(1+SIM_Parametres!$B$8)^(2020-2023)</f>
        <v>48.158885796018225</v>
      </c>
      <c r="J357" s="129">
        <f>SIM_Districts!H73*(1+SIM_Parametres!$B$9)^(2020-2023)</f>
        <v>14.128943758573387</v>
      </c>
      <c r="K357" s="129">
        <f>MAX(0,MIN(100,SIM_Districts!I73+(2020-2023)*SIM_Parametres!$B$10))</f>
        <v>90.3</v>
      </c>
      <c r="L357" s="129">
        <f>SIM_Districts!E73</f>
        <v>877</v>
      </c>
      <c r="M357" s="68">
        <f t="shared" si="188"/>
        <v>61.276925498512647</v>
      </c>
      <c r="N357" s="129">
        <f>N286*(1+SIM_Parametres!$B$6)/(1+SIM_Parametres!$B$11)</f>
        <v>69419</v>
      </c>
      <c r="O357" s="72"/>
      <c r="P357" s="130">
        <f>SIM_Parametres!$D$26</f>
        <v>0</v>
      </c>
      <c r="Q357" s="130">
        <f>SIM_Parametres!$B$12</f>
        <v>0.2</v>
      </c>
      <c r="R357" s="59">
        <f t="shared" si="198"/>
        <v>3.2396415656555512E-3</v>
      </c>
      <c r="S357" s="59">
        <f t="shared" si="199"/>
        <v>0.6914893617021276</v>
      </c>
      <c r="T357" s="59">
        <f t="shared" si="200"/>
        <v>0.5</v>
      </c>
      <c r="U357" s="59">
        <f t="shared" si="201"/>
        <v>0.52916053895252124</v>
      </c>
      <c r="V357" s="59">
        <f t="shared" si="202"/>
        <v>6.9378604793203735E-2</v>
      </c>
      <c r="W357" s="59">
        <f t="shared" si="203"/>
        <v>1.6487000634115404E-2</v>
      </c>
      <c r="X357" s="59">
        <f t="shared" si="204"/>
        <v>9.8944951620838582E-3</v>
      </c>
      <c r="Y357" s="59">
        <f t="shared" si="205"/>
        <v>1.3519898032471051E-2</v>
      </c>
      <c r="Z357" s="59">
        <f t="shared" si="206"/>
        <v>2.5464272067252584E-3</v>
      </c>
      <c r="AA357" s="59">
        <f t="shared" si="189"/>
        <v>6.7043255707830351E-3</v>
      </c>
      <c r="AB357" s="59">
        <f t="shared" si="207"/>
        <v>1.345488517769858E-2</v>
      </c>
      <c r="AC357" s="60">
        <f t="shared" si="190"/>
        <v>10370002.406030277</v>
      </c>
      <c r="AD357" s="60">
        <f t="shared" si="195"/>
        <v>17056359.359999999</v>
      </c>
      <c r="AE357" s="59">
        <f t="shared" si="193"/>
        <v>3.2000000000000028E-2</v>
      </c>
      <c r="AF357" s="60">
        <f t="shared" si="196"/>
        <v>17056359.359999999</v>
      </c>
      <c r="AG357" s="60">
        <f t="shared" si="208"/>
        <v>1.0000000000000004</v>
      </c>
      <c r="AH357" s="60">
        <f t="shared" si="197"/>
        <v>17056359.360000007</v>
      </c>
      <c r="AI357" s="60">
        <f t="shared" si="191"/>
        <v>317.38746989041312</v>
      </c>
      <c r="AJ357" s="60">
        <f t="shared" si="192"/>
        <v>0</v>
      </c>
      <c r="AK357" s="59">
        <f t="shared" si="194"/>
        <v>3.2000000000000473E-2</v>
      </c>
    </row>
    <row r="358" spans="1:37" ht="12.75" customHeight="1" x14ac:dyDescent="0.25">
      <c r="A358" s="62" t="s">
        <v>672</v>
      </c>
      <c r="B358" s="62" t="s">
        <v>461</v>
      </c>
      <c r="C358" s="62" t="s">
        <v>461</v>
      </c>
      <c r="D358" s="124">
        <v>2020</v>
      </c>
      <c r="E358" s="62" t="s">
        <v>676</v>
      </c>
      <c r="F358" s="64">
        <f>SIM_Parametres!$C$26</f>
        <v>1267670376.576</v>
      </c>
      <c r="G358" s="125">
        <f>SIM_Districts!D74*(1+SIM_Parametres!$B$6)^(2020-2023)</f>
        <v>276049.73611890251</v>
      </c>
      <c r="H358" s="125">
        <f>MAX(0,MIN(100,SIM_Districts!F74+(2020-2022)*SIM_Parametres!$B$7))</f>
        <v>49.959999999999994</v>
      </c>
      <c r="I358" s="125">
        <f>SIM_Districts!G74*(1+SIM_Parametres!$B$8)^(2020-2023)</f>
        <v>48.158885796018225</v>
      </c>
      <c r="J358" s="125">
        <f>SIM_Districts!H74*(1+SIM_Parametres!$B$9)^(2020-2023)</f>
        <v>14.128943758573387</v>
      </c>
      <c r="K358" s="125">
        <f>MAX(0,MIN(100,SIM_Districts!I74+(2020-2023)*SIM_Parametres!$B$10))</f>
        <v>90.3</v>
      </c>
      <c r="L358" s="125">
        <f>SIM_Districts!E74</f>
        <v>1136</v>
      </c>
      <c r="M358" s="61">
        <f t="shared" si="188"/>
        <v>243.0015282736818</v>
      </c>
      <c r="N358" s="125">
        <f>N287*(1+SIM_Parametres!$B$6)/(1+SIM_Parametres!$B$11)</f>
        <v>69419</v>
      </c>
      <c r="O358" s="132"/>
      <c r="P358" s="126">
        <f>SIM_Parametres!$D$26</f>
        <v>0</v>
      </c>
      <c r="Q358" s="126">
        <f>SIM_Parametres!$B$12</f>
        <v>0.2</v>
      </c>
      <c r="R358" s="66">
        <f t="shared" si="198"/>
        <v>1.6641318722737258E-2</v>
      </c>
      <c r="S358" s="66">
        <f t="shared" si="199"/>
        <v>0.6914893617021276</v>
      </c>
      <c r="T358" s="66">
        <f t="shared" si="200"/>
        <v>0.5</v>
      </c>
      <c r="U358" s="66">
        <f t="shared" si="201"/>
        <v>0.53532398626606015</v>
      </c>
      <c r="V358" s="66">
        <f t="shared" si="202"/>
        <v>6.9378604793203735E-2</v>
      </c>
      <c r="W358" s="66">
        <f t="shared" si="203"/>
        <v>1.6487000634115404E-2</v>
      </c>
      <c r="X358" s="66">
        <f t="shared" si="204"/>
        <v>9.8944951620838582E-3</v>
      </c>
      <c r="Y358" s="66">
        <f t="shared" si="205"/>
        <v>1.3677372320656833E-2</v>
      </c>
      <c r="Z358" s="66">
        <f t="shared" si="206"/>
        <v>2.5464272067252584E-3</v>
      </c>
      <c r="AA358" s="66">
        <f t="shared" si="189"/>
        <v>1.4753205579441347E-2</v>
      </c>
      <c r="AB358" s="66">
        <f t="shared" si="207"/>
        <v>1.6014799953624124E-2</v>
      </c>
      <c r="AC358" s="67">
        <f t="shared" si="190"/>
        <v>18532663.807303015</v>
      </c>
      <c r="AD358" s="67">
        <f t="shared" si="195"/>
        <v>20301487.488000002</v>
      </c>
      <c r="AE358" s="66">
        <f t="shared" si="193"/>
        <v>3.2000000000000028E-2</v>
      </c>
      <c r="AF358" s="67">
        <f t="shared" si="196"/>
        <v>20301487.488000002</v>
      </c>
      <c r="AG358" s="67">
        <f t="shared" si="208"/>
        <v>1.0000000000000004</v>
      </c>
      <c r="AH358" s="67">
        <f t="shared" si="197"/>
        <v>20301487.488000009</v>
      </c>
      <c r="AI358" s="67">
        <f t="shared" si="191"/>
        <v>73.542861418478509</v>
      </c>
      <c r="AJ358" s="67">
        <f t="shared" si="192"/>
        <v>0</v>
      </c>
      <c r="AK358" s="66">
        <f t="shared" si="194"/>
        <v>3.2000000000000473E-2</v>
      </c>
    </row>
    <row r="359" spans="1:37" ht="12.75" customHeight="1" x14ac:dyDescent="0.25">
      <c r="A359" s="55" t="s">
        <v>587</v>
      </c>
      <c r="B359" s="55" t="s">
        <v>376</v>
      </c>
      <c r="C359" s="55" t="s">
        <v>379</v>
      </c>
      <c r="D359" s="128">
        <v>2021</v>
      </c>
      <c r="E359" s="55" t="s">
        <v>676</v>
      </c>
      <c r="F359" s="57">
        <f>SIM_Parametres!$C$27</f>
        <v>1308235828.6264319</v>
      </c>
      <c r="G359" s="129">
        <f>SIM_Districts!D4*(1+SIM_Parametres!$B$6)^(2021-2023)</f>
        <v>427903.66669808654</v>
      </c>
      <c r="H359" s="129">
        <f>MAX(0,MIN(100,SIM_Districts!F4+(2021-2022)*SIM_Parametres!$B$7))</f>
        <v>10.130000000000001</v>
      </c>
      <c r="I359" s="129">
        <f>SIM_Districts!G4*(1+SIM_Parametres!$B$8)^(2021-2023)</f>
        <v>45.269352648257133</v>
      </c>
      <c r="J359" s="129">
        <f>SIM_Districts!H4*(1+SIM_Parametres!$B$9)^(2021-2023)</f>
        <v>12.839506172839506</v>
      </c>
      <c r="K359" s="129">
        <f>MAX(0,MIN(100,SIM_Districts!I4+(2021-2023)*SIM_Parametres!$B$10))</f>
        <v>94.9</v>
      </c>
      <c r="L359" s="129">
        <f>SIM_Districts!E4</f>
        <v>13</v>
      </c>
      <c r="M359" s="68">
        <f t="shared" si="188"/>
        <v>32915.666669083577</v>
      </c>
      <c r="N359" s="129">
        <f>N288*(1+SIM_Parametres!$B$6)/(1+SIM_Parametres!$B$11)</f>
        <v>73189</v>
      </c>
      <c r="O359" s="72"/>
      <c r="P359" s="130">
        <f>SIM_Parametres!$D$27</f>
        <v>0</v>
      </c>
      <c r="Q359" s="130">
        <f>SIM_Parametres!$B$12</f>
        <v>0.2</v>
      </c>
      <c r="R359" s="59">
        <f t="shared" ref="R359:R390" si="209">IFERROR(G359/SUM($G$359:$G$429),1/71)</f>
        <v>2.5044316606264855E-2</v>
      </c>
      <c r="S359" s="59">
        <f t="shared" ref="S359:S390" si="210">IF(MAX($H$359:$H$429)=MIN($H$359:$H$429),1,(H359-MIN($H$359:$H$429))/(MAX($H$359:$H$429)-MIN($H$359:$H$429)))</f>
        <v>0</v>
      </c>
      <c r="T359" s="59">
        <f t="shared" ref="T359:T390" si="211">(IF(MAX($I$359:$I$429)=MIN($I$359:$I$429),1,(I359-MIN($I$359:$I$429))/(MAX($I$359:$I$429)-MIN($I$359:$I$429)))+IF(MAX($J$359:$J$429)=MIN($J$359:$J$429),1,(J359-MIN($J$359:$J$429))/(MAX($J$359:$J$429)-MIN($J$359:$J$429))))/2</f>
        <v>0.50276243093922657</v>
      </c>
      <c r="U359" s="59">
        <f t="shared" ref="U359:U390" si="212">(IF(MAX($L$359:$L$429)=MIN($L$359:$L$429),1,(L359-MIN($L$359:$L$429))/(MAX($L$359:$L$429)-MIN($L$359:$L$429)))+IF(MAX($M$359:$M$429)=MIN($M$359:$M$429),1,(MAX($M$359:$M$429)-M359)/(MAX($M$359:$M$429)-MIN($M$359:$M$429))))/2</f>
        <v>6.3061112543855947E-3</v>
      </c>
      <c r="V359" s="59">
        <f t="shared" ref="V359:V390" si="213">IF(MAX($N$359:$N$429)=MIN($N$359:$N$429),1,(N359-MIN($N$359:$N$429))/(MAX($N$359:$N$429)-MIN($N$359:$N$429)))</f>
        <v>9.5544805280436421E-2</v>
      </c>
      <c r="W359" s="59">
        <f t="shared" ref="W359:W390" si="214">IFERROR(S359/SUM($S$359:$S$429),1/71)</f>
        <v>0</v>
      </c>
      <c r="X359" s="59">
        <f t="shared" ref="X359:X390" si="215">IFERROR(T359/SUM($T$359:$T$429),1/71)</f>
        <v>9.9491608812113941E-3</v>
      </c>
      <c r="Y359" s="59">
        <f t="shared" ref="Y359:Y390" si="216">IFERROR(U359/SUM($U$359:$U$429),1/71)</f>
        <v>1.6111931042605789E-4</v>
      </c>
      <c r="Z359" s="59">
        <f t="shared" ref="Z359:Z390" si="217">IFERROR(V359/SUM($V$359:$V$429),1/71)</f>
        <v>3.506814418545408E-3</v>
      </c>
      <c r="AA359" s="59">
        <f t="shared" si="189"/>
        <v>1.6702360782389191E-2</v>
      </c>
      <c r="AB359" s="59">
        <f t="shared" ref="AB359:AB390" si="218">IFERROR(AH288/SUM($AH$288:$AH$358),1/71)</f>
        <v>1.5515755195862463E-2</v>
      </c>
      <c r="AC359" s="60">
        <f t="shared" si="190"/>
        <v>21165672.786776703</v>
      </c>
      <c r="AD359" s="60">
        <f t="shared" si="195"/>
        <v>20298266.855423994</v>
      </c>
      <c r="AE359" s="59">
        <f t="shared" si="193"/>
        <v>3.1999999999999362E-2</v>
      </c>
      <c r="AF359" s="60">
        <f t="shared" si="196"/>
        <v>20298266.855423994</v>
      </c>
      <c r="AG359" s="60">
        <f t="shared" ref="AG359:AG390" si="219">IFERROR(F359/SUM($AF$359:$AF$429),1)</f>
        <v>1.0000000000000004</v>
      </c>
      <c r="AH359" s="60">
        <f t="shared" si="197"/>
        <v>20298266.855424002</v>
      </c>
      <c r="AI359" s="60">
        <f t="shared" si="191"/>
        <v>47.436534049954119</v>
      </c>
      <c r="AJ359" s="60">
        <f t="shared" si="192"/>
        <v>0</v>
      </c>
      <c r="AK359" s="59">
        <f t="shared" si="194"/>
        <v>3.1999999999999584E-2</v>
      </c>
    </row>
    <row r="360" spans="1:37" ht="12.75" customHeight="1" x14ac:dyDescent="0.25">
      <c r="A360" s="62" t="s">
        <v>590</v>
      </c>
      <c r="B360" s="62" t="s">
        <v>376</v>
      </c>
      <c r="C360" s="62" t="s">
        <v>381</v>
      </c>
      <c r="D360" s="124">
        <v>2021</v>
      </c>
      <c r="E360" s="62" t="s">
        <v>676</v>
      </c>
      <c r="F360" s="64">
        <f>SIM_Parametres!$C$27</f>
        <v>1308235828.6264319</v>
      </c>
      <c r="G360" s="125">
        <f>SIM_Districts!D5*(1+SIM_Parametres!$B$6)^(2021-2023)</f>
        <v>224281.2706192855</v>
      </c>
      <c r="H360" s="125">
        <f>MAX(0,MIN(100,SIM_Districts!F5+(2021-2022)*SIM_Parametres!$B$7))</f>
        <v>10.130000000000001</v>
      </c>
      <c r="I360" s="125">
        <f>SIM_Districts!G5*(1+SIM_Parametres!$B$8)^(2021-2023)</f>
        <v>45.269352648257133</v>
      </c>
      <c r="J360" s="125">
        <f>SIM_Districts!H5*(1+SIM_Parametres!$B$9)^(2021-2023)</f>
        <v>12.839506172839506</v>
      </c>
      <c r="K360" s="125">
        <f>MAX(0,MIN(100,SIM_Districts!I5+(2021-2023)*SIM_Parametres!$B$10))</f>
        <v>94.9</v>
      </c>
      <c r="L360" s="125">
        <f>SIM_Districts!E5</f>
        <v>10</v>
      </c>
      <c r="M360" s="61">
        <f t="shared" si="188"/>
        <v>22428.12706192855</v>
      </c>
      <c r="N360" s="125">
        <f>N289*(1+SIM_Parametres!$B$6)/(1+SIM_Parametres!$B$11)</f>
        <v>73189</v>
      </c>
      <c r="O360" s="132"/>
      <c r="P360" s="126">
        <f>SIM_Parametres!$D$27</f>
        <v>0</v>
      </c>
      <c r="Q360" s="126">
        <f>SIM_Parametres!$B$12</f>
        <v>0.2</v>
      </c>
      <c r="R360" s="66">
        <f t="shared" si="209"/>
        <v>1.3126718902850363E-2</v>
      </c>
      <c r="S360" s="66">
        <f t="shared" si="210"/>
        <v>0</v>
      </c>
      <c r="T360" s="66">
        <f t="shared" si="211"/>
        <v>0.50276243093922657</v>
      </c>
      <c r="U360" s="66">
        <f t="shared" si="212"/>
        <v>0.16355896203869916</v>
      </c>
      <c r="V360" s="66">
        <f t="shared" si="213"/>
        <v>9.5544805280436421E-2</v>
      </c>
      <c r="W360" s="66">
        <f t="shared" si="214"/>
        <v>0</v>
      </c>
      <c r="X360" s="66">
        <f t="shared" si="215"/>
        <v>9.9491608812113941E-3</v>
      </c>
      <c r="Y360" s="66">
        <f t="shared" si="216"/>
        <v>4.1788839610703184E-3</v>
      </c>
      <c r="Z360" s="66">
        <f t="shared" si="217"/>
        <v>3.506814418545408E-3</v>
      </c>
      <c r="AA360" s="66">
        <f t="shared" si="189"/>
        <v>9.7526903928727132E-3</v>
      </c>
      <c r="AB360" s="66">
        <f t="shared" si="218"/>
        <v>1.4020301207957156E-2</v>
      </c>
      <c r="AC360" s="67">
        <f t="shared" si="190"/>
        <v>13892226.54620897</v>
      </c>
      <c r="AD360" s="67">
        <f t="shared" si="195"/>
        <v>18341860.368383992</v>
      </c>
      <c r="AE360" s="66">
        <f t="shared" si="193"/>
        <v>3.199999999999914E-2</v>
      </c>
      <c r="AF360" s="67">
        <f t="shared" si="196"/>
        <v>18341860.368383992</v>
      </c>
      <c r="AG360" s="67">
        <f t="shared" si="219"/>
        <v>1.0000000000000004</v>
      </c>
      <c r="AH360" s="67">
        <f t="shared" si="197"/>
        <v>18341860.368384</v>
      </c>
      <c r="AI360" s="67">
        <f t="shared" si="191"/>
        <v>81.780615553578997</v>
      </c>
      <c r="AJ360" s="67">
        <f t="shared" si="192"/>
        <v>0</v>
      </c>
      <c r="AK360" s="66">
        <f t="shared" si="194"/>
        <v>3.1999999999999584E-2</v>
      </c>
    </row>
    <row r="361" spans="1:37" ht="12.75" customHeight="1" x14ac:dyDescent="0.25">
      <c r="A361" s="55" t="s">
        <v>591</v>
      </c>
      <c r="B361" s="55" t="s">
        <v>376</v>
      </c>
      <c r="C361" s="55" t="s">
        <v>382</v>
      </c>
      <c r="D361" s="128">
        <v>2021</v>
      </c>
      <c r="E361" s="55" t="s">
        <v>676</v>
      </c>
      <c r="F361" s="57">
        <f>SIM_Parametres!$C$27</f>
        <v>1308235828.6264319</v>
      </c>
      <c r="G361" s="129">
        <f>SIM_Districts!D6*(1+SIM_Parametres!$B$6)^(2021-2023)</f>
        <v>170935.99773776982</v>
      </c>
      <c r="H361" s="129">
        <f>MAX(0,MIN(100,SIM_Districts!F6+(2021-2022)*SIM_Parametres!$B$7))</f>
        <v>10.130000000000001</v>
      </c>
      <c r="I361" s="129">
        <f>SIM_Districts!G6*(1+SIM_Parametres!$B$8)^(2021-2023)</f>
        <v>45.269352648257133</v>
      </c>
      <c r="J361" s="129">
        <f>SIM_Districts!H6*(1+SIM_Parametres!$B$9)^(2021-2023)</f>
        <v>12.839506172839506</v>
      </c>
      <c r="K361" s="129">
        <f>MAX(0,MIN(100,SIM_Districts!I6+(2021-2023)*SIM_Parametres!$B$10))</f>
        <v>94.9</v>
      </c>
      <c r="L361" s="129">
        <f>SIM_Districts!E6</f>
        <v>169</v>
      </c>
      <c r="M361" s="68">
        <f t="shared" si="188"/>
        <v>1011.4556079157978</v>
      </c>
      <c r="N361" s="129">
        <f>N290*(1+SIM_Parametres!$B$6)/(1+SIM_Parametres!$B$11)</f>
        <v>73189</v>
      </c>
      <c r="O361" s="72"/>
      <c r="P361" s="130">
        <f>SIM_Parametres!$D$27</f>
        <v>0</v>
      </c>
      <c r="Q361" s="130">
        <f>SIM_Parametres!$B$12</f>
        <v>0.2</v>
      </c>
      <c r="R361" s="59">
        <f t="shared" si="209"/>
        <v>1.0004530411684887E-2</v>
      </c>
      <c r="S361" s="59">
        <f t="shared" si="210"/>
        <v>0</v>
      </c>
      <c r="T361" s="59">
        <f t="shared" si="211"/>
        <v>0.50276243093922657</v>
      </c>
      <c r="U361" s="59">
        <f t="shared" si="212"/>
        <v>0.49040605765544509</v>
      </c>
      <c r="V361" s="59">
        <f t="shared" si="213"/>
        <v>9.5544805280436421E-2</v>
      </c>
      <c r="W361" s="59">
        <f t="shared" si="214"/>
        <v>0</v>
      </c>
      <c r="X361" s="59">
        <f t="shared" si="215"/>
        <v>9.9491608812113941E-3</v>
      </c>
      <c r="Y361" s="59">
        <f t="shared" si="216"/>
        <v>1.2529732294725465E-2</v>
      </c>
      <c r="Z361" s="59">
        <f t="shared" si="217"/>
        <v>3.506814418545408E-3</v>
      </c>
      <c r="AA361" s="59">
        <f t="shared" si="189"/>
        <v>8.2969197148561845E-3</v>
      </c>
      <c r="AB361" s="59">
        <f t="shared" si="218"/>
        <v>1.2123259014310991E-2</v>
      </c>
      <c r="AC361" s="60">
        <f t="shared" si="190"/>
        <v>12368633.458812959</v>
      </c>
      <c r="AD361" s="60">
        <f t="shared" si="195"/>
        <v>15860081.802239999</v>
      </c>
      <c r="AE361" s="59">
        <f t="shared" si="193"/>
        <v>3.1999999999999362E-2</v>
      </c>
      <c r="AF361" s="60">
        <f t="shared" si="196"/>
        <v>15860081.802239999</v>
      </c>
      <c r="AG361" s="60">
        <f t="shared" si="219"/>
        <v>1.0000000000000004</v>
      </c>
      <c r="AH361" s="60">
        <f t="shared" si="197"/>
        <v>15860081.802240007</v>
      </c>
      <c r="AI361" s="60">
        <f t="shared" si="191"/>
        <v>92.78374369435457</v>
      </c>
      <c r="AJ361" s="60">
        <f t="shared" si="192"/>
        <v>0</v>
      </c>
      <c r="AK361" s="59">
        <f t="shared" si="194"/>
        <v>3.1999999999999806E-2</v>
      </c>
    </row>
    <row r="362" spans="1:37" ht="12.75" customHeight="1" x14ac:dyDescent="0.25">
      <c r="A362" s="62" t="s">
        <v>592</v>
      </c>
      <c r="B362" s="62" t="s">
        <v>376</v>
      </c>
      <c r="C362" s="62" t="s">
        <v>383</v>
      </c>
      <c r="D362" s="124">
        <v>2021</v>
      </c>
      <c r="E362" s="62" t="s">
        <v>676</v>
      </c>
      <c r="F362" s="64">
        <f>SIM_Parametres!$C$27</f>
        <v>1308235828.6264319</v>
      </c>
      <c r="G362" s="125">
        <f>SIM_Districts!D7*(1+SIM_Parametres!$B$6)^(2021-2023)</f>
        <v>433277.40597605804</v>
      </c>
      <c r="H362" s="125">
        <f>MAX(0,MIN(100,SIM_Districts!F7+(2021-2022)*SIM_Parametres!$B$7))</f>
        <v>10.130000000000001</v>
      </c>
      <c r="I362" s="125">
        <f>SIM_Districts!G7*(1+SIM_Parametres!$B$8)^(2021-2023)</f>
        <v>45.269352648257133</v>
      </c>
      <c r="J362" s="125">
        <f>SIM_Districts!H7*(1+SIM_Parametres!$B$9)^(2021-2023)</f>
        <v>12.839506172839506</v>
      </c>
      <c r="K362" s="125">
        <f>MAX(0,MIN(100,SIM_Districts!I7+(2021-2023)*SIM_Parametres!$B$10))</f>
        <v>94.9</v>
      </c>
      <c r="L362" s="125">
        <f>SIM_Districts!E7</f>
        <v>13</v>
      </c>
      <c r="M362" s="61">
        <f t="shared" si="188"/>
        <v>33329.031228927539</v>
      </c>
      <c r="N362" s="125">
        <f>N291*(1+SIM_Parametres!$B$6)/(1+SIM_Parametres!$B$11)</f>
        <v>73189</v>
      </c>
      <c r="O362" s="132"/>
      <c r="P362" s="126">
        <f>SIM_Parametres!$D$27</f>
        <v>0</v>
      </c>
      <c r="Q362" s="126">
        <f>SIM_Parametres!$B$12</f>
        <v>0.2</v>
      </c>
      <c r="R362" s="66">
        <f t="shared" si="209"/>
        <v>2.5358830452045931E-2</v>
      </c>
      <c r="S362" s="66">
        <f t="shared" si="210"/>
        <v>0</v>
      </c>
      <c r="T362" s="66">
        <f t="shared" si="211"/>
        <v>0.50276243093922657</v>
      </c>
      <c r="U362" s="66">
        <f t="shared" si="212"/>
        <v>1.0392129693778578E-4</v>
      </c>
      <c r="V362" s="66">
        <f t="shared" si="213"/>
        <v>9.5544805280436421E-2</v>
      </c>
      <c r="W362" s="66">
        <f t="shared" si="214"/>
        <v>0</v>
      </c>
      <c r="X362" s="66">
        <f t="shared" si="215"/>
        <v>9.9491608812113941E-3</v>
      </c>
      <c r="Y362" s="66">
        <f t="shared" si="216"/>
        <v>2.6551589443578551E-6</v>
      </c>
      <c r="Z362" s="66">
        <f t="shared" si="217"/>
        <v>3.506814418545408E-3</v>
      </c>
      <c r="AA362" s="66">
        <f t="shared" si="189"/>
        <v>1.6883145882283755E-2</v>
      </c>
      <c r="AB362" s="66">
        <f t="shared" si="218"/>
        <v>1.6212233485735215E-2</v>
      </c>
      <c r="AC362" s="67">
        <f t="shared" si="190"/>
        <v>21354880.422747806</v>
      </c>
      <c r="AD362" s="67">
        <f t="shared" si="195"/>
        <v>21209424.708095998</v>
      </c>
      <c r="AE362" s="66">
        <f t="shared" si="193"/>
        <v>3.1999999999999362E-2</v>
      </c>
      <c r="AF362" s="67">
        <f t="shared" si="196"/>
        <v>21209424.708095998</v>
      </c>
      <c r="AG362" s="67">
        <f t="shared" si="219"/>
        <v>1.0000000000000004</v>
      </c>
      <c r="AH362" s="67">
        <f t="shared" si="197"/>
        <v>21209424.708096009</v>
      </c>
      <c r="AI362" s="67">
        <f t="shared" si="191"/>
        <v>48.951144037425287</v>
      </c>
      <c r="AJ362" s="67">
        <f t="shared" si="192"/>
        <v>0</v>
      </c>
      <c r="AK362" s="66">
        <f t="shared" si="194"/>
        <v>3.2000000000000028E-2</v>
      </c>
    </row>
    <row r="363" spans="1:37" ht="12.75" customHeight="1" x14ac:dyDescent="0.25">
      <c r="A363" s="55" t="s">
        <v>593</v>
      </c>
      <c r="B363" s="55" t="s">
        <v>376</v>
      </c>
      <c r="C363" s="55" t="s">
        <v>384</v>
      </c>
      <c r="D363" s="128">
        <v>2021</v>
      </c>
      <c r="E363" s="55" t="s">
        <v>676</v>
      </c>
      <c r="F363" s="57">
        <f>SIM_Parametres!$C$27</f>
        <v>1308235828.6264319</v>
      </c>
      <c r="G363" s="129">
        <f>SIM_Districts!D8*(1+SIM_Parametres!$B$6)^(2021-2023)</f>
        <v>307265.52926760295</v>
      </c>
      <c r="H363" s="129">
        <f>MAX(0,MIN(100,SIM_Districts!F8+(2021-2022)*SIM_Parametres!$B$7))</f>
        <v>10.130000000000001</v>
      </c>
      <c r="I363" s="129">
        <f>SIM_Districts!G8*(1+SIM_Parametres!$B$8)^(2021-2023)</f>
        <v>45.269352648257133</v>
      </c>
      <c r="J363" s="129">
        <f>SIM_Districts!H8*(1+SIM_Parametres!$B$9)^(2021-2023)</f>
        <v>12.839506172839506</v>
      </c>
      <c r="K363" s="129">
        <f>MAX(0,MIN(100,SIM_Districts!I8+(2021-2023)*SIM_Parametres!$B$10))</f>
        <v>94.9</v>
      </c>
      <c r="L363" s="129">
        <f>SIM_Districts!E8</f>
        <v>34</v>
      </c>
      <c r="M363" s="68">
        <f t="shared" si="188"/>
        <v>9037.2214490471451</v>
      </c>
      <c r="N363" s="129">
        <f>N292*(1+SIM_Parametres!$B$6)/(1+SIM_Parametres!$B$11)</f>
        <v>73189</v>
      </c>
      <c r="O363" s="72"/>
      <c r="P363" s="130">
        <f>SIM_Parametres!$D$27</f>
        <v>0</v>
      </c>
      <c r="Q363" s="130">
        <f>SIM_Parametres!$B$12</f>
        <v>0.2</v>
      </c>
      <c r="R363" s="59">
        <f t="shared" si="209"/>
        <v>1.7983615930542807E-2</v>
      </c>
      <c r="S363" s="59">
        <f t="shared" si="210"/>
        <v>0</v>
      </c>
      <c r="T363" s="59">
        <f t="shared" si="211"/>
        <v>0.50276243093922657</v>
      </c>
      <c r="U363" s="59">
        <f t="shared" si="212"/>
        <v>0.36530968637307898</v>
      </c>
      <c r="V363" s="59">
        <f t="shared" si="213"/>
        <v>9.5544805280436421E-2</v>
      </c>
      <c r="W363" s="59">
        <f t="shared" si="214"/>
        <v>0</v>
      </c>
      <c r="X363" s="59">
        <f t="shared" si="215"/>
        <v>9.9491608812113941E-3</v>
      </c>
      <c r="Y363" s="59">
        <f t="shared" si="216"/>
        <v>9.333556352888123E-3</v>
      </c>
      <c r="Z363" s="59">
        <f t="shared" si="217"/>
        <v>3.506814418545408E-3</v>
      </c>
      <c r="AA363" s="59">
        <f t="shared" si="189"/>
        <v>1.292456222907907E-2</v>
      </c>
      <c r="AB363" s="59">
        <f t="shared" si="218"/>
        <v>1.1514995706870854E-2</v>
      </c>
      <c r="AC363" s="60">
        <f t="shared" si="190"/>
        <v>17211871.650157984</v>
      </c>
      <c r="AD363" s="60">
        <f t="shared" si="195"/>
        <v>15064329.950207997</v>
      </c>
      <c r="AE363" s="59">
        <f t="shared" si="193"/>
        <v>3.1999999999999362E-2</v>
      </c>
      <c r="AF363" s="60">
        <f t="shared" si="196"/>
        <v>15064329.950207997</v>
      </c>
      <c r="AG363" s="60">
        <f t="shared" si="219"/>
        <v>1.0000000000000004</v>
      </c>
      <c r="AH363" s="60">
        <f t="shared" si="197"/>
        <v>15064329.950208005</v>
      </c>
      <c r="AI363" s="60">
        <f t="shared" si="191"/>
        <v>49.027074355249965</v>
      </c>
      <c r="AJ363" s="60">
        <f t="shared" si="192"/>
        <v>0</v>
      </c>
      <c r="AK363" s="59">
        <f t="shared" si="194"/>
        <v>3.1999999999999806E-2</v>
      </c>
    </row>
    <row r="364" spans="1:37" ht="12.75" customHeight="1" x14ac:dyDescent="0.25">
      <c r="A364" s="62" t="s">
        <v>594</v>
      </c>
      <c r="B364" s="62" t="s">
        <v>376</v>
      </c>
      <c r="C364" s="62" t="s">
        <v>385</v>
      </c>
      <c r="D364" s="124">
        <v>2021</v>
      </c>
      <c r="E364" s="62" t="s">
        <v>676</v>
      </c>
      <c r="F364" s="64">
        <f>SIM_Parametres!$C$27</f>
        <v>1308235828.6264319</v>
      </c>
      <c r="G364" s="125">
        <f>SIM_Districts!D9*(1+SIM_Parametres!$B$6)^(2021-2023)</f>
        <v>450812.51767367328</v>
      </c>
      <c r="H364" s="125">
        <f>MAX(0,MIN(100,SIM_Districts!F9+(2021-2022)*SIM_Parametres!$B$7))</f>
        <v>10.130000000000001</v>
      </c>
      <c r="I364" s="125">
        <f>SIM_Districts!G9*(1+SIM_Parametres!$B$8)^(2021-2023)</f>
        <v>45.269352648257133</v>
      </c>
      <c r="J364" s="125">
        <f>SIM_Districts!H9*(1+SIM_Parametres!$B$9)^(2021-2023)</f>
        <v>12.839506172839506</v>
      </c>
      <c r="K364" s="125">
        <f>MAX(0,MIN(100,SIM_Districts!I9+(2021-2023)*SIM_Parametres!$B$10))</f>
        <v>94.9</v>
      </c>
      <c r="L364" s="125">
        <f>SIM_Districts!E9</f>
        <v>28</v>
      </c>
      <c r="M364" s="61">
        <f t="shared" si="188"/>
        <v>16100.447059774046</v>
      </c>
      <c r="N364" s="125">
        <f>N293*(1+SIM_Parametres!$B$6)/(1+SIM_Parametres!$B$11)</f>
        <v>73189</v>
      </c>
      <c r="O364" s="132"/>
      <c r="P364" s="126">
        <f>SIM_Parametres!$D$27</f>
        <v>0</v>
      </c>
      <c r="Q364" s="126">
        <f>SIM_Parametres!$B$12</f>
        <v>0.2</v>
      </c>
      <c r="R364" s="66">
        <f t="shared" si="209"/>
        <v>2.6385124272966017E-2</v>
      </c>
      <c r="S364" s="66">
        <f t="shared" si="210"/>
        <v>0</v>
      </c>
      <c r="T364" s="66">
        <f t="shared" si="211"/>
        <v>0.50276243093922657</v>
      </c>
      <c r="U364" s="66">
        <f t="shared" si="212"/>
        <v>0.25912404305391834</v>
      </c>
      <c r="V364" s="66">
        <f t="shared" si="213"/>
        <v>9.5544805280436421E-2</v>
      </c>
      <c r="W364" s="66">
        <f t="shared" si="214"/>
        <v>0</v>
      </c>
      <c r="X364" s="66">
        <f t="shared" si="215"/>
        <v>9.9491608812113941E-3</v>
      </c>
      <c r="Y364" s="66">
        <f t="shared" si="216"/>
        <v>6.6205440163499231E-3</v>
      </c>
      <c r="Z364" s="66">
        <f t="shared" si="217"/>
        <v>3.506814418545408E-3</v>
      </c>
      <c r="AA364" s="66">
        <f t="shared" si="189"/>
        <v>1.7829816617706083E-2</v>
      </c>
      <c r="AB364" s="66">
        <f t="shared" si="218"/>
        <v>1.1432661723267078E-2</v>
      </c>
      <c r="AC364" s="67">
        <f t="shared" si="190"/>
        <v>22345655.281941105</v>
      </c>
      <c r="AD364" s="67">
        <f t="shared" si="195"/>
        <v>14956617.682943998</v>
      </c>
      <c r="AE364" s="66">
        <f t="shared" si="193"/>
        <v>3.1999999999999362E-2</v>
      </c>
      <c r="AF364" s="67">
        <f t="shared" si="196"/>
        <v>14956617.682943998</v>
      </c>
      <c r="AG364" s="67">
        <f t="shared" si="219"/>
        <v>1.0000000000000004</v>
      </c>
      <c r="AH364" s="67">
        <f t="shared" si="197"/>
        <v>14956617.682944005</v>
      </c>
      <c r="AI364" s="67">
        <f t="shared" si="191"/>
        <v>33.177023921439897</v>
      </c>
      <c r="AJ364" s="67">
        <f t="shared" si="192"/>
        <v>0</v>
      </c>
      <c r="AK364" s="66">
        <f t="shared" si="194"/>
        <v>3.2000000000000028E-2</v>
      </c>
    </row>
    <row r="365" spans="1:37" ht="12.75" customHeight="1" x14ac:dyDescent="0.25">
      <c r="A365" s="55" t="s">
        <v>595</v>
      </c>
      <c r="B365" s="55" t="s">
        <v>376</v>
      </c>
      <c r="C365" s="55" t="s">
        <v>386</v>
      </c>
      <c r="D365" s="128">
        <v>2021</v>
      </c>
      <c r="E365" s="55" t="s">
        <v>676</v>
      </c>
      <c r="F365" s="57">
        <f>SIM_Parametres!$C$27</f>
        <v>1308235828.6264319</v>
      </c>
      <c r="G365" s="129">
        <f>SIM_Districts!D10*(1+SIM_Parametres!$B$6)^(2021-2023)</f>
        <v>576367.23536619847</v>
      </c>
      <c r="H365" s="129">
        <f>MAX(0,MIN(100,SIM_Districts!F10+(2021-2022)*SIM_Parametres!$B$7))</f>
        <v>10.130000000000001</v>
      </c>
      <c r="I365" s="129">
        <f>SIM_Districts!G10*(1+SIM_Parametres!$B$8)^(2021-2023)</f>
        <v>45.269352648257133</v>
      </c>
      <c r="J365" s="129">
        <f>SIM_Districts!H10*(1+SIM_Parametres!$B$9)^(2021-2023)</f>
        <v>12.839506172839506</v>
      </c>
      <c r="K365" s="129">
        <f>MAX(0,MIN(100,SIM_Districts!I10+(2021-2023)*SIM_Parametres!$B$10))</f>
        <v>94.9</v>
      </c>
      <c r="L365" s="129">
        <f>SIM_Districts!E10</f>
        <v>22</v>
      </c>
      <c r="M365" s="68">
        <f t="shared" si="188"/>
        <v>26198.510698463568</v>
      </c>
      <c r="N365" s="129">
        <f>N294*(1+SIM_Parametres!$B$6)/(1+SIM_Parametres!$B$11)</f>
        <v>73189</v>
      </c>
      <c r="O365" s="72"/>
      <c r="P365" s="130">
        <f>SIM_Parametres!$D$27</f>
        <v>0</v>
      </c>
      <c r="Q365" s="130">
        <f>SIM_Parametres!$B$12</f>
        <v>0.2</v>
      </c>
      <c r="R365" s="59">
        <f t="shared" si="209"/>
        <v>3.3733582222779293E-2</v>
      </c>
      <c r="S365" s="59">
        <f t="shared" si="210"/>
        <v>0</v>
      </c>
      <c r="T365" s="59">
        <f t="shared" si="211"/>
        <v>0.50276243093922657</v>
      </c>
      <c r="U365" s="59">
        <f t="shared" si="212"/>
        <v>0.10740318997556658</v>
      </c>
      <c r="V365" s="59">
        <f t="shared" si="213"/>
        <v>9.5544805280436421E-2</v>
      </c>
      <c r="W365" s="59">
        <f t="shared" si="214"/>
        <v>0</v>
      </c>
      <c r="X365" s="59">
        <f t="shared" si="215"/>
        <v>9.9491608812113941E-3</v>
      </c>
      <c r="Y365" s="59">
        <f t="shared" si="216"/>
        <v>2.744120299873806E-3</v>
      </c>
      <c r="Z365" s="59">
        <f t="shared" si="217"/>
        <v>3.506814418545408E-3</v>
      </c>
      <c r="AA365" s="59">
        <f t="shared" si="189"/>
        <v>2.2045070201770243E-2</v>
      </c>
      <c r="AB365" s="59">
        <f t="shared" si="218"/>
        <v>1.8445332755315159E-2</v>
      </c>
      <c r="AC365" s="60">
        <f t="shared" si="190"/>
        <v>26757291.894276075</v>
      </c>
      <c r="AD365" s="60">
        <f t="shared" si="195"/>
        <v>24130845.181439996</v>
      </c>
      <c r="AE365" s="59">
        <f t="shared" si="193"/>
        <v>3.1999999999999362E-2</v>
      </c>
      <c r="AF365" s="60">
        <f t="shared" si="196"/>
        <v>24130845.181439996</v>
      </c>
      <c r="AG365" s="60">
        <f t="shared" si="219"/>
        <v>1.0000000000000004</v>
      </c>
      <c r="AH365" s="60">
        <f t="shared" si="197"/>
        <v>24130845.181440007</v>
      </c>
      <c r="AI365" s="60">
        <f t="shared" si="191"/>
        <v>41.867135570446379</v>
      </c>
      <c r="AJ365" s="60">
        <f t="shared" si="192"/>
        <v>0</v>
      </c>
      <c r="AK365" s="59">
        <f t="shared" si="194"/>
        <v>3.1999999999999806E-2</v>
      </c>
    </row>
    <row r="366" spans="1:37" ht="12.75" customHeight="1" x14ac:dyDescent="0.25">
      <c r="A366" s="62" t="s">
        <v>596</v>
      </c>
      <c r="B366" s="62" t="s">
        <v>376</v>
      </c>
      <c r="C366" s="62" t="s">
        <v>387</v>
      </c>
      <c r="D366" s="124">
        <v>2021</v>
      </c>
      <c r="E366" s="62" t="s">
        <v>676</v>
      </c>
      <c r="F366" s="64">
        <f>SIM_Parametres!$C$27</f>
        <v>1308235828.6264319</v>
      </c>
      <c r="G366" s="125">
        <f>SIM_Districts!D11*(1+SIM_Parametres!$B$6)^(2021-2023)</f>
        <v>277736.82722216984</v>
      </c>
      <c r="H366" s="125">
        <f>MAX(0,MIN(100,SIM_Districts!F11+(2021-2022)*SIM_Parametres!$B$7))</f>
        <v>10.130000000000001</v>
      </c>
      <c r="I366" s="125">
        <f>SIM_Districts!G11*(1+SIM_Parametres!$B$8)^(2021-2023)</f>
        <v>45.269352648257133</v>
      </c>
      <c r="J366" s="125">
        <f>SIM_Districts!H11*(1+SIM_Parametres!$B$9)^(2021-2023)</f>
        <v>12.839506172839506</v>
      </c>
      <c r="K366" s="125">
        <f>MAX(0,MIN(100,SIM_Districts!I11+(2021-2023)*SIM_Parametres!$B$10))</f>
        <v>94.9</v>
      </c>
      <c r="L366" s="125">
        <f>SIM_Districts!E11</f>
        <v>34</v>
      </c>
      <c r="M366" s="61">
        <f t="shared" si="188"/>
        <v>8168.73021241676</v>
      </c>
      <c r="N366" s="125">
        <f>N295*(1+SIM_Parametres!$B$6)/(1+SIM_Parametres!$B$11)</f>
        <v>73189</v>
      </c>
      <c r="O366" s="132"/>
      <c r="P366" s="126">
        <f>SIM_Parametres!$D$27</f>
        <v>0</v>
      </c>
      <c r="Q366" s="126">
        <f>SIM_Parametres!$B$12</f>
        <v>0.2</v>
      </c>
      <c r="R366" s="66">
        <f t="shared" si="209"/>
        <v>1.6255362072134832E-2</v>
      </c>
      <c r="S366" s="66">
        <f t="shared" si="210"/>
        <v>0</v>
      </c>
      <c r="T366" s="66">
        <f t="shared" si="211"/>
        <v>0.50276243093922657</v>
      </c>
      <c r="U366" s="66">
        <f t="shared" si="212"/>
        <v>0.37834067197086158</v>
      </c>
      <c r="V366" s="66">
        <f t="shared" si="213"/>
        <v>9.5544805280436421E-2</v>
      </c>
      <c r="W366" s="66">
        <f t="shared" si="214"/>
        <v>0</v>
      </c>
      <c r="X366" s="66">
        <f t="shared" si="215"/>
        <v>9.9491608812113941E-3</v>
      </c>
      <c r="Y366" s="66">
        <f t="shared" si="216"/>
        <v>9.6664942490006425E-3</v>
      </c>
      <c r="Z366" s="66">
        <f t="shared" si="217"/>
        <v>3.506814418545408E-3</v>
      </c>
      <c r="AA366" s="66">
        <f t="shared" si="189"/>
        <v>1.190425680883991E-2</v>
      </c>
      <c r="AB366" s="66">
        <f t="shared" si="218"/>
        <v>1.2725641322922285E-2</v>
      </c>
      <c r="AC366" s="67">
        <f t="shared" si="190"/>
        <v>16144031.56463909</v>
      </c>
      <c r="AD366" s="67">
        <f t="shared" si="195"/>
        <v>16648139.920895999</v>
      </c>
      <c r="AE366" s="66">
        <f t="shared" si="193"/>
        <v>3.1999999999999362E-2</v>
      </c>
      <c r="AF366" s="67">
        <f t="shared" si="196"/>
        <v>16648139.920895999</v>
      </c>
      <c r="AG366" s="67">
        <f t="shared" si="219"/>
        <v>1.0000000000000004</v>
      </c>
      <c r="AH366" s="67">
        <f t="shared" si="197"/>
        <v>16648139.920896007</v>
      </c>
      <c r="AI366" s="67">
        <f t="shared" si="191"/>
        <v>59.942140505474526</v>
      </c>
      <c r="AJ366" s="67">
        <f t="shared" si="192"/>
        <v>0</v>
      </c>
      <c r="AK366" s="66">
        <f t="shared" si="194"/>
        <v>3.1999999999999806E-2</v>
      </c>
    </row>
    <row r="367" spans="1:37" ht="12.75" customHeight="1" x14ac:dyDescent="0.25">
      <c r="A367" s="55" t="s">
        <v>597</v>
      </c>
      <c r="B367" s="55" t="s">
        <v>376</v>
      </c>
      <c r="C367" s="55" t="s">
        <v>388</v>
      </c>
      <c r="D367" s="128">
        <v>2021</v>
      </c>
      <c r="E367" s="55" t="s">
        <v>676</v>
      </c>
      <c r="F367" s="57">
        <f>SIM_Parametres!$C$27</f>
        <v>1308235828.6264319</v>
      </c>
      <c r="G367" s="129">
        <f>SIM_Districts!D12*(1+SIM_Parametres!$B$6)^(2021-2023)</f>
        <v>431982.27919690829</v>
      </c>
      <c r="H367" s="129">
        <f>MAX(0,MIN(100,SIM_Districts!F12+(2021-2022)*SIM_Parametres!$B$7))</f>
        <v>10.130000000000001</v>
      </c>
      <c r="I367" s="129">
        <f>SIM_Districts!G12*(1+SIM_Parametres!$B$8)^(2021-2023)</f>
        <v>45.269352648257133</v>
      </c>
      <c r="J367" s="129">
        <f>SIM_Districts!H12*(1+SIM_Parametres!$B$9)^(2021-2023)</f>
        <v>12.839506172839506</v>
      </c>
      <c r="K367" s="129">
        <f>MAX(0,MIN(100,SIM_Districts!I12+(2021-2023)*SIM_Parametres!$B$10))</f>
        <v>94.9</v>
      </c>
      <c r="L367" s="129">
        <f>SIM_Districts!E12</f>
        <v>18</v>
      </c>
      <c r="M367" s="68">
        <f t="shared" si="188"/>
        <v>23999.015510939349</v>
      </c>
      <c r="N367" s="129">
        <f>N296*(1+SIM_Parametres!$B$6)/(1+SIM_Parametres!$B$11)</f>
        <v>73189</v>
      </c>
      <c r="O367" s="72"/>
      <c r="P367" s="130">
        <f>SIM_Parametres!$D$27</f>
        <v>0</v>
      </c>
      <c r="Q367" s="130">
        <f>SIM_Parametres!$B$12</f>
        <v>0.2</v>
      </c>
      <c r="R367" s="59">
        <f t="shared" si="209"/>
        <v>2.528302936028954E-2</v>
      </c>
      <c r="S367" s="59">
        <f t="shared" si="210"/>
        <v>0</v>
      </c>
      <c r="T367" s="59">
        <f t="shared" si="211"/>
        <v>0.50276243093922657</v>
      </c>
      <c r="U367" s="59">
        <f t="shared" si="212"/>
        <v>0.14026621640536643</v>
      </c>
      <c r="V367" s="59">
        <f t="shared" si="213"/>
        <v>9.5544805280436421E-2</v>
      </c>
      <c r="W367" s="59">
        <f t="shared" si="214"/>
        <v>0</v>
      </c>
      <c r="X367" s="59">
        <f t="shared" si="215"/>
        <v>9.9491608812113941E-3</v>
      </c>
      <c r="Y367" s="59">
        <f t="shared" si="216"/>
        <v>3.5837610774132667E-3</v>
      </c>
      <c r="Z367" s="59">
        <f t="shared" si="217"/>
        <v>3.506814418545408E-3</v>
      </c>
      <c r="AA367" s="59">
        <f t="shared" si="189"/>
        <v>1.7016720523153363E-2</v>
      </c>
      <c r="AB367" s="59">
        <f t="shared" si="218"/>
        <v>1.7623673204657079E-2</v>
      </c>
      <c r="AC367" s="60">
        <f t="shared" si="190"/>
        <v>21494678.127533033</v>
      </c>
      <c r="AD367" s="60">
        <f t="shared" si="195"/>
        <v>23055920.718335997</v>
      </c>
      <c r="AE367" s="59">
        <f t="shared" si="193"/>
        <v>3.1999999999999362E-2</v>
      </c>
      <c r="AF367" s="60">
        <f t="shared" si="196"/>
        <v>23055920.718335997</v>
      </c>
      <c r="AG367" s="60">
        <f t="shared" si="219"/>
        <v>1.0000000000000004</v>
      </c>
      <c r="AH367" s="60">
        <f t="shared" si="197"/>
        <v>23055920.718336008</v>
      </c>
      <c r="AI367" s="60">
        <f t="shared" si="191"/>
        <v>53.372376203021389</v>
      </c>
      <c r="AJ367" s="60">
        <f t="shared" si="192"/>
        <v>0</v>
      </c>
      <c r="AK367" s="59">
        <f t="shared" si="194"/>
        <v>3.1999999999999806E-2</v>
      </c>
    </row>
    <row r="368" spans="1:37" ht="12.75" customHeight="1" x14ac:dyDescent="0.25">
      <c r="A368" s="62" t="s">
        <v>598</v>
      </c>
      <c r="B368" s="62" t="s">
        <v>376</v>
      </c>
      <c r="C368" s="62" t="s">
        <v>389</v>
      </c>
      <c r="D368" s="124">
        <v>2021</v>
      </c>
      <c r="E368" s="62" t="s">
        <v>676</v>
      </c>
      <c r="F368" s="64">
        <f>SIM_Parametres!$C$27</f>
        <v>1308235828.6264319</v>
      </c>
      <c r="G368" s="125">
        <f>SIM_Districts!D13*(1+SIM_Parametres!$B$6)^(2021-2023)</f>
        <v>473992.83627109061</v>
      </c>
      <c r="H368" s="125">
        <f>MAX(0,MIN(100,SIM_Districts!F13+(2021-2022)*SIM_Parametres!$B$7))</f>
        <v>10.130000000000001</v>
      </c>
      <c r="I368" s="125">
        <f>SIM_Districts!G13*(1+SIM_Parametres!$B$8)^(2021-2023)</f>
        <v>45.269352648257133</v>
      </c>
      <c r="J368" s="125">
        <f>SIM_Districts!H13*(1+SIM_Parametres!$B$9)^(2021-2023)</f>
        <v>12.839506172839506</v>
      </c>
      <c r="K368" s="125">
        <f>MAX(0,MIN(100,SIM_Districts!I13+(2021-2023)*SIM_Parametres!$B$10))</f>
        <v>94.9</v>
      </c>
      <c r="L368" s="125">
        <f>SIM_Districts!E13</f>
        <v>203</v>
      </c>
      <c r="M368" s="61">
        <f t="shared" si="188"/>
        <v>2334.9400801531556</v>
      </c>
      <c r="N368" s="125">
        <f>N297*(1+SIM_Parametres!$B$6)/(1+SIM_Parametres!$B$11)</f>
        <v>73189</v>
      </c>
      <c r="O368" s="132"/>
      <c r="P368" s="126">
        <f>SIM_Parametres!$D$27</f>
        <v>0</v>
      </c>
      <c r="Q368" s="126">
        <f>SIM_Parametres!$B$12</f>
        <v>0.2</v>
      </c>
      <c r="R368" s="66">
        <f t="shared" si="209"/>
        <v>2.774182037811394E-2</v>
      </c>
      <c r="S368" s="66">
        <f t="shared" si="210"/>
        <v>0</v>
      </c>
      <c r="T368" s="66">
        <f t="shared" si="211"/>
        <v>0.50276243093922657</v>
      </c>
      <c r="U368" s="66">
        <f t="shared" si="212"/>
        <v>0.47172605328939682</v>
      </c>
      <c r="V368" s="66">
        <f t="shared" si="213"/>
        <v>9.5544805280436421E-2</v>
      </c>
      <c r="W368" s="66">
        <f t="shared" si="214"/>
        <v>0</v>
      </c>
      <c r="X368" s="66">
        <f t="shared" si="215"/>
        <v>9.9491608812113941E-3</v>
      </c>
      <c r="Y368" s="66">
        <f t="shared" si="216"/>
        <v>1.2052463610301234E-2</v>
      </c>
      <c r="Z368" s="66">
        <f t="shared" si="217"/>
        <v>3.506814418545408E-3</v>
      </c>
      <c r="AA368" s="66">
        <f t="shared" si="189"/>
        <v>1.8915430260492402E-2</v>
      </c>
      <c r="AB368" s="66">
        <f t="shared" si="218"/>
        <v>1.9934905744391624E-2</v>
      </c>
      <c r="AC368" s="67">
        <f t="shared" si="190"/>
        <v>23481846.212772083</v>
      </c>
      <c r="AD368" s="67">
        <f t="shared" si="195"/>
        <v>26079557.935103994</v>
      </c>
      <c r="AE368" s="66">
        <f t="shared" si="193"/>
        <v>3.1999999999999362E-2</v>
      </c>
      <c r="AF368" s="67">
        <f t="shared" si="196"/>
        <v>26079557.935103994</v>
      </c>
      <c r="AG368" s="67">
        <f t="shared" si="219"/>
        <v>1.0000000000000004</v>
      </c>
      <c r="AH368" s="67">
        <f t="shared" si="197"/>
        <v>26079557.935104005</v>
      </c>
      <c r="AI368" s="67">
        <f t="shared" si="191"/>
        <v>55.020995971737278</v>
      </c>
      <c r="AJ368" s="67">
        <f t="shared" si="192"/>
        <v>0</v>
      </c>
      <c r="AK368" s="66">
        <f t="shared" si="194"/>
        <v>3.1999999999999806E-2</v>
      </c>
    </row>
    <row r="369" spans="1:37" ht="12.75" customHeight="1" x14ac:dyDescent="0.25">
      <c r="A369" s="55" t="s">
        <v>599</v>
      </c>
      <c r="B369" s="55" t="s">
        <v>390</v>
      </c>
      <c r="C369" s="55" t="s">
        <v>392</v>
      </c>
      <c r="D369" s="128">
        <v>2021</v>
      </c>
      <c r="E369" s="55" t="s">
        <v>676</v>
      </c>
      <c r="F369" s="57">
        <f>SIM_Parametres!$C$27</f>
        <v>1308235828.6264319</v>
      </c>
      <c r="G369" s="129">
        <f>SIM_Districts!D14*(1+SIM_Parametres!$B$6)^(2021-2023)</f>
        <v>818219.43632764637</v>
      </c>
      <c r="H369" s="129">
        <f>MAX(0,MIN(100,SIM_Districts!F14+(2021-2022)*SIM_Parametres!$B$7))</f>
        <v>38.229999999999997</v>
      </c>
      <c r="I369" s="129">
        <f>SIM_Districts!G14*(1+SIM_Parametres!$B$8)^(2021-2023)</f>
        <v>45.269352648257133</v>
      </c>
      <c r="J369" s="129">
        <f>SIM_Districts!H14*(1+SIM_Parametres!$B$9)^(2021-2023)</f>
        <v>21.604938271604937</v>
      </c>
      <c r="K369" s="129">
        <f>MAX(0,MIN(100,SIM_Districts!I14+(2021-2023)*SIM_Parametres!$B$10))</f>
        <v>90.2</v>
      </c>
      <c r="L369" s="129">
        <f>SIM_Districts!E14</f>
        <v>1335</v>
      </c>
      <c r="M369" s="68">
        <f t="shared" si="188"/>
        <v>612.89845417801223</v>
      </c>
      <c r="N369" s="129">
        <f>N298*(1+SIM_Parametres!$B$6)/(1+SIM_Parametres!$B$11)</f>
        <v>203502</v>
      </c>
      <c r="O369" s="72"/>
      <c r="P369" s="130">
        <f>SIM_Parametres!$D$27</f>
        <v>0</v>
      </c>
      <c r="Q369" s="130">
        <f>SIM_Parametres!$B$12</f>
        <v>0.2</v>
      </c>
      <c r="R369" s="59">
        <f t="shared" si="209"/>
        <v>4.7888691337733692E-2</v>
      </c>
      <c r="S369" s="59">
        <f t="shared" si="210"/>
        <v>0.49822695035460984</v>
      </c>
      <c r="T369" s="59">
        <f t="shared" si="211"/>
        <v>0.69889502762430933</v>
      </c>
      <c r="U369" s="59">
        <f t="shared" si="212"/>
        <v>0.53677681892865114</v>
      </c>
      <c r="V369" s="59">
        <f t="shared" si="213"/>
        <v>1</v>
      </c>
      <c r="W369" s="59">
        <f t="shared" si="214"/>
        <v>1.1879095328683151E-2</v>
      </c>
      <c r="X369" s="59">
        <f t="shared" si="215"/>
        <v>1.3830426939266385E-2</v>
      </c>
      <c r="Y369" s="59">
        <f t="shared" si="216"/>
        <v>1.3714491773092492E-2</v>
      </c>
      <c r="Z369" s="59">
        <f t="shared" si="217"/>
        <v>3.6703349891733537E-2</v>
      </c>
      <c r="AA369" s="59">
        <f t="shared" si="189"/>
        <v>3.5110535226073943E-2</v>
      </c>
      <c r="AB369" s="59">
        <f t="shared" si="218"/>
        <v>1.3175957804673543E-2</v>
      </c>
      <c r="AC369" s="60">
        <f t="shared" si="190"/>
        <v>40431459.46424377</v>
      </c>
      <c r="AD369" s="60">
        <f t="shared" si="195"/>
        <v>17237260.076543998</v>
      </c>
      <c r="AE369" s="59">
        <f t="shared" si="193"/>
        <v>3.1999999999999584E-2</v>
      </c>
      <c r="AF369" s="60">
        <f t="shared" si="196"/>
        <v>17237260.076543998</v>
      </c>
      <c r="AG369" s="60">
        <f t="shared" si="219"/>
        <v>1.0000000000000004</v>
      </c>
      <c r="AH369" s="60">
        <f t="shared" si="197"/>
        <v>17237260.076544005</v>
      </c>
      <c r="AI369" s="60">
        <f t="shared" si="191"/>
        <v>21.066793712342893</v>
      </c>
      <c r="AJ369" s="60">
        <f t="shared" si="192"/>
        <v>0</v>
      </c>
      <c r="AK369" s="59">
        <f t="shared" si="194"/>
        <v>3.2000000000000028E-2</v>
      </c>
    </row>
    <row r="370" spans="1:37" ht="12.75" customHeight="1" x14ac:dyDescent="0.25">
      <c r="A370" s="62" t="s">
        <v>601</v>
      </c>
      <c r="B370" s="62" t="s">
        <v>390</v>
      </c>
      <c r="C370" s="62" t="s">
        <v>390</v>
      </c>
      <c r="D370" s="124">
        <v>2021</v>
      </c>
      <c r="E370" s="62" t="s">
        <v>676</v>
      </c>
      <c r="F370" s="64">
        <f>SIM_Parametres!$C$27</f>
        <v>1308235828.6264319</v>
      </c>
      <c r="G370" s="125">
        <f>SIM_Districts!D15*(1+SIM_Parametres!$B$6)^(2021-2023)</f>
        <v>732807.05061740032</v>
      </c>
      <c r="H370" s="125">
        <f>MAX(0,MIN(100,SIM_Districts!F15+(2021-2022)*SIM_Parametres!$B$7))</f>
        <v>38.229999999999997</v>
      </c>
      <c r="I370" s="125">
        <f>SIM_Districts!G15*(1+SIM_Parametres!$B$8)^(2021-2023)</f>
        <v>45.269352648257133</v>
      </c>
      <c r="J370" s="125">
        <f>SIM_Districts!H15*(1+SIM_Parametres!$B$9)^(2021-2023)</f>
        <v>21.604938271604937</v>
      </c>
      <c r="K370" s="125">
        <f>MAX(0,MIN(100,SIM_Districts!I15+(2021-2023)*SIM_Parametres!$B$10))</f>
        <v>90.2</v>
      </c>
      <c r="L370" s="125">
        <f>SIM_Districts!E15</f>
        <v>1292</v>
      </c>
      <c r="M370" s="61">
        <f t="shared" si="188"/>
        <v>567.18811967291049</v>
      </c>
      <c r="N370" s="125">
        <f>N299*(1+SIM_Parametres!$B$6)/(1+SIM_Parametres!$B$11)</f>
        <v>203502</v>
      </c>
      <c r="O370" s="132"/>
      <c r="P370" s="126">
        <f>SIM_Parametres!$D$27</f>
        <v>0</v>
      </c>
      <c r="Q370" s="126">
        <f>SIM_Parametres!$B$12</f>
        <v>0.2</v>
      </c>
      <c r="R370" s="66">
        <f t="shared" si="209"/>
        <v>4.2889681055045273E-2</v>
      </c>
      <c r="S370" s="66">
        <f t="shared" si="210"/>
        <v>0.49822695035460984</v>
      </c>
      <c r="T370" s="66">
        <f t="shared" si="211"/>
        <v>0.69889502762430933</v>
      </c>
      <c r="U370" s="66">
        <f t="shared" si="212"/>
        <v>0.53597312572887268</v>
      </c>
      <c r="V370" s="66">
        <f t="shared" si="213"/>
        <v>1</v>
      </c>
      <c r="W370" s="66">
        <f t="shared" si="214"/>
        <v>1.1879095328683151E-2</v>
      </c>
      <c r="X370" s="66">
        <f t="shared" si="215"/>
        <v>1.3830426939266385E-2</v>
      </c>
      <c r="Y370" s="66">
        <f t="shared" si="216"/>
        <v>1.3693957645336282E-2</v>
      </c>
      <c r="Z370" s="66">
        <f t="shared" si="217"/>
        <v>3.6703349891733537E-2</v>
      </c>
      <c r="AA370" s="66">
        <f t="shared" si="189"/>
        <v>3.2110102350073083E-2</v>
      </c>
      <c r="AB370" s="66">
        <f t="shared" si="218"/>
        <v>1.3421279470105201E-2</v>
      </c>
      <c r="AC370" s="67">
        <f t="shared" si="190"/>
        <v>37291240.432425395</v>
      </c>
      <c r="AD370" s="67">
        <f t="shared" si="195"/>
        <v>17558198.668799996</v>
      </c>
      <c r="AE370" s="66">
        <f t="shared" si="193"/>
        <v>3.1999999999999362E-2</v>
      </c>
      <c r="AF370" s="67">
        <f t="shared" si="196"/>
        <v>17558198.668799996</v>
      </c>
      <c r="AG370" s="67">
        <f t="shared" si="219"/>
        <v>1.0000000000000004</v>
      </c>
      <c r="AH370" s="67">
        <f t="shared" si="197"/>
        <v>17558198.668800004</v>
      </c>
      <c r="AI370" s="67">
        <f t="shared" si="191"/>
        <v>23.960193415179305</v>
      </c>
      <c r="AJ370" s="67">
        <f t="shared" si="192"/>
        <v>0</v>
      </c>
      <c r="AK370" s="66">
        <f t="shared" si="194"/>
        <v>3.1999999999999806E-2</v>
      </c>
    </row>
    <row r="371" spans="1:37" ht="12.75" customHeight="1" x14ac:dyDescent="0.25">
      <c r="A371" s="55" t="s">
        <v>602</v>
      </c>
      <c r="B371" s="55" t="s">
        <v>390</v>
      </c>
      <c r="C371" s="55" t="s">
        <v>393</v>
      </c>
      <c r="D371" s="128">
        <v>2021</v>
      </c>
      <c r="E371" s="55" t="s">
        <v>676</v>
      </c>
      <c r="F371" s="57">
        <f>SIM_Parametres!$C$27</f>
        <v>1308235828.6264319</v>
      </c>
      <c r="G371" s="129">
        <f>SIM_Districts!D16*(1+SIM_Parametres!$B$6)^(2021-2023)</f>
        <v>409886.88849090395</v>
      </c>
      <c r="H371" s="129">
        <f>MAX(0,MIN(100,SIM_Districts!F16+(2021-2022)*SIM_Parametres!$B$7))</f>
        <v>38.229999999999997</v>
      </c>
      <c r="I371" s="129">
        <f>SIM_Districts!G16*(1+SIM_Parametres!$B$8)^(2021-2023)</f>
        <v>45.269352648257133</v>
      </c>
      <c r="J371" s="129">
        <f>SIM_Districts!H16*(1+SIM_Parametres!$B$9)^(2021-2023)</f>
        <v>21.604938271604937</v>
      </c>
      <c r="K371" s="129">
        <f>MAX(0,MIN(100,SIM_Districts!I16+(2021-2023)*SIM_Parametres!$B$10))</f>
        <v>90.2</v>
      </c>
      <c r="L371" s="129">
        <f>SIM_Districts!E16</f>
        <v>1729</v>
      </c>
      <c r="M371" s="68">
        <f t="shared" si="188"/>
        <v>237.06586957252975</v>
      </c>
      <c r="N371" s="129">
        <f>N300*(1+SIM_Parametres!$B$6)/(1+SIM_Parametres!$B$11)</f>
        <v>203502</v>
      </c>
      <c r="O371" s="72"/>
      <c r="P371" s="130">
        <f>SIM_Parametres!$D$27</f>
        <v>0</v>
      </c>
      <c r="Q371" s="130">
        <f>SIM_Parametres!$B$12</f>
        <v>0.2</v>
      </c>
      <c r="R371" s="59">
        <f t="shared" si="209"/>
        <v>2.3989831840739589E-2</v>
      </c>
      <c r="S371" s="59">
        <f t="shared" si="210"/>
        <v>0.49822695035460984</v>
      </c>
      <c r="T371" s="59">
        <f t="shared" si="211"/>
        <v>0.69889502762430933</v>
      </c>
      <c r="U371" s="59">
        <f t="shared" si="212"/>
        <v>0.55606420327741424</v>
      </c>
      <c r="V371" s="59">
        <f t="shared" si="213"/>
        <v>1</v>
      </c>
      <c r="W371" s="59">
        <f t="shared" si="214"/>
        <v>1.1879095328683151E-2</v>
      </c>
      <c r="X371" s="59">
        <f t="shared" si="215"/>
        <v>1.3830426939266385E-2</v>
      </c>
      <c r="Y371" s="59">
        <f t="shared" si="216"/>
        <v>1.4207278839612113E-2</v>
      </c>
      <c r="Z371" s="59">
        <f t="shared" si="217"/>
        <v>3.6703349891733537E-2</v>
      </c>
      <c r="AA371" s="59">
        <f t="shared" si="189"/>
        <v>2.0795858881203465E-2</v>
      </c>
      <c r="AB371" s="59">
        <f t="shared" si="218"/>
        <v>1.2249280417786156E-2</v>
      </c>
      <c r="AC371" s="60">
        <f t="shared" si="190"/>
        <v>25449881.488603115</v>
      </c>
      <c r="AD371" s="60">
        <f t="shared" si="195"/>
        <v>16024947.517439999</v>
      </c>
      <c r="AE371" s="59">
        <f t="shared" si="193"/>
        <v>3.1999999999999362E-2</v>
      </c>
      <c r="AF371" s="60">
        <f t="shared" si="196"/>
        <v>16024947.517439999</v>
      </c>
      <c r="AG371" s="60">
        <f t="shared" si="219"/>
        <v>1.0000000000000004</v>
      </c>
      <c r="AH371" s="60">
        <f t="shared" si="197"/>
        <v>16024947.517440006</v>
      </c>
      <c r="AI371" s="60">
        <f t="shared" si="191"/>
        <v>39.09602372605687</v>
      </c>
      <c r="AJ371" s="60">
        <f t="shared" si="192"/>
        <v>0</v>
      </c>
      <c r="AK371" s="59">
        <f t="shared" si="194"/>
        <v>3.1999999999999806E-2</v>
      </c>
    </row>
    <row r="372" spans="1:37" ht="12.75" customHeight="1" x14ac:dyDescent="0.25">
      <c r="A372" s="62" t="s">
        <v>603</v>
      </c>
      <c r="B372" s="62" t="s">
        <v>394</v>
      </c>
      <c r="C372" s="62" t="s">
        <v>396</v>
      </c>
      <c r="D372" s="124">
        <v>2021</v>
      </c>
      <c r="E372" s="62" t="s">
        <v>676</v>
      </c>
      <c r="F372" s="64">
        <f>SIM_Parametres!$C$27</f>
        <v>1308235828.6264319</v>
      </c>
      <c r="G372" s="125">
        <f>SIM_Districts!D17*(1+SIM_Parametres!$B$6)^(2021-2023)</f>
        <v>90830.426995946837</v>
      </c>
      <c r="H372" s="125">
        <f>MAX(0,MIN(100,SIM_Districts!F17+(2021-2022)*SIM_Parametres!$B$7))</f>
        <v>47.33</v>
      </c>
      <c r="I372" s="125">
        <f>SIM_Districts!G17*(1+SIM_Parametres!$B$8)^(2021-2023)</f>
        <v>45.269352648257133</v>
      </c>
      <c r="J372" s="125">
        <f>SIM_Districts!H17*(1+SIM_Parametres!$B$9)^(2021-2023)</f>
        <v>19.62962962962963</v>
      </c>
      <c r="K372" s="125">
        <f>MAX(0,MIN(100,SIM_Districts!I17+(2021-2023)*SIM_Parametres!$B$10))</f>
        <v>87.5</v>
      </c>
      <c r="L372" s="125">
        <f>SIM_Districts!E17</f>
        <v>978</v>
      </c>
      <c r="M372" s="61">
        <f t="shared" si="188"/>
        <v>92.873647235119464</v>
      </c>
      <c r="N372" s="125">
        <f>N301*(1+SIM_Parametres!$B$6)/(1+SIM_Parametres!$B$11)</f>
        <v>95110</v>
      </c>
      <c r="O372" s="132"/>
      <c r="P372" s="126">
        <f>SIM_Parametres!$D$27</f>
        <v>0</v>
      </c>
      <c r="Q372" s="126">
        <f>SIM_Parametres!$B$12</f>
        <v>0.2</v>
      </c>
      <c r="R372" s="66">
        <f t="shared" si="209"/>
        <v>5.3161170333549078E-3</v>
      </c>
      <c r="S372" s="66">
        <f t="shared" si="210"/>
        <v>0.65957446808510634</v>
      </c>
      <c r="T372" s="66">
        <f t="shared" si="211"/>
        <v>0.65469613259668513</v>
      </c>
      <c r="U372" s="66">
        <f t="shared" si="212"/>
        <v>0.53221272247018281</v>
      </c>
      <c r="V372" s="66">
        <f t="shared" si="213"/>
        <v>0.24769050312675686</v>
      </c>
      <c r="W372" s="66">
        <f t="shared" si="214"/>
        <v>1.5726062143310078E-2</v>
      </c>
      <c r="X372" s="66">
        <f t="shared" si="215"/>
        <v>1.2955775433225826E-2</v>
      </c>
      <c r="Y372" s="66">
        <f t="shared" si="216"/>
        <v>1.3597880434592076E-2</v>
      </c>
      <c r="Z372" s="66">
        <f t="shared" si="217"/>
        <v>9.0910712011208778E-3</v>
      </c>
      <c r="AA372" s="66">
        <f t="shared" si="189"/>
        <v>8.6263934382789769E-3</v>
      </c>
      <c r="AB372" s="66">
        <f t="shared" si="218"/>
        <v>1.1797283650655228E-2</v>
      </c>
      <c r="AC372" s="67">
        <f t="shared" si="190"/>
        <v>12713456.92247108</v>
      </c>
      <c r="AD372" s="67">
        <f t="shared" si="195"/>
        <v>15433629.152256001</v>
      </c>
      <c r="AE372" s="66">
        <f t="shared" si="193"/>
        <v>3.1999999999999362E-2</v>
      </c>
      <c r="AF372" s="67">
        <f t="shared" si="196"/>
        <v>15433629.152256001</v>
      </c>
      <c r="AG372" s="67">
        <f t="shared" si="219"/>
        <v>1.0000000000000004</v>
      </c>
      <c r="AH372" s="67">
        <f t="shared" si="197"/>
        <v>15433629.152256008</v>
      </c>
      <c r="AI372" s="67">
        <f t="shared" si="191"/>
        <v>169.91695032926256</v>
      </c>
      <c r="AJ372" s="67">
        <f t="shared" si="192"/>
        <v>0</v>
      </c>
      <c r="AK372" s="66">
        <f t="shared" si="194"/>
        <v>3.2000000000000028E-2</v>
      </c>
    </row>
    <row r="373" spans="1:37" ht="12.75" customHeight="1" x14ac:dyDescent="0.25">
      <c r="A373" s="55" t="s">
        <v>605</v>
      </c>
      <c r="B373" s="55" t="s">
        <v>394</v>
      </c>
      <c r="C373" s="55" t="s">
        <v>394</v>
      </c>
      <c r="D373" s="128">
        <v>2021</v>
      </c>
      <c r="E373" s="55" t="s">
        <v>676</v>
      </c>
      <c r="F373" s="57">
        <f>SIM_Parametres!$C$27</f>
        <v>1308235828.6264319</v>
      </c>
      <c r="G373" s="129">
        <f>SIM_Districts!D18*(1+SIM_Parametres!$B$6)^(2021-2023)</f>
        <v>222032.23678009238</v>
      </c>
      <c r="H373" s="129">
        <f>MAX(0,MIN(100,SIM_Districts!F18+(2021-2022)*SIM_Parametres!$B$7))</f>
        <v>47.33</v>
      </c>
      <c r="I373" s="129">
        <f>SIM_Districts!G18*(1+SIM_Parametres!$B$8)^(2021-2023)</f>
        <v>45.269352648257133</v>
      </c>
      <c r="J373" s="129">
        <f>SIM_Districts!H18*(1+SIM_Parametres!$B$9)^(2021-2023)</f>
        <v>19.62962962962963</v>
      </c>
      <c r="K373" s="129">
        <f>MAX(0,MIN(100,SIM_Districts!I18+(2021-2023)*SIM_Parametres!$B$10))</f>
        <v>87.5</v>
      </c>
      <c r="L373" s="129">
        <f>SIM_Districts!E18</f>
        <v>1155</v>
      </c>
      <c r="M373" s="68">
        <f t="shared" si="188"/>
        <v>192.23570283990682</v>
      </c>
      <c r="N373" s="129">
        <f>N302*(1+SIM_Parametres!$B$6)/(1+SIM_Parametres!$B$11)</f>
        <v>95110</v>
      </c>
      <c r="O373" s="72"/>
      <c r="P373" s="130">
        <f>SIM_Parametres!$D$27</f>
        <v>0</v>
      </c>
      <c r="Q373" s="130">
        <f>SIM_Parametres!$B$12</f>
        <v>0.2</v>
      </c>
      <c r="R373" s="59">
        <f t="shared" si="209"/>
        <v>1.2995087603774122E-2</v>
      </c>
      <c r="S373" s="59">
        <f t="shared" si="210"/>
        <v>0.65957446808510634</v>
      </c>
      <c r="T373" s="59">
        <f t="shared" si="211"/>
        <v>0.65469613259668513</v>
      </c>
      <c r="U373" s="59">
        <f t="shared" si="212"/>
        <v>0.53685323433738241</v>
      </c>
      <c r="V373" s="59">
        <f t="shared" si="213"/>
        <v>0.24769050312675686</v>
      </c>
      <c r="W373" s="59">
        <f t="shared" si="214"/>
        <v>1.5726062143310078E-2</v>
      </c>
      <c r="X373" s="59">
        <f t="shared" si="215"/>
        <v>1.2955775433225826E-2</v>
      </c>
      <c r="Y373" s="59">
        <f t="shared" si="216"/>
        <v>1.3716444164584497E-2</v>
      </c>
      <c r="Z373" s="59">
        <f t="shared" si="217"/>
        <v>9.0910712011208778E-3</v>
      </c>
      <c r="AA373" s="59">
        <f t="shared" si="189"/>
        <v>1.3239703967030126E-2</v>
      </c>
      <c r="AB373" s="59">
        <f t="shared" si="218"/>
        <v>1.3643077140221494E-2</v>
      </c>
      <c r="AC373" s="60">
        <f t="shared" si="190"/>
        <v>17541695.420304522</v>
      </c>
      <c r="AD373" s="60">
        <f t="shared" si="195"/>
        <v>17848362.327551998</v>
      </c>
      <c r="AE373" s="59">
        <f t="shared" si="193"/>
        <v>3.1999999999999362E-2</v>
      </c>
      <c r="AF373" s="60">
        <f t="shared" si="196"/>
        <v>17848362.327551998</v>
      </c>
      <c r="AG373" s="60">
        <f t="shared" si="219"/>
        <v>1.0000000000000004</v>
      </c>
      <c r="AH373" s="60">
        <f t="shared" si="197"/>
        <v>17848362.327552006</v>
      </c>
      <c r="AI373" s="60">
        <f t="shared" si="191"/>
        <v>80.386355541828721</v>
      </c>
      <c r="AJ373" s="60">
        <f t="shared" si="192"/>
        <v>0</v>
      </c>
      <c r="AK373" s="59">
        <f t="shared" si="194"/>
        <v>3.1999999999999806E-2</v>
      </c>
    </row>
    <row r="374" spans="1:37" ht="12.75" customHeight="1" x14ac:dyDescent="0.25">
      <c r="A374" s="62" t="s">
        <v>606</v>
      </c>
      <c r="B374" s="62" t="s">
        <v>394</v>
      </c>
      <c r="C374" s="62" t="s">
        <v>397</v>
      </c>
      <c r="D374" s="124">
        <v>2021</v>
      </c>
      <c r="E374" s="62" t="s">
        <v>676</v>
      </c>
      <c r="F374" s="64">
        <f>SIM_Parametres!$C$27</f>
        <v>1308235828.6264319</v>
      </c>
      <c r="G374" s="125">
        <f>SIM_Districts!D19*(1+SIM_Parametres!$B$6)^(2021-2023)</f>
        <v>60664.530115939298</v>
      </c>
      <c r="H374" s="125">
        <f>MAX(0,MIN(100,SIM_Districts!F19+(2021-2022)*SIM_Parametres!$B$7))</f>
        <v>47.33</v>
      </c>
      <c r="I374" s="125">
        <f>SIM_Districts!G19*(1+SIM_Parametres!$B$8)^(2021-2023)</f>
        <v>45.269352648257133</v>
      </c>
      <c r="J374" s="125">
        <f>SIM_Districts!H19*(1+SIM_Parametres!$B$9)^(2021-2023)</f>
        <v>19.62962962962963</v>
      </c>
      <c r="K374" s="125">
        <f>MAX(0,MIN(100,SIM_Districts!I19+(2021-2023)*SIM_Parametres!$B$10))</f>
        <v>87.5</v>
      </c>
      <c r="L374" s="125">
        <f>SIM_Districts!E19</f>
        <v>733</v>
      </c>
      <c r="M374" s="61">
        <f t="shared" si="188"/>
        <v>82.761978330067251</v>
      </c>
      <c r="N374" s="125">
        <f>N303*(1+SIM_Parametres!$B$6)/(1+SIM_Parametres!$B$11)</f>
        <v>95110</v>
      </c>
      <c r="O374" s="132"/>
      <c r="P374" s="126">
        <f>SIM_Parametres!$D$27</f>
        <v>0</v>
      </c>
      <c r="Q374" s="126">
        <f>SIM_Parametres!$B$12</f>
        <v>0.2</v>
      </c>
      <c r="R374" s="66">
        <f t="shared" si="209"/>
        <v>3.5505694791483004E-3</v>
      </c>
      <c r="S374" s="66">
        <f t="shared" si="210"/>
        <v>0.65957446808510634</v>
      </c>
      <c r="T374" s="66">
        <f t="shared" si="211"/>
        <v>0.65469613259668513</v>
      </c>
      <c r="U374" s="66">
        <f t="shared" si="212"/>
        <v>0.52387753369973944</v>
      </c>
      <c r="V374" s="66">
        <f t="shared" si="213"/>
        <v>0.24769050312675686</v>
      </c>
      <c r="W374" s="66">
        <f t="shared" si="214"/>
        <v>1.5726062143310078E-2</v>
      </c>
      <c r="X374" s="66">
        <f t="shared" si="215"/>
        <v>1.2955775433225826E-2</v>
      </c>
      <c r="Y374" s="66">
        <f t="shared" si="216"/>
        <v>1.3384918783141526E-2</v>
      </c>
      <c r="Z374" s="66">
        <f t="shared" si="217"/>
        <v>9.0910712011208778E-3</v>
      </c>
      <c r="AA374" s="66">
        <f t="shared" si="189"/>
        <v>7.5564168231824855E-3</v>
      </c>
      <c r="AB374" s="66">
        <f t="shared" si="218"/>
        <v>1.2735723035200297E-2</v>
      </c>
      <c r="AC374" s="67">
        <f t="shared" si="190"/>
        <v>11593631.527541749</v>
      </c>
      <c r="AD374" s="67">
        <f t="shared" si="195"/>
        <v>16661329.178111997</v>
      </c>
      <c r="AE374" s="66">
        <f t="shared" si="193"/>
        <v>3.1999999999999362E-2</v>
      </c>
      <c r="AF374" s="67">
        <f t="shared" si="196"/>
        <v>16661329.178111997</v>
      </c>
      <c r="AG374" s="67">
        <f t="shared" si="219"/>
        <v>1.0000000000000004</v>
      </c>
      <c r="AH374" s="67">
        <f t="shared" si="197"/>
        <v>16661329.178112004</v>
      </c>
      <c r="AI374" s="67">
        <f t="shared" si="191"/>
        <v>274.64696662563159</v>
      </c>
      <c r="AJ374" s="67">
        <f t="shared" si="192"/>
        <v>0</v>
      </c>
      <c r="AK374" s="66">
        <f t="shared" si="194"/>
        <v>3.1999999999999806E-2</v>
      </c>
    </row>
    <row r="375" spans="1:37" ht="12.75" customHeight="1" x14ac:dyDescent="0.25">
      <c r="A375" s="55" t="s">
        <v>607</v>
      </c>
      <c r="B375" s="55" t="s">
        <v>394</v>
      </c>
      <c r="C375" s="55" t="s">
        <v>398</v>
      </c>
      <c r="D375" s="128">
        <v>2021</v>
      </c>
      <c r="E375" s="55" t="s">
        <v>676</v>
      </c>
      <c r="F375" s="57">
        <f>SIM_Parametres!$C$27</f>
        <v>1308235828.6264319</v>
      </c>
      <c r="G375" s="129">
        <f>SIM_Districts!D20*(1+SIM_Parametres!$B$6)^(2021-2023)</f>
        <v>114535.77151475163</v>
      </c>
      <c r="H375" s="129">
        <f>MAX(0,MIN(100,SIM_Districts!F20+(2021-2022)*SIM_Parametres!$B$7))</f>
        <v>47.33</v>
      </c>
      <c r="I375" s="129">
        <f>SIM_Districts!G20*(1+SIM_Parametres!$B$8)^(2021-2023)</f>
        <v>45.269352648257133</v>
      </c>
      <c r="J375" s="129">
        <f>SIM_Districts!H20*(1+SIM_Parametres!$B$9)^(2021-2023)</f>
        <v>19.62962962962963</v>
      </c>
      <c r="K375" s="129">
        <f>MAX(0,MIN(100,SIM_Districts!I20+(2021-2023)*SIM_Parametres!$B$10))</f>
        <v>87.5</v>
      </c>
      <c r="L375" s="129">
        <f>SIM_Districts!E20</f>
        <v>1476</v>
      </c>
      <c r="M375" s="68">
        <f t="shared" si="188"/>
        <v>77.598761188856116</v>
      </c>
      <c r="N375" s="129">
        <f>N304*(1+SIM_Parametres!$B$6)/(1+SIM_Parametres!$B$11)</f>
        <v>95110</v>
      </c>
      <c r="O375" s="72"/>
      <c r="P375" s="130">
        <f>SIM_Parametres!$D$27</f>
        <v>0</v>
      </c>
      <c r="Q375" s="130">
        <f>SIM_Parametres!$B$12</f>
        <v>0.2</v>
      </c>
      <c r="R375" s="59">
        <f t="shared" si="209"/>
        <v>6.7035418198043645E-3</v>
      </c>
      <c r="S375" s="59">
        <f t="shared" si="210"/>
        <v>0.65957446808510634</v>
      </c>
      <c r="T375" s="59">
        <f t="shared" si="211"/>
        <v>0.65469613259668513</v>
      </c>
      <c r="U375" s="59">
        <f t="shared" si="212"/>
        <v>0.54969284466862123</v>
      </c>
      <c r="V375" s="59">
        <f t="shared" si="213"/>
        <v>0.24769050312675686</v>
      </c>
      <c r="W375" s="59">
        <f t="shared" si="214"/>
        <v>1.5726062143310078E-2</v>
      </c>
      <c r="X375" s="59">
        <f t="shared" si="215"/>
        <v>1.2955775433225826E-2</v>
      </c>
      <c r="Y375" s="59">
        <f t="shared" si="216"/>
        <v>1.4044492478237353E-2</v>
      </c>
      <c r="Z375" s="59">
        <f t="shared" si="217"/>
        <v>9.0910712011208778E-3</v>
      </c>
      <c r="AA375" s="59">
        <f t="shared" si="189"/>
        <v>9.4811789123309155E-3</v>
      </c>
      <c r="AB375" s="59">
        <f t="shared" si="218"/>
        <v>1.3484290171842784E-2</v>
      </c>
      <c r="AC375" s="60">
        <f t="shared" si="190"/>
        <v>13608065.708826423</v>
      </c>
      <c r="AD375" s="60">
        <f t="shared" si="195"/>
        <v>17640631.526399996</v>
      </c>
      <c r="AE375" s="59">
        <f t="shared" si="193"/>
        <v>3.1999999999999362E-2</v>
      </c>
      <c r="AF375" s="60">
        <f t="shared" si="196"/>
        <v>17640631.526399996</v>
      </c>
      <c r="AG375" s="60">
        <f t="shared" si="219"/>
        <v>1.0000000000000004</v>
      </c>
      <c r="AH375" s="60">
        <f t="shared" si="197"/>
        <v>17640631.526400004</v>
      </c>
      <c r="AI375" s="60">
        <f t="shared" si="191"/>
        <v>154.01853318924017</v>
      </c>
      <c r="AJ375" s="60">
        <f t="shared" si="192"/>
        <v>0</v>
      </c>
      <c r="AK375" s="59">
        <f t="shared" si="194"/>
        <v>3.1999999999999806E-2</v>
      </c>
    </row>
    <row r="376" spans="1:37" ht="12.75" customHeight="1" x14ac:dyDescent="0.25">
      <c r="A376" s="62" t="s">
        <v>608</v>
      </c>
      <c r="B376" s="62" t="s">
        <v>394</v>
      </c>
      <c r="C376" s="62" t="s">
        <v>399</v>
      </c>
      <c r="D376" s="124">
        <v>2021</v>
      </c>
      <c r="E376" s="62" t="s">
        <v>676</v>
      </c>
      <c r="F376" s="64">
        <f>SIM_Parametres!$C$27</f>
        <v>1308235828.6264319</v>
      </c>
      <c r="G376" s="125">
        <f>SIM_Districts!D21*(1+SIM_Parametres!$B$6)^(2021-2023)</f>
        <v>93076.633047412572</v>
      </c>
      <c r="H376" s="125">
        <f>MAX(0,MIN(100,SIM_Districts!F21+(2021-2022)*SIM_Parametres!$B$7))</f>
        <v>47.33</v>
      </c>
      <c r="I376" s="125">
        <f>SIM_Districts!G21*(1+SIM_Parametres!$B$8)^(2021-2023)</f>
        <v>45.269352648257133</v>
      </c>
      <c r="J376" s="125">
        <f>SIM_Districts!H21*(1+SIM_Parametres!$B$9)^(2021-2023)</f>
        <v>19.62962962962963</v>
      </c>
      <c r="K376" s="125">
        <f>MAX(0,MIN(100,SIM_Districts!I21+(2021-2023)*SIM_Parametres!$B$10))</f>
        <v>87.5</v>
      </c>
      <c r="L376" s="125">
        <f>SIM_Districts!E21</f>
        <v>406</v>
      </c>
      <c r="M376" s="61">
        <f t="shared" si="188"/>
        <v>229.25279075717381</v>
      </c>
      <c r="N376" s="125">
        <f>N305*(1+SIM_Parametres!$B$6)/(1+SIM_Parametres!$B$11)</f>
        <v>95110</v>
      </c>
      <c r="O376" s="132"/>
      <c r="P376" s="126">
        <f>SIM_Parametres!$D$27</f>
        <v>0</v>
      </c>
      <c r="Q376" s="126">
        <f>SIM_Parametres!$B$12</f>
        <v>0.2</v>
      </c>
      <c r="R376" s="66">
        <f t="shared" si="209"/>
        <v>5.4475828278639955E-3</v>
      </c>
      <c r="S376" s="66">
        <f t="shared" si="210"/>
        <v>0.65957446808510634</v>
      </c>
      <c r="T376" s="66">
        <f t="shared" si="211"/>
        <v>0.65469613259668513</v>
      </c>
      <c r="U376" s="66">
        <f t="shared" si="212"/>
        <v>0.51035214004959617</v>
      </c>
      <c r="V376" s="66">
        <f t="shared" si="213"/>
        <v>0.24769050312675686</v>
      </c>
      <c r="W376" s="66">
        <f t="shared" si="214"/>
        <v>1.5726062143310078E-2</v>
      </c>
      <c r="X376" s="66">
        <f t="shared" si="215"/>
        <v>1.2955775433225826E-2</v>
      </c>
      <c r="Y376" s="66">
        <f t="shared" si="216"/>
        <v>1.3039348904932267E-2</v>
      </c>
      <c r="Z376" s="66">
        <f t="shared" si="217"/>
        <v>9.0910712011208778E-3</v>
      </c>
      <c r="AA376" s="66">
        <f t="shared" si="189"/>
        <v>8.6773463385014394E-3</v>
      </c>
      <c r="AB376" s="66">
        <f t="shared" si="218"/>
        <v>1.1049556656702573E-2</v>
      </c>
      <c r="AC376" s="67">
        <f t="shared" si="190"/>
        <v>12766783.650185844</v>
      </c>
      <c r="AD376" s="67">
        <f t="shared" si="195"/>
        <v>14455425.908735998</v>
      </c>
      <c r="AE376" s="66">
        <f t="shared" si="193"/>
        <v>3.1999999999999362E-2</v>
      </c>
      <c r="AF376" s="67">
        <f t="shared" si="196"/>
        <v>14455425.908735998</v>
      </c>
      <c r="AG376" s="67">
        <f t="shared" si="219"/>
        <v>1.0000000000000004</v>
      </c>
      <c r="AH376" s="67">
        <f t="shared" si="197"/>
        <v>14455425.908736004</v>
      </c>
      <c r="AI376" s="67">
        <f t="shared" si="191"/>
        <v>155.30671271029445</v>
      </c>
      <c r="AJ376" s="67">
        <f t="shared" si="192"/>
        <v>0</v>
      </c>
      <c r="AK376" s="66">
        <f t="shared" si="194"/>
        <v>3.1999999999999806E-2</v>
      </c>
    </row>
    <row r="377" spans="1:37" ht="12.75" customHeight="1" x14ac:dyDescent="0.25">
      <c r="A377" s="55" t="s">
        <v>609</v>
      </c>
      <c r="B377" s="55" t="s">
        <v>394</v>
      </c>
      <c r="C377" s="55" t="s">
        <v>400</v>
      </c>
      <c r="D377" s="128">
        <v>2021</v>
      </c>
      <c r="E377" s="55" t="s">
        <v>676</v>
      </c>
      <c r="F377" s="57">
        <f>SIM_Parametres!$C$27</f>
        <v>1308235828.6264319</v>
      </c>
      <c r="G377" s="129">
        <f>SIM_Districts!D22*(1+SIM_Parametres!$B$6)^(2021-2023)</f>
        <v>97814.120086718816</v>
      </c>
      <c r="H377" s="129">
        <f>MAX(0,MIN(100,SIM_Districts!F22+(2021-2022)*SIM_Parametres!$B$7))</f>
        <v>47.33</v>
      </c>
      <c r="I377" s="129">
        <f>SIM_Districts!G22*(1+SIM_Parametres!$B$8)^(2021-2023)</f>
        <v>45.269352648257133</v>
      </c>
      <c r="J377" s="129">
        <f>SIM_Districts!H22*(1+SIM_Parametres!$B$9)^(2021-2023)</f>
        <v>19.62962962962963</v>
      </c>
      <c r="K377" s="129">
        <f>MAX(0,MIN(100,SIM_Districts!I22+(2021-2023)*SIM_Parametres!$B$10))</f>
        <v>87.5</v>
      </c>
      <c r="L377" s="129">
        <f>SIM_Districts!E22</f>
        <v>866</v>
      </c>
      <c r="M377" s="68">
        <f t="shared" si="188"/>
        <v>112.94933035417877</v>
      </c>
      <c r="N377" s="129">
        <f>N306*(1+SIM_Parametres!$B$6)/(1+SIM_Parametres!$B$11)</f>
        <v>95110</v>
      </c>
      <c r="O377" s="72"/>
      <c r="P377" s="130">
        <f>SIM_Parametres!$D$27</f>
        <v>0</v>
      </c>
      <c r="Q377" s="130">
        <f>SIM_Parametres!$B$12</f>
        <v>0.2</v>
      </c>
      <c r="R377" s="59">
        <f t="shared" si="209"/>
        <v>5.7248581460354921E-3</v>
      </c>
      <c r="S377" s="59">
        <f t="shared" si="210"/>
        <v>0.65957446808510634</v>
      </c>
      <c r="T377" s="59">
        <f t="shared" si="211"/>
        <v>0.65469613259668513</v>
      </c>
      <c r="U377" s="59">
        <f t="shared" si="212"/>
        <v>0.52803177519419775</v>
      </c>
      <c r="V377" s="59">
        <f t="shared" si="213"/>
        <v>0.24769050312675686</v>
      </c>
      <c r="W377" s="59">
        <f t="shared" si="214"/>
        <v>1.5726062143310078E-2</v>
      </c>
      <c r="X377" s="59">
        <f t="shared" si="215"/>
        <v>1.2955775433225826E-2</v>
      </c>
      <c r="Y377" s="59">
        <f t="shared" si="216"/>
        <v>1.3491058446387231E-2</v>
      </c>
      <c r="Z377" s="59">
        <f t="shared" si="217"/>
        <v>9.0910712011208778E-3</v>
      </c>
      <c r="AA377" s="59">
        <f t="shared" si="189"/>
        <v>8.8662970064770849E-3</v>
      </c>
      <c r="AB377" s="59">
        <f t="shared" si="218"/>
        <v>1.2519806363912846E-2</v>
      </c>
      <c r="AC377" s="60">
        <f t="shared" si="190"/>
        <v>12964537.277136752</v>
      </c>
      <c r="AD377" s="60">
        <f t="shared" si="195"/>
        <v>16378859.252735998</v>
      </c>
      <c r="AE377" s="59">
        <f t="shared" si="193"/>
        <v>3.1999999999999362E-2</v>
      </c>
      <c r="AF377" s="60">
        <f t="shared" si="196"/>
        <v>16378859.252735998</v>
      </c>
      <c r="AG377" s="60">
        <f t="shared" si="219"/>
        <v>1.0000000000000004</v>
      </c>
      <c r="AH377" s="60">
        <f t="shared" si="197"/>
        <v>16378859.252736006</v>
      </c>
      <c r="AI377" s="60">
        <f t="shared" si="191"/>
        <v>167.44882270795915</v>
      </c>
      <c r="AJ377" s="60">
        <f t="shared" si="192"/>
        <v>0</v>
      </c>
      <c r="AK377" s="59">
        <f t="shared" si="194"/>
        <v>3.1999999999999806E-2</v>
      </c>
    </row>
    <row r="378" spans="1:37" ht="12.75" customHeight="1" x14ac:dyDescent="0.25">
      <c r="A378" s="62" t="s">
        <v>610</v>
      </c>
      <c r="B378" s="62" t="s">
        <v>394</v>
      </c>
      <c r="C378" s="62" t="s">
        <v>401</v>
      </c>
      <c r="D378" s="124">
        <v>2021</v>
      </c>
      <c r="E378" s="62" t="s">
        <v>676</v>
      </c>
      <c r="F378" s="64">
        <f>SIM_Parametres!$C$27</f>
        <v>1308235828.6264319</v>
      </c>
      <c r="G378" s="125">
        <f>SIM_Districts!D23*(1+SIM_Parametres!$B$6)^(2021-2023)</f>
        <v>175903.47817890471</v>
      </c>
      <c r="H378" s="125">
        <f>MAX(0,MIN(100,SIM_Districts!F23+(2021-2022)*SIM_Parametres!$B$7))</f>
        <v>47.33</v>
      </c>
      <c r="I378" s="125">
        <f>SIM_Districts!G23*(1+SIM_Parametres!$B$8)^(2021-2023)</f>
        <v>45.269352648257133</v>
      </c>
      <c r="J378" s="125">
        <f>SIM_Districts!H23*(1+SIM_Parametres!$B$9)^(2021-2023)</f>
        <v>19.62962962962963</v>
      </c>
      <c r="K378" s="125">
        <f>MAX(0,MIN(100,SIM_Districts!I23+(2021-2023)*SIM_Parametres!$B$10))</f>
        <v>87.5</v>
      </c>
      <c r="L378" s="125">
        <f>SIM_Districts!E23</f>
        <v>1459</v>
      </c>
      <c r="M378" s="61">
        <f t="shared" si="188"/>
        <v>120.56441273399912</v>
      </c>
      <c r="N378" s="125">
        <f>N307*(1+SIM_Parametres!$B$6)/(1+SIM_Parametres!$B$11)</f>
        <v>95110</v>
      </c>
      <c r="O378" s="132"/>
      <c r="P378" s="126">
        <f>SIM_Parametres!$D$27</f>
        <v>0</v>
      </c>
      <c r="Q378" s="126">
        <f>SIM_Parametres!$B$12</f>
        <v>0.2</v>
      </c>
      <c r="R378" s="66">
        <f t="shared" si="209"/>
        <v>1.0295266767984885E-2</v>
      </c>
      <c r="S378" s="66">
        <f t="shared" si="210"/>
        <v>0.65957446808510634</v>
      </c>
      <c r="T378" s="66">
        <f t="shared" si="211"/>
        <v>0.65469613259668513</v>
      </c>
      <c r="U378" s="66">
        <f t="shared" si="212"/>
        <v>0.54845929360496004</v>
      </c>
      <c r="V378" s="66">
        <f t="shared" si="213"/>
        <v>0.24769050312675686</v>
      </c>
      <c r="W378" s="66">
        <f t="shared" si="214"/>
        <v>1.5726062143310078E-2</v>
      </c>
      <c r="X378" s="66">
        <f t="shared" si="215"/>
        <v>1.2955775433225826E-2</v>
      </c>
      <c r="Y378" s="66">
        <f t="shared" si="216"/>
        <v>1.4012975606946159E-2</v>
      </c>
      <c r="Z378" s="66">
        <f t="shared" si="217"/>
        <v>9.0910712011208778E-3</v>
      </c>
      <c r="AA378" s="66">
        <f t="shared" si="189"/>
        <v>1.1634638037674666E-2</v>
      </c>
      <c r="AB378" s="66">
        <f t="shared" si="218"/>
        <v>1.3653158852499507E-2</v>
      </c>
      <c r="AC378" s="67">
        <f t="shared" si="190"/>
        <v>15861851.615432207</v>
      </c>
      <c r="AD378" s="67">
        <f t="shared" si="195"/>
        <v>17861551.584767997</v>
      </c>
      <c r="AE378" s="66">
        <f t="shared" si="193"/>
        <v>3.1999999999999362E-2</v>
      </c>
      <c r="AF378" s="67">
        <f t="shared" si="196"/>
        <v>17861551.584767997</v>
      </c>
      <c r="AG378" s="67">
        <f t="shared" si="219"/>
        <v>1.0000000000000004</v>
      </c>
      <c r="AH378" s="67">
        <f t="shared" si="197"/>
        <v>17861551.584768005</v>
      </c>
      <c r="AI378" s="67">
        <f t="shared" si="191"/>
        <v>101.54177603356827</v>
      </c>
      <c r="AJ378" s="67">
        <f t="shared" si="192"/>
        <v>0</v>
      </c>
      <c r="AK378" s="66">
        <f t="shared" si="194"/>
        <v>3.1999999999999806E-2</v>
      </c>
    </row>
    <row r="379" spans="1:37" ht="12.75" customHeight="1" x14ac:dyDescent="0.25">
      <c r="A379" s="55" t="s">
        <v>611</v>
      </c>
      <c r="B379" s="55" t="s">
        <v>402</v>
      </c>
      <c r="C379" s="55" t="s">
        <v>404</v>
      </c>
      <c r="D379" s="128">
        <v>2021</v>
      </c>
      <c r="E379" s="55" t="s">
        <v>676</v>
      </c>
      <c r="F379" s="57">
        <f>SIM_Parametres!$C$27</f>
        <v>1308235828.6264319</v>
      </c>
      <c r="G379" s="129">
        <f>SIM_Districts!D24*(1+SIM_Parametres!$B$6)^(2021-2023)</f>
        <v>138045.05608445659</v>
      </c>
      <c r="H379" s="129">
        <f>MAX(0,MIN(100,SIM_Districts!F24+(2021-2022)*SIM_Parametres!$B$7))</f>
        <v>59.03</v>
      </c>
      <c r="I379" s="129">
        <f>SIM_Districts!G24*(1+SIM_Parametres!$B$8)^(2021-2023)</f>
        <v>45.269352648257133</v>
      </c>
      <c r="J379" s="129">
        <f>SIM_Districts!H24*(1+SIM_Parametres!$B$9)^(2021-2023)</f>
        <v>35.061728395061728</v>
      </c>
      <c r="K379" s="129">
        <f>MAX(0,MIN(100,SIM_Districts!I24+(2021-2023)*SIM_Parametres!$B$10))</f>
        <v>81.400000000000006</v>
      </c>
      <c r="L379" s="129">
        <f>SIM_Districts!E24</f>
        <v>1150</v>
      </c>
      <c r="M379" s="68">
        <f t="shared" si="188"/>
        <v>120.03917920387529</v>
      </c>
      <c r="N379" s="129">
        <f>N308*(1+SIM_Parametres!$B$6)/(1+SIM_Parametres!$B$11)</f>
        <v>169739</v>
      </c>
      <c r="O379" s="72"/>
      <c r="P379" s="130">
        <f>SIM_Parametres!$D$27</f>
        <v>0</v>
      </c>
      <c r="Q379" s="130">
        <f>SIM_Parametres!$B$12</f>
        <v>0.2</v>
      </c>
      <c r="R379" s="59">
        <f t="shared" si="209"/>
        <v>8.0794916229311644E-3</v>
      </c>
      <c r="S379" s="59">
        <f t="shared" si="210"/>
        <v>0.86702127659574468</v>
      </c>
      <c r="T379" s="59">
        <f t="shared" si="211"/>
        <v>1</v>
      </c>
      <c r="U379" s="59">
        <f t="shared" si="212"/>
        <v>0.53776328071078594</v>
      </c>
      <c r="V379" s="59">
        <f t="shared" si="213"/>
        <v>0.76566328194948607</v>
      </c>
      <c r="W379" s="59">
        <f t="shared" si="214"/>
        <v>2.0672162333544703E-2</v>
      </c>
      <c r="X379" s="59">
        <f t="shared" si="215"/>
        <v>1.9788990324167716E-2</v>
      </c>
      <c r="Y379" s="59">
        <f t="shared" si="216"/>
        <v>1.3739695585027887E-2</v>
      </c>
      <c r="Z379" s="59">
        <f t="shared" si="217"/>
        <v>2.8102407336645013E-2</v>
      </c>
      <c r="AA379" s="59">
        <f t="shared" si="189"/>
        <v>1.3008973018499206E-2</v>
      </c>
      <c r="AB379" s="59">
        <f t="shared" si="218"/>
        <v>1.1367130593459991E-2</v>
      </c>
      <c r="AC379" s="60">
        <f t="shared" si="190"/>
        <v>17300215.025391635</v>
      </c>
      <c r="AD379" s="60">
        <f t="shared" si="195"/>
        <v>14870887.511039997</v>
      </c>
      <c r="AE379" s="59">
        <f t="shared" si="193"/>
        <v>3.1999999999999362E-2</v>
      </c>
      <c r="AF379" s="60">
        <f t="shared" si="196"/>
        <v>14870887.511039997</v>
      </c>
      <c r="AG379" s="60">
        <f t="shared" si="219"/>
        <v>1.0000000000000004</v>
      </c>
      <c r="AH379" s="60">
        <f t="shared" si="197"/>
        <v>14870887.511040004</v>
      </c>
      <c r="AI379" s="60">
        <f t="shared" si="191"/>
        <v>107.72488296822399</v>
      </c>
      <c r="AJ379" s="60">
        <f t="shared" si="192"/>
        <v>0</v>
      </c>
      <c r="AK379" s="59">
        <f t="shared" si="194"/>
        <v>3.2000000000000028E-2</v>
      </c>
    </row>
    <row r="380" spans="1:37" ht="12.75" customHeight="1" x14ac:dyDescent="0.25">
      <c r="A380" s="62" t="s">
        <v>613</v>
      </c>
      <c r="B380" s="62" t="s">
        <v>402</v>
      </c>
      <c r="C380" s="62" t="s">
        <v>402</v>
      </c>
      <c r="D380" s="124">
        <v>2021</v>
      </c>
      <c r="E380" s="62" t="s">
        <v>676</v>
      </c>
      <c r="F380" s="64">
        <f>SIM_Parametres!$C$27</f>
        <v>1308235828.6264319</v>
      </c>
      <c r="G380" s="125">
        <f>SIM_Districts!D25*(1+SIM_Parametres!$B$6)^(2021-2023)</f>
        <v>283246.30031105666</v>
      </c>
      <c r="H380" s="125">
        <f>MAX(0,MIN(100,SIM_Districts!F25+(2021-2022)*SIM_Parametres!$B$7))</f>
        <v>59.03</v>
      </c>
      <c r="I380" s="125">
        <f>SIM_Districts!G25*(1+SIM_Parametres!$B$8)^(2021-2023)</f>
        <v>45.269352648257133</v>
      </c>
      <c r="J380" s="125">
        <f>SIM_Districts!H25*(1+SIM_Parametres!$B$9)^(2021-2023)</f>
        <v>35.061728395061728</v>
      </c>
      <c r="K380" s="125">
        <f>MAX(0,MIN(100,SIM_Districts!I25+(2021-2023)*SIM_Parametres!$B$10))</f>
        <v>81.400000000000006</v>
      </c>
      <c r="L380" s="125">
        <f>SIM_Districts!E25</f>
        <v>2609</v>
      </c>
      <c r="M380" s="61">
        <f t="shared" si="188"/>
        <v>108.565082526277</v>
      </c>
      <c r="N380" s="125">
        <f>N309*(1+SIM_Parametres!$B$6)/(1+SIM_Parametres!$B$11)</f>
        <v>169739</v>
      </c>
      <c r="O380" s="132"/>
      <c r="P380" s="126">
        <f>SIM_Parametres!$D$27</f>
        <v>0</v>
      </c>
      <c r="Q380" s="126">
        <f>SIM_Parametres!$B$12</f>
        <v>0.2</v>
      </c>
      <c r="R380" s="66">
        <f t="shared" si="209"/>
        <v>1.657782013713929E-2</v>
      </c>
      <c r="S380" s="66">
        <f t="shared" si="210"/>
        <v>0.86702127659574468</v>
      </c>
      <c r="T380" s="66">
        <f t="shared" si="211"/>
        <v>1</v>
      </c>
      <c r="U380" s="66">
        <f t="shared" si="212"/>
        <v>0.58847583069176324</v>
      </c>
      <c r="V380" s="66">
        <f t="shared" si="213"/>
        <v>0.76566328194948607</v>
      </c>
      <c r="W380" s="66">
        <f t="shared" si="214"/>
        <v>2.0672162333544703E-2</v>
      </c>
      <c r="X380" s="66">
        <f t="shared" si="215"/>
        <v>1.9788990324167716E-2</v>
      </c>
      <c r="Y380" s="66">
        <f t="shared" si="216"/>
        <v>1.5035386503452404E-2</v>
      </c>
      <c r="Z380" s="66">
        <f t="shared" si="217"/>
        <v>2.8102407336645013E-2</v>
      </c>
      <c r="AA380" s="66">
        <f t="shared" si="189"/>
        <v>1.817275467294531E-2</v>
      </c>
      <c r="AB380" s="66">
        <f t="shared" si="218"/>
        <v>1.3225526223373776E-2</v>
      </c>
      <c r="AC380" s="67">
        <f t="shared" si="190"/>
        <v>22704570.36263185</v>
      </c>
      <c r="AD380" s="67">
        <f t="shared" si="195"/>
        <v>17302107.257855996</v>
      </c>
      <c r="AE380" s="66">
        <f t="shared" si="193"/>
        <v>3.1999999999999362E-2</v>
      </c>
      <c r="AF380" s="67">
        <f t="shared" si="196"/>
        <v>17302107.257855996</v>
      </c>
      <c r="AG380" s="67">
        <f t="shared" si="219"/>
        <v>1.0000000000000004</v>
      </c>
      <c r="AH380" s="67">
        <f t="shared" si="197"/>
        <v>17302107.257856004</v>
      </c>
      <c r="AI380" s="67">
        <f t="shared" si="191"/>
        <v>61.085024725318917</v>
      </c>
      <c r="AJ380" s="67">
        <f t="shared" si="192"/>
        <v>0</v>
      </c>
      <c r="AK380" s="66">
        <f t="shared" si="194"/>
        <v>3.1999999999999806E-2</v>
      </c>
    </row>
    <row r="381" spans="1:37" ht="12.75" customHeight="1" x14ac:dyDescent="0.25">
      <c r="A381" s="55" t="s">
        <v>614</v>
      </c>
      <c r="B381" s="55" t="s">
        <v>402</v>
      </c>
      <c r="C381" s="55" t="s">
        <v>405</v>
      </c>
      <c r="D381" s="128">
        <v>2021</v>
      </c>
      <c r="E381" s="55" t="s">
        <v>676</v>
      </c>
      <c r="F381" s="57">
        <f>SIM_Parametres!$C$27</f>
        <v>1308235828.6264319</v>
      </c>
      <c r="G381" s="129">
        <f>SIM_Districts!D26*(1+SIM_Parametres!$B$6)^(2021-2023)</f>
        <v>222908.85097558677</v>
      </c>
      <c r="H381" s="129">
        <f>MAX(0,MIN(100,SIM_Districts!F26+(2021-2022)*SIM_Parametres!$B$7))</f>
        <v>59.03</v>
      </c>
      <c r="I381" s="129">
        <f>SIM_Districts!G26*(1+SIM_Parametres!$B$8)^(2021-2023)</f>
        <v>45.269352648257133</v>
      </c>
      <c r="J381" s="129">
        <f>SIM_Districts!H26*(1+SIM_Parametres!$B$9)^(2021-2023)</f>
        <v>35.061728395061728</v>
      </c>
      <c r="K381" s="129">
        <f>MAX(0,MIN(100,SIM_Districts!I26+(2021-2023)*SIM_Parametres!$B$10))</f>
        <v>81.400000000000006</v>
      </c>
      <c r="L381" s="129">
        <f>SIM_Districts!E26</f>
        <v>4537</v>
      </c>
      <c r="M381" s="68">
        <f t="shared" si="188"/>
        <v>49.131331491202729</v>
      </c>
      <c r="N381" s="129">
        <f>N310*(1+SIM_Parametres!$B$6)/(1+SIM_Parametres!$B$11)</f>
        <v>169739</v>
      </c>
      <c r="O381" s="72"/>
      <c r="P381" s="130">
        <f>SIM_Parametres!$D$27</f>
        <v>0</v>
      </c>
      <c r="Q381" s="130">
        <f>SIM_Parametres!$B$12</f>
        <v>0.2</v>
      </c>
      <c r="R381" s="59">
        <f t="shared" si="209"/>
        <v>1.3046394019591769E-2</v>
      </c>
      <c r="S381" s="59">
        <f t="shared" si="210"/>
        <v>0.86702127659574468</v>
      </c>
      <c r="T381" s="59">
        <f t="shared" si="211"/>
        <v>1</v>
      </c>
      <c r="U381" s="59">
        <f t="shared" si="212"/>
        <v>0.65615433798264988</v>
      </c>
      <c r="V381" s="59">
        <f t="shared" si="213"/>
        <v>0.76566328194948607</v>
      </c>
      <c r="W381" s="59">
        <f t="shared" si="214"/>
        <v>2.0672162333544703E-2</v>
      </c>
      <c r="X381" s="59">
        <f t="shared" si="215"/>
        <v>1.9788990324167716E-2</v>
      </c>
      <c r="Y381" s="59">
        <f t="shared" si="216"/>
        <v>1.6764552702001338E-2</v>
      </c>
      <c r="Z381" s="59">
        <f t="shared" si="217"/>
        <v>2.8102407336645013E-2</v>
      </c>
      <c r="AA381" s="59">
        <f t="shared" si="189"/>
        <v>1.6140357312344242E-2</v>
      </c>
      <c r="AB381" s="59">
        <f t="shared" si="218"/>
        <v>1.9379571426411057E-2</v>
      </c>
      <c r="AC381" s="60">
        <f t="shared" si="190"/>
        <v>20577486.326516557</v>
      </c>
      <c r="AD381" s="60">
        <f t="shared" si="195"/>
        <v>25353049.683455992</v>
      </c>
      <c r="AE381" s="59">
        <f t="shared" si="193"/>
        <v>3.1999999999999362E-2</v>
      </c>
      <c r="AF381" s="60">
        <f t="shared" si="196"/>
        <v>25353049.683455992</v>
      </c>
      <c r="AG381" s="60">
        <f t="shared" si="219"/>
        <v>1.0000000000000004</v>
      </c>
      <c r="AH381" s="60">
        <f t="shared" si="197"/>
        <v>25353049.683456004</v>
      </c>
      <c r="AI381" s="60">
        <f t="shared" si="191"/>
        <v>113.7372947395108</v>
      </c>
      <c r="AJ381" s="60">
        <f t="shared" si="192"/>
        <v>0</v>
      </c>
      <c r="AK381" s="59">
        <f t="shared" si="194"/>
        <v>3.1999999999999806E-2</v>
      </c>
    </row>
    <row r="382" spans="1:37" ht="12.75" customHeight="1" x14ac:dyDescent="0.25">
      <c r="A382" s="62" t="s">
        <v>615</v>
      </c>
      <c r="B382" s="62" t="s">
        <v>402</v>
      </c>
      <c r="C382" s="62" t="s">
        <v>406</v>
      </c>
      <c r="D382" s="124">
        <v>2021</v>
      </c>
      <c r="E382" s="62" t="s">
        <v>676</v>
      </c>
      <c r="F382" s="64">
        <f>SIM_Parametres!$C$27</f>
        <v>1308235828.6264319</v>
      </c>
      <c r="G382" s="125">
        <f>SIM_Districts!D27*(1+SIM_Parametres!$B$6)^(2021-2023)</f>
        <v>129110.18946177773</v>
      </c>
      <c r="H382" s="125">
        <f>MAX(0,MIN(100,SIM_Districts!F27+(2021-2022)*SIM_Parametres!$B$7))</f>
        <v>59.03</v>
      </c>
      <c r="I382" s="125">
        <f>SIM_Districts!G27*(1+SIM_Parametres!$B$8)^(2021-2023)</f>
        <v>45.269352648257133</v>
      </c>
      <c r="J382" s="125">
        <f>SIM_Districts!H27*(1+SIM_Parametres!$B$9)^(2021-2023)</f>
        <v>35.061728395061728</v>
      </c>
      <c r="K382" s="125">
        <f>MAX(0,MIN(100,SIM_Districts!I27+(2021-2023)*SIM_Parametres!$B$10))</f>
        <v>81.400000000000006</v>
      </c>
      <c r="L382" s="125">
        <f>SIM_Districts!E27</f>
        <v>2765</v>
      </c>
      <c r="M382" s="61">
        <f t="shared" si="188"/>
        <v>46.694462734820156</v>
      </c>
      <c r="N382" s="125">
        <f>N311*(1+SIM_Parametres!$B$6)/(1+SIM_Parametres!$B$11)</f>
        <v>169739</v>
      </c>
      <c r="O382" s="132"/>
      <c r="P382" s="126">
        <f>SIM_Parametres!$D$27</f>
        <v>0</v>
      </c>
      <c r="Q382" s="126">
        <f>SIM_Parametres!$B$12</f>
        <v>0.2</v>
      </c>
      <c r="R382" s="66">
        <f t="shared" si="209"/>
        <v>7.5565523589145277E-3</v>
      </c>
      <c r="S382" s="66">
        <f t="shared" si="210"/>
        <v>0.86702127659574468</v>
      </c>
      <c r="T382" s="66">
        <f t="shared" si="211"/>
        <v>1</v>
      </c>
      <c r="U382" s="66">
        <f t="shared" si="212"/>
        <v>0.59480805510502444</v>
      </c>
      <c r="V382" s="66">
        <f t="shared" si="213"/>
        <v>0.76566328194948607</v>
      </c>
      <c r="W382" s="66">
        <f t="shared" si="214"/>
        <v>2.0672162333544703E-2</v>
      </c>
      <c r="X382" s="66">
        <f t="shared" si="215"/>
        <v>1.9788990324167716E-2</v>
      </c>
      <c r="Y382" s="66">
        <f t="shared" si="216"/>
        <v>1.519717299750104E-2</v>
      </c>
      <c r="Z382" s="66">
        <f t="shared" si="217"/>
        <v>2.8102407336645013E-2</v>
      </c>
      <c r="AA382" s="66">
        <f t="shared" si="189"/>
        <v>1.2768083330712882E-2</v>
      </c>
      <c r="AB382" s="66">
        <f t="shared" si="218"/>
        <v>1.2841581014119436E-2</v>
      </c>
      <c r="AC382" s="67">
        <f t="shared" si="190"/>
        <v>17048102.609144673</v>
      </c>
      <c r="AD382" s="67">
        <f t="shared" si="195"/>
        <v>16799816.378879998</v>
      </c>
      <c r="AE382" s="66">
        <f t="shared" si="193"/>
        <v>3.1999999999999362E-2</v>
      </c>
      <c r="AF382" s="67">
        <f t="shared" si="196"/>
        <v>16799816.378879998</v>
      </c>
      <c r="AG382" s="67">
        <f t="shared" si="219"/>
        <v>1.0000000000000004</v>
      </c>
      <c r="AH382" s="67">
        <f t="shared" si="197"/>
        <v>16799816.378880005</v>
      </c>
      <c r="AI382" s="67">
        <f t="shared" si="191"/>
        <v>130.11998858427427</v>
      </c>
      <c r="AJ382" s="67">
        <f t="shared" si="192"/>
        <v>0</v>
      </c>
      <c r="AK382" s="66">
        <f t="shared" si="194"/>
        <v>3.1999999999999806E-2</v>
      </c>
    </row>
    <row r="383" spans="1:37" ht="12.75" customHeight="1" x14ac:dyDescent="0.25">
      <c r="A383" s="55" t="s">
        <v>616</v>
      </c>
      <c r="B383" s="55" t="s">
        <v>407</v>
      </c>
      <c r="C383" s="55" t="s">
        <v>409</v>
      </c>
      <c r="D383" s="128">
        <v>2021</v>
      </c>
      <c r="E383" s="55" t="s">
        <v>676</v>
      </c>
      <c r="F383" s="57">
        <f>SIM_Parametres!$C$27</f>
        <v>1308235828.6264319</v>
      </c>
      <c r="G383" s="129">
        <f>SIM_Districts!D28*(1+SIM_Parametres!$B$6)^(2021-2023)</f>
        <v>151038.74069186539</v>
      </c>
      <c r="H383" s="129">
        <f>MAX(0,MIN(100,SIM_Districts!F28+(2021-2022)*SIM_Parametres!$B$7))</f>
        <v>50.43</v>
      </c>
      <c r="I383" s="129">
        <f>SIM_Districts!G28*(1+SIM_Parametres!$B$8)^(2021-2023)</f>
        <v>45.269352648257133</v>
      </c>
      <c r="J383" s="129">
        <f>SIM_Districts!H28*(1+SIM_Parametres!$B$9)^(2021-2023)</f>
        <v>18.02469135802469</v>
      </c>
      <c r="K383" s="129">
        <f>MAX(0,MIN(100,SIM_Districts!I28+(2021-2023)*SIM_Parametres!$B$10))</f>
        <v>89.1</v>
      </c>
      <c r="L383" s="129">
        <f>SIM_Districts!E28</f>
        <v>1066</v>
      </c>
      <c r="M383" s="68">
        <f t="shared" si="188"/>
        <v>141.68737400737842</v>
      </c>
      <c r="N383" s="129">
        <f>N312*(1+SIM_Parametres!$B$6)/(1+SIM_Parametres!$B$11)</f>
        <v>190293</v>
      </c>
      <c r="O383" s="72"/>
      <c r="P383" s="130">
        <f>SIM_Parametres!$D$27</f>
        <v>0</v>
      </c>
      <c r="Q383" s="130">
        <f>SIM_Parametres!$B$12</f>
        <v>0.2</v>
      </c>
      <c r="R383" s="59">
        <f t="shared" si="209"/>
        <v>8.8399851090024111E-3</v>
      </c>
      <c r="S383" s="59">
        <f t="shared" si="210"/>
        <v>0.71453900709219853</v>
      </c>
      <c r="T383" s="59">
        <f t="shared" si="211"/>
        <v>0.61878453038674031</v>
      </c>
      <c r="U383" s="59">
        <f t="shared" si="212"/>
        <v>0.53452867131516979</v>
      </c>
      <c r="V383" s="59">
        <f t="shared" si="213"/>
        <v>0.90832112938040932</v>
      </c>
      <c r="W383" s="59">
        <f t="shared" si="214"/>
        <v>1.7036567321919254E-2</v>
      </c>
      <c r="X383" s="59">
        <f t="shared" si="215"/>
        <v>1.2245121084567868E-2</v>
      </c>
      <c r="Y383" s="59">
        <f t="shared" si="216"/>
        <v>1.3657052254725573E-2</v>
      </c>
      <c r="Z383" s="59">
        <f t="shared" si="217"/>
        <v>3.333842822570373E-2</v>
      </c>
      <c r="AA383" s="59">
        <f t="shared" si="189"/>
        <v>1.204601835039598E-2</v>
      </c>
      <c r="AB383" s="59">
        <f t="shared" si="218"/>
        <v>1.2106456160514301E-2</v>
      </c>
      <c r="AC383" s="60">
        <f t="shared" si="190"/>
        <v>16292397.586867062</v>
      </c>
      <c r="AD383" s="60">
        <f t="shared" si="195"/>
        <v>15838099.706879999</v>
      </c>
      <c r="AE383" s="59">
        <f t="shared" si="193"/>
        <v>3.1999999999999584E-2</v>
      </c>
      <c r="AF383" s="60">
        <f t="shared" si="196"/>
        <v>15838099.706879999</v>
      </c>
      <c r="AG383" s="60">
        <f t="shared" si="219"/>
        <v>1.0000000000000004</v>
      </c>
      <c r="AH383" s="60">
        <f t="shared" si="197"/>
        <v>15838099.706880007</v>
      </c>
      <c r="AI383" s="60">
        <f t="shared" si="191"/>
        <v>104.86117425456668</v>
      </c>
      <c r="AJ383" s="60">
        <f t="shared" si="192"/>
        <v>0</v>
      </c>
      <c r="AK383" s="59">
        <f t="shared" si="194"/>
        <v>3.2000000000000028E-2</v>
      </c>
    </row>
    <row r="384" spans="1:37" ht="12.75" customHeight="1" x14ac:dyDescent="0.25">
      <c r="A384" s="62" t="s">
        <v>618</v>
      </c>
      <c r="B384" s="62" t="s">
        <v>407</v>
      </c>
      <c r="C384" s="62" t="s">
        <v>410</v>
      </c>
      <c r="D384" s="124">
        <v>2021</v>
      </c>
      <c r="E384" s="62" t="s">
        <v>676</v>
      </c>
      <c r="F384" s="64">
        <f>SIM_Parametres!$C$27</f>
        <v>1308235828.6264319</v>
      </c>
      <c r="G384" s="125">
        <f>SIM_Districts!D29*(1+SIM_Parametres!$B$6)^(2021-2023)</f>
        <v>410581.58167593554</v>
      </c>
      <c r="H384" s="125">
        <f>MAX(0,MIN(100,SIM_Districts!F29+(2021-2022)*SIM_Parametres!$B$7))</f>
        <v>50.43</v>
      </c>
      <c r="I384" s="125">
        <f>SIM_Districts!G29*(1+SIM_Parametres!$B$8)^(2021-2023)</f>
        <v>45.269352648257133</v>
      </c>
      <c r="J384" s="125">
        <f>SIM_Districts!H29*(1+SIM_Parametres!$B$9)^(2021-2023)</f>
        <v>18.02469135802469</v>
      </c>
      <c r="K384" s="125">
        <f>MAX(0,MIN(100,SIM_Districts!I29+(2021-2023)*SIM_Parametres!$B$10))</f>
        <v>89.1</v>
      </c>
      <c r="L384" s="125">
        <f>SIM_Districts!E29</f>
        <v>535</v>
      </c>
      <c r="M384" s="61">
        <f t="shared" si="188"/>
        <v>767.44220874006646</v>
      </c>
      <c r="N384" s="125">
        <f>N313*(1+SIM_Parametres!$B$6)/(1+SIM_Parametres!$B$11)</f>
        <v>190293</v>
      </c>
      <c r="O384" s="132"/>
      <c r="P384" s="126">
        <f>SIM_Parametres!$D$27</f>
        <v>0</v>
      </c>
      <c r="Q384" s="126">
        <f>SIM_Parametres!$B$12</f>
        <v>0.2</v>
      </c>
      <c r="R384" s="66">
        <f t="shared" si="209"/>
        <v>2.4030490796070347E-2</v>
      </c>
      <c r="S384" s="66">
        <f t="shared" si="210"/>
        <v>0.71453900709219853</v>
      </c>
      <c r="T384" s="66">
        <f t="shared" si="211"/>
        <v>0.61878453038674031</v>
      </c>
      <c r="U384" s="66">
        <f t="shared" si="212"/>
        <v>0.50674567312414032</v>
      </c>
      <c r="V384" s="66">
        <f t="shared" si="213"/>
        <v>0.90832112938040932</v>
      </c>
      <c r="W384" s="66">
        <f t="shared" si="214"/>
        <v>1.7036567321919254E-2</v>
      </c>
      <c r="X384" s="66">
        <f t="shared" si="215"/>
        <v>1.2245121084567868E-2</v>
      </c>
      <c r="Y384" s="66">
        <f t="shared" si="216"/>
        <v>1.2947204722778849E-2</v>
      </c>
      <c r="Z384" s="66">
        <f t="shared" si="217"/>
        <v>3.333842822570373E-2</v>
      </c>
      <c r="AA384" s="66">
        <f t="shared" si="189"/>
        <v>2.1124829386039407E-2</v>
      </c>
      <c r="AB384" s="66">
        <f t="shared" si="218"/>
        <v>1.4237898164624278E-2</v>
      </c>
      <c r="AC384" s="67">
        <f t="shared" si="190"/>
        <v>25794178.289393283</v>
      </c>
      <c r="AD384" s="67">
        <f t="shared" si="195"/>
        <v>18626528.503295999</v>
      </c>
      <c r="AE384" s="66">
        <f t="shared" si="193"/>
        <v>3.1999999999999584E-2</v>
      </c>
      <c r="AF384" s="67">
        <f t="shared" si="196"/>
        <v>18626528.503295999</v>
      </c>
      <c r="AG384" s="67">
        <f t="shared" si="219"/>
        <v>1.0000000000000004</v>
      </c>
      <c r="AH384" s="67">
        <f t="shared" si="197"/>
        <v>18626528.503296006</v>
      </c>
      <c r="AI384" s="67">
        <f t="shared" si="191"/>
        <v>45.366205730089426</v>
      </c>
      <c r="AJ384" s="67">
        <f t="shared" si="192"/>
        <v>0</v>
      </c>
      <c r="AK384" s="66">
        <f t="shared" si="194"/>
        <v>3.2000000000000028E-2</v>
      </c>
    </row>
    <row r="385" spans="1:37" ht="12.75" customHeight="1" x14ac:dyDescent="0.25">
      <c r="A385" s="55" t="s">
        <v>619</v>
      </c>
      <c r="B385" s="55" t="s">
        <v>407</v>
      </c>
      <c r="C385" s="55" t="s">
        <v>411</v>
      </c>
      <c r="D385" s="128">
        <v>2021</v>
      </c>
      <c r="E385" s="55" t="s">
        <v>676</v>
      </c>
      <c r="F385" s="57">
        <f>SIM_Parametres!$C$27</f>
        <v>1308235828.6264319</v>
      </c>
      <c r="G385" s="129">
        <f>SIM_Districts!D30*(1+SIM_Parametres!$B$6)^(2021-2023)</f>
        <v>230328.96597228767</v>
      </c>
      <c r="H385" s="129">
        <f>MAX(0,MIN(100,SIM_Districts!F30+(2021-2022)*SIM_Parametres!$B$7))</f>
        <v>50.43</v>
      </c>
      <c r="I385" s="129">
        <f>SIM_Districts!G30*(1+SIM_Parametres!$B$8)^(2021-2023)</f>
        <v>45.269352648257133</v>
      </c>
      <c r="J385" s="129">
        <f>SIM_Districts!H30*(1+SIM_Parametres!$B$9)^(2021-2023)</f>
        <v>18.02469135802469</v>
      </c>
      <c r="K385" s="129">
        <f>MAX(0,MIN(100,SIM_Districts!I30+(2021-2023)*SIM_Parametres!$B$10))</f>
        <v>89.1</v>
      </c>
      <c r="L385" s="129">
        <f>SIM_Districts!E30</f>
        <v>1359</v>
      </c>
      <c r="M385" s="68">
        <f t="shared" si="188"/>
        <v>169.48415450499459</v>
      </c>
      <c r="N385" s="129">
        <f>N314*(1+SIM_Parametres!$B$6)/(1+SIM_Parametres!$B$11)</f>
        <v>190293</v>
      </c>
      <c r="O385" s="72"/>
      <c r="P385" s="130">
        <f>SIM_Parametres!$D$27</f>
        <v>0</v>
      </c>
      <c r="Q385" s="130">
        <f>SIM_Parametres!$B$12</f>
        <v>0.2</v>
      </c>
      <c r="R385" s="59">
        <f t="shared" si="209"/>
        <v>1.3480678003803074E-2</v>
      </c>
      <c r="S385" s="59">
        <f t="shared" si="210"/>
        <v>0.71453900709219853</v>
      </c>
      <c r="T385" s="59">
        <f t="shared" si="211"/>
        <v>0.61878453038674031</v>
      </c>
      <c r="U385" s="59">
        <f t="shared" si="212"/>
        <v>0.54426125050867202</v>
      </c>
      <c r="V385" s="59">
        <f t="shared" si="213"/>
        <v>0.90832112938040932</v>
      </c>
      <c r="W385" s="59">
        <f t="shared" si="214"/>
        <v>1.7036567321919254E-2</v>
      </c>
      <c r="X385" s="59">
        <f t="shared" si="215"/>
        <v>1.2245121084567868E-2</v>
      </c>
      <c r="Y385" s="59">
        <f t="shared" si="216"/>
        <v>1.3905716825499445E-2</v>
      </c>
      <c r="Z385" s="59">
        <f t="shared" si="217"/>
        <v>3.333842822570373E-2</v>
      </c>
      <c r="AA385" s="59">
        <f t="shared" si="189"/>
        <v>1.4842867315815071E-2</v>
      </c>
      <c r="AB385" s="59">
        <f t="shared" si="218"/>
        <v>1.3021371549744008E-2</v>
      </c>
      <c r="AC385" s="60">
        <f t="shared" si="190"/>
        <v>19219548.005921483</v>
      </c>
      <c r="AD385" s="60">
        <f t="shared" si="195"/>
        <v>17035024.799231999</v>
      </c>
      <c r="AE385" s="59">
        <f t="shared" si="193"/>
        <v>3.1999999999999362E-2</v>
      </c>
      <c r="AF385" s="60">
        <f t="shared" si="196"/>
        <v>17035024.799231999</v>
      </c>
      <c r="AG385" s="60">
        <f t="shared" si="219"/>
        <v>1.0000000000000004</v>
      </c>
      <c r="AH385" s="60">
        <f t="shared" si="197"/>
        <v>17035024.799232006</v>
      </c>
      <c r="AI385" s="60">
        <f t="shared" si="191"/>
        <v>73.959541854938024</v>
      </c>
      <c r="AJ385" s="60">
        <f t="shared" si="192"/>
        <v>0</v>
      </c>
      <c r="AK385" s="59">
        <f t="shared" si="194"/>
        <v>3.1999999999999806E-2</v>
      </c>
    </row>
    <row r="386" spans="1:37" ht="12.75" customHeight="1" x14ac:dyDescent="0.25">
      <c r="A386" s="62" t="s">
        <v>620</v>
      </c>
      <c r="B386" s="62" t="s">
        <v>407</v>
      </c>
      <c r="C386" s="62" t="s">
        <v>412</v>
      </c>
      <c r="D386" s="124">
        <v>2021</v>
      </c>
      <c r="E386" s="62" t="s">
        <v>676</v>
      </c>
      <c r="F386" s="64">
        <f>SIM_Parametres!$C$27</f>
        <v>1308235828.6264319</v>
      </c>
      <c r="G386" s="125">
        <f>SIM_Districts!D31*(1+SIM_Parametres!$B$6)^(2021-2023)</f>
        <v>468037.51531718351</v>
      </c>
      <c r="H386" s="125">
        <f>MAX(0,MIN(100,SIM_Districts!F31+(2021-2022)*SIM_Parametres!$B$7))</f>
        <v>50.43</v>
      </c>
      <c r="I386" s="125">
        <f>SIM_Districts!G31*(1+SIM_Parametres!$B$8)^(2021-2023)</f>
        <v>45.269352648257133</v>
      </c>
      <c r="J386" s="125">
        <f>SIM_Districts!H31*(1+SIM_Parametres!$B$9)^(2021-2023)</f>
        <v>18.02469135802469</v>
      </c>
      <c r="K386" s="125">
        <f>MAX(0,MIN(100,SIM_Districts!I31+(2021-2023)*SIM_Parametres!$B$10))</f>
        <v>89.1</v>
      </c>
      <c r="L386" s="125">
        <f>SIM_Districts!E31</f>
        <v>2302</v>
      </c>
      <c r="M386" s="61">
        <f t="shared" si="188"/>
        <v>203.31777381285121</v>
      </c>
      <c r="N386" s="125">
        <f>N315*(1+SIM_Parametres!$B$6)/(1+SIM_Parametres!$B$11)</f>
        <v>190293</v>
      </c>
      <c r="O386" s="132"/>
      <c r="P386" s="126">
        <f>SIM_Parametres!$D$27</f>
        <v>0</v>
      </c>
      <c r="Q386" s="126">
        <f>SIM_Parametres!$B$12</f>
        <v>0.2</v>
      </c>
      <c r="R386" s="66">
        <f t="shared" si="209"/>
        <v>2.7393267759688249E-2</v>
      </c>
      <c r="S386" s="66">
        <f t="shared" si="210"/>
        <v>0.71453900709219853</v>
      </c>
      <c r="T386" s="66">
        <f t="shared" si="211"/>
        <v>0.61878453038674031</v>
      </c>
      <c r="U386" s="66">
        <f t="shared" si="212"/>
        <v>0.5764195329812869</v>
      </c>
      <c r="V386" s="66">
        <f t="shared" si="213"/>
        <v>0.90832112938040932</v>
      </c>
      <c r="W386" s="66">
        <f t="shared" si="214"/>
        <v>1.7036567321919254E-2</v>
      </c>
      <c r="X386" s="66">
        <f t="shared" si="215"/>
        <v>1.2245121084567868E-2</v>
      </c>
      <c r="Y386" s="66">
        <f t="shared" si="216"/>
        <v>1.4727351599683098E-2</v>
      </c>
      <c r="Z386" s="66">
        <f t="shared" si="217"/>
        <v>3.333842822570373E-2</v>
      </c>
      <c r="AA386" s="66">
        <f t="shared" si="189"/>
        <v>2.3231502908055361E-2</v>
      </c>
      <c r="AB386" s="66">
        <f t="shared" si="218"/>
        <v>1.7670721195287807E-2</v>
      </c>
      <c r="AC386" s="67">
        <f t="shared" si="190"/>
        <v>27998998.913969208</v>
      </c>
      <c r="AD386" s="67">
        <f t="shared" si="195"/>
        <v>23117470.585343998</v>
      </c>
      <c r="AE386" s="66">
        <f t="shared" si="193"/>
        <v>3.1999999999999362E-2</v>
      </c>
      <c r="AF386" s="67">
        <f t="shared" si="196"/>
        <v>23117470.585343998</v>
      </c>
      <c r="AG386" s="67">
        <f t="shared" si="219"/>
        <v>1.0000000000000004</v>
      </c>
      <c r="AH386" s="67">
        <f t="shared" si="197"/>
        <v>23117470.585344009</v>
      </c>
      <c r="AI386" s="67">
        <f t="shared" si="191"/>
        <v>49.392345332996591</v>
      </c>
      <c r="AJ386" s="67">
        <f t="shared" si="192"/>
        <v>0</v>
      </c>
      <c r="AK386" s="66">
        <f t="shared" si="194"/>
        <v>3.2000000000000028E-2</v>
      </c>
    </row>
    <row r="387" spans="1:37" ht="12.75" customHeight="1" x14ac:dyDescent="0.25">
      <c r="A387" s="55" t="s">
        <v>621</v>
      </c>
      <c r="B387" s="55" t="s">
        <v>413</v>
      </c>
      <c r="C387" s="55" t="s">
        <v>413</v>
      </c>
      <c r="D387" s="128">
        <v>2021</v>
      </c>
      <c r="E387" s="55" t="s">
        <v>676</v>
      </c>
      <c r="F387" s="57">
        <f>SIM_Parametres!$C$27</f>
        <v>1308235828.6264319</v>
      </c>
      <c r="G387" s="129">
        <f>SIM_Districts!D32*(1+SIM_Parametres!$B$6)^(2021-2023)</f>
        <v>119878.40512772175</v>
      </c>
      <c r="H387" s="129">
        <f>MAX(0,MIN(100,SIM_Districts!F32+(2021-2022)*SIM_Parametres!$B$7))</f>
        <v>66.53</v>
      </c>
      <c r="I387" s="129">
        <f>SIM_Districts!G32*(1+SIM_Parametres!$B$8)^(2021-2023)</f>
        <v>45.269352648257133</v>
      </c>
      <c r="J387" s="129">
        <f>SIM_Districts!H32*(1+SIM_Parametres!$B$9)^(2021-2023)</f>
        <v>26.296296296296294</v>
      </c>
      <c r="K387" s="129">
        <f>MAX(0,MIN(100,SIM_Districts!I32+(2021-2023)*SIM_Parametres!$B$10))</f>
        <v>83.6</v>
      </c>
      <c r="L387" s="129">
        <f>SIM_Districts!E32</f>
        <v>7061</v>
      </c>
      <c r="M387" s="68">
        <f t="shared" si="188"/>
        <v>16.977539318470718</v>
      </c>
      <c r="N387" s="129">
        <f>N316*(1+SIM_Parametres!$B$6)/(1+SIM_Parametres!$B$11)</f>
        <v>59423</v>
      </c>
      <c r="O387" s="72"/>
      <c r="P387" s="130">
        <f>SIM_Parametres!$D$27</f>
        <v>0</v>
      </c>
      <c r="Q387" s="130">
        <f>SIM_Parametres!$B$12</f>
        <v>0.2</v>
      </c>
      <c r="R387" s="59">
        <f t="shared" si="209"/>
        <v>7.016235115346753E-3</v>
      </c>
      <c r="S387" s="59">
        <f t="shared" si="210"/>
        <v>1</v>
      </c>
      <c r="T387" s="59">
        <f t="shared" si="211"/>
        <v>0.80386740331491713</v>
      </c>
      <c r="U387" s="59">
        <f t="shared" si="212"/>
        <v>0.74406922993471691</v>
      </c>
      <c r="V387" s="59">
        <f t="shared" si="213"/>
        <v>0</v>
      </c>
      <c r="W387" s="59">
        <f t="shared" si="214"/>
        <v>2.3842739378566898E-2</v>
      </c>
      <c r="X387" s="59">
        <f t="shared" si="215"/>
        <v>1.590772426611272E-2</v>
      </c>
      <c r="Y387" s="59">
        <f t="shared" si="216"/>
        <v>1.9010752649337742E-2</v>
      </c>
      <c r="Z387" s="59">
        <f t="shared" si="217"/>
        <v>0</v>
      </c>
      <c r="AA387" s="59">
        <f t="shared" si="189"/>
        <v>1.1122848248376881E-2</v>
      </c>
      <c r="AB387" s="59">
        <f t="shared" si="218"/>
        <v>1.7768177747308603E-2</v>
      </c>
      <c r="AC387" s="60">
        <f t="shared" si="190"/>
        <v>15326218.224164581</v>
      </c>
      <c r="AD387" s="60">
        <f t="shared" si="195"/>
        <v>23244966.738432001</v>
      </c>
      <c r="AE387" s="59">
        <f t="shared" si="193"/>
        <v>3.1999999999999584E-2</v>
      </c>
      <c r="AF387" s="60">
        <f t="shared" si="196"/>
        <v>23244966.738432001</v>
      </c>
      <c r="AG387" s="60">
        <f t="shared" si="219"/>
        <v>1.0000000000000004</v>
      </c>
      <c r="AH387" s="60">
        <f t="shared" si="197"/>
        <v>23244966.738432012</v>
      </c>
      <c r="AI387" s="60">
        <f t="shared" si="191"/>
        <v>193.90453779949931</v>
      </c>
      <c r="AJ387" s="60">
        <f t="shared" si="192"/>
        <v>0</v>
      </c>
      <c r="AK387" s="59">
        <f t="shared" si="194"/>
        <v>3.2000000000000028E-2</v>
      </c>
    </row>
    <row r="388" spans="1:37" ht="12.75" customHeight="1" x14ac:dyDescent="0.25">
      <c r="A388" s="62" t="s">
        <v>623</v>
      </c>
      <c r="B388" s="62" t="s">
        <v>413</v>
      </c>
      <c r="C388" s="62" t="s">
        <v>415</v>
      </c>
      <c r="D388" s="124">
        <v>2021</v>
      </c>
      <c r="E388" s="62" t="s">
        <v>676</v>
      </c>
      <c r="F388" s="64">
        <f>SIM_Parametres!$C$27</f>
        <v>1308235828.6264319</v>
      </c>
      <c r="G388" s="125">
        <f>SIM_Districts!D33*(1+SIM_Parametres!$B$6)^(2021-2023)</f>
        <v>33756.244697898008</v>
      </c>
      <c r="H388" s="125">
        <f>MAX(0,MIN(100,SIM_Districts!F33+(2021-2022)*SIM_Parametres!$B$7))</f>
        <v>66.53</v>
      </c>
      <c r="I388" s="125">
        <f>SIM_Districts!G33*(1+SIM_Parametres!$B$8)^(2021-2023)</f>
        <v>45.269352648257133</v>
      </c>
      <c r="J388" s="125">
        <f>SIM_Districts!H33*(1+SIM_Parametres!$B$9)^(2021-2023)</f>
        <v>26.296296296296294</v>
      </c>
      <c r="K388" s="125">
        <f>MAX(0,MIN(100,SIM_Districts!I33+(2021-2023)*SIM_Parametres!$B$10))</f>
        <v>83.6</v>
      </c>
      <c r="L388" s="125">
        <f>SIM_Districts!E33</f>
        <v>1931</v>
      </c>
      <c r="M388" s="61">
        <f t="shared" ref="M388:M451" si="220">IFERROR(G388/L388,0)</f>
        <v>17.481224597564996</v>
      </c>
      <c r="N388" s="125">
        <f>N317*(1+SIM_Parametres!$B$6)/(1+SIM_Parametres!$B$11)</f>
        <v>59423</v>
      </c>
      <c r="O388" s="132"/>
      <c r="P388" s="126">
        <f>SIM_Parametres!$D$27</f>
        <v>0</v>
      </c>
      <c r="Q388" s="126">
        <f>SIM_Parametres!$B$12</f>
        <v>0.2</v>
      </c>
      <c r="R388" s="66">
        <f t="shared" si="209"/>
        <v>1.9756831863027534E-3</v>
      </c>
      <c r="S388" s="66">
        <f t="shared" si="210"/>
        <v>1</v>
      </c>
      <c r="T388" s="66">
        <f t="shared" si="211"/>
        <v>0.80386740331491713</v>
      </c>
      <c r="U388" s="66">
        <f t="shared" si="212"/>
        <v>0.56635625479419383</v>
      </c>
      <c r="V388" s="66">
        <f t="shared" si="213"/>
        <v>0</v>
      </c>
      <c r="W388" s="66">
        <f t="shared" si="214"/>
        <v>2.3842739378566898E-2</v>
      </c>
      <c r="X388" s="66">
        <f t="shared" si="215"/>
        <v>1.590772426611272E-2</v>
      </c>
      <c r="Y388" s="66">
        <f t="shared" si="216"/>
        <v>1.447023776570143E-2</v>
      </c>
      <c r="Z388" s="66">
        <f t="shared" si="217"/>
        <v>0</v>
      </c>
      <c r="AA388" s="66">
        <f t="shared" ref="AA388:AA451" si="221">0.6*R388+0.15*W388+0.15*X388+0.05*Y388+0.05*Z388</f>
        <v>7.8714913467686654E-3</v>
      </c>
      <c r="AB388" s="66">
        <f t="shared" si="218"/>
        <v>1.2869305722883972E-2</v>
      </c>
      <c r="AC388" s="67">
        <f t="shared" ref="AC388:AC451" si="222">F388*(Q388/71+(1-Q388)*AA388)</f>
        <v>11923384.951896027</v>
      </c>
      <c r="AD388" s="67">
        <f t="shared" si="195"/>
        <v>16836086.836223997</v>
      </c>
      <c r="AE388" s="66">
        <f t="shared" si="193"/>
        <v>3.1999999999999362E-2</v>
      </c>
      <c r="AF388" s="67">
        <f t="shared" si="196"/>
        <v>16836086.836223997</v>
      </c>
      <c r="AG388" s="67">
        <f t="shared" si="219"/>
        <v>1.0000000000000004</v>
      </c>
      <c r="AH388" s="67">
        <f t="shared" si="197"/>
        <v>16836086.836224005</v>
      </c>
      <c r="AI388" s="67">
        <f t="shared" ref="AI388:AI451" si="223">IFERROR(AH388/G388,0)</f>
        <v>498.75473373589995</v>
      </c>
      <c r="AJ388" s="67">
        <f t="shared" ref="AJ388:AJ451" si="224">AH388-F388*AB388</f>
        <v>0</v>
      </c>
      <c r="AK388" s="66">
        <f t="shared" si="194"/>
        <v>3.1999999999999806E-2</v>
      </c>
    </row>
    <row r="389" spans="1:37" ht="12.75" customHeight="1" x14ac:dyDescent="0.25">
      <c r="A389" s="55" t="s">
        <v>624</v>
      </c>
      <c r="B389" s="55" t="s">
        <v>413</v>
      </c>
      <c r="C389" s="55" t="s">
        <v>416</v>
      </c>
      <c r="D389" s="128">
        <v>2021</v>
      </c>
      <c r="E389" s="55" t="s">
        <v>676</v>
      </c>
      <c r="F389" s="57">
        <f>SIM_Parametres!$C$27</f>
        <v>1308235828.6264319</v>
      </c>
      <c r="G389" s="129">
        <f>SIM_Districts!D34*(1+SIM_Parametres!$B$6)^(2021-2023)</f>
        <v>77439.909510792728</v>
      </c>
      <c r="H389" s="129">
        <f>MAX(0,MIN(100,SIM_Districts!F34+(2021-2022)*SIM_Parametres!$B$7))</f>
        <v>66.53</v>
      </c>
      <c r="I389" s="129">
        <f>SIM_Districts!G34*(1+SIM_Parametres!$B$8)^(2021-2023)</f>
        <v>45.269352648257133</v>
      </c>
      <c r="J389" s="129">
        <f>SIM_Districts!H34*(1+SIM_Parametres!$B$9)^(2021-2023)</f>
        <v>26.296296296296294</v>
      </c>
      <c r="K389" s="129">
        <f>MAX(0,MIN(100,SIM_Districts!I34+(2021-2023)*SIM_Parametres!$B$10))</f>
        <v>83.6</v>
      </c>
      <c r="L389" s="129">
        <f>SIM_Districts!E34</f>
        <v>7918</v>
      </c>
      <c r="M389" s="68">
        <f t="shared" si="220"/>
        <v>9.7802361089659922</v>
      </c>
      <c r="N389" s="129">
        <f>N318*(1+SIM_Parametres!$B$6)/(1+SIM_Parametres!$B$11)</f>
        <v>59423</v>
      </c>
      <c r="O389" s="72"/>
      <c r="P389" s="130">
        <f>SIM_Parametres!$D$27</f>
        <v>0</v>
      </c>
      <c r="Q389" s="130">
        <f>SIM_Parametres!$B$12</f>
        <v>0.2</v>
      </c>
      <c r="R389" s="59">
        <f t="shared" si="209"/>
        <v>4.5323977396930929E-3</v>
      </c>
      <c r="S389" s="59">
        <f t="shared" si="210"/>
        <v>1</v>
      </c>
      <c r="T389" s="59">
        <f t="shared" si="211"/>
        <v>0.80386740331491713</v>
      </c>
      <c r="U389" s="59">
        <f t="shared" si="212"/>
        <v>0.77386406994971768</v>
      </c>
      <c r="V389" s="59">
        <f t="shared" si="213"/>
        <v>0</v>
      </c>
      <c r="W389" s="59">
        <f t="shared" si="214"/>
        <v>2.3842739378566898E-2</v>
      </c>
      <c r="X389" s="59">
        <f t="shared" si="215"/>
        <v>1.590772426611272E-2</v>
      </c>
      <c r="Y389" s="59">
        <f t="shared" si="216"/>
        <v>1.9772002155383661E-2</v>
      </c>
      <c r="Z389" s="59">
        <f t="shared" si="217"/>
        <v>0</v>
      </c>
      <c r="AA389" s="59">
        <f t="shared" si="221"/>
        <v>9.6706082982869809E-3</v>
      </c>
      <c r="AB389" s="59">
        <f t="shared" si="218"/>
        <v>1.2918874141584205E-2</v>
      </c>
      <c r="AC389" s="60">
        <f t="shared" si="222"/>
        <v>13806320.356588366</v>
      </c>
      <c r="AD389" s="60">
        <f t="shared" si="195"/>
        <v>16900934.017535996</v>
      </c>
      <c r="AE389" s="59">
        <f t="shared" si="193"/>
        <v>3.1999999999999362E-2</v>
      </c>
      <c r="AF389" s="60">
        <f t="shared" si="196"/>
        <v>16900934.017535996</v>
      </c>
      <c r="AG389" s="60">
        <f t="shared" si="219"/>
        <v>1.0000000000000004</v>
      </c>
      <c r="AH389" s="60">
        <f t="shared" si="197"/>
        <v>16900934.017536003</v>
      </c>
      <c r="AI389" s="60">
        <f t="shared" si="223"/>
        <v>218.24578727304086</v>
      </c>
      <c r="AJ389" s="60">
        <f t="shared" si="224"/>
        <v>0</v>
      </c>
      <c r="AK389" s="59">
        <f t="shared" si="194"/>
        <v>3.1999999999999806E-2</v>
      </c>
    </row>
    <row r="390" spans="1:37" ht="12.75" customHeight="1" x14ac:dyDescent="0.25">
      <c r="A390" s="62" t="s">
        <v>625</v>
      </c>
      <c r="B390" s="62" t="s">
        <v>417</v>
      </c>
      <c r="C390" s="62" t="s">
        <v>417</v>
      </c>
      <c r="D390" s="124">
        <v>2021</v>
      </c>
      <c r="E390" s="62" t="s">
        <v>676</v>
      </c>
      <c r="F390" s="64">
        <f>SIM_Parametres!$C$27</f>
        <v>1308235828.6264319</v>
      </c>
      <c r="G390" s="125">
        <f>SIM_Districts!D35*(1+SIM_Parametres!$B$6)^(2021-2023)</f>
        <v>320191.34696955414</v>
      </c>
      <c r="H390" s="125">
        <f>MAX(0,MIN(100,SIM_Districts!F35+(2021-2022)*SIM_Parametres!$B$7))</f>
        <v>63.33</v>
      </c>
      <c r="I390" s="125">
        <f>SIM_Districts!G35*(1+SIM_Parametres!$B$8)^(2021-2023)</f>
        <v>45.269352648257133</v>
      </c>
      <c r="J390" s="125">
        <f>SIM_Districts!H35*(1+SIM_Parametres!$B$9)^(2021-2023)</f>
        <v>22.098765432098762</v>
      </c>
      <c r="K390" s="125">
        <f>MAX(0,MIN(100,SIM_Districts!I35+(2021-2023)*SIM_Parametres!$B$10))</f>
        <v>84.5</v>
      </c>
      <c r="L390" s="125">
        <f>SIM_Districts!E35</f>
        <v>3571</v>
      </c>
      <c r="M390" s="61">
        <f t="shared" si="220"/>
        <v>89.664336871899792</v>
      </c>
      <c r="N390" s="125">
        <f>N319*(1+SIM_Parametres!$B$6)/(1+SIM_Parametres!$B$11)</f>
        <v>155501</v>
      </c>
      <c r="O390" s="132"/>
      <c r="P390" s="126">
        <f>SIM_Parametres!$D$27</f>
        <v>0</v>
      </c>
      <c r="Q390" s="126">
        <f>SIM_Parametres!$B$12</f>
        <v>0.2</v>
      </c>
      <c r="R390" s="66">
        <f t="shared" si="209"/>
        <v>1.8740137307002365E-2</v>
      </c>
      <c r="S390" s="66">
        <f t="shared" si="210"/>
        <v>0.94326241134751765</v>
      </c>
      <c r="T390" s="66">
        <f t="shared" si="211"/>
        <v>0.70994475138121538</v>
      </c>
      <c r="U390" s="66">
        <f t="shared" si="212"/>
        <v>0.62208351647816396</v>
      </c>
      <c r="V390" s="66">
        <f t="shared" si="213"/>
        <v>0.66684249613059499</v>
      </c>
      <c r="W390" s="66">
        <f t="shared" si="214"/>
        <v>2.2489959839357424E-2</v>
      </c>
      <c r="X390" s="66">
        <f t="shared" si="215"/>
        <v>1.4049089815776525E-2</v>
      </c>
      <c r="Y390" s="66">
        <f t="shared" si="216"/>
        <v>1.5894053111206074E-2</v>
      </c>
      <c r="Z390" s="66">
        <f t="shared" si="217"/>
        <v>2.4475353458158197E-2</v>
      </c>
      <c r="AA390" s="66">
        <f t="shared" si="221"/>
        <v>1.8743410160939725E-2</v>
      </c>
      <c r="AB390" s="66">
        <f t="shared" si="218"/>
        <v>1.4750385205423287E-2</v>
      </c>
      <c r="AC390" s="67">
        <f t="shared" si="222"/>
        <v>23301811.926789124</v>
      </c>
      <c r="AD390" s="67">
        <f t="shared" si="195"/>
        <v>19296982.411775995</v>
      </c>
      <c r="AE390" s="66">
        <f t="shared" si="193"/>
        <v>3.1999999999999362E-2</v>
      </c>
      <c r="AF390" s="67">
        <f t="shared" si="196"/>
        <v>19296982.411775995</v>
      </c>
      <c r="AG390" s="67">
        <f t="shared" si="219"/>
        <v>1.0000000000000004</v>
      </c>
      <c r="AH390" s="67">
        <f t="shared" si="197"/>
        <v>19296982.411776002</v>
      </c>
      <c r="AI390" s="67">
        <f t="shared" si="223"/>
        <v>60.26703280526467</v>
      </c>
      <c r="AJ390" s="67">
        <f t="shared" si="224"/>
        <v>0</v>
      </c>
      <c r="AK390" s="66">
        <f t="shared" si="194"/>
        <v>3.1999999999999584E-2</v>
      </c>
    </row>
    <row r="391" spans="1:37" ht="12.75" customHeight="1" x14ac:dyDescent="0.25">
      <c r="A391" s="55" t="s">
        <v>627</v>
      </c>
      <c r="B391" s="55" t="s">
        <v>417</v>
      </c>
      <c r="C391" s="55" t="s">
        <v>419</v>
      </c>
      <c r="D391" s="128">
        <v>2021</v>
      </c>
      <c r="E391" s="55" t="s">
        <v>676</v>
      </c>
      <c r="F391" s="57">
        <f>SIM_Parametres!$C$27</f>
        <v>1308235828.6264319</v>
      </c>
      <c r="G391" s="129">
        <f>SIM_Districts!D36*(1+SIM_Parametres!$B$6)^(2021-2023)</f>
        <v>179737.95833726082</v>
      </c>
      <c r="H391" s="129">
        <f>MAX(0,MIN(100,SIM_Districts!F36+(2021-2022)*SIM_Parametres!$B$7))</f>
        <v>63.33</v>
      </c>
      <c r="I391" s="129">
        <f>SIM_Districts!G36*(1+SIM_Parametres!$B$8)^(2021-2023)</f>
        <v>45.269352648257133</v>
      </c>
      <c r="J391" s="129">
        <f>SIM_Districts!H36*(1+SIM_Parametres!$B$9)^(2021-2023)</f>
        <v>22.098765432098762</v>
      </c>
      <c r="K391" s="129">
        <f>MAX(0,MIN(100,SIM_Districts!I36+(2021-2023)*SIM_Parametres!$B$10))</f>
        <v>84.5</v>
      </c>
      <c r="L391" s="129">
        <f>SIM_Districts!E36</f>
        <v>4702</v>
      </c>
      <c r="M391" s="68">
        <f t="shared" si="220"/>
        <v>38.225852474959765</v>
      </c>
      <c r="N391" s="129">
        <f>N320*(1+SIM_Parametres!$B$6)/(1+SIM_Parametres!$B$11)</f>
        <v>155501</v>
      </c>
      <c r="O391" s="72"/>
      <c r="P391" s="130">
        <f>SIM_Parametres!$D$27</f>
        <v>0</v>
      </c>
      <c r="Q391" s="130">
        <f>SIM_Parametres!$B$12</f>
        <v>0.2</v>
      </c>
      <c r="R391" s="59">
        <f t="shared" ref="R391:R422" si="225">IFERROR(G391/SUM($G$359:$G$429),1/71)</f>
        <v>1.0519690961045301E-2</v>
      </c>
      <c r="S391" s="59">
        <f t="shared" ref="S391:S422" si="226">IF(MAX($H$359:$H$429)=MIN($H$359:$H$429),1,(H391-MIN($H$359:$H$429))/(MAX($H$359:$H$429)-MIN($H$359:$H$429)))</f>
        <v>0.94326241134751765</v>
      </c>
      <c r="T391" s="59">
        <f t="shared" ref="T391:T422" si="227">(IF(MAX($I$359:$I$429)=MIN($I$359:$I$429),1,(I391-MIN($I$359:$I$429))/(MAX($I$359:$I$429)-MIN($I$359:$I$429)))+IF(MAX($J$359:$J$429)=MIN($J$359:$J$429),1,(J391-MIN($J$359:$J$429))/(MAX($J$359:$J$429)-MIN($J$359:$J$429))))/2</f>
        <v>0.70994475138121538</v>
      </c>
      <c r="U391" s="59">
        <f t="shared" ref="U391:U422" si="228">(IF(MAX($L$359:$L$429)=MIN($L$359:$L$429),1,(L391-MIN($L$359:$L$429))/(MAX($L$359:$L$429)-MIN($L$359:$L$429)))+IF(MAX($M$359:$M$429)=MIN($M$359:$M$429),1,(MAX($M$359:$M$429)-M391)/(MAX($M$359:$M$429)-MIN($M$359:$M$429))))/2</f>
        <v>0.6620336369180585</v>
      </c>
      <c r="V391" s="59">
        <f t="shared" ref="V391:V422" si="229">IF(MAX($N$359:$N$429)=MIN($N$359:$N$429),1,(N391-MIN($N$359:$N$429))/(MAX($N$359:$N$429)-MIN($N$359:$N$429)))</f>
        <v>0.66684249613059499</v>
      </c>
      <c r="W391" s="59">
        <f t="shared" ref="W391:W422" si="230">IFERROR(S391/SUM($S$359:$S$429),1/71)</f>
        <v>2.2489959839357424E-2</v>
      </c>
      <c r="X391" s="59">
        <f t="shared" ref="X391:X422" si="231">IFERROR(T391/SUM($T$359:$T$429),1/71)</f>
        <v>1.4049089815776525E-2</v>
      </c>
      <c r="Y391" s="59">
        <f t="shared" ref="Y391:Y422" si="232">IFERROR(U391/SUM($U$359:$U$429),1/71)</f>
        <v>1.6914767081679924E-2</v>
      </c>
      <c r="Z391" s="59">
        <f t="shared" ref="Z391:Z422" si="233">IFERROR(V391/SUM($V$359:$V$429),1/71)</f>
        <v>2.4475353458158197E-2</v>
      </c>
      <c r="AA391" s="59">
        <f t="shared" si="221"/>
        <v>1.386217805188918E-2</v>
      </c>
      <c r="AB391" s="59">
        <f t="shared" ref="AB391:AB422" si="234">IFERROR(AH320/SUM($AH$288:$AH$358),1/71)</f>
        <v>1.3806064822049373E-2</v>
      </c>
      <c r="AC391" s="60">
        <f t="shared" si="222"/>
        <v>18193169.740467776</v>
      </c>
      <c r="AD391" s="60">
        <f t="shared" si="195"/>
        <v>18061588.652543996</v>
      </c>
      <c r="AE391" s="59">
        <f t="shared" si="193"/>
        <v>3.1999999999999362E-2</v>
      </c>
      <c r="AF391" s="60">
        <f t="shared" si="196"/>
        <v>18061588.652543996</v>
      </c>
      <c r="AG391" s="60">
        <f t="shared" ref="AG391:AG422" si="235">IFERROR(F391/SUM($AF$359:$AF$429),1)</f>
        <v>1.0000000000000004</v>
      </c>
      <c r="AH391" s="60">
        <f t="shared" si="197"/>
        <v>18061588.652544003</v>
      </c>
      <c r="AI391" s="60">
        <f t="shared" si="223"/>
        <v>100.48844895997532</v>
      </c>
      <c r="AJ391" s="60">
        <f t="shared" si="224"/>
        <v>0</v>
      </c>
      <c r="AK391" s="59">
        <f t="shared" si="194"/>
        <v>3.1999999999999806E-2</v>
      </c>
    </row>
    <row r="392" spans="1:37" ht="12.75" customHeight="1" x14ac:dyDescent="0.25">
      <c r="A392" s="62" t="s">
        <v>628</v>
      </c>
      <c r="B392" s="62" t="s">
        <v>417</v>
      </c>
      <c r="C392" s="62" t="s">
        <v>420</v>
      </c>
      <c r="D392" s="124">
        <v>2021</v>
      </c>
      <c r="E392" s="62" t="s">
        <v>676</v>
      </c>
      <c r="F392" s="64">
        <f>SIM_Parametres!$C$27</f>
        <v>1308235828.6264319</v>
      </c>
      <c r="G392" s="125">
        <f>SIM_Districts!D37*(1+SIM_Parametres!$B$6)^(2021-2023)</f>
        <v>362355.54717692523</v>
      </c>
      <c r="H392" s="125">
        <f>MAX(0,MIN(100,SIM_Districts!F37+(2021-2022)*SIM_Parametres!$B$7))</f>
        <v>63.33</v>
      </c>
      <c r="I392" s="125">
        <f>SIM_Districts!G37*(1+SIM_Parametres!$B$8)^(2021-2023)</f>
        <v>45.269352648257133</v>
      </c>
      <c r="J392" s="125">
        <f>SIM_Districts!H37*(1+SIM_Parametres!$B$9)^(2021-2023)</f>
        <v>22.098765432098762</v>
      </c>
      <c r="K392" s="125">
        <f>MAX(0,MIN(100,SIM_Districts!I37+(2021-2023)*SIM_Parametres!$B$10))</f>
        <v>84.5</v>
      </c>
      <c r="L392" s="125">
        <f>SIM_Districts!E37</f>
        <v>5498</v>
      </c>
      <c r="M392" s="61">
        <f t="shared" si="220"/>
        <v>65.906792865937661</v>
      </c>
      <c r="N392" s="125">
        <f>N321*(1+SIM_Parametres!$B$6)/(1+SIM_Parametres!$B$11)</f>
        <v>155501</v>
      </c>
      <c r="O392" s="132"/>
      <c r="P392" s="126">
        <f>SIM_Parametres!$D$27</f>
        <v>0</v>
      </c>
      <c r="Q392" s="126">
        <f>SIM_Parametres!$B$12</f>
        <v>0.2</v>
      </c>
      <c r="R392" s="66">
        <f t="shared" si="225"/>
        <v>2.1207920739642117E-2</v>
      </c>
      <c r="S392" s="66">
        <f t="shared" si="226"/>
        <v>0.94326241134751765</v>
      </c>
      <c r="T392" s="66">
        <f t="shared" si="227"/>
        <v>0.70994475138121538</v>
      </c>
      <c r="U392" s="66">
        <f t="shared" si="228"/>
        <v>0.68919209164884088</v>
      </c>
      <c r="V392" s="66">
        <f t="shared" si="229"/>
        <v>0.66684249613059499</v>
      </c>
      <c r="W392" s="66">
        <f t="shared" si="230"/>
        <v>2.2489959839357424E-2</v>
      </c>
      <c r="X392" s="66">
        <f t="shared" si="231"/>
        <v>1.4049089815776525E-2</v>
      </c>
      <c r="Y392" s="66">
        <f t="shared" si="232"/>
        <v>1.7608657709666839E-2</v>
      </c>
      <c r="Z392" s="66">
        <f t="shared" si="233"/>
        <v>2.4475353458158197E-2</v>
      </c>
      <c r="AA392" s="66">
        <f t="shared" si="221"/>
        <v>2.0309810450446619E-2</v>
      </c>
      <c r="AB392" s="66">
        <f t="shared" si="234"/>
        <v>1.8667130425431451E-2</v>
      </c>
      <c r="AC392" s="67">
        <f t="shared" si="222"/>
        <v>24941188.71135211</v>
      </c>
      <c r="AD392" s="67">
        <f t="shared" si="195"/>
        <v>24421008.840191994</v>
      </c>
      <c r="AE392" s="66">
        <f t="shared" si="193"/>
        <v>3.1999999999999362E-2</v>
      </c>
      <c r="AF392" s="67">
        <f t="shared" si="196"/>
        <v>24421008.840191994</v>
      </c>
      <c r="AG392" s="67">
        <f t="shared" si="235"/>
        <v>1.0000000000000004</v>
      </c>
      <c r="AH392" s="67">
        <f t="shared" si="197"/>
        <v>24421008.840192005</v>
      </c>
      <c r="AI392" s="67">
        <f t="shared" si="223"/>
        <v>67.395156581577325</v>
      </c>
      <c r="AJ392" s="67">
        <f t="shared" si="224"/>
        <v>0</v>
      </c>
      <c r="AK392" s="66">
        <f t="shared" si="194"/>
        <v>3.1999999999999806E-2</v>
      </c>
    </row>
    <row r="393" spans="1:37" ht="12.75" customHeight="1" x14ac:dyDescent="0.25">
      <c r="A393" s="55" t="s">
        <v>629</v>
      </c>
      <c r="B393" s="55" t="s">
        <v>421</v>
      </c>
      <c r="C393" s="55" t="s">
        <v>423</v>
      </c>
      <c r="D393" s="128">
        <v>2021</v>
      </c>
      <c r="E393" s="55" t="s">
        <v>676</v>
      </c>
      <c r="F393" s="57">
        <f>SIM_Parametres!$C$27</f>
        <v>1308235828.6264319</v>
      </c>
      <c r="G393" s="129">
        <f>SIM_Districts!D38*(1+SIM_Parametres!$B$6)^(2021-2023)</f>
        <v>77022.339523046467</v>
      </c>
      <c r="H393" s="129">
        <f>MAX(0,MIN(100,SIM_Districts!F38+(2021-2022)*SIM_Parametres!$B$7))</f>
        <v>47.83</v>
      </c>
      <c r="I393" s="129">
        <f>SIM_Districts!G38*(1+SIM_Parametres!$B$8)^(2021-2023)</f>
        <v>45.269352648257133</v>
      </c>
      <c r="J393" s="129">
        <f>SIM_Districts!H38*(1+SIM_Parametres!$B$9)^(2021-2023)</f>
        <v>22.222222222222221</v>
      </c>
      <c r="K393" s="129">
        <f>MAX(0,MIN(100,SIM_Districts!I38+(2021-2023)*SIM_Parametres!$B$10))</f>
        <v>89.8</v>
      </c>
      <c r="L393" s="129">
        <f>SIM_Districts!E38</f>
        <v>822</v>
      </c>
      <c r="M393" s="68">
        <f t="shared" si="220"/>
        <v>93.701142972075999</v>
      </c>
      <c r="N393" s="129">
        <f>N322*(1+SIM_Parametres!$B$6)/(1+SIM_Parametres!$B$11)</f>
        <v>97480</v>
      </c>
      <c r="O393" s="72"/>
      <c r="P393" s="130">
        <f>SIM_Parametres!$D$27</f>
        <v>0</v>
      </c>
      <c r="Q393" s="130">
        <f>SIM_Parametres!$B$12</f>
        <v>0.2</v>
      </c>
      <c r="R393" s="59">
        <f t="shared" si="225"/>
        <v>4.5079582319433962E-3</v>
      </c>
      <c r="S393" s="59">
        <f t="shared" si="226"/>
        <v>0.66843971631205668</v>
      </c>
      <c r="T393" s="59">
        <f t="shared" si="227"/>
        <v>0.71270718232044206</v>
      </c>
      <c r="U393" s="59">
        <f t="shared" si="228"/>
        <v>0.52679639914705134</v>
      </c>
      <c r="V393" s="59">
        <f t="shared" si="229"/>
        <v>0.26413981218637</v>
      </c>
      <c r="W393" s="59">
        <f t="shared" si="230"/>
        <v>1.5937433946311558E-2</v>
      </c>
      <c r="X393" s="59">
        <f t="shared" si="231"/>
        <v>1.4103755534904065E-2</v>
      </c>
      <c r="Y393" s="59">
        <f t="shared" si="232"/>
        <v>1.3459494947298206E-2</v>
      </c>
      <c r="Z393" s="59">
        <f t="shared" si="233"/>
        <v>9.6948159470131197E-3</v>
      </c>
      <c r="AA393" s="59">
        <f t="shared" si="221"/>
        <v>8.3686689060639488E-3</v>
      </c>
      <c r="AB393" s="59">
        <f t="shared" si="234"/>
        <v>1.1122649070718169E-2</v>
      </c>
      <c r="AC393" s="60">
        <f t="shared" si="222"/>
        <v>12443725.348903332</v>
      </c>
      <c r="AD393" s="60">
        <f t="shared" si="195"/>
        <v>14551048.023551997</v>
      </c>
      <c r="AE393" s="59">
        <f t="shared" si="193"/>
        <v>3.1999999999999362E-2</v>
      </c>
      <c r="AF393" s="60">
        <f t="shared" si="196"/>
        <v>14551048.023551997</v>
      </c>
      <c r="AG393" s="60">
        <f t="shared" si="235"/>
        <v>1.0000000000000004</v>
      </c>
      <c r="AH393" s="60">
        <f t="shared" si="197"/>
        <v>14551048.023552002</v>
      </c>
      <c r="AI393" s="60">
        <f t="shared" si="223"/>
        <v>188.91983953821693</v>
      </c>
      <c r="AJ393" s="60">
        <f t="shared" si="224"/>
        <v>0</v>
      </c>
      <c r="AK393" s="59">
        <f t="shared" si="194"/>
        <v>3.1999999999999806E-2</v>
      </c>
    </row>
    <row r="394" spans="1:37" ht="12.75" customHeight="1" x14ac:dyDescent="0.25">
      <c r="A394" s="62" t="s">
        <v>631</v>
      </c>
      <c r="B394" s="62" t="s">
        <v>421</v>
      </c>
      <c r="C394" s="62" t="s">
        <v>424</v>
      </c>
      <c r="D394" s="124">
        <v>2021</v>
      </c>
      <c r="E394" s="62" t="s">
        <v>676</v>
      </c>
      <c r="F394" s="64">
        <f>SIM_Parametres!$C$27</f>
        <v>1308235828.6264319</v>
      </c>
      <c r="G394" s="125">
        <f>SIM_Districts!D39*(1+SIM_Parametres!$B$6)^(2021-2023)</f>
        <v>160022.62230181921</v>
      </c>
      <c r="H394" s="125">
        <f>MAX(0,MIN(100,SIM_Districts!F39+(2021-2022)*SIM_Parametres!$B$7))</f>
        <v>47.83</v>
      </c>
      <c r="I394" s="125">
        <f>SIM_Districts!G39*(1+SIM_Parametres!$B$8)^(2021-2023)</f>
        <v>45.269352648257133</v>
      </c>
      <c r="J394" s="125">
        <f>SIM_Districts!H39*(1+SIM_Parametres!$B$9)^(2021-2023)</f>
        <v>22.222222222222221</v>
      </c>
      <c r="K394" s="125">
        <f>MAX(0,MIN(100,SIM_Districts!I39+(2021-2023)*SIM_Parametres!$B$10))</f>
        <v>89.8</v>
      </c>
      <c r="L394" s="125">
        <f>SIM_Districts!E39</f>
        <v>6832</v>
      </c>
      <c r="M394" s="61">
        <f t="shared" si="220"/>
        <v>23.422514973919675</v>
      </c>
      <c r="N394" s="125">
        <f>N323*(1+SIM_Parametres!$B$6)/(1+SIM_Parametres!$B$11)</f>
        <v>97480</v>
      </c>
      <c r="O394" s="132"/>
      <c r="P394" s="126">
        <f>SIM_Parametres!$D$27</f>
        <v>0</v>
      </c>
      <c r="Q394" s="126">
        <f>SIM_Parametres!$B$12</f>
        <v>0.2</v>
      </c>
      <c r="R394" s="66">
        <f t="shared" si="225"/>
        <v>9.3657931188497121E-3</v>
      </c>
      <c r="S394" s="66">
        <f t="shared" si="226"/>
        <v>0.66843971631205668</v>
      </c>
      <c r="T394" s="66">
        <f t="shared" si="227"/>
        <v>0.71270718232044206</v>
      </c>
      <c r="U394" s="66">
        <f t="shared" si="228"/>
        <v>0.73603986945859257</v>
      </c>
      <c r="V394" s="66">
        <f t="shared" si="229"/>
        <v>0.26413981218637</v>
      </c>
      <c r="W394" s="66">
        <f t="shared" si="230"/>
        <v>1.5937433946311558E-2</v>
      </c>
      <c r="X394" s="66">
        <f t="shared" si="231"/>
        <v>1.4103755534904065E-2</v>
      </c>
      <c r="Y394" s="66">
        <f t="shared" si="232"/>
        <v>1.8805604821954314E-2</v>
      </c>
      <c r="Z394" s="66">
        <f t="shared" si="233"/>
        <v>9.6948159470131197E-3</v>
      </c>
      <c r="AA394" s="66">
        <f t="shared" si="221"/>
        <v>1.1550675331940541E-2</v>
      </c>
      <c r="AB394" s="66">
        <f t="shared" si="234"/>
        <v>1.7022971181425452E-2</v>
      </c>
      <c r="AC394" s="67">
        <f t="shared" si="222"/>
        <v>15773977.199504366</v>
      </c>
      <c r="AD394" s="67">
        <f t="shared" si="195"/>
        <v>22270060.809215996</v>
      </c>
      <c r="AE394" s="66">
        <f t="shared" si="193"/>
        <v>3.1999999999999362E-2</v>
      </c>
      <c r="AF394" s="67">
        <f t="shared" si="196"/>
        <v>22270060.809215996</v>
      </c>
      <c r="AG394" s="67">
        <f t="shared" si="235"/>
        <v>1.0000000000000004</v>
      </c>
      <c r="AH394" s="67">
        <f t="shared" si="197"/>
        <v>22270060.809216008</v>
      </c>
      <c r="AI394" s="67">
        <f t="shared" si="223"/>
        <v>139.16820315075435</v>
      </c>
      <c r="AJ394" s="67">
        <f t="shared" si="224"/>
        <v>0</v>
      </c>
      <c r="AK394" s="66">
        <f t="shared" si="194"/>
        <v>3.1999999999999806E-2</v>
      </c>
    </row>
    <row r="395" spans="1:37" ht="12.75" customHeight="1" x14ac:dyDescent="0.25">
      <c r="A395" s="55" t="s">
        <v>632</v>
      </c>
      <c r="B395" s="55" t="s">
        <v>421</v>
      </c>
      <c r="C395" s="55" t="s">
        <v>425</v>
      </c>
      <c r="D395" s="128">
        <v>2021</v>
      </c>
      <c r="E395" s="55" t="s">
        <v>676</v>
      </c>
      <c r="F395" s="57">
        <f>SIM_Parametres!$C$27</f>
        <v>1308235828.6264319</v>
      </c>
      <c r="G395" s="129">
        <f>SIM_Districts!D40*(1+SIM_Parametres!$B$6)^(2021-2023)</f>
        <v>100610.80214911867</v>
      </c>
      <c r="H395" s="129">
        <f>MAX(0,MIN(100,SIM_Districts!F40+(2021-2022)*SIM_Parametres!$B$7))</f>
        <v>47.83</v>
      </c>
      <c r="I395" s="129">
        <f>SIM_Districts!G40*(1+SIM_Parametres!$B$8)^(2021-2023)</f>
        <v>45.269352648257133</v>
      </c>
      <c r="J395" s="129">
        <f>SIM_Districts!H40*(1+SIM_Parametres!$B$9)^(2021-2023)</f>
        <v>22.222222222222221</v>
      </c>
      <c r="K395" s="129">
        <f>MAX(0,MIN(100,SIM_Districts!I40+(2021-2023)*SIM_Parametres!$B$10))</f>
        <v>89.8</v>
      </c>
      <c r="L395" s="129">
        <f>SIM_Districts!E40</f>
        <v>1601</v>
      </c>
      <c r="M395" s="68">
        <f t="shared" si="220"/>
        <v>62.842474796451384</v>
      </c>
      <c r="N395" s="129">
        <f>N324*(1+SIM_Parametres!$B$6)/(1+SIM_Parametres!$B$11)</f>
        <v>97480</v>
      </c>
      <c r="O395" s="72"/>
      <c r="P395" s="130">
        <f>SIM_Parametres!$D$27</f>
        <v>0</v>
      </c>
      <c r="Q395" s="130">
        <f>SIM_Parametres!$B$12</f>
        <v>0.2</v>
      </c>
      <c r="R395" s="59">
        <f t="shared" si="225"/>
        <v>5.8885421629505004E-3</v>
      </c>
      <c r="S395" s="59">
        <f t="shared" si="226"/>
        <v>0.66843971631205668</v>
      </c>
      <c r="T395" s="59">
        <f t="shared" si="227"/>
        <v>0.71270718232044206</v>
      </c>
      <c r="U395" s="59">
        <f t="shared" si="228"/>
        <v>0.5542443044598161</v>
      </c>
      <c r="V395" s="59">
        <f t="shared" si="229"/>
        <v>0.26413981218637</v>
      </c>
      <c r="W395" s="59">
        <f t="shared" si="230"/>
        <v>1.5937433946311558E-2</v>
      </c>
      <c r="X395" s="59">
        <f t="shared" si="231"/>
        <v>1.4103755534904065E-2</v>
      </c>
      <c r="Y395" s="59">
        <f t="shared" si="232"/>
        <v>1.4160780953560279E-2</v>
      </c>
      <c r="Z395" s="59">
        <f t="shared" si="233"/>
        <v>9.6948159470131197E-3</v>
      </c>
      <c r="AA395" s="59">
        <f t="shared" si="221"/>
        <v>9.2320835649813138E-3</v>
      </c>
      <c r="AB395" s="59">
        <f t="shared" si="234"/>
        <v>1.7858913157810723E-2</v>
      </c>
      <c r="AC395" s="60">
        <f t="shared" si="222"/>
        <v>13347365.342308905</v>
      </c>
      <c r="AD395" s="60">
        <f t="shared" si="195"/>
        <v>23363670.053376</v>
      </c>
      <c r="AE395" s="59">
        <f t="shared" ref="AE395:AE458" si="236">IFERROR(AD395/AH324-1,0)</f>
        <v>3.1999999999999362E-2</v>
      </c>
      <c r="AF395" s="60">
        <f t="shared" si="196"/>
        <v>23363670.053376</v>
      </c>
      <c r="AG395" s="60">
        <f t="shared" si="235"/>
        <v>1.0000000000000004</v>
      </c>
      <c r="AH395" s="60">
        <f t="shared" si="197"/>
        <v>23363670.053376012</v>
      </c>
      <c r="AI395" s="60">
        <f t="shared" si="223"/>
        <v>232.21830612927553</v>
      </c>
      <c r="AJ395" s="60">
        <f t="shared" si="224"/>
        <v>0</v>
      </c>
      <c r="AK395" s="59">
        <f t="shared" ref="AK395:AK458" si="237">IFERROR(AH395/AH324-1,0)</f>
        <v>3.2000000000000028E-2</v>
      </c>
    </row>
    <row r="396" spans="1:37" ht="12.75" customHeight="1" x14ac:dyDescent="0.25">
      <c r="A396" s="62" t="s">
        <v>633</v>
      </c>
      <c r="B396" s="62" t="s">
        <v>421</v>
      </c>
      <c r="C396" s="62" t="s">
        <v>426</v>
      </c>
      <c r="D396" s="124">
        <v>2021</v>
      </c>
      <c r="E396" s="62" t="s">
        <v>676</v>
      </c>
      <c r="F396" s="64">
        <f>SIM_Parametres!$C$27</f>
        <v>1308235828.6264319</v>
      </c>
      <c r="G396" s="125">
        <f>SIM_Districts!D41*(1+SIM_Parametres!$B$6)^(2021-2023)</f>
        <v>213919.31379017816</v>
      </c>
      <c r="H396" s="125">
        <f>MAX(0,MIN(100,SIM_Districts!F41+(2021-2022)*SIM_Parametres!$B$7))</f>
        <v>47.83</v>
      </c>
      <c r="I396" s="125">
        <f>SIM_Districts!G41*(1+SIM_Parametres!$B$8)^(2021-2023)</f>
        <v>45.269352648257133</v>
      </c>
      <c r="J396" s="125">
        <f>SIM_Districts!H41*(1+SIM_Parametres!$B$9)^(2021-2023)</f>
        <v>22.222222222222221</v>
      </c>
      <c r="K396" s="125">
        <f>MAX(0,MIN(100,SIM_Districts!I41+(2021-2023)*SIM_Parametres!$B$10))</f>
        <v>89.8</v>
      </c>
      <c r="L396" s="125">
        <f>SIM_Districts!E41</f>
        <v>2260</v>
      </c>
      <c r="M396" s="61">
        <f t="shared" si="220"/>
        <v>94.654563623972635</v>
      </c>
      <c r="N396" s="125">
        <f>N325*(1+SIM_Parametres!$B$6)/(1+SIM_Parametres!$B$11)</f>
        <v>97480</v>
      </c>
      <c r="O396" s="132"/>
      <c r="P396" s="126">
        <f>SIM_Parametres!$D$27</f>
        <v>0</v>
      </c>
      <c r="Q396" s="126">
        <f>SIM_Parametres!$B$12</f>
        <v>0.2</v>
      </c>
      <c r="R396" s="66">
        <f t="shared" si="225"/>
        <v>1.252025500061016E-2</v>
      </c>
      <c r="S396" s="66">
        <f t="shared" si="226"/>
        <v>0.66843971631205668</v>
      </c>
      <c r="T396" s="66">
        <f t="shared" si="227"/>
        <v>0.71270718232044206</v>
      </c>
      <c r="U396" s="66">
        <f t="shared" si="228"/>
        <v>0.57659503553202673</v>
      </c>
      <c r="V396" s="66">
        <f t="shared" si="229"/>
        <v>0.26413981218637</v>
      </c>
      <c r="W396" s="66">
        <f t="shared" si="230"/>
        <v>1.5937433946311558E-2</v>
      </c>
      <c r="X396" s="66">
        <f t="shared" si="231"/>
        <v>1.4103755534904065E-2</v>
      </c>
      <c r="Y396" s="66">
        <f t="shared" si="232"/>
        <v>1.4731835638865494E-2</v>
      </c>
      <c r="Z396" s="66">
        <f t="shared" si="233"/>
        <v>9.6948159470131197E-3</v>
      </c>
      <c r="AA396" s="66">
        <f t="shared" si="221"/>
        <v>1.3239664001842372E-2</v>
      </c>
      <c r="AB396" s="66">
        <f t="shared" si="234"/>
        <v>1.3885878377583646E-2</v>
      </c>
      <c r="AC396" s="67">
        <f t="shared" si="222"/>
        <v>17541653.593192108</v>
      </c>
      <c r="AD396" s="67">
        <f t="shared" si="195"/>
        <v>18166003.605503995</v>
      </c>
      <c r="AE396" s="66">
        <f t="shared" si="236"/>
        <v>3.1999999999999362E-2</v>
      </c>
      <c r="AF396" s="67">
        <f t="shared" si="196"/>
        <v>18166003.605503995</v>
      </c>
      <c r="AG396" s="67">
        <f t="shared" si="235"/>
        <v>1.0000000000000004</v>
      </c>
      <c r="AH396" s="67">
        <f t="shared" si="197"/>
        <v>18166003.605504002</v>
      </c>
      <c r="AI396" s="67">
        <f t="shared" si="223"/>
        <v>84.919885370060825</v>
      </c>
      <c r="AJ396" s="67">
        <f t="shared" si="224"/>
        <v>0</v>
      </c>
      <c r="AK396" s="66">
        <f t="shared" si="237"/>
        <v>3.1999999999999806E-2</v>
      </c>
    </row>
    <row r="397" spans="1:37" ht="12.75" customHeight="1" x14ac:dyDescent="0.25">
      <c r="A397" s="55" t="s">
        <v>634</v>
      </c>
      <c r="B397" s="55" t="s">
        <v>421</v>
      </c>
      <c r="C397" s="55" t="s">
        <v>427</v>
      </c>
      <c r="D397" s="128">
        <v>2021</v>
      </c>
      <c r="E397" s="55" t="s">
        <v>676</v>
      </c>
      <c r="F397" s="57">
        <f>SIM_Parametres!$C$27</f>
        <v>1308235828.6264319</v>
      </c>
      <c r="G397" s="129">
        <f>SIM_Districts!D42*(1+SIM_Parametres!$B$6)^(2021-2023)</f>
        <v>91842.775002356488</v>
      </c>
      <c r="H397" s="129">
        <f>MAX(0,MIN(100,SIM_Districts!F42+(2021-2022)*SIM_Parametres!$B$7))</f>
        <v>47.83</v>
      </c>
      <c r="I397" s="129">
        <f>SIM_Districts!G42*(1+SIM_Parametres!$B$8)^(2021-2023)</f>
        <v>45.269352648257133</v>
      </c>
      <c r="J397" s="129">
        <f>SIM_Districts!H42*(1+SIM_Parametres!$B$9)^(2021-2023)</f>
        <v>22.222222222222221</v>
      </c>
      <c r="K397" s="129">
        <f>MAX(0,MIN(100,SIM_Districts!I42+(2021-2023)*SIM_Parametres!$B$10))</f>
        <v>89.8</v>
      </c>
      <c r="L397" s="129">
        <f>SIM_Districts!E42</f>
        <v>2889</v>
      </c>
      <c r="M397" s="68">
        <f t="shared" si="220"/>
        <v>31.790507096696604</v>
      </c>
      <c r="N397" s="129">
        <f>N326*(1+SIM_Parametres!$B$6)/(1+SIM_Parametres!$B$11)</f>
        <v>97480</v>
      </c>
      <c r="O397" s="72"/>
      <c r="P397" s="130">
        <f>SIM_Parametres!$D$27</f>
        <v>0</v>
      </c>
      <c r="Q397" s="130">
        <f>SIM_Parametres!$B$12</f>
        <v>0.2</v>
      </c>
      <c r="R397" s="59">
        <f t="shared" si="225"/>
        <v>5.3753676683959313E-3</v>
      </c>
      <c r="S397" s="59">
        <f t="shared" si="226"/>
        <v>0.66843971631205668</v>
      </c>
      <c r="T397" s="59">
        <f t="shared" si="227"/>
        <v>0.71270718232044206</v>
      </c>
      <c r="U397" s="59">
        <f t="shared" si="228"/>
        <v>0.59932709011759788</v>
      </c>
      <c r="V397" s="59">
        <f t="shared" si="229"/>
        <v>0.26413981218637</v>
      </c>
      <c r="W397" s="59">
        <f t="shared" si="230"/>
        <v>1.5937433946311558E-2</v>
      </c>
      <c r="X397" s="59">
        <f t="shared" si="231"/>
        <v>1.4103755534904065E-2</v>
      </c>
      <c r="Y397" s="59">
        <f t="shared" si="232"/>
        <v>1.5312633029150606E-2</v>
      </c>
      <c r="Z397" s="59">
        <f t="shared" si="233"/>
        <v>9.6948159470131197E-3</v>
      </c>
      <c r="AA397" s="59">
        <f t="shared" si="221"/>
        <v>8.9817714720280897E-3</v>
      </c>
      <c r="AB397" s="59">
        <f t="shared" si="234"/>
        <v>1.231817211835258E-2</v>
      </c>
      <c r="AC397" s="60">
        <f t="shared" si="222"/>
        <v>13085391.543637002</v>
      </c>
      <c r="AD397" s="60">
        <f t="shared" si="195"/>
        <v>16115074.108415999</v>
      </c>
      <c r="AE397" s="59">
        <f t="shared" si="236"/>
        <v>3.1999999999999362E-2</v>
      </c>
      <c r="AF397" s="60">
        <f t="shared" si="196"/>
        <v>16115074.108415999</v>
      </c>
      <c r="AG397" s="60">
        <f t="shared" si="235"/>
        <v>1.0000000000000004</v>
      </c>
      <c r="AH397" s="60">
        <f t="shared" si="197"/>
        <v>16115074.108416006</v>
      </c>
      <c r="AI397" s="60">
        <f t="shared" si="223"/>
        <v>175.4637107600737</v>
      </c>
      <c r="AJ397" s="60">
        <f t="shared" si="224"/>
        <v>0</v>
      </c>
      <c r="AK397" s="59">
        <f t="shared" si="237"/>
        <v>3.1999999999999806E-2</v>
      </c>
    </row>
    <row r="398" spans="1:37" ht="12.75" customHeight="1" x14ac:dyDescent="0.25">
      <c r="A398" s="62" t="s">
        <v>635</v>
      </c>
      <c r="B398" s="62" t="s">
        <v>421</v>
      </c>
      <c r="C398" s="62" t="s">
        <v>428</v>
      </c>
      <c r="D398" s="124">
        <v>2021</v>
      </c>
      <c r="E398" s="62" t="s">
        <v>676</v>
      </c>
      <c r="F398" s="64">
        <f>SIM_Parametres!$C$27</f>
        <v>1308235828.6264319</v>
      </c>
      <c r="G398" s="125">
        <f>SIM_Districts!D43*(1+SIM_Parametres!$B$6)^(2021-2023)</f>
        <v>133643.13318880196</v>
      </c>
      <c r="H398" s="125">
        <f>MAX(0,MIN(100,SIM_Districts!F43+(2021-2022)*SIM_Parametres!$B$7))</f>
        <v>47.83</v>
      </c>
      <c r="I398" s="125">
        <f>SIM_Districts!G43*(1+SIM_Parametres!$B$8)^(2021-2023)</f>
        <v>45.269352648257133</v>
      </c>
      <c r="J398" s="125">
        <f>SIM_Districts!H43*(1+SIM_Parametres!$B$9)^(2021-2023)</f>
        <v>22.222222222222221</v>
      </c>
      <c r="K398" s="125">
        <f>MAX(0,MIN(100,SIM_Districts!I43+(2021-2023)*SIM_Parametres!$B$10))</f>
        <v>89.8</v>
      </c>
      <c r="L398" s="125">
        <f>SIM_Districts!E43</f>
        <v>8907</v>
      </c>
      <c r="M398" s="61">
        <f t="shared" si="220"/>
        <v>15.004281260671602</v>
      </c>
      <c r="N398" s="125">
        <f>N327*(1+SIM_Parametres!$B$6)/(1+SIM_Parametres!$B$11)</f>
        <v>97480</v>
      </c>
      <c r="O398" s="132"/>
      <c r="P398" s="126">
        <f>SIM_Parametres!$D$27</f>
        <v>0</v>
      </c>
      <c r="Q398" s="126">
        <f>SIM_Parametres!$B$12</f>
        <v>0.2</v>
      </c>
      <c r="R398" s="66">
        <f t="shared" si="225"/>
        <v>7.8218561800619067E-3</v>
      </c>
      <c r="S398" s="66">
        <f t="shared" si="226"/>
        <v>0.66843971631205668</v>
      </c>
      <c r="T398" s="66">
        <f t="shared" si="227"/>
        <v>0.71270718232044206</v>
      </c>
      <c r="U398" s="66">
        <f t="shared" si="228"/>
        <v>0.80804507507275991</v>
      </c>
      <c r="V398" s="66">
        <f t="shared" si="229"/>
        <v>0.26413981218637</v>
      </c>
      <c r="W398" s="66">
        <f t="shared" si="230"/>
        <v>1.5937433946311558E-2</v>
      </c>
      <c r="X398" s="66">
        <f t="shared" si="231"/>
        <v>1.4103755534904065E-2</v>
      </c>
      <c r="Y398" s="66">
        <f t="shared" si="232"/>
        <v>2.0645316905621235E-2</v>
      </c>
      <c r="Z398" s="66">
        <f t="shared" si="233"/>
        <v>9.6948159470131197E-3</v>
      </c>
      <c r="AA398" s="66">
        <f t="shared" si="221"/>
        <v>1.0716298772851206E-2</v>
      </c>
      <c r="AB398" s="66">
        <f t="shared" si="234"/>
        <v>1.370692798464891E-2</v>
      </c>
      <c r="AC398" s="67">
        <f t="shared" si="222"/>
        <v>14900728.152171001</v>
      </c>
      <c r="AD398" s="67">
        <f t="shared" si="195"/>
        <v>17931894.289919995</v>
      </c>
      <c r="AE398" s="66">
        <f t="shared" si="236"/>
        <v>3.1999999999999362E-2</v>
      </c>
      <c r="AF398" s="67">
        <f t="shared" si="196"/>
        <v>17931894.289919995</v>
      </c>
      <c r="AG398" s="67">
        <f t="shared" si="235"/>
        <v>1.0000000000000004</v>
      </c>
      <c r="AH398" s="67">
        <f t="shared" si="197"/>
        <v>17931894.289920002</v>
      </c>
      <c r="AI398" s="67">
        <f t="shared" si="223"/>
        <v>134.17744602400961</v>
      </c>
      <c r="AJ398" s="67">
        <f t="shared" si="224"/>
        <v>0</v>
      </c>
      <c r="AK398" s="66">
        <f t="shared" si="237"/>
        <v>3.1999999999999806E-2</v>
      </c>
    </row>
    <row r="399" spans="1:37" ht="12.75" customHeight="1" x14ac:dyDescent="0.25">
      <c r="A399" s="55" t="s">
        <v>636</v>
      </c>
      <c r="B399" s="55" t="s">
        <v>421</v>
      </c>
      <c r="C399" s="55" t="s">
        <v>421</v>
      </c>
      <c r="D399" s="128">
        <v>2021</v>
      </c>
      <c r="E399" s="55" t="s">
        <v>676</v>
      </c>
      <c r="F399" s="57">
        <f>SIM_Parametres!$C$27</f>
        <v>1308235828.6264319</v>
      </c>
      <c r="G399" s="129">
        <f>SIM_Districts!D44*(1+SIM_Parametres!$B$6)^(2021-2023)</f>
        <v>197172.21227259873</v>
      </c>
      <c r="H399" s="129">
        <f>MAX(0,MIN(100,SIM_Districts!F44+(2021-2022)*SIM_Parametres!$B$7))</f>
        <v>47.83</v>
      </c>
      <c r="I399" s="129">
        <f>SIM_Districts!G44*(1+SIM_Parametres!$B$8)^(2021-2023)</f>
        <v>45.269352648257133</v>
      </c>
      <c r="J399" s="129">
        <f>SIM_Districts!H44*(1+SIM_Parametres!$B$9)^(2021-2023)</f>
        <v>22.222222222222221</v>
      </c>
      <c r="K399" s="129">
        <f>MAX(0,MIN(100,SIM_Districts!I44+(2021-2023)*SIM_Parametres!$B$10))</f>
        <v>89.8</v>
      </c>
      <c r="L399" s="129">
        <f>SIM_Districts!E44</f>
        <v>759</v>
      </c>
      <c r="M399" s="68">
        <f t="shared" si="220"/>
        <v>259.77893580052535</v>
      </c>
      <c r="N399" s="129">
        <f>N328*(1+SIM_Parametres!$B$6)/(1+SIM_Parametres!$B$11)</f>
        <v>97480</v>
      </c>
      <c r="O399" s="72"/>
      <c r="P399" s="130">
        <f>SIM_Parametres!$D$27</f>
        <v>0</v>
      </c>
      <c r="Q399" s="130">
        <f>SIM_Parametres!$B$12</f>
        <v>0.2</v>
      </c>
      <c r="R399" s="59">
        <f t="shared" si="225"/>
        <v>1.1540081785736903E-2</v>
      </c>
      <c r="S399" s="59">
        <f t="shared" si="226"/>
        <v>0.66843971631205668</v>
      </c>
      <c r="T399" s="59">
        <f t="shared" si="227"/>
        <v>0.71270718232044206</v>
      </c>
      <c r="U399" s="59">
        <f t="shared" si="228"/>
        <v>0.52212219334654875</v>
      </c>
      <c r="V399" s="59">
        <f t="shared" si="229"/>
        <v>0.26413981218637</v>
      </c>
      <c r="W399" s="59">
        <f t="shared" si="230"/>
        <v>1.5937433946311558E-2</v>
      </c>
      <c r="X399" s="59">
        <f t="shared" si="231"/>
        <v>1.4103755534904065E-2</v>
      </c>
      <c r="Y399" s="59">
        <f t="shared" si="232"/>
        <v>1.3340070347099039E-2</v>
      </c>
      <c r="Z399" s="59">
        <f t="shared" si="233"/>
        <v>9.6948159470131197E-3</v>
      </c>
      <c r="AA399" s="59">
        <f t="shared" si="221"/>
        <v>1.2581971808330095E-2</v>
      </c>
      <c r="AB399" s="59">
        <f t="shared" si="234"/>
        <v>1.6193750346558858E-2</v>
      </c>
      <c r="AC399" s="60">
        <f t="shared" si="222"/>
        <v>16853320.399783574</v>
      </c>
      <c r="AD399" s="60">
        <f t="shared" si="195"/>
        <v>21185244.403199997</v>
      </c>
      <c r="AE399" s="59">
        <f t="shared" si="236"/>
        <v>3.1999999999999362E-2</v>
      </c>
      <c r="AF399" s="60">
        <f t="shared" si="196"/>
        <v>21185244.403199997</v>
      </c>
      <c r="AG399" s="60">
        <f t="shared" si="235"/>
        <v>1.0000000000000004</v>
      </c>
      <c r="AH399" s="60">
        <f t="shared" si="197"/>
        <v>21185244.403200008</v>
      </c>
      <c r="AI399" s="60">
        <f t="shared" si="223"/>
        <v>107.44538573168988</v>
      </c>
      <c r="AJ399" s="60">
        <f t="shared" si="224"/>
        <v>0</v>
      </c>
      <c r="AK399" s="59">
        <f t="shared" si="237"/>
        <v>3.2000000000000028E-2</v>
      </c>
    </row>
    <row r="400" spans="1:37" ht="12.75" customHeight="1" x14ac:dyDescent="0.25">
      <c r="A400" s="62" t="s">
        <v>637</v>
      </c>
      <c r="B400" s="62" t="s">
        <v>421</v>
      </c>
      <c r="C400" s="62" t="s">
        <v>429</v>
      </c>
      <c r="D400" s="124">
        <v>2021</v>
      </c>
      <c r="E400" s="62" t="s">
        <v>676</v>
      </c>
      <c r="F400" s="64">
        <f>SIM_Parametres!$C$27</f>
        <v>1308235828.6264319</v>
      </c>
      <c r="G400" s="125">
        <f>SIM_Districts!D45*(1+SIM_Parametres!$B$6)^(2021-2023)</f>
        <v>87043.076633047414</v>
      </c>
      <c r="H400" s="125">
        <f>MAX(0,MIN(100,SIM_Districts!F45+(2021-2022)*SIM_Parametres!$B$7))</f>
        <v>47.83</v>
      </c>
      <c r="I400" s="125">
        <f>SIM_Districts!G45*(1+SIM_Parametres!$B$8)^(2021-2023)</f>
        <v>45.269352648257133</v>
      </c>
      <c r="J400" s="125">
        <f>SIM_Districts!H45*(1+SIM_Parametres!$B$9)^(2021-2023)</f>
        <v>22.222222222222221</v>
      </c>
      <c r="K400" s="125">
        <f>MAX(0,MIN(100,SIM_Districts!I45+(2021-2023)*SIM_Parametres!$B$10))</f>
        <v>89.8</v>
      </c>
      <c r="L400" s="125">
        <f>SIM_Districts!E45</f>
        <v>1185</v>
      </c>
      <c r="M400" s="61">
        <f t="shared" si="220"/>
        <v>73.454073108056889</v>
      </c>
      <c r="N400" s="125">
        <f>N329*(1+SIM_Parametres!$B$6)/(1+SIM_Parametres!$B$11)</f>
        <v>97480</v>
      </c>
      <c r="O400" s="132"/>
      <c r="P400" s="126">
        <f>SIM_Parametres!$D$27</f>
        <v>0</v>
      </c>
      <c r="Q400" s="126">
        <f>SIM_Parametres!$B$12</f>
        <v>0.2</v>
      </c>
      <c r="R400" s="66">
        <f t="shared" si="225"/>
        <v>5.0944512497470536E-3</v>
      </c>
      <c r="S400" s="66">
        <f t="shared" si="226"/>
        <v>0.66843971631205668</v>
      </c>
      <c r="T400" s="66">
        <f t="shared" si="227"/>
        <v>0.71270718232044206</v>
      </c>
      <c r="U400" s="66">
        <f t="shared" si="228"/>
        <v>0.53967466644845508</v>
      </c>
      <c r="V400" s="66">
        <f t="shared" si="229"/>
        <v>0.26413981218637</v>
      </c>
      <c r="W400" s="66">
        <f t="shared" si="230"/>
        <v>1.5937433946311558E-2</v>
      </c>
      <c r="X400" s="66">
        <f t="shared" si="231"/>
        <v>1.4103755534904065E-2</v>
      </c>
      <c r="Y400" s="66">
        <f t="shared" si="232"/>
        <v>1.378853093530771E-2</v>
      </c>
      <c r="Z400" s="66">
        <f t="shared" si="233"/>
        <v>9.6948159470131197E-3</v>
      </c>
      <c r="AA400" s="66">
        <f t="shared" si="221"/>
        <v>8.7370165161466153E-3</v>
      </c>
      <c r="AB400" s="66">
        <f t="shared" si="234"/>
        <v>1.2926435425792715E-2</v>
      </c>
      <c r="AC400" s="67">
        <f t="shared" si="222"/>
        <v>12829233.781622583</v>
      </c>
      <c r="AD400" s="67">
        <f t="shared" si="195"/>
        <v>16910825.960447997</v>
      </c>
      <c r="AE400" s="66">
        <f t="shared" si="236"/>
        <v>3.1999999999999362E-2</v>
      </c>
      <c r="AF400" s="67">
        <f t="shared" si="196"/>
        <v>16910825.960447997</v>
      </c>
      <c r="AG400" s="67">
        <f t="shared" si="235"/>
        <v>1.0000000000000004</v>
      </c>
      <c r="AH400" s="67">
        <f t="shared" si="197"/>
        <v>16910825.960448004</v>
      </c>
      <c r="AI400" s="67">
        <f t="shared" si="223"/>
        <v>194.28111476045316</v>
      </c>
      <c r="AJ400" s="67">
        <f t="shared" si="224"/>
        <v>0</v>
      </c>
      <c r="AK400" s="66">
        <f t="shared" si="237"/>
        <v>3.1999999999999806E-2</v>
      </c>
    </row>
    <row r="401" spans="1:37" ht="12.75" customHeight="1" x14ac:dyDescent="0.25">
      <c r="A401" s="55" t="s">
        <v>638</v>
      </c>
      <c r="B401" s="55" t="s">
        <v>430</v>
      </c>
      <c r="C401" s="55" t="s">
        <v>432</v>
      </c>
      <c r="D401" s="128">
        <v>2021</v>
      </c>
      <c r="E401" s="55" t="s">
        <v>676</v>
      </c>
      <c r="F401" s="57">
        <f>SIM_Parametres!$C$27</f>
        <v>1308235828.6264319</v>
      </c>
      <c r="G401" s="129">
        <f>SIM_Districts!D46*(1+SIM_Parametres!$B$6)^(2021-2023)</f>
        <v>332494.1087755679</v>
      </c>
      <c r="H401" s="129">
        <f>MAX(0,MIN(100,SIM_Districts!F46+(2021-2022)*SIM_Parametres!$B$7))</f>
        <v>45.53</v>
      </c>
      <c r="I401" s="129">
        <f>SIM_Districts!G46*(1+SIM_Parametres!$B$8)^(2021-2023)</f>
        <v>45.269352648257133</v>
      </c>
      <c r="J401" s="129">
        <f>SIM_Districts!H46*(1+SIM_Parametres!$B$9)^(2021-2023)</f>
        <v>31.234567901234566</v>
      </c>
      <c r="K401" s="129">
        <f>MAX(0,MIN(100,SIM_Districts!I46+(2021-2023)*SIM_Parametres!$B$10))</f>
        <v>77.7</v>
      </c>
      <c r="L401" s="129">
        <f>SIM_Districts!E46</f>
        <v>8704</v>
      </c>
      <c r="M401" s="68">
        <f t="shared" si="220"/>
        <v>38.200150364840063</v>
      </c>
      <c r="N401" s="129">
        <f>N330*(1+SIM_Parametres!$B$6)/(1+SIM_Parametres!$B$11)</f>
        <v>133963</v>
      </c>
      <c r="O401" s="72"/>
      <c r="P401" s="130">
        <f>SIM_Parametres!$D$27</f>
        <v>0</v>
      </c>
      <c r="Q401" s="130">
        <f>SIM_Parametres!$B$12</f>
        <v>0.2</v>
      </c>
      <c r="R401" s="59">
        <f t="shared" si="225"/>
        <v>1.9460192510499057E-2</v>
      </c>
      <c r="S401" s="59">
        <f t="shared" si="226"/>
        <v>0.62765957446808507</v>
      </c>
      <c r="T401" s="59">
        <f t="shared" si="227"/>
        <v>0.91436464088397795</v>
      </c>
      <c r="U401" s="59">
        <f t="shared" si="228"/>
        <v>0.80066503267175948</v>
      </c>
      <c r="V401" s="59">
        <f t="shared" si="229"/>
        <v>0.51735506215340199</v>
      </c>
      <c r="W401" s="59">
        <f t="shared" si="230"/>
        <v>1.4965123652504754E-2</v>
      </c>
      <c r="X401" s="59">
        <f t="shared" si="231"/>
        <v>1.8094353031214129E-2</v>
      </c>
      <c r="Y401" s="59">
        <f t="shared" si="232"/>
        <v>2.0456758966409916E-2</v>
      </c>
      <c r="Z401" s="59">
        <f t="shared" si="233"/>
        <v>1.8988663864475865E-2</v>
      </c>
      <c r="AA401" s="59">
        <f t="shared" si="221"/>
        <v>1.8607308150401559E-2</v>
      </c>
      <c r="AB401" s="59">
        <f t="shared" si="234"/>
        <v>1.6362619027215579E-2</v>
      </c>
      <c r="AC401" s="60">
        <f t="shared" si="222"/>
        <v>23159369.105561826</v>
      </c>
      <c r="AD401" s="60">
        <f t="shared" si="195"/>
        <v>21406164.461567994</v>
      </c>
      <c r="AE401" s="59">
        <f t="shared" si="236"/>
        <v>3.1999999999999362E-2</v>
      </c>
      <c r="AF401" s="60">
        <f t="shared" si="196"/>
        <v>21406164.461567994</v>
      </c>
      <c r="AG401" s="60">
        <f t="shared" si="235"/>
        <v>1.0000000000000004</v>
      </c>
      <c r="AH401" s="60">
        <f t="shared" si="197"/>
        <v>21406164.461568005</v>
      </c>
      <c r="AI401" s="60">
        <f t="shared" si="223"/>
        <v>64.380582682795961</v>
      </c>
      <c r="AJ401" s="60">
        <f t="shared" si="224"/>
        <v>0</v>
      </c>
      <c r="AK401" s="59">
        <f t="shared" si="237"/>
        <v>3.2000000000000028E-2</v>
      </c>
    </row>
    <row r="402" spans="1:37" ht="12.75" customHeight="1" x14ac:dyDescent="0.25">
      <c r="A402" s="62" t="s">
        <v>640</v>
      </c>
      <c r="B402" s="62" t="s">
        <v>430</v>
      </c>
      <c r="C402" s="62" t="s">
        <v>430</v>
      </c>
      <c r="D402" s="124">
        <v>2021</v>
      </c>
      <c r="E402" s="62" t="s">
        <v>676</v>
      </c>
      <c r="F402" s="64">
        <f>SIM_Parametres!$C$27</f>
        <v>1308235828.6264319</v>
      </c>
      <c r="G402" s="125">
        <f>SIM_Districts!D47*(1+SIM_Parametres!$B$6)^(2021-2023)</f>
        <v>269727.58978226036</v>
      </c>
      <c r="H402" s="125">
        <f>MAX(0,MIN(100,SIM_Districts!F47+(2021-2022)*SIM_Parametres!$B$7))</f>
        <v>45.53</v>
      </c>
      <c r="I402" s="125">
        <f>SIM_Districts!G47*(1+SIM_Parametres!$B$8)^(2021-2023)</f>
        <v>45.269352648257133</v>
      </c>
      <c r="J402" s="125">
        <f>SIM_Districts!H47*(1+SIM_Parametres!$B$9)^(2021-2023)</f>
        <v>31.234567901234566</v>
      </c>
      <c r="K402" s="125">
        <f>MAX(0,MIN(100,SIM_Districts!I47+(2021-2023)*SIM_Parametres!$B$10))</f>
        <v>77.7</v>
      </c>
      <c r="L402" s="125">
        <f>SIM_Districts!E47</f>
        <v>3957</v>
      </c>
      <c r="M402" s="61">
        <f t="shared" si="220"/>
        <v>68.164667622507039</v>
      </c>
      <c r="N402" s="125">
        <f>N331*(1+SIM_Parametres!$B$6)/(1+SIM_Parametres!$B$11)</f>
        <v>133963</v>
      </c>
      <c r="O402" s="132"/>
      <c r="P402" s="126">
        <f>SIM_Parametres!$D$27</f>
        <v>0</v>
      </c>
      <c r="Q402" s="126">
        <f>SIM_Parametres!$B$12</f>
        <v>0.2</v>
      </c>
      <c r="R402" s="66">
        <f t="shared" si="225"/>
        <v>1.578659796976651E-2</v>
      </c>
      <c r="S402" s="66">
        <f t="shared" si="226"/>
        <v>0.62765957446808507</v>
      </c>
      <c r="T402" s="66">
        <f t="shared" si="227"/>
        <v>0.91436464088397795</v>
      </c>
      <c r="U402" s="66">
        <f t="shared" si="228"/>
        <v>0.63577730793030052</v>
      </c>
      <c r="V402" s="66">
        <f t="shared" si="229"/>
        <v>0.51735506215340199</v>
      </c>
      <c r="W402" s="66">
        <f t="shared" si="230"/>
        <v>1.4965123652504754E-2</v>
      </c>
      <c r="X402" s="66">
        <f t="shared" si="231"/>
        <v>1.8094353031214129E-2</v>
      </c>
      <c r="Y402" s="66">
        <f t="shared" si="232"/>
        <v>1.6243925504331406E-2</v>
      </c>
      <c r="Z402" s="66">
        <f t="shared" si="233"/>
        <v>1.8988663864475865E-2</v>
      </c>
      <c r="AA402" s="66">
        <f t="shared" si="221"/>
        <v>1.6192509752858103E-2</v>
      </c>
      <c r="AB402" s="66">
        <f t="shared" si="234"/>
        <v>1.4458855692050736E-2</v>
      </c>
      <c r="AC402" s="67">
        <f t="shared" si="222"/>
        <v>20632068.479500994</v>
      </c>
      <c r="AD402" s="67">
        <f t="shared" si="195"/>
        <v>18915593.057279997</v>
      </c>
      <c r="AE402" s="66">
        <f t="shared" si="236"/>
        <v>3.1999999999999362E-2</v>
      </c>
      <c r="AF402" s="67">
        <f t="shared" si="196"/>
        <v>18915593.057279997</v>
      </c>
      <c r="AG402" s="67">
        <f t="shared" si="235"/>
        <v>1.0000000000000004</v>
      </c>
      <c r="AH402" s="67">
        <f t="shared" si="197"/>
        <v>18915593.057280004</v>
      </c>
      <c r="AI402" s="67">
        <f t="shared" si="223"/>
        <v>70.128506588998775</v>
      </c>
      <c r="AJ402" s="67">
        <f t="shared" si="224"/>
        <v>0</v>
      </c>
      <c r="AK402" s="66">
        <f t="shared" si="237"/>
        <v>3.1999999999999806E-2</v>
      </c>
    </row>
    <row r="403" spans="1:37" ht="12.75" customHeight="1" x14ac:dyDescent="0.25">
      <c r="A403" s="55" t="s">
        <v>641</v>
      </c>
      <c r="B403" s="55" t="s">
        <v>430</v>
      </c>
      <c r="C403" s="55" t="s">
        <v>433</v>
      </c>
      <c r="D403" s="128">
        <v>2021</v>
      </c>
      <c r="E403" s="55" t="s">
        <v>676</v>
      </c>
      <c r="F403" s="57">
        <f>SIM_Parametres!$C$27</f>
        <v>1308235828.6264319</v>
      </c>
      <c r="G403" s="129">
        <f>SIM_Districts!D48*(1+SIM_Parametres!$B$6)^(2021-2023)</f>
        <v>71502.4978791592</v>
      </c>
      <c r="H403" s="129">
        <f>MAX(0,MIN(100,SIM_Districts!F48+(2021-2022)*SIM_Parametres!$B$7))</f>
        <v>45.53</v>
      </c>
      <c r="I403" s="129">
        <f>SIM_Districts!G48*(1+SIM_Parametres!$B$8)^(2021-2023)</f>
        <v>45.269352648257133</v>
      </c>
      <c r="J403" s="129">
        <f>SIM_Districts!H48*(1+SIM_Parametres!$B$9)^(2021-2023)</f>
        <v>31.234567901234566</v>
      </c>
      <c r="K403" s="129">
        <f>MAX(0,MIN(100,SIM_Districts!I48+(2021-2023)*SIM_Parametres!$B$10))</f>
        <v>77.7</v>
      </c>
      <c r="L403" s="129">
        <f>SIM_Districts!E48</f>
        <v>14444</v>
      </c>
      <c r="M403" s="68">
        <f t="shared" si="220"/>
        <v>4.9503252477955693</v>
      </c>
      <c r="N403" s="129">
        <f>N332*(1+SIM_Parametres!$B$6)/(1+SIM_Parametres!$B$11)</f>
        <v>133963</v>
      </c>
      <c r="O403" s="72"/>
      <c r="P403" s="130">
        <f>SIM_Parametres!$D$27</f>
        <v>0</v>
      </c>
      <c r="Q403" s="130">
        <f>SIM_Parametres!$B$12</f>
        <v>0.2</v>
      </c>
      <c r="R403" s="59">
        <f t="shared" si="225"/>
        <v>4.1848933168593758E-3</v>
      </c>
      <c r="S403" s="59">
        <f t="shared" si="226"/>
        <v>0.62765957446808507</v>
      </c>
      <c r="T403" s="59">
        <f t="shared" si="227"/>
        <v>0.91436464088397795</v>
      </c>
      <c r="U403" s="59">
        <f t="shared" si="228"/>
        <v>1</v>
      </c>
      <c r="V403" s="59">
        <f t="shared" si="229"/>
        <v>0.51735506215340199</v>
      </c>
      <c r="W403" s="59">
        <f t="shared" si="230"/>
        <v>1.4965123652504754E-2</v>
      </c>
      <c r="X403" s="59">
        <f t="shared" si="231"/>
        <v>1.8094353031214129E-2</v>
      </c>
      <c r="Y403" s="59">
        <f t="shared" si="232"/>
        <v>2.5549709468574187E-2</v>
      </c>
      <c r="Z403" s="59">
        <f t="shared" si="233"/>
        <v>1.8988663864475865E-2</v>
      </c>
      <c r="AA403" s="59">
        <f t="shared" si="221"/>
        <v>9.6967761593259594E-3</v>
      </c>
      <c r="AB403" s="59">
        <f t="shared" si="234"/>
        <v>1.3574185439655068E-2</v>
      </c>
      <c r="AC403" s="60">
        <f t="shared" si="222"/>
        <v>13833707.343284134</v>
      </c>
      <c r="AD403" s="60">
        <f t="shared" si="195"/>
        <v>17758235.736575995</v>
      </c>
      <c r="AE403" s="59">
        <f t="shared" si="236"/>
        <v>3.1999999999999362E-2</v>
      </c>
      <c r="AF403" s="60">
        <f t="shared" si="196"/>
        <v>17758235.736575995</v>
      </c>
      <c r="AG403" s="60">
        <f t="shared" si="235"/>
        <v>1.0000000000000004</v>
      </c>
      <c r="AH403" s="60">
        <f t="shared" si="197"/>
        <v>17758235.736576002</v>
      </c>
      <c r="AI403" s="60">
        <f t="shared" si="223"/>
        <v>248.35825689037904</v>
      </c>
      <c r="AJ403" s="60">
        <f t="shared" si="224"/>
        <v>0</v>
      </c>
      <c r="AK403" s="59">
        <f t="shared" si="237"/>
        <v>3.1999999999999806E-2</v>
      </c>
    </row>
    <row r="404" spans="1:37" ht="12.75" customHeight="1" x14ac:dyDescent="0.25">
      <c r="A404" s="62" t="s">
        <v>642</v>
      </c>
      <c r="B404" s="62" t="s">
        <v>430</v>
      </c>
      <c r="C404" s="62" t="s">
        <v>434</v>
      </c>
      <c r="D404" s="124">
        <v>2021</v>
      </c>
      <c r="E404" s="62" t="s">
        <v>676</v>
      </c>
      <c r="F404" s="64">
        <f>SIM_Parametres!$C$27</f>
        <v>1308235828.6264319</v>
      </c>
      <c r="G404" s="125">
        <f>SIM_Districts!D49*(1+SIM_Parametres!$B$6)^(2021-2023)</f>
        <v>110166.83947591667</v>
      </c>
      <c r="H404" s="125">
        <f>MAX(0,MIN(100,SIM_Districts!F49+(2021-2022)*SIM_Parametres!$B$7))</f>
        <v>45.53</v>
      </c>
      <c r="I404" s="125">
        <f>SIM_Districts!G49*(1+SIM_Parametres!$B$8)^(2021-2023)</f>
        <v>45.269352648257133</v>
      </c>
      <c r="J404" s="125">
        <f>SIM_Districts!H49*(1+SIM_Parametres!$B$9)^(2021-2023)</f>
        <v>31.234567901234566</v>
      </c>
      <c r="K404" s="125">
        <f>MAX(0,MIN(100,SIM_Districts!I49+(2021-2023)*SIM_Parametres!$B$10))</f>
        <v>77.7</v>
      </c>
      <c r="L404" s="125">
        <f>SIM_Districts!E49</f>
        <v>1898</v>
      </c>
      <c r="M404" s="61">
        <f t="shared" si="220"/>
        <v>58.043645666974008</v>
      </c>
      <c r="N404" s="125">
        <f>N333*(1+SIM_Parametres!$B$6)/(1+SIM_Parametres!$B$11)</f>
        <v>133963</v>
      </c>
      <c r="O404" s="132"/>
      <c r="P404" s="126">
        <f>SIM_Parametres!$D$27</f>
        <v>0</v>
      </c>
      <c r="Q404" s="126">
        <f>SIM_Parametres!$B$12</f>
        <v>0.2</v>
      </c>
      <c r="R404" s="66">
        <f t="shared" si="225"/>
        <v>6.4478372635518996E-3</v>
      </c>
      <c r="S404" s="66">
        <f t="shared" si="226"/>
        <v>0.62765957446808507</v>
      </c>
      <c r="T404" s="66">
        <f t="shared" si="227"/>
        <v>0.91436464088397795</v>
      </c>
      <c r="U404" s="66">
        <f t="shared" si="228"/>
        <v>0.56460451527951971</v>
      </c>
      <c r="V404" s="66">
        <f t="shared" si="229"/>
        <v>0.51735506215340199</v>
      </c>
      <c r="W404" s="66">
        <f t="shared" si="230"/>
        <v>1.4965123652504754E-2</v>
      </c>
      <c r="X404" s="66">
        <f t="shared" si="231"/>
        <v>1.8094353031214129E-2</v>
      </c>
      <c r="Y404" s="66">
        <f t="shared" si="232"/>
        <v>1.4425481330036885E-2</v>
      </c>
      <c r="Z404" s="66">
        <f t="shared" si="233"/>
        <v>1.8988663864475865E-2</v>
      </c>
      <c r="AA404" s="66">
        <f t="shared" si="221"/>
        <v>1.0498331120414608E-2</v>
      </c>
      <c r="AB404" s="66">
        <f t="shared" si="234"/>
        <v>1.2930636139241888E-2</v>
      </c>
      <c r="AC404" s="67">
        <f t="shared" si="222"/>
        <v>14672605.678251682</v>
      </c>
      <c r="AD404" s="67">
        <f t="shared" si="195"/>
        <v>16916321.484288</v>
      </c>
      <c r="AE404" s="66">
        <f t="shared" si="236"/>
        <v>3.1999999999999584E-2</v>
      </c>
      <c r="AF404" s="67">
        <f t="shared" si="196"/>
        <v>16916321.484288</v>
      </c>
      <c r="AG404" s="67">
        <f t="shared" si="235"/>
        <v>1.0000000000000004</v>
      </c>
      <c r="AH404" s="67">
        <f t="shared" si="197"/>
        <v>16916321.484288007</v>
      </c>
      <c r="AI404" s="67">
        <f t="shared" si="223"/>
        <v>153.5518452264036</v>
      </c>
      <c r="AJ404" s="67">
        <f t="shared" si="224"/>
        <v>0</v>
      </c>
      <c r="AK404" s="66">
        <f t="shared" si="237"/>
        <v>3.2000000000000028E-2</v>
      </c>
    </row>
    <row r="405" spans="1:37" ht="12.75" customHeight="1" x14ac:dyDescent="0.25">
      <c r="A405" s="55" t="s">
        <v>643</v>
      </c>
      <c r="B405" s="55" t="s">
        <v>435</v>
      </c>
      <c r="C405" s="55" t="s">
        <v>437</v>
      </c>
      <c r="D405" s="128">
        <v>2021</v>
      </c>
      <c r="E405" s="55" t="s">
        <v>676</v>
      </c>
      <c r="F405" s="57">
        <f>SIM_Parametres!$C$27</f>
        <v>1308235828.6264319</v>
      </c>
      <c r="G405" s="129">
        <f>SIM_Districts!D50*(1+SIM_Parametres!$B$6)^(2021-2023)</f>
        <v>92704.307663304746</v>
      </c>
      <c r="H405" s="129">
        <f>MAX(0,MIN(100,SIM_Districts!F50+(2021-2022)*SIM_Parametres!$B$7))</f>
        <v>38.129999999999995</v>
      </c>
      <c r="I405" s="129">
        <f>SIM_Districts!G50*(1+SIM_Parametres!$B$8)^(2021-2023)</f>
        <v>45.269352648257133</v>
      </c>
      <c r="J405" s="129">
        <f>SIM_Districts!H50*(1+SIM_Parametres!$B$9)^(2021-2023)</f>
        <v>28.271604938271601</v>
      </c>
      <c r="K405" s="129">
        <f>MAX(0,MIN(100,SIM_Districts!I50+(2021-2023)*SIM_Parametres!$B$10))</f>
        <v>81.900000000000006</v>
      </c>
      <c r="L405" s="129">
        <f>SIM_Districts!E50</f>
        <v>2448</v>
      </c>
      <c r="M405" s="68">
        <f t="shared" si="220"/>
        <v>37.86940672520619</v>
      </c>
      <c r="N405" s="129">
        <f>N334*(1+SIM_Parametres!$B$6)/(1+SIM_Parametres!$B$11)</f>
        <v>89545</v>
      </c>
      <c r="O405" s="72"/>
      <c r="P405" s="130">
        <f>SIM_Parametres!$D$27</f>
        <v>0</v>
      </c>
      <c r="Q405" s="130">
        <f>SIM_Parametres!$B$12</f>
        <v>0.2</v>
      </c>
      <c r="R405" s="59">
        <f t="shared" si="225"/>
        <v>5.4257913931887586E-3</v>
      </c>
      <c r="S405" s="59">
        <f t="shared" si="226"/>
        <v>0.49645390070921974</v>
      </c>
      <c r="T405" s="59">
        <f t="shared" si="227"/>
        <v>0.84806629834254132</v>
      </c>
      <c r="U405" s="59">
        <f t="shared" si="228"/>
        <v>0.58395945065622235</v>
      </c>
      <c r="V405" s="59">
        <f t="shared" si="229"/>
        <v>0.20906585970196906</v>
      </c>
      <c r="W405" s="59">
        <f t="shared" si="230"/>
        <v>1.1836820968082853E-2</v>
      </c>
      <c r="X405" s="59">
        <f t="shared" si="231"/>
        <v>1.6782375772153281E-2</v>
      </c>
      <c r="Y405" s="59">
        <f t="shared" si="232"/>
        <v>1.4919994305694665E-2</v>
      </c>
      <c r="Z405" s="59">
        <f t="shared" si="233"/>
        <v>7.6734173990574452E-3</v>
      </c>
      <c r="AA405" s="59">
        <f t="shared" si="221"/>
        <v>8.6780249321862808E-3</v>
      </c>
      <c r="AB405" s="59">
        <f t="shared" si="234"/>
        <v>1.2822257732253246E-2</v>
      </c>
      <c r="AC405" s="60">
        <f t="shared" si="222"/>
        <v>12767493.858643116</v>
      </c>
      <c r="AD405" s="60">
        <f t="shared" si="195"/>
        <v>16774536.969216</v>
      </c>
      <c r="AE405" s="59">
        <f t="shared" si="236"/>
        <v>3.1999999999999584E-2</v>
      </c>
      <c r="AF405" s="60">
        <f t="shared" si="196"/>
        <v>16774536.969216</v>
      </c>
      <c r="AG405" s="60">
        <f t="shared" si="235"/>
        <v>1.0000000000000004</v>
      </c>
      <c r="AH405" s="60">
        <f t="shared" si="197"/>
        <v>16774536.969216008</v>
      </c>
      <c r="AI405" s="60">
        <f t="shared" si="223"/>
        <v>180.94668297550851</v>
      </c>
      <c r="AJ405" s="60">
        <f t="shared" si="224"/>
        <v>0</v>
      </c>
      <c r="AK405" s="59">
        <f t="shared" si="237"/>
        <v>3.2000000000000028E-2</v>
      </c>
    </row>
    <row r="406" spans="1:37" ht="12.75" customHeight="1" x14ac:dyDescent="0.25">
      <c r="A406" s="62" t="s">
        <v>645</v>
      </c>
      <c r="B406" s="62" t="s">
        <v>435</v>
      </c>
      <c r="C406" s="62" t="s">
        <v>438</v>
      </c>
      <c r="D406" s="124">
        <v>2021</v>
      </c>
      <c r="E406" s="62" t="s">
        <v>676</v>
      </c>
      <c r="F406" s="64">
        <f>SIM_Parametres!$C$27</f>
        <v>1308235828.6264319</v>
      </c>
      <c r="G406" s="125">
        <f>SIM_Districts!D51*(1+SIM_Parametres!$B$6)^(2021-2023)</f>
        <v>174828.91884249222</v>
      </c>
      <c r="H406" s="125">
        <f>MAX(0,MIN(100,SIM_Districts!F51+(2021-2022)*SIM_Parametres!$B$7))</f>
        <v>38.129999999999995</v>
      </c>
      <c r="I406" s="125">
        <f>SIM_Districts!G51*(1+SIM_Parametres!$B$8)^(2021-2023)</f>
        <v>45.269352648257133</v>
      </c>
      <c r="J406" s="125">
        <f>SIM_Districts!H51*(1+SIM_Parametres!$B$9)^(2021-2023)</f>
        <v>28.271604938271601</v>
      </c>
      <c r="K406" s="125">
        <f>MAX(0,MIN(100,SIM_Districts!I51+(2021-2023)*SIM_Parametres!$B$10))</f>
        <v>81.900000000000006</v>
      </c>
      <c r="L406" s="125">
        <f>SIM_Districts!E51</f>
        <v>6989</v>
      </c>
      <c r="M406" s="61">
        <f t="shared" si="220"/>
        <v>25.014868914364317</v>
      </c>
      <c r="N406" s="125">
        <f>N335*(1+SIM_Parametres!$B$6)/(1+SIM_Parametres!$B$11)</f>
        <v>89545</v>
      </c>
      <c r="O406" s="132"/>
      <c r="P406" s="126">
        <f>SIM_Parametres!$D$27</f>
        <v>0</v>
      </c>
      <c r="Q406" s="126">
        <f>SIM_Parametres!$B$12</f>
        <v>0.2</v>
      </c>
      <c r="R406" s="66">
        <f t="shared" si="225"/>
        <v>1.0232375032466479E-2</v>
      </c>
      <c r="S406" s="66">
        <f t="shared" si="226"/>
        <v>0.49645390070921974</v>
      </c>
      <c r="T406" s="66">
        <f t="shared" si="227"/>
        <v>0.84806629834254132</v>
      </c>
      <c r="U406" s="66">
        <f t="shared" si="228"/>
        <v>0.74145452539080836</v>
      </c>
      <c r="V406" s="66">
        <f t="shared" si="229"/>
        <v>0.20906585970196906</v>
      </c>
      <c r="W406" s="66">
        <f t="shared" si="230"/>
        <v>1.1836820968082853E-2</v>
      </c>
      <c r="X406" s="66">
        <f t="shared" si="231"/>
        <v>1.6782375772153281E-2</v>
      </c>
      <c r="Y406" s="66">
        <f t="shared" si="232"/>
        <v>1.8943947707894718E-2</v>
      </c>
      <c r="Z406" s="66">
        <f t="shared" si="233"/>
        <v>7.6734173990574452E-3</v>
      </c>
      <c r="AA406" s="66">
        <f t="shared" si="221"/>
        <v>1.1763172785862915E-2</v>
      </c>
      <c r="AB406" s="66">
        <f t="shared" si="234"/>
        <v>1.2647508052767681E-2</v>
      </c>
      <c r="AC406" s="67">
        <f t="shared" si="222"/>
        <v>15996374.625674883</v>
      </c>
      <c r="AD406" s="67">
        <f t="shared" si="195"/>
        <v>16545923.177471997</v>
      </c>
      <c r="AE406" s="66">
        <f t="shared" si="236"/>
        <v>3.1999999999999362E-2</v>
      </c>
      <c r="AF406" s="67">
        <f t="shared" si="196"/>
        <v>16545923.177471997</v>
      </c>
      <c r="AG406" s="67">
        <f t="shared" si="235"/>
        <v>1.0000000000000004</v>
      </c>
      <c r="AH406" s="67">
        <f t="shared" si="197"/>
        <v>16545923.177472005</v>
      </c>
      <c r="AI406" s="67">
        <f t="shared" si="223"/>
        <v>94.640653771809028</v>
      </c>
      <c r="AJ406" s="67">
        <f t="shared" si="224"/>
        <v>0</v>
      </c>
      <c r="AK406" s="66">
        <f t="shared" si="237"/>
        <v>3.1999999999999806E-2</v>
      </c>
    </row>
    <row r="407" spans="1:37" ht="12.75" customHeight="1" x14ac:dyDescent="0.25">
      <c r="A407" s="55" t="s">
        <v>646</v>
      </c>
      <c r="B407" s="55" t="s">
        <v>435</v>
      </c>
      <c r="C407" s="55" t="s">
        <v>439</v>
      </c>
      <c r="D407" s="128">
        <v>2021</v>
      </c>
      <c r="E407" s="55" t="s">
        <v>676</v>
      </c>
      <c r="F407" s="57">
        <f>SIM_Parametres!$C$27</f>
        <v>1308235828.6264319</v>
      </c>
      <c r="G407" s="129">
        <f>SIM_Districts!D52*(1+SIM_Parametres!$B$6)^(2021-2023)</f>
        <v>287483.26892261289</v>
      </c>
      <c r="H407" s="129">
        <f>MAX(0,MIN(100,SIM_Districts!F52+(2021-2022)*SIM_Parametres!$B$7))</f>
        <v>38.129999999999995</v>
      </c>
      <c r="I407" s="129">
        <f>SIM_Districts!G52*(1+SIM_Parametres!$B$8)^(2021-2023)</f>
        <v>45.269352648257133</v>
      </c>
      <c r="J407" s="129">
        <f>SIM_Districts!H52*(1+SIM_Parametres!$B$9)^(2021-2023)</f>
        <v>28.271604938271601</v>
      </c>
      <c r="K407" s="129">
        <f>MAX(0,MIN(100,SIM_Districts!I52+(2021-2023)*SIM_Parametres!$B$10))</f>
        <v>81.900000000000006</v>
      </c>
      <c r="L407" s="129">
        <f>SIM_Districts!E52</f>
        <v>5859</v>
      </c>
      <c r="M407" s="68">
        <f t="shared" si="220"/>
        <v>49.066951514356184</v>
      </c>
      <c r="N407" s="129">
        <f>N336*(1+SIM_Parametres!$B$6)/(1+SIM_Parametres!$B$11)</f>
        <v>89545</v>
      </c>
      <c r="O407" s="72"/>
      <c r="P407" s="130">
        <f>SIM_Parametres!$D$27</f>
        <v>0</v>
      </c>
      <c r="Q407" s="130">
        <f>SIM_Parametres!$B$12</f>
        <v>0.2</v>
      </c>
      <c r="R407" s="59">
        <f t="shared" si="225"/>
        <v>1.6825801146924581E-2</v>
      </c>
      <c r="S407" s="59">
        <f t="shared" si="226"/>
        <v>0.49645390070921974</v>
      </c>
      <c r="T407" s="59">
        <f t="shared" si="227"/>
        <v>0.84806629834254132</v>
      </c>
      <c r="U407" s="59">
        <f t="shared" si="228"/>
        <v>0.70194995546768002</v>
      </c>
      <c r="V407" s="59">
        <f t="shared" si="229"/>
        <v>0.20906585970196906</v>
      </c>
      <c r="W407" s="59">
        <f t="shared" si="230"/>
        <v>1.1836820968082853E-2</v>
      </c>
      <c r="X407" s="59">
        <f t="shared" si="231"/>
        <v>1.6782375772153281E-2</v>
      </c>
      <c r="Y407" s="59">
        <f t="shared" si="232"/>
        <v>1.7934617423677815E-2</v>
      </c>
      <c r="Z407" s="59">
        <f t="shared" si="233"/>
        <v>7.6734173990574452E-3</v>
      </c>
      <c r="AA407" s="59">
        <f t="shared" si="221"/>
        <v>1.5668761940326931E-2</v>
      </c>
      <c r="AB407" s="59">
        <f t="shared" si="234"/>
        <v>1.5369570367831271E-2</v>
      </c>
      <c r="AC407" s="60">
        <f t="shared" si="222"/>
        <v>20083919.956686594</v>
      </c>
      <c r="AD407" s="60">
        <f t="shared" si="195"/>
        <v>20107022.625791997</v>
      </c>
      <c r="AE407" s="59">
        <f t="shared" si="236"/>
        <v>3.1999999999999362E-2</v>
      </c>
      <c r="AF407" s="60">
        <f t="shared" si="196"/>
        <v>20107022.625791997</v>
      </c>
      <c r="AG407" s="60">
        <f t="shared" si="235"/>
        <v>1.0000000000000004</v>
      </c>
      <c r="AH407" s="60">
        <f t="shared" si="197"/>
        <v>20107022.625792004</v>
      </c>
      <c r="AI407" s="60">
        <f t="shared" si="223"/>
        <v>69.941540254311562</v>
      </c>
      <c r="AJ407" s="60">
        <f t="shared" si="224"/>
        <v>0</v>
      </c>
      <c r="AK407" s="59">
        <f t="shared" si="237"/>
        <v>3.1999999999999806E-2</v>
      </c>
    </row>
    <row r="408" spans="1:37" ht="12.75" customHeight="1" x14ac:dyDescent="0.25">
      <c r="A408" s="62" t="s">
        <v>647</v>
      </c>
      <c r="B408" s="62" t="s">
        <v>435</v>
      </c>
      <c r="C408" s="62" t="s">
        <v>440</v>
      </c>
      <c r="D408" s="124">
        <v>2021</v>
      </c>
      <c r="E408" s="62" t="s">
        <v>676</v>
      </c>
      <c r="F408" s="64">
        <f>SIM_Parametres!$C$27</f>
        <v>1308235828.6264319</v>
      </c>
      <c r="G408" s="125">
        <f>SIM_Districts!D53*(1+SIM_Parametres!$B$6)^(2021-2023)</f>
        <v>208680.36572721275</v>
      </c>
      <c r="H408" s="125">
        <f>MAX(0,MIN(100,SIM_Districts!F53+(2021-2022)*SIM_Parametres!$B$7))</f>
        <v>38.129999999999995</v>
      </c>
      <c r="I408" s="125">
        <f>SIM_Districts!G53*(1+SIM_Parametres!$B$8)^(2021-2023)</f>
        <v>45.269352648257133</v>
      </c>
      <c r="J408" s="125">
        <f>SIM_Districts!H53*(1+SIM_Parametres!$B$9)^(2021-2023)</f>
        <v>28.271604938271601</v>
      </c>
      <c r="K408" s="125">
        <f>MAX(0,MIN(100,SIM_Districts!I53+(2021-2023)*SIM_Parametres!$B$10))</f>
        <v>81.900000000000006</v>
      </c>
      <c r="L408" s="125">
        <f>SIM_Districts!E53</f>
        <v>3143</v>
      </c>
      <c r="M408" s="61">
        <f t="shared" si="220"/>
        <v>66.395280218648665</v>
      </c>
      <c r="N408" s="125">
        <f>N337*(1+SIM_Parametres!$B$6)/(1+SIM_Parametres!$B$11)</f>
        <v>89545</v>
      </c>
      <c r="O408" s="132"/>
      <c r="P408" s="126">
        <f>SIM_Parametres!$D$27</f>
        <v>0</v>
      </c>
      <c r="Q408" s="126">
        <f>SIM_Parametres!$B$12</f>
        <v>0.2</v>
      </c>
      <c r="R408" s="66">
        <f t="shared" si="225"/>
        <v>1.2213630205863408E-2</v>
      </c>
      <c r="S408" s="66">
        <f t="shared" si="226"/>
        <v>0.49645390070921974</v>
      </c>
      <c r="T408" s="66">
        <f t="shared" si="227"/>
        <v>0.84806629834254132</v>
      </c>
      <c r="U408" s="66">
        <f t="shared" si="228"/>
        <v>0.60760654420796101</v>
      </c>
      <c r="V408" s="66">
        <f t="shared" si="229"/>
        <v>0.20906585970196906</v>
      </c>
      <c r="W408" s="66">
        <f t="shared" si="230"/>
        <v>1.1836820968082853E-2</v>
      </c>
      <c r="X408" s="66">
        <f t="shared" si="231"/>
        <v>1.6782375772153281E-2</v>
      </c>
      <c r="Y408" s="66">
        <f t="shared" si="232"/>
        <v>1.5524170675717782E-2</v>
      </c>
      <c r="Z408" s="66">
        <f t="shared" si="233"/>
        <v>7.6734173990574452E-3</v>
      </c>
      <c r="AA408" s="66">
        <f t="shared" si="221"/>
        <v>1.2780937038292226E-2</v>
      </c>
      <c r="AB408" s="66">
        <f t="shared" si="234"/>
        <v>1.3896800232551496E-2</v>
      </c>
      <c r="AC408" s="67">
        <f t="shared" si="222"/>
        <v>17061555.153773461</v>
      </c>
      <c r="AD408" s="67">
        <f t="shared" si="195"/>
        <v>18180291.967487998</v>
      </c>
      <c r="AE408" s="66">
        <f t="shared" si="236"/>
        <v>3.1999999999999362E-2</v>
      </c>
      <c r="AF408" s="67">
        <f t="shared" si="196"/>
        <v>18180291.967487998</v>
      </c>
      <c r="AG408" s="67">
        <f t="shared" si="235"/>
        <v>1.0000000000000004</v>
      </c>
      <c r="AH408" s="67">
        <f t="shared" si="197"/>
        <v>18180291.967488006</v>
      </c>
      <c r="AI408" s="67">
        <f t="shared" si="223"/>
        <v>87.120280358590648</v>
      </c>
      <c r="AJ408" s="67">
        <f t="shared" si="224"/>
        <v>0</v>
      </c>
      <c r="AK408" s="66">
        <f t="shared" si="237"/>
        <v>3.1999999999999806E-2</v>
      </c>
    </row>
    <row r="409" spans="1:37" ht="12.75" customHeight="1" x14ac:dyDescent="0.25">
      <c r="A409" s="55" t="s">
        <v>648</v>
      </c>
      <c r="B409" s="55" t="s">
        <v>435</v>
      </c>
      <c r="C409" s="55" t="s">
        <v>435</v>
      </c>
      <c r="D409" s="128">
        <v>2021</v>
      </c>
      <c r="E409" s="55" t="s">
        <v>676</v>
      </c>
      <c r="F409" s="57">
        <f>SIM_Parametres!$C$27</f>
        <v>1308235828.6264319</v>
      </c>
      <c r="G409" s="129">
        <f>SIM_Districts!D54*(1+SIM_Parametres!$B$6)^(2021-2023)</f>
        <v>369719.10641907813</v>
      </c>
      <c r="H409" s="129">
        <f>MAX(0,MIN(100,SIM_Districts!F54+(2021-2022)*SIM_Parametres!$B$7))</f>
        <v>38.129999999999995</v>
      </c>
      <c r="I409" s="129">
        <f>SIM_Districts!G54*(1+SIM_Parametres!$B$8)^(2021-2023)</f>
        <v>45.269352648257133</v>
      </c>
      <c r="J409" s="129">
        <f>SIM_Districts!H54*(1+SIM_Parametres!$B$9)^(2021-2023)</f>
        <v>28.271604938271601</v>
      </c>
      <c r="K409" s="129">
        <f>MAX(0,MIN(100,SIM_Districts!I54+(2021-2023)*SIM_Parametres!$B$10))</f>
        <v>81.900000000000006</v>
      </c>
      <c r="L409" s="129">
        <f>SIM_Districts!E54</f>
        <v>802</v>
      </c>
      <c r="M409" s="68">
        <f t="shared" si="220"/>
        <v>460.9963920437383</v>
      </c>
      <c r="N409" s="129">
        <f>N338*(1+SIM_Parametres!$B$6)/(1+SIM_Parametres!$B$11)</f>
        <v>89545</v>
      </c>
      <c r="O409" s="72"/>
      <c r="P409" s="130">
        <f>SIM_Parametres!$D$27</f>
        <v>0</v>
      </c>
      <c r="Q409" s="130">
        <f>SIM_Parametres!$B$12</f>
        <v>0.2</v>
      </c>
      <c r="R409" s="59">
        <f t="shared" si="225"/>
        <v>2.1638894632510348E-2</v>
      </c>
      <c r="S409" s="59">
        <f t="shared" si="226"/>
        <v>0.49645390070921974</v>
      </c>
      <c r="T409" s="59">
        <f t="shared" si="227"/>
        <v>0.84806629834254132</v>
      </c>
      <c r="U409" s="59">
        <f t="shared" si="228"/>
        <v>0.52059263207206896</v>
      </c>
      <c r="V409" s="59">
        <f t="shared" si="229"/>
        <v>0.20906585970196906</v>
      </c>
      <c r="W409" s="59">
        <f t="shared" si="230"/>
        <v>1.1836820968082853E-2</v>
      </c>
      <c r="X409" s="59">
        <f t="shared" si="231"/>
        <v>1.6782375772153281E-2</v>
      </c>
      <c r="Y409" s="59">
        <f t="shared" si="232"/>
        <v>1.3300990500921699E-2</v>
      </c>
      <c r="Z409" s="59">
        <f t="shared" si="233"/>
        <v>7.6734173990574452E-3</v>
      </c>
      <c r="AA409" s="59">
        <f t="shared" si="221"/>
        <v>1.8324936685540586E-2</v>
      </c>
      <c r="AB409" s="59">
        <f t="shared" si="234"/>
        <v>1.3760697116798313E-2</v>
      </c>
      <c r="AC409" s="60">
        <f t="shared" si="222"/>
        <v>22863842.331711542</v>
      </c>
      <c r="AD409" s="60">
        <f t="shared" ref="AD409:AD472" si="238">F409*((1-P409)*AB409+P409*(Q409/71+(1-Q409)*AA409))</f>
        <v>18002236.995071992</v>
      </c>
      <c r="AE409" s="59">
        <f t="shared" si="236"/>
        <v>3.1999999999999362E-2</v>
      </c>
      <c r="AF409" s="60">
        <f t="shared" ref="AF409:AF472" si="239">AD409</f>
        <v>18002236.995071992</v>
      </c>
      <c r="AG409" s="60">
        <f t="shared" si="235"/>
        <v>1.0000000000000004</v>
      </c>
      <c r="AH409" s="60">
        <f t="shared" ref="AH409:AH472" si="240">AF409*AG409</f>
        <v>18002236.995072</v>
      </c>
      <c r="AI409" s="60">
        <f t="shared" si="223"/>
        <v>48.691659918344577</v>
      </c>
      <c r="AJ409" s="60">
        <f t="shared" si="224"/>
        <v>0</v>
      </c>
      <c r="AK409" s="59">
        <f t="shared" si="237"/>
        <v>3.1999999999999806E-2</v>
      </c>
    </row>
    <row r="410" spans="1:37" ht="12.75" customHeight="1" x14ac:dyDescent="0.25">
      <c r="A410" s="62" t="s">
        <v>649</v>
      </c>
      <c r="B410" s="62" t="s">
        <v>441</v>
      </c>
      <c r="C410" s="62" t="s">
        <v>443</v>
      </c>
      <c r="D410" s="124">
        <v>2021</v>
      </c>
      <c r="E410" s="62" t="s">
        <v>676</v>
      </c>
      <c r="F410" s="64">
        <f>SIM_Parametres!$C$27</f>
        <v>1308235828.6264319</v>
      </c>
      <c r="G410" s="125">
        <f>SIM_Districts!D55*(1+SIM_Parametres!$B$6)^(2021-2023)</f>
        <v>272332.92487510602</v>
      </c>
      <c r="H410" s="125">
        <f>MAX(0,MIN(100,SIM_Districts!F55+(2021-2022)*SIM_Parametres!$B$7))</f>
        <v>65.23</v>
      </c>
      <c r="I410" s="125">
        <f>SIM_Districts!G55*(1+SIM_Parametres!$B$8)^(2021-2023)</f>
        <v>45.269352648257133</v>
      </c>
      <c r="J410" s="125">
        <f>SIM_Districts!H55*(1+SIM_Parametres!$B$9)^(2021-2023)</f>
        <v>30.246913580246911</v>
      </c>
      <c r="K410" s="125">
        <f>MAX(0,MIN(100,SIM_Districts!I55+(2021-2023)*SIM_Parametres!$B$10))</f>
        <v>77.599999999999994</v>
      </c>
      <c r="L410" s="125">
        <f>SIM_Districts!E55</f>
        <v>2865</v>
      </c>
      <c r="M410" s="61">
        <f t="shared" si="220"/>
        <v>95.055122120455849</v>
      </c>
      <c r="N410" s="125">
        <f>N339*(1+SIM_Parametres!$B$6)/(1+SIM_Parametres!$B$11)</f>
        <v>178218</v>
      </c>
      <c r="O410" s="132"/>
      <c r="P410" s="126">
        <f>SIM_Parametres!$D$27</f>
        <v>0</v>
      </c>
      <c r="Q410" s="126">
        <f>SIM_Parametres!$B$12</f>
        <v>0.2</v>
      </c>
      <c r="R410" s="66">
        <f t="shared" si="225"/>
        <v>1.5939082844304113E-2</v>
      </c>
      <c r="S410" s="66">
        <f t="shared" si="226"/>
        <v>0.97695035460992907</v>
      </c>
      <c r="T410" s="66">
        <f t="shared" si="227"/>
        <v>0.89226519337016574</v>
      </c>
      <c r="U410" s="66">
        <f t="shared" si="228"/>
        <v>0.59754648703547386</v>
      </c>
      <c r="V410" s="66">
        <f t="shared" si="229"/>
        <v>0.82451294081719062</v>
      </c>
      <c r="W410" s="66">
        <f t="shared" si="230"/>
        <v>2.3293172690763048E-2</v>
      </c>
      <c r="X410" s="66">
        <f t="shared" si="231"/>
        <v>1.7657027278193845E-2</v>
      </c>
      <c r="Y410" s="66">
        <f t="shared" si="232"/>
        <v>1.526713913772349E-2</v>
      </c>
      <c r="Z410" s="66">
        <f t="shared" si="233"/>
        <v>3.0262386957075536E-2</v>
      </c>
      <c r="AA410" s="66">
        <f t="shared" si="221"/>
        <v>1.7982456006665953E-2</v>
      </c>
      <c r="AB410" s="66">
        <f t="shared" si="234"/>
        <v>1.272480118023245E-2</v>
      </c>
      <c r="AC410" s="67">
        <f t="shared" si="222"/>
        <v>22505405.935938664</v>
      </c>
      <c r="AD410" s="67">
        <f t="shared" si="238"/>
        <v>16647040.816127999</v>
      </c>
      <c r="AE410" s="66">
        <f t="shared" si="236"/>
        <v>3.1999999999999362E-2</v>
      </c>
      <c r="AF410" s="67">
        <f t="shared" si="239"/>
        <v>16647040.816127999</v>
      </c>
      <c r="AG410" s="67">
        <f t="shared" si="235"/>
        <v>1.0000000000000004</v>
      </c>
      <c r="AH410" s="67">
        <f t="shared" si="240"/>
        <v>16647040.816128006</v>
      </c>
      <c r="AI410" s="67">
        <f t="shared" si="223"/>
        <v>61.127536539191752</v>
      </c>
      <c r="AJ410" s="67">
        <f t="shared" si="224"/>
        <v>0</v>
      </c>
      <c r="AK410" s="66">
        <f t="shared" si="237"/>
        <v>3.1999999999999806E-2</v>
      </c>
    </row>
    <row r="411" spans="1:37" ht="12.75" customHeight="1" x14ac:dyDescent="0.25">
      <c r="A411" s="55" t="s">
        <v>651</v>
      </c>
      <c r="B411" s="55" t="s">
        <v>441</v>
      </c>
      <c r="C411" s="55" t="s">
        <v>441</v>
      </c>
      <c r="D411" s="128">
        <v>2021</v>
      </c>
      <c r="E411" s="55" t="s">
        <v>676</v>
      </c>
      <c r="F411" s="57">
        <f>SIM_Parametres!$C$27</f>
        <v>1308235828.6264319</v>
      </c>
      <c r="G411" s="129">
        <f>SIM_Districts!D56*(1+SIM_Parametres!$B$6)^(2021-2023)</f>
        <v>283106.79611650488</v>
      </c>
      <c r="H411" s="129">
        <f>MAX(0,MIN(100,SIM_Districts!F56+(2021-2022)*SIM_Parametres!$B$7))</f>
        <v>65.23</v>
      </c>
      <c r="I411" s="129">
        <f>SIM_Districts!G56*(1+SIM_Parametres!$B$8)^(2021-2023)</f>
        <v>45.269352648257133</v>
      </c>
      <c r="J411" s="129">
        <f>SIM_Districts!H56*(1+SIM_Parametres!$B$9)^(2021-2023)</f>
        <v>30.246913580246911</v>
      </c>
      <c r="K411" s="129">
        <f>MAX(0,MIN(100,SIM_Districts!I56+(2021-2023)*SIM_Parametres!$B$10))</f>
        <v>77.599999999999994</v>
      </c>
      <c r="L411" s="129">
        <f>SIM_Districts!E56</f>
        <v>2749</v>
      </c>
      <c r="M411" s="68">
        <f t="shared" si="220"/>
        <v>102.98537508785191</v>
      </c>
      <c r="N411" s="129">
        <f>N340*(1+SIM_Parametres!$B$6)/(1+SIM_Parametres!$B$11)</f>
        <v>178218</v>
      </c>
      <c r="O411" s="72"/>
      <c r="P411" s="130">
        <f>SIM_Parametres!$D$27</f>
        <v>0</v>
      </c>
      <c r="Q411" s="130">
        <f>SIM_Parametres!$B$12</f>
        <v>0.2</v>
      </c>
      <c r="R411" s="59">
        <f t="shared" si="225"/>
        <v>1.6569655245159708E-2</v>
      </c>
      <c r="S411" s="59">
        <f t="shared" si="226"/>
        <v>0.97695035460992907</v>
      </c>
      <c r="T411" s="59">
        <f t="shared" si="227"/>
        <v>0.89226519337016574</v>
      </c>
      <c r="U411" s="59">
        <f t="shared" si="228"/>
        <v>0.59340921006518599</v>
      </c>
      <c r="V411" s="59">
        <f t="shared" si="229"/>
        <v>0.82451294081719062</v>
      </c>
      <c r="W411" s="59">
        <f t="shared" si="230"/>
        <v>2.3293172690763048E-2</v>
      </c>
      <c r="X411" s="59">
        <f t="shared" si="231"/>
        <v>1.7657027278193845E-2</v>
      </c>
      <c r="Y411" s="59">
        <f t="shared" si="232"/>
        <v>1.5161432913141612E-2</v>
      </c>
      <c r="Z411" s="59">
        <f t="shared" si="233"/>
        <v>3.0262386957075536E-2</v>
      </c>
      <c r="AA411" s="59">
        <f t="shared" si="221"/>
        <v>1.8355514135950216E-2</v>
      </c>
      <c r="AB411" s="59">
        <f t="shared" si="234"/>
        <v>1.4496662113093283E-2</v>
      </c>
      <c r="AC411" s="60">
        <f t="shared" si="222"/>
        <v>22895844.344650686</v>
      </c>
      <c r="AD411" s="60">
        <f t="shared" si="238"/>
        <v>18965052.771839995</v>
      </c>
      <c r="AE411" s="59">
        <f t="shared" si="236"/>
        <v>3.1999999999999362E-2</v>
      </c>
      <c r="AF411" s="60">
        <f t="shared" si="239"/>
        <v>18965052.771839995</v>
      </c>
      <c r="AG411" s="60">
        <f t="shared" si="235"/>
        <v>1.0000000000000004</v>
      </c>
      <c r="AH411" s="60">
        <f t="shared" si="240"/>
        <v>18965052.771840002</v>
      </c>
      <c r="AI411" s="60">
        <f t="shared" si="223"/>
        <v>66.989040997925926</v>
      </c>
      <c r="AJ411" s="60">
        <f t="shared" si="224"/>
        <v>0</v>
      </c>
      <c r="AK411" s="59">
        <f t="shared" si="237"/>
        <v>3.1999999999999806E-2</v>
      </c>
    </row>
    <row r="412" spans="1:37" ht="12.75" customHeight="1" x14ac:dyDescent="0.25">
      <c r="A412" s="62" t="s">
        <v>652</v>
      </c>
      <c r="B412" s="62" t="s">
        <v>444</v>
      </c>
      <c r="C412" s="62" t="s">
        <v>446</v>
      </c>
      <c r="D412" s="124">
        <v>2021</v>
      </c>
      <c r="E412" s="62" t="s">
        <v>676</v>
      </c>
      <c r="F412" s="64">
        <f>SIM_Parametres!$C$27</f>
        <v>1308235828.6264319</v>
      </c>
      <c r="G412" s="125">
        <f>SIM_Districts!D57*(1+SIM_Parametres!$B$6)^(2021-2023)</f>
        <v>142725.04477330568</v>
      </c>
      <c r="H412" s="125">
        <f>MAX(0,MIN(100,SIM_Districts!F57+(2021-2022)*SIM_Parametres!$B$7))</f>
        <v>63.629999999999995</v>
      </c>
      <c r="I412" s="125">
        <f>SIM_Districts!G57*(1+SIM_Parametres!$B$8)^(2021-2023)</f>
        <v>45.269352648257133</v>
      </c>
      <c r="J412" s="125">
        <f>SIM_Districts!H57*(1+SIM_Parametres!$B$9)^(2021-2023)</f>
        <v>29.012345679012345</v>
      </c>
      <c r="K412" s="125">
        <f>MAX(0,MIN(100,SIM_Districts!I57+(2021-2023)*SIM_Parametres!$B$10))</f>
        <v>81.599999999999994</v>
      </c>
      <c r="L412" s="125">
        <f>SIM_Districts!E57</f>
        <v>1360</v>
      </c>
      <c r="M412" s="61">
        <f t="shared" si="220"/>
        <v>104.94488586272476</v>
      </c>
      <c r="N412" s="125">
        <f>N341*(1+SIM_Parametres!$B$6)/(1+SIM_Parametres!$B$11)</f>
        <v>71159</v>
      </c>
      <c r="O412" s="132"/>
      <c r="P412" s="126">
        <f>SIM_Parametres!$D$27</f>
        <v>0</v>
      </c>
      <c r="Q412" s="126">
        <f>SIM_Parametres!$B$12</f>
        <v>0.2</v>
      </c>
      <c r="R412" s="66">
        <f t="shared" si="225"/>
        <v>8.353401681570536E-3</v>
      </c>
      <c r="S412" s="66">
        <f t="shared" si="226"/>
        <v>0.94858156028368779</v>
      </c>
      <c r="T412" s="66">
        <f t="shared" si="227"/>
        <v>0.86464088397790062</v>
      </c>
      <c r="U412" s="66">
        <f t="shared" si="228"/>
        <v>0.54526424876049684</v>
      </c>
      <c r="V412" s="66">
        <f t="shared" si="229"/>
        <v>8.1455312710388056E-2</v>
      </c>
      <c r="W412" s="66">
        <f t="shared" si="230"/>
        <v>2.2616782921158311E-2</v>
      </c>
      <c r="X412" s="66">
        <f t="shared" si="231"/>
        <v>1.7110370086918496E-2</v>
      </c>
      <c r="Y412" s="66">
        <f t="shared" si="232"/>
        <v>1.3931343139431058E-2</v>
      </c>
      <c r="Z412" s="66">
        <f t="shared" si="233"/>
        <v>2.9896828429499429E-3</v>
      </c>
      <c r="AA412" s="66">
        <f t="shared" si="221"/>
        <v>1.1817165259272892E-2</v>
      </c>
      <c r="AB412" s="66">
        <f t="shared" si="234"/>
        <v>1.4601679949322589E-2</v>
      </c>
      <c r="AC412" s="67">
        <f t="shared" si="222"/>
        <v>16052882.536227757</v>
      </c>
      <c r="AD412" s="67">
        <f t="shared" si="238"/>
        <v>19102440.867839992</v>
      </c>
      <c r="AE412" s="66">
        <f t="shared" si="236"/>
        <v>3.1999999999999362E-2</v>
      </c>
      <c r="AF412" s="67">
        <f t="shared" si="239"/>
        <v>19102440.867839992</v>
      </c>
      <c r="AG412" s="67">
        <f t="shared" si="235"/>
        <v>1.0000000000000004</v>
      </c>
      <c r="AH412" s="67">
        <f t="shared" si="240"/>
        <v>19102440.867839999</v>
      </c>
      <c r="AI412" s="67">
        <f t="shared" si="223"/>
        <v>133.84084691079244</v>
      </c>
      <c r="AJ412" s="67">
        <f t="shared" si="224"/>
        <v>0</v>
      </c>
      <c r="AK412" s="66">
        <f t="shared" si="237"/>
        <v>3.1999999999999806E-2</v>
      </c>
    </row>
    <row r="413" spans="1:37" ht="12.75" customHeight="1" x14ac:dyDescent="0.25">
      <c r="A413" s="55" t="s">
        <v>654</v>
      </c>
      <c r="B413" s="55" t="s">
        <v>444</v>
      </c>
      <c r="C413" s="55" t="s">
        <v>447</v>
      </c>
      <c r="D413" s="128">
        <v>2021</v>
      </c>
      <c r="E413" s="55" t="s">
        <v>676</v>
      </c>
      <c r="F413" s="57">
        <f>SIM_Parametres!$C$27</f>
        <v>1308235828.6264319</v>
      </c>
      <c r="G413" s="129">
        <f>SIM_Districts!D58*(1+SIM_Parametres!$B$6)^(2021-2023)</f>
        <v>69990.574040908657</v>
      </c>
      <c r="H413" s="129">
        <f>MAX(0,MIN(100,SIM_Districts!F58+(2021-2022)*SIM_Parametres!$B$7))</f>
        <v>63.629999999999995</v>
      </c>
      <c r="I413" s="129">
        <f>SIM_Districts!G58*(1+SIM_Parametres!$B$8)^(2021-2023)</f>
        <v>45.269352648257133</v>
      </c>
      <c r="J413" s="129">
        <f>SIM_Districts!H58*(1+SIM_Parametres!$B$9)^(2021-2023)</f>
        <v>29.012345679012345</v>
      </c>
      <c r="K413" s="129">
        <f>MAX(0,MIN(100,SIM_Districts!I58+(2021-2023)*SIM_Parametres!$B$10))</f>
        <v>81.599999999999994</v>
      </c>
      <c r="L413" s="129">
        <f>SIM_Districts!E58</f>
        <v>6089</v>
      </c>
      <c r="M413" s="68">
        <f t="shared" si="220"/>
        <v>11.494592550650133</v>
      </c>
      <c r="N413" s="129">
        <f>N342*(1+SIM_Parametres!$B$6)/(1+SIM_Parametres!$B$11)</f>
        <v>71159</v>
      </c>
      <c r="O413" s="72"/>
      <c r="P413" s="130">
        <f>SIM_Parametres!$D$27</f>
        <v>0</v>
      </c>
      <c r="Q413" s="130">
        <f>SIM_Parametres!$B$12</f>
        <v>0.2</v>
      </c>
      <c r="R413" s="59">
        <f t="shared" si="225"/>
        <v>4.0964035416211986E-3</v>
      </c>
      <c r="S413" s="59">
        <f t="shared" si="226"/>
        <v>0.94858156028368779</v>
      </c>
      <c r="T413" s="59">
        <f t="shared" si="227"/>
        <v>0.86464088397790062</v>
      </c>
      <c r="U413" s="59">
        <f t="shared" si="228"/>
        <v>0.71048099676349064</v>
      </c>
      <c r="V413" s="59">
        <f t="shared" si="229"/>
        <v>8.1455312710388056E-2</v>
      </c>
      <c r="W413" s="59">
        <f t="shared" si="230"/>
        <v>2.2616782921158311E-2</v>
      </c>
      <c r="X413" s="59">
        <f t="shared" si="231"/>
        <v>1.7110370086918496E-2</v>
      </c>
      <c r="Y413" s="59">
        <f t="shared" si="232"/>
        <v>1.8152583050250182E-2</v>
      </c>
      <c r="Z413" s="59">
        <f t="shared" si="233"/>
        <v>2.9896828429499429E-3</v>
      </c>
      <c r="AA413" s="59">
        <f t="shared" si="221"/>
        <v>9.4740283708442466E-3</v>
      </c>
      <c r="AB413" s="59">
        <f t="shared" si="234"/>
        <v>1.2162745720733208E-2</v>
      </c>
      <c r="AC413" s="60">
        <f t="shared" si="222"/>
        <v>13600582.03317287</v>
      </c>
      <c r="AD413" s="60">
        <f t="shared" si="238"/>
        <v>15911739.726335999</v>
      </c>
      <c r="AE413" s="59">
        <f t="shared" si="236"/>
        <v>3.1999999999999362E-2</v>
      </c>
      <c r="AF413" s="60">
        <f t="shared" si="239"/>
        <v>15911739.726335999</v>
      </c>
      <c r="AG413" s="60">
        <f t="shared" si="235"/>
        <v>1.0000000000000004</v>
      </c>
      <c r="AH413" s="60">
        <f t="shared" si="240"/>
        <v>15911739.726336006</v>
      </c>
      <c r="AI413" s="60">
        <f t="shared" si="223"/>
        <v>227.3411805000454</v>
      </c>
      <c r="AJ413" s="60">
        <f t="shared" si="224"/>
        <v>0</v>
      </c>
      <c r="AK413" s="59">
        <f t="shared" si="237"/>
        <v>3.1999999999999806E-2</v>
      </c>
    </row>
    <row r="414" spans="1:37" ht="12.75" customHeight="1" x14ac:dyDescent="0.25">
      <c r="A414" s="62" t="s">
        <v>655</v>
      </c>
      <c r="B414" s="62" t="s">
        <v>444</v>
      </c>
      <c r="C414" s="62" t="s">
        <v>448</v>
      </c>
      <c r="D414" s="124">
        <v>2021</v>
      </c>
      <c r="E414" s="62" t="s">
        <v>676</v>
      </c>
      <c r="F414" s="64">
        <f>SIM_Parametres!$C$27</f>
        <v>1308235828.6264319</v>
      </c>
      <c r="G414" s="125">
        <f>SIM_Districts!D59*(1+SIM_Parametres!$B$6)^(2021-2023)</f>
        <v>123296.25789424074</v>
      </c>
      <c r="H414" s="125">
        <f>MAX(0,MIN(100,SIM_Districts!F59+(2021-2022)*SIM_Parametres!$B$7))</f>
        <v>63.629999999999995</v>
      </c>
      <c r="I414" s="125">
        <f>SIM_Districts!G59*(1+SIM_Parametres!$B$8)^(2021-2023)</f>
        <v>45.269352648257133</v>
      </c>
      <c r="J414" s="125">
        <f>SIM_Districts!H59*(1+SIM_Parametres!$B$9)^(2021-2023)</f>
        <v>29.012345679012345</v>
      </c>
      <c r="K414" s="125">
        <f>MAX(0,MIN(100,SIM_Districts!I59+(2021-2023)*SIM_Parametres!$B$10))</f>
        <v>81.599999999999994</v>
      </c>
      <c r="L414" s="125">
        <f>SIM_Districts!E59</f>
        <v>9596</v>
      </c>
      <c r="M414" s="61">
        <f t="shared" si="220"/>
        <v>12.848713828078443</v>
      </c>
      <c r="N414" s="125">
        <f>N343*(1+SIM_Parametres!$B$6)/(1+SIM_Parametres!$B$11)</f>
        <v>71159</v>
      </c>
      <c r="O414" s="132"/>
      <c r="P414" s="126">
        <f>SIM_Parametres!$D$27</f>
        <v>0</v>
      </c>
      <c r="Q414" s="126">
        <f>SIM_Parametres!$B$12</f>
        <v>0.2</v>
      </c>
      <c r="R414" s="66">
        <f t="shared" si="225"/>
        <v>7.2162749688465238E-3</v>
      </c>
      <c r="S414" s="66">
        <f t="shared" si="226"/>
        <v>0.94858156028368779</v>
      </c>
      <c r="T414" s="66">
        <f t="shared" si="227"/>
        <v>0.86464088397790062</v>
      </c>
      <c r="U414" s="66">
        <f t="shared" si="228"/>
        <v>0.83194467542502515</v>
      </c>
      <c r="V414" s="66">
        <f t="shared" si="229"/>
        <v>8.1455312710388056E-2</v>
      </c>
      <c r="W414" s="66">
        <f t="shared" si="230"/>
        <v>2.2616782921158311E-2</v>
      </c>
      <c r="X414" s="66">
        <f t="shared" si="231"/>
        <v>1.7110370086918496E-2</v>
      </c>
      <c r="Y414" s="66">
        <f t="shared" si="232"/>
        <v>2.1255944751036645E-2</v>
      </c>
      <c r="Z414" s="66">
        <f t="shared" si="233"/>
        <v>2.9896828429499429E-3</v>
      </c>
      <c r="AA414" s="66">
        <f t="shared" si="221"/>
        <v>1.1501119312218765E-2</v>
      </c>
      <c r="AB414" s="66">
        <f t="shared" si="234"/>
        <v>1.2786971739280197E-2</v>
      </c>
      <c r="AC414" s="67">
        <f t="shared" si="222"/>
        <v>15722112.431085052</v>
      </c>
      <c r="AD414" s="67">
        <f t="shared" si="238"/>
        <v>16728374.568959996</v>
      </c>
      <c r="AE414" s="66">
        <f t="shared" si="236"/>
        <v>3.1999999999999362E-2</v>
      </c>
      <c r="AF414" s="67">
        <f t="shared" si="239"/>
        <v>16728374.568959996</v>
      </c>
      <c r="AG414" s="67">
        <f t="shared" si="235"/>
        <v>1.0000000000000004</v>
      </c>
      <c r="AH414" s="67">
        <f t="shared" si="240"/>
        <v>16728374.568960004</v>
      </c>
      <c r="AI414" s="67">
        <f t="shared" si="223"/>
        <v>135.67625534352408</v>
      </c>
      <c r="AJ414" s="67">
        <f t="shared" si="224"/>
        <v>0</v>
      </c>
      <c r="AK414" s="66">
        <f t="shared" si="237"/>
        <v>3.1999999999999806E-2</v>
      </c>
    </row>
    <row r="415" spans="1:37" ht="12.75" customHeight="1" x14ac:dyDescent="0.25">
      <c r="A415" s="55" t="s">
        <v>656</v>
      </c>
      <c r="B415" s="55" t="s">
        <v>444</v>
      </c>
      <c r="C415" s="55" t="s">
        <v>449</v>
      </c>
      <c r="D415" s="128">
        <v>2021</v>
      </c>
      <c r="E415" s="55" t="s">
        <v>676</v>
      </c>
      <c r="F415" s="57">
        <f>SIM_Parametres!$C$27</f>
        <v>1308235828.6264319</v>
      </c>
      <c r="G415" s="129">
        <f>SIM_Districts!D60*(1+SIM_Parametres!$B$6)^(2021-2023)</f>
        <v>90988.783108681309</v>
      </c>
      <c r="H415" s="129">
        <f>MAX(0,MIN(100,SIM_Districts!F60+(2021-2022)*SIM_Parametres!$B$7))</f>
        <v>63.629999999999995</v>
      </c>
      <c r="I415" s="129">
        <f>SIM_Districts!G60*(1+SIM_Parametres!$B$8)^(2021-2023)</f>
        <v>45.269352648257133</v>
      </c>
      <c r="J415" s="129">
        <f>SIM_Districts!H60*(1+SIM_Parametres!$B$9)^(2021-2023)</f>
        <v>29.012345679012345</v>
      </c>
      <c r="K415" s="129">
        <f>MAX(0,MIN(100,SIM_Districts!I60+(2021-2023)*SIM_Parametres!$B$10))</f>
        <v>81.599999999999994</v>
      </c>
      <c r="L415" s="129">
        <f>SIM_Districts!E60</f>
        <v>5363</v>
      </c>
      <c r="M415" s="68">
        <f t="shared" si="220"/>
        <v>16.966023328115106</v>
      </c>
      <c r="N415" s="129">
        <f>N344*(1+SIM_Parametres!$B$6)/(1+SIM_Parametres!$B$11)</f>
        <v>71159</v>
      </c>
      <c r="O415" s="72"/>
      <c r="P415" s="130">
        <f>SIM_Parametres!$D$27</f>
        <v>0</v>
      </c>
      <c r="Q415" s="130">
        <f>SIM_Parametres!$B$12</f>
        <v>0.2</v>
      </c>
      <c r="R415" s="59">
        <f t="shared" si="225"/>
        <v>5.3253852891155147E-3</v>
      </c>
      <c r="S415" s="59">
        <f t="shared" si="226"/>
        <v>0.94858156028368779</v>
      </c>
      <c r="T415" s="59">
        <f t="shared" si="227"/>
        <v>0.86464088397790062</v>
      </c>
      <c r="U415" s="59">
        <f t="shared" si="228"/>
        <v>0.68524994865574662</v>
      </c>
      <c r="V415" s="59">
        <f t="shared" si="229"/>
        <v>8.1455312710388056E-2</v>
      </c>
      <c r="W415" s="59">
        <f t="shared" si="230"/>
        <v>2.2616782921158311E-2</v>
      </c>
      <c r="X415" s="59">
        <f t="shared" si="231"/>
        <v>1.7110370086918496E-2</v>
      </c>
      <c r="Y415" s="59">
        <f t="shared" si="232"/>
        <v>1.7507937101509705E-2</v>
      </c>
      <c r="Z415" s="59">
        <f t="shared" si="233"/>
        <v>2.9896828429499429E-3</v>
      </c>
      <c r="AA415" s="59">
        <f t="shared" si="221"/>
        <v>1.0179185121903812E-2</v>
      </c>
      <c r="AB415" s="59">
        <f t="shared" si="234"/>
        <v>1.3375911764854141E-2</v>
      </c>
      <c r="AC415" s="60">
        <f t="shared" si="222"/>
        <v>14338591.094400017</v>
      </c>
      <c r="AD415" s="60">
        <f t="shared" si="238"/>
        <v>17498847.011327997</v>
      </c>
      <c r="AE415" s="59">
        <f t="shared" si="236"/>
        <v>3.1999999999999362E-2</v>
      </c>
      <c r="AF415" s="60">
        <f t="shared" si="239"/>
        <v>17498847.011327997</v>
      </c>
      <c r="AG415" s="60">
        <f t="shared" si="235"/>
        <v>1.0000000000000004</v>
      </c>
      <c r="AH415" s="60">
        <f t="shared" si="240"/>
        <v>17498847.011328004</v>
      </c>
      <c r="AI415" s="60">
        <f t="shared" si="223"/>
        <v>192.31872779776111</v>
      </c>
      <c r="AJ415" s="60">
        <f t="shared" si="224"/>
        <v>0</v>
      </c>
      <c r="AK415" s="59">
        <f t="shared" si="237"/>
        <v>3.1999999999999806E-2</v>
      </c>
    </row>
    <row r="416" spans="1:37" ht="12.75" customHeight="1" x14ac:dyDescent="0.25">
      <c r="A416" s="62" t="s">
        <v>657</v>
      </c>
      <c r="B416" s="62" t="s">
        <v>444</v>
      </c>
      <c r="C416" s="62" t="s">
        <v>450</v>
      </c>
      <c r="D416" s="124">
        <v>2021</v>
      </c>
      <c r="E416" s="62" t="s">
        <v>676</v>
      </c>
      <c r="F416" s="64">
        <f>SIM_Parametres!$C$27</f>
        <v>1308235828.6264319</v>
      </c>
      <c r="G416" s="125">
        <f>SIM_Districts!D61*(1+SIM_Parametres!$B$6)^(2021-2023)</f>
        <v>115618.8142143463</v>
      </c>
      <c r="H416" s="125">
        <f>MAX(0,MIN(100,SIM_Districts!F61+(2021-2022)*SIM_Parametres!$B$7))</f>
        <v>63.629999999999995</v>
      </c>
      <c r="I416" s="125">
        <f>SIM_Districts!G61*(1+SIM_Parametres!$B$8)^(2021-2023)</f>
        <v>45.269352648257133</v>
      </c>
      <c r="J416" s="125">
        <f>SIM_Districts!H61*(1+SIM_Parametres!$B$9)^(2021-2023)</f>
        <v>29.012345679012345</v>
      </c>
      <c r="K416" s="125">
        <f>MAX(0,MIN(100,SIM_Districts!I61+(2021-2023)*SIM_Parametres!$B$10))</f>
        <v>81.599999999999994</v>
      </c>
      <c r="L416" s="125">
        <f>SIM_Districts!E61</f>
        <v>2477</v>
      </c>
      <c r="M416" s="61">
        <f t="shared" si="220"/>
        <v>46.676953659405051</v>
      </c>
      <c r="N416" s="125">
        <f>N345*(1+SIM_Parametres!$B$6)/(1+SIM_Parametres!$B$11)</f>
        <v>71159</v>
      </c>
      <c r="O416" s="132"/>
      <c r="P416" s="126">
        <f>SIM_Parametres!$D$27</f>
        <v>0</v>
      </c>
      <c r="Q416" s="126">
        <f>SIM_Parametres!$B$12</f>
        <v>0.2</v>
      </c>
      <c r="R416" s="66">
        <f t="shared" si="225"/>
        <v>6.7669300690242308E-3</v>
      </c>
      <c r="S416" s="66">
        <f t="shared" si="226"/>
        <v>0.94858156028368779</v>
      </c>
      <c r="T416" s="66">
        <f t="shared" si="227"/>
        <v>0.86464088397790062</v>
      </c>
      <c r="U416" s="66">
        <f t="shared" si="228"/>
        <v>0.58483187330804909</v>
      </c>
      <c r="V416" s="66">
        <f t="shared" si="229"/>
        <v>8.1455312710388056E-2</v>
      </c>
      <c r="W416" s="66">
        <f t="shared" si="230"/>
        <v>2.2616782921158311E-2</v>
      </c>
      <c r="X416" s="66">
        <f t="shared" si="231"/>
        <v>1.7110370086918496E-2</v>
      </c>
      <c r="Y416" s="66">
        <f t="shared" si="232"/>
        <v>1.4942284450982642E-2</v>
      </c>
      <c r="Z416" s="66">
        <f t="shared" si="233"/>
        <v>2.9896828429499429E-3</v>
      </c>
      <c r="AA416" s="66">
        <f t="shared" si="221"/>
        <v>1.0915829357322687E-2</v>
      </c>
      <c r="AB416" s="66">
        <f t="shared" si="234"/>
        <v>1.3002888410567648E-2</v>
      </c>
      <c r="AC416" s="67">
        <f t="shared" si="222"/>
        <v>15109554.599780893</v>
      </c>
      <c r="AD416" s="67">
        <f t="shared" si="238"/>
        <v>17010844.494335994</v>
      </c>
      <c r="AE416" s="66">
        <f t="shared" si="236"/>
        <v>3.199999999999914E-2</v>
      </c>
      <c r="AF416" s="67">
        <f t="shared" si="239"/>
        <v>17010844.494335994</v>
      </c>
      <c r="AG416" s="67">
        <f t="shared" si="235"/>
        <v>1.0000000000000004</v>
      </c>
      <c r="AH416" s="67">
        <f t="shared" si="240"/>
        <v>17010844.494336002</v>
      </c>
      <c r="AI416" s="67">
        <f t="shared" si="223"/>
        <v>147.12868843992391</v>
      </c>
      <c r="AJ416" s="67">
        <f t="shared" si="224"/>
        <v>0</v>
      </c>
      <c r="AK416" s="66">
        <f t="shared" si="237"/>
        <v>3.1999999999999806E-2</v>
      </c>
    </row>
    <row r="417" spans="1:37" ht="12.75" customHeight="1" x14ac:dyDescent="0.25">
      <c r="A417" s="55" t="s">
        <v>658</v>
      </c>
      <c r="B417" s="55" t="s">
        <v>444</v>
      </c>
      <c r="C417" s="55" t="s">
        <v>451</v>
      </c>
      <c r="D417" s="128">
        <v>2021</v>
      </c>
      <c r="E417" s="55" t="s">
        <v>676</v>
      </c>
      <c r="F417" s="57">
        <f>SIM_Parametres!$C$27</f>
        <v>1308235828.6264319</v>
      </c>
      <c r="G417" s="129">
        <f>SIM_Districts!D62*(1+SIM_Parametres!$B$6)^(2021-2023)</f>
        <v>387865.96286172117</v>
      </c>
      <c r="H417" s="129">
        <f>MAX(0,MIN(100,SIM_Districts!F62+(2021-2022)*SIM_Parametres!$B$7))</f>
        <v>63.629999999999995</v>
      </c>
      <c r="I417" s="129">
        <f>SIM_Districts!G62*(1+SIM_Parametres!$B$8)^(2021-2023)</f>
        <v>45.269352648257133</v>
      </c>
      <c r="J417" s="129">
        <f>SIM_Districts!H62*(1+SIM_Parametres!$B$9)^(2021-2023)</f>
        <v>29.012345679012345</v>
      </c>
      <c r="K417" s="129">
        <f>MAX(0,MIN(100,SIM_Districts!I62+(2021-2023)*SIM_Parametres!$B$10))</f>
        <v>81.599999999999994</v>
      </c>
      <c r="L417" s="129">
        <f>SIM_Districts!E62</f>
        <v>11599</v>
      </c>
      <c r="M417" s="68">
        <f t="shared" si="220"/>
        <v>33.439603660808793</v>
      </c>
      <c r="N417" s="129">
        <f>N346*(1+SIM_Parametres!$B$6)/(1+SIM_Parametres!$B$11)</f>
        <v>71159</v>
      </c>
      <c r="O417" s="72"/>
      <c r="P417" s="130">
        <f>SIM_Parametres!$D$27</f>
        <v>0</v>
      </c>
      <c r="Q417" s="130">
        <f>SIM_Parametres!$B$12</f>
        <v>0.2</v>
      </c>
      <c r="R417" s="59">
        <f t="shared" si="225"/>
        <v>2.2700992608124682E-2</v>
      </c>
      <c r="S417" s="59">
        <f t="shared" si="226"/>
        <v>0.94858156028368779</v>
      </c>
      <c r="T417" s="59">
        <f t="shared" si="227"/>
        <v>0.86464088397790062</v>
      </c>
      <c r="U417" s="59">
        <f t="shared" si="228"/>
        <v>0.90102051224376711</v>
      </c>
      <c r="V417" s="59">
        <f t="shared" si="229"/>
        <v>8.1455312710388056E-2</v>
      </c>
      <c r="W417" s="59">
        <f t="shared" si="230"/>
        <v>2.2616782921158311E-2</v>
      </c>
      <c r="X417" s="59">
        <f t="shared" si="231"/>
        <v>1.7110370086918496E-2</v>
      </c>
      <c r="Y417" s="59">
        <f t="shared" si="232"/>
        <v>2.3020812313054143E-2</v>
      </c>
      <c r="Z417" s="59">
        <f t="shared" si="233"/>
        <v>2.9896828429499429E-3</v>
      </c>
      <c r="AA417" s="59">
        <f t="shared" si="221"/>
        <v>2.0880193273886537E-2</v>
      </c>
      <c r="AB417" s="59">
        <f t="shared" si="234"/>
        <v>1.4405926702591167E-2</v>
      </c>
      <c r="AC417" s="60">
        <f t="shared" si="222"/>
        <v>25538144.907877877</v>
      </c>
      <c r="AD417" s="60">
        <f t="shared" si="238"/>
        <v>18846349.456895996</v>
      </c>
      <c r="AE417" s="59">
        <f t="shared" si="236"/>
        <v>3.1999999999999362E-2</v>
      </c>
      <c r="AF417" s="60">
        <f t="shared" si="239"/>
        <v>18846349.456895996</v>
      </c>
      <c r="AG417" s="60">
        <f t="shared" si="235"/>
        <v>1.0000000000000004</v>
      </c>
      <c r="AH417" s="60">
        <f t="shared" si="240"/>
        <v>18846349.456896003</v>
      </c>
      <c r="AI417" s="60">
        <f t="shared" si="223"/>
        <v>48.589851292558379</v>
      </c>
      <c r="AJ417" s="60">
        <f t="shared" si="224"/>
        <v>0</v>
      </c>
      <c r="AK417" s="59">
        <f t="shared" si="237"/>
        <v>3.1999999999999806E-2</v>
      </c>
    </row>
    <row r="418" spans="1:37" ht="12.75" customHeight="1" x14ac:dyDescent="0.25">
      <c r="A418" s="62" t="s">
        <v>659</v>
      </c>
      <c r="B418" s="62" t="s">
        <v>452</v>
      </c>
      <c r="C418" s="62" t="s">
        <v>454</v>
      </c>
      <c r="D418" s="124">
        <v>2021</v>
      </c>
      <c r="E418" s="62" t="s">
        <v>676</v>
      </c>
      <c r="F418" s="64">
        <f>SIM_Parametres!$C$27</f>
        <v>1308235828.6264319</v>
      </c>
      <c r="G418" s="125">
        <f>SIM_Districts!D63*(1+SIM_Parametres!$B$6)^(2021-2023)</f>
        <v>115060.79743613912</v>
      </c>
      <c r="H418" s="125">
        <f>MAX(0,MIN(100,SIM_Districts!F63+(2021-2022)*SIM_Parametres!$B$7))</f>
        <v>30.729999999999997</v>
      </c>
      <c r="I418" s="125">
        <f>SIM_Districts!G63*(1+SIM_Parametres!$B$8)^(2021-2023)</f>
        <v>45.269352648257133</v>
      </c>
      <c r="J418" s="125">
        <f>SIM_Districts!H63*(1+SIM_Parametres!$B$9)^(2021-2023)</f>
        <v>19.62962962962963</v>
      </c>
      <c r="K418" s="125">
        <f>MAX(0,MIN(100,SIM_Districts!I63+(2021-2023)*SIM_Parametres!$B$10))</f>
        <v>93.3</v>
      </c>
      <c r="L418" s="125">
        <f>SIM_Districts!E63</f>
        <v>393</v>
      </c>
      <c r="M418" s="61">
        <f t="shared" si="220"/>
        <v>292.77556599526497</v>
      </c>
      <c r="N418" s="125">
        <f>N347*(1+SIM_Parametres!$B$6)/(1+SIM_Parametres!$B$11)</f>
        <v>153373</v>
      </c>
      <c r="O418" s="132"/>
      <c r="P418" s="126">
        <f>SIM_Parametres!$D$27</f>
        <v>0</v>
      </c>
      <c r="Q418" s="126">
        <f>SIM_Parametres!$B$12</f>
        <v>0.2</v>
      </c>
      <c r="R418" s="66">
        <f t="shared" si="225"/>
        <v>6.7342705011059012E-3</v>
      </c>
      <c r="S418" s="66">
        <f t="shared" si="226"/>
        <v>0.36524822695035453</v>
      </c>
      <c r="T418" s="66">
        <f t="shared" si="227"/>
        <v>0.65469613259668513</v>
      </c>
      <c r="U418" s="66">
        <f t="shared" si="228"/>
        <v>0.5089487082445231</v>
      </c>
      <c r="V418" s="66">
        <f t="shared" si="229"/>
        <v>0.65207282116061327</v>
      </c>
      <c r="W418" s="66">
        <f t="shared" si="230"/>
        <v>8.708518283660956E-3</v>
      </c>
      <c r="X418" s="66">
        <f t="shared" si="231"/>
        <v>1.2955775433225826E-2</v>
      </c>
      <c r="Y418" s="66">
        <f t="shared" si="232"/>
        <v>1.3003491630053694E-2</v>
      </c>
      <c r="Z418" s="66">
        <f t="shared" si="233"/>
        <v>2.3933256909947777E-2</v>
      </c>
      <c r="AA418" s="66">
        <f t="shared" si="221"/>
        <v>9.1370437851966309E-3</v>
      </c>
      <c r="AB418" s="66">
        <f t="shared" si="234"/>
        <v>1.4225296024276761E-2</v>
      </c>
      <c r="AC418" s="67">
        <f t="shared" si="222"/>
        <v>13247897.786261633</v>
      </c>
      <c r="AD418" s="67">
        <f t="shared" si="238"/>
        <v>18610041.931775998</v>
      </c>
      <c r="AE418" s="66">
        <f t="shared" si="236"/>
        <v>3.1999999999999362E-2</v>
      </c>
      <c r="AF418" s="67">
        <f t="shared" si="239"/>
        <v>18610041.931775998</v>
      </c>
      <c r="AG418" s="67">
        <f t="shared" si="235"/>
        <v>1.0000000000000004</v>
      </c>
      <c r="AH418" s="67">
        <f t="shared" si="240"/>
        <v>18610041.931776006</v>
      </c>
      <c r="AI418" s="67">
        <f t="shared" si="223"/>
        <v>161.74094345300296</v>
      </c>
      <c r="AJ418" s="67">
        <f t="shared" si="224"/>
        <v>0</v>
      </c>
      <c r="AK418" s="66">
        <f t="shared" si="237"/>
        <v>3.1999999999999806E-2</v>
      </c>
    </row>
    <row r="419" spans="1:37" ht="12.75" customHeight="1" x14ac:dyDescent="0.25">
      <c r="A419" s="55" t="s">
        <v>661</v>
      </c>
      <c r="B419" s="55" t="s">
        <v>452</v>
      </c>
      <c r="C419" s="55" t="s">
        <v>455</v>
      </c>
      <c r="D419" s="128">
        <v>2021</v>
      </c>
      <c r="E419" s="55" t="s">
        <v>676</v>
      </c>
      <c r="F419" s="57">
        <f>SIM_Parametres!$C$27</f>
        <v>1308235828.6264319</v>
      </c>
      <c r="G419" s="129">
        <f>SIM_Districts!D64*(1+SIM_Parametres!$B$6)^(2021-2023)</f>
        <v>199423.13130361013</v>
      </c>
      <c r="H419" s="129">
        <f>MAX(0,MIN(100,SIM_Districts!F64+(2021-2022)*SIM_Parametres!$B$7))</f>
        <v>30.729999999999997</v>
      </c>
      <c r="I419" s="129">
        <f>SIM_Districts!G64*(1+SIM_Parametres!$B$8)^(2021-2023)</f>
        <v>45.269352648257133</v>
      </c>
      <c r="J419" s="129">
        <f>SIM_Districts!H64*(1+SIM_Parametres!$B$9)^(2021-2023)</f>
        <v>19.62962962962963</v>
      </c>
      <c r="K419" s="129">
        <f>MAX(0,MIN(100,SIM_Districts!I64+(2021-2023)*SIM_Parametres!$B$10))</f>
        <v>93.3</v>
      </c>
      <c r="L419" s="129">
        <f>SIM_Districts!E64</f>
        <v>537</v>
      </c>
      <c r="M419" s="68">
        <f t="shared" si="220"/>
        <v>371.36523520225353</v>
      </c>
      <c r="N419" s="129">
        <f>N348*(1+SIM_Parametres!$B$6)/(1+SIM_Parametres!$B$11)</f>
        <v>153373</v>
      </c>
      <c r="O419" s="72"/>
      <c r="P419" s="130">
        <f>SIM_Parametres!$D$27</f>
        <v>0</v>
      </c>
      <c r="Q419" s="130">
        <f>SIM_Parametres!$B$12</f>
        <v>0.2</v>
      </c>
      <c r="R419" s="59">
        <f t="shared" si="225"/>
        <v>1.1671823421191248E-2</v>
      </c>
      <c r="S419" s="59">
        <f t="shared" si="226"/>
        <v>0.36524822695035453</v>
      </c>
      <c r="T419" s="59">
        <f t="shared" si="227"/>
        <v>0.65469613259668513</v>
      </c>
      <c r="U419" s="59">
        <f t="shared" si="228"/>
        <v>0.51275775815315705</v>
      </c>
      <c r="V419" s="59">
        <f t="shared" si="229"/>
        <v>0.65207282116061327</v>
      </c>
      <c r="W419" s="59">
        <f t="shared" si="230"/>
        <v>8.708518283660956E-3</v>
      </c>
      <c r="X419" s="59">
        <f t="shared" si="231"/>
        <v>1.2955775433225826E-2</v>
      </c>
      <c r="Y419" s="59">
        <f t="shared" si="232"/>
        <v>1.310081174857059E-2</v>
      </c>
      <c r="Z419" s="59">
        <f t="shared" si="233"/>
        <v>2.3933256909947777E-2</v>
      </c>
      <c r="AA419" s="59">
        <f t="shared" si="221"/>
        <v>1.2104441543173685E-2</v>
      </c>
      <c r="AB419" s="59">
        <f t="shared" si="234"/>
        <v>1.4479859259296598E-2</v>
      </c>
      <c r="AC419" s="60">
        <f t="shared" si="222"/>
        <v>16353542.638078697</v>
      </c>
      <c r="AD419" s="60">
        <f t="shared" si="238"/>
        <v>18943070.676479999</v>
      </c>
      <c r="AE419" s="59">
        <f t="shared" si="236"/>
        <v>3.1999999999999584E-2</v>
      </c>
      <c r="AF419" s="60">
        <f t="shared" si="239"/>
        <v>18943070.676479999</v>
      </c>
      <c r="AG419" s="60">
        <f t="shared" si="235"/>
        <v>1.0000000000000004</v>
      </c>
      <c r="AH419" s="60">
        <f t="shared" si="240"/>
        <v>18943070.676480006</v>
      </c>
      <c r="AI419" s="60">
        <f t="shared" si="223"/>
        <v>94.989335252389964</v>
      </c>
      <c r="AJ419" s="60">
        <f t="shared" si="224"/>
        <v>0</v>
      </c>
      <c r="AK419" s="59">
        <f t="shared" si="237"/>
        <v>3.1999999999999806E-2</v>
      </c>
    </row>
    <row r="420" spans="1:37" ht="12.75" customHeight="1" x14ac:dyDescent="0.25">
      <c r="A420" s="62" t="s">
        <v>662</v>
      </c>
      <c r="B420" s="62" t="s">
        <v>452</v>
      </c>
      <c r="C420" s="62" t="s">
        <v>456</v>
      </c>
      <c r="D420" s="124">
        <v>2021</v>
      </c>
      <c r="E420" s="62" t="s">
        <v>676</v>
      </c>
      <c r="F420" s="64">
        <f>SIM_Parametres!$C$27</f>
        <v>1308235828.6264319</v>
      </c>
      <c r="G420" s="125">
        <f>SIM_Districts!D65*(1+SIM_Parametres!$B$6)^(2021-2023)</f>
        <v>519247.80846451124</v>
      </c>
      <c r="H420" s="125">
        <f>MAX(0,MIN(100,SIM_Districts!F65+(2021-2022)*SIM_Parametres!$B$7))</f>
        <v>30.729999999999997</v>
      </c>
      <c r="I420" s="125">
        <f>SIM_Districts!G65*(1+SIM_Parametres!$B$8)^(2021-2023)</f>
        <v>45.269352648257133</v>
      </c>
      <c r="J420" s="125">
        <f>SIM_Districts!H65*(1+SIM_Parametres!$B$9)^(2021-2023)</f>
        <v>19.62962962962963</v>
      </c>
      <c r="K420" s="125">
        <f>MAX(0,MIN(100,SIM_Districts!I65+(2021-2023)*SIM_Parametres!$B$10))</f>
        <v>93.3</v>
      </c>
      <c r="L420" s="125">
        <f>SIM_Districts!E65</f>
        <v>487</v>
      </c>
      <c r="M420" s="61">
        <f t="shared" si="220"/>
        <v>1066.2172658408856</v>
      </c>
      <c r="N420" s="125">
        <f>N349*(1+SIM_Parametres!$B$6)/(1+SIM_Parametres!$B$11)</f>
        <v>153373</v>
      </c>
      <c r="O420" s="132"/>
      <c r="P420" s="126">
        <f>SIM_Parametres!$D$27</f>
        <v>0</v>
      </c>
      <c r="Q420" s="126">
        <f>SIM_Parametres!$B$12</f>
        <v>0.2</v>
      </c>
      <c r="R420" s="66">
        <f t="shared" si="225"/>
        <v>3.0390500302652682E-2</v>
      </c>
      <c r="S420" s="66">
        <f t="shared" si="226"/>
        <v>0.36524822695035453</v>
      </c>
      <c r="T420" s="66">
        <f t="shared" si="227"/>
        <v>0.65469613259668513</v>
      </c>
      <c r="U420" s="66">
        <f t="shared" si="228"/>
        <v>0.50060006219339392</v>
      </c>
      <c r="V420" s="66">
        <f t="shared" si="229"/>
        <v>0.65207282116061327</v>
      </c>
      <c r="W420" s="66">
        <f t="shared" si="230"/>
        <v>8.708518283660956E-3</v>
      </c>
      <c r="X420" s="66">
        <f t="shared" si="231"/>
        <v>1.2955775433225826E-2</v>
      </c>
      <c r="Y420" s="66">
        <f t="shared" si="232"/>
        <v>1.2790186148991384E-2</v>
      </c>
      <c r="Z420" s="66">
        <f t="shared" si="233"/>
        <v>2.3933256909947777E-2</v>
      </c>
      <c r="AA420" s="66">
        <f t="shared" si="221"/>
        <v>2.3320116392071582E-2</v>
      </c>
      <c r="AB420" s="66">
        <f t="shared" si="234"/>
        <v>1.3112947102935962E-2</v>
      </c>
      <c r="AC420" s="67">
        <f t="shared" si="222"/>
        <v>28091740.781720754</v>
      </c>
      <c r="AD420" s="67">
        <f t="shared" si="238"/>
        <v>17154827.218943998</v>
      </c>
      <c r="AE420" s="66">
        <f t="shared" si="236"/>
        <v>3.1999999999999362E-2</v>
      </c>
      <c r="AF420" s="67">
        <f t="shared" si="239"/>
        <v>17154827.218943998</v>
      </c>
      <c r="AG420" s="67">
        <f t="shared" si="235"/>
        <v>1.0000000000000004</v>
      </c>
      <c r="AH420" s="67">
        <f t="shared" si="240"/>
        <v>17154827.218944006</v>
      </c>
      <c r="AI420" s="67">
        <f t="shared" si="223"/>
        <v>33.03784231593243</v>
      </c>
      <c r="AJ420" s="67">
        <f t="shared" si="224"/>
        <v>0</v>
      </c>
      <c r="AK420" s="66">
        <f t="shared" si="237"/>
        <v>3.1999999999999806E-2</v>
      </c>
    </row>
    <row r="421" spans="1:37" ht="12.75" customHeight="1" x14ac:dyDescent="0.25">
      <c r="A421" s="55" t="s">
        <v>663</v>
      </c>
      <c r="B421" s="55" t="s">
        <v>452</v>
      </c>
      <c r="C421" s="55" t="s">
        <v>457</v>
      </c>
      <c r="D421" s="128">
        <v>2021</v>
      </c>
      <c r="E421" s="55" t="s">
        <v>676</v>
      </c>
      <c r="F421" s="57">
        <f>SIM_Parametres!$C$27</f>
        <v>1308235828.6264319</v>
      </c>
      <c r="G421" s="129">
        <f>SIM_Districts!D66*(1+SIM_Parametres!$B$6)^(2021-2023)</f>
        <v>104076.72730700349</v>
      </c>
      <c r="H421" s="129">
        <f>MAX(0,MIN(100,SIM_Districts!F66+(2021-2022)*SIM_Parametres!$B$7))</f>
        <v>30.729999999999997</v>
      </c>
      <c r="I421" s="129">
        <f>SIM_Districts!G66*(1+SIM_Parametres!$B$8)^(2021-2023)</f>
        <v>45.269352648257133</v>
      </c>
      <c r="J421" s="129">
        <f>SIM_Districts!H66*(1+SIM_Parametres!$B$9)^(2021-2023)</f>
        <v>19.62962962962963</v>
      </c>
      <c r="K421" s="129">
        <f>MAX(0,MIN(100,SIM_Districts!I66+(2021-2023)*SIM_Parametres!$B$10))</f>
        <v>93.3</v>
      </c>
      <c r="L421" s="129">
        <f>SIM_Districts!E66</f>
        <v>230</v>
      </c>
      <c r="M421" s="68">
        <f t="shared" si="220"/>
        <v>452.50751003044996</v>
      </c>
      <c r="N421" s="129">
        <f>N350*(1+SIM_Parametres!$B$6)/(1+SIM_Parametres!$B$11)</f>
        <v>153373</v>
      </c>
      <c r="O421" s="72"/>
      <c r="P421" s="130">
        <f>SIM_Parametres!$D$27</f>
        <v>0</v>
      </c>
      <c r="Q421" s="130">
        <f>SIM_Parametres!$B$12</f>
        <v>0.2</v>
      </c>
      <c r="R421" s="59">
        <f t="shared" si="225"/>
        <v>6.0913955940918836E-3</v>
      </c>
      <c r="S421" s="59">
        <f t="shared" si="226"/>
        <v>0.36524822695035453</v>
      </c>
      <c r="T421" s="59">
        <f t="shared" si="227"/>
        <v>0.65469613259668513</v>
      </c>
      <c r="U421" s="59">
        <f t="shared" si="228"/>
        <v>0.50090567337352976</v>
      </c>
      <c r="V421" s="59">
        <f t="shared" si="229"/>
        <v>0.65207282116061327</v>
      </c>
      <c r="W421" s="59">
        <f t="shared" si="230"/>
        <v>8.708518283660956E-3</v>
      </c>
      <c r="X421" s="59">
        <f t="shared" si="231"/>
        <v>1.2955775433225826E-2</v>
      </c>
      <c r="Y421" s="59">
        <f t="shared" si="232"/>
        <v>1.2797994425854203E-2</v>
      </c>
      <c r="Z421" s="59">
        <f t="shared" si="233"/>
        <v>2.3933256909947777E-2</v>
      </c>
      <c r="AA421" s="59">
        <f t="shared" si="221"/>
        <v>8.7410439807782455E-3</v>
      </c>
      <c r="AB421" s="59">
        <f t="shared" si="234"/>
        <v>1.2876026864402649E-2</v>
      </c>
      <c r="AC421" s="60">
        <f t="shared" si="222"/>
        <v>12833448.880446283</v>
      </c>
      <c r="AD421" s="60">
        <f t="shared" si="238"/>
        <v>16844879.674367998</v>
      </c>
      <c r="AE421" s="59">
        <f t="shared" si="236"/>
        <v>3.1999999999999362E-2</v>
      </c>
      <c r="AF421" s="60">
        <f t="shared" si="239"/>
        <v>16844879.674367998</v>
      </c>
      <c r="AG421" s="60">
        <f t="shared" si="235"/>
        <v>1.0000000000000004</v>
      </c>
      <c r="AH421" s="60">
        <f t="shared" si="240"/>
        <v>16844879.674368005</v>
      </c>
      <c r="AI421" s="60">
        <f t="shared" si="223"/>
        <v>161.85058956244185</v>
      </c>
      <c r="AJ421" s="60">
        <f t="shared" si="224"/>
        <v>0</v>
      </c>
      <c r="AK421" s="59">
        <f t="shared" si="237"/>
        <v>3.1999999999999806E-2</v>
      </c>
    </row>
    <row r="422" spans="1:37" ht="12.75" customHeight="1" x14ac:dyDescent="0.25">
      <c r="A422" s="62" t="s">
        <v>664</v>
      </c>
      <c r="B422" s="62" t="s">
        <v>452</v>
      </c>
      <c r="C422" s="62" t="s">
        <v>458</v>
      </c>
      <c r="D422" s="124">
        <v>2021</v>
      </c>
      <c r="E422" s="62" t="s">
        <v>676</v>
      </c>
      <c r="F422" s="64">
        <f>SIM_Parametres!$C$27</f>
        <v>1308235828.6264319</v>
      </c>
      <c r="G422" s="125">
        <f>SIM_Districts!D67*(1+SIM_Parametres!$B$6)^(2021-2023)</f>
        <v>172446.0363842021</v>
      </c>
      <c r="H422" s="125">
        <f>MAX(0,MIN(100,SIM_Districts!F67+(2021-2022)*SIM_Parametres!$B$7))</f>
        <v>30.729999999999997</v>
      </c>
      <c r="I422" s="125">
        <f>SIM_Districts!G67*(1+SIM_Parametres!$B$8)^(2021-2023)</f>
        <v>45.269352648257133</v>
      </c>
      <c r="J422" s="125">
        <f>SIM_Districts!H67*(1+SIM_Parametres!$B$9)^(2021-2023)</f>
        <v>19.62962962962963</v>
      </c>
      <c r="K422" s="125">
        <f>MAX(0,MIN(100,SIM_Districts!I67+(2021-2023)*SIM_Parametres!$B$10))</f>
        <v>93.3</v>
      </c>
      <c r="L422" s="125">
        <f>SIM_Districts!E67</f>
        <v>557</v>
      </c>
      <c r="M422" s="61">
        <f t="shared" si="220"/>
        <v>309.59791092316357</v>
      </c>
      <c r="N422" s="125">
        <f>N351*(1+SIM_Parametres!$B$6)/(1+SIM_Parametres!$B$11)</f>
        <v>153373</v>
      </c>
      <c r="O422" s="132"/>
      <c r="P422" s="126">
        <f>SIM_Parametres!$D$27</f>
        <v>0</v>
      </c>
      <c r="Q422" s="126">
        <f>SIM_Parametres!$B$12</f>
        <v>0.2</v>
      </c>
      <c r="R422" s="66">
        <f t="shared" si="225"/>
        <v>1.0092909850544963E-2</v>
      </c>
      <c r="S422" s="66">
        <f t="shared" si="226"/>
        <v>0.36524822695035453</v>
      </c>
      <c r="T422" s="66">
        <f t="shared" si="227"/>
        <v>0.65469613259668513</v>
      </c>
      <c r="U422" s="66">
        <f t="shared" si="228"/>
        <v>0.51437733390901985</v>
      </c>
      <c r="V422" s="66">
        <f t="shared" si="229"/>
        <v>0.65207282116061327</v>
      </c>
      <c r="W422" s="66">
        <f t="shared" si="230"/>
        <v>8.708518283660956E-3</v>
      </c>
      <c r="X422" s="66">
        <f t="shared" si="231"/>
        <v>1.2955775433225826E-2</v>
      </c>
      <c r="Y422" s="66">
        <f t="shared" si="232"/>
        <v>1.3142191438595231E-2</v>
      </c>
      <c r="Z422" s="66">
        <f t="shared" si="233"/>
        <v>2.3933256909947777E-2</v>
      </c>
      <c r="AA422" s="66">
        <f t="shared" si="221"/>
        <v>1.1159162385287144E-2</v>
      </c>
      <c r="AB422" s="66">
        <f t="shared" si="234"/>
        <v>1.2245079704336984E-2</v>
      </c>
      <c r="AC422" s="67">
        <f t="shared" si="222"/>
        <v>15364224.188157901</v>
      </c>
      <c r="AD422" s="67">
        <f t="shared" si="238"/>
        <v>16019451.993599998</v>
      </c>
      <c r="AE422" s="66">
        <f t="shared" si="236"/>
        <v>3.1999999999999362E-2</v>
      </c>
      <c r="AF422" s="67">
        <f t="shared" si="239"/>
        <v>16019451.993599998</v>
      </c>
      <c r="AG422" s="67">
        <f t="shared" si="235"/>
        <v>1.0000000000000004</v>
      </c>
      <c r="AH422" s="67">
        <f t="shared" si="240"/>
        <v>16019451.993600005</v>
      </c>
      <c r="AI422" s="67">
        <f t="shared" si="223"/>
        <v>92.895449089414726</v>
      </c>
      <c r="AJ422" s="67">
        <f t="shared" si="224"/>
        <v>0</v>
      </c>
      <c r="AK422" s="66">
        <f t="shared" si="237"/>
        <v>3.1999999999999806E-2</v>
      </c>
    </row>
    <row r="423" spans="1:37" ht="12.75" customHeight="1" x14ac:dyDescent="0.25">
      <c r="A423" s="55" t="s">
        <v>665</v>
      </c>
      <c r="B423" s="55" t="s">
        <v>452</v>
      </c>
      <c r="C423" s="55" t="s">
        <v>459</v>
      </c>
      <c r="D423" s="128">
        <v>2021</v>
      </c>
      <c r="E423" s="55" t="s">
        <v>676</v>
      </c>
      <c r="F423" s="57">
        <f>SIM_Parametres!$C$27</f>
        <v>1308235828.6264319</v>
      </c>
      <c r="G423" s="129">
        <f>SIM_Districts!D68*(1+SIM_Parametres!$B$6)^(2021-2023)</f>
        <v>219040.43736450185</v>
      </c>
      <c r="H423" s="129">
        <f>MAX(0,MIN(100,SIM_Districts!F68+(2021-2022)*SIM_Parametres!$B$7))</f>
        <v>30.729999999999997</v>
      </c>
      <c r="I423" s="129">
        <f>SIM_Districts!G68*(1+SIM_Parametres!$B$8)^(2021-2023)</f>
        <v>45.269352648257133</v>
      </c>
      <c r="J423" s="129">
        <f>SIM_Districts!H68*(1+SIM_Parametres!$B$9)^(2021-2023)</f>
        <v>19.62962962962963</v>
      </c>
      <c r="K423" s="129">
        <f>MAX(0,MIN(100,SIM_Districts!I68+(2021-2023)*SIM_Parametres!$B$10))</f>
        <v>93.3</v>
      </c>
      <c r="L423" s="129">
        <f>SIM_Districts!E68</f>
        <v>793</v>
      </c>
      <c r="M423" s="68">
        <f t="shared" si="220"/>
        <v>276.21744938777033</v>
      </c>
      <c r="N423" s="129">
        <f>N352*(1+SIM_Parametres!$B$6)/(1+SIM_Parametres!$B$11)</f>
        <v>153373</v>
      </c>
      <c r="O423" s="72"/>
      <c r="P423" s="130">
        <f>SIM_Parametres!$D$27</f>
        <v>0</v>
      </c>
      <c r="Q423" s="130">
        <f>SIM_Parametres!$B$12</f>
        <v>0.2</v>
      </c>
      <c r="R423" s="59">
        <f t="shared" ref="R423:R429" si="241">IFERROR(G423/SUM($G$359:$G$429),1/71)</f>
        <v>1.2819983771725508E-2</v>
      </c>
      <c r="S423" s="59">
        <f t="shared" ref="S423:S429" si="242">IF(MAX($H$359:$H$429)=MIN($H$359:$H$429),1,(H423-MIN($H$359:$H$429))/(MAX($H$359:$H$429)-MIN($H$359:$H$429)))</f>
        <v>0.36524822695035453</v>
      </c>
      <c r="T423" s="59">
        <f t="shared" ref="T423:T429" si="243">(IF(MAX($I$359:$I$429)=MIN($I$359:$I$429),1,(I423-MIN($I$359:$I$429))/(MAX($I$359:$I$429)-MIN($I$359:$I$429)))+IF(MAX($J$359:$J$429)=MIN($J$359:$J$429),1,(J423-MIN($J$359:$J$429))/(MAX($J$359:$J$429)-MIN($J$359:$J$429))))/2</f>
        <v>0.65469613259668513</v>
      </c>
      <c r="U423" s="59">
        <f t="shared" ref="U423:U429" si="244">(IF(MAX($L$359:$L$429)=MIN($L$359:$L$429),1,(L423-MIN($L$359:$L$429))/(MAX($L$359:$L$429)-MIN($L$359:$L$429)))+IF(MAX($M$359:$M$429)=MIN($M$359:$M$429),1,(MAX($M$359:$M$429)-M423)/(MAX($M$359:$M$429)-MIN($M$359:$M$429))))/2</f>
        <v>0.52305332187907938</v>
      </c>
      <c r="V423" s="59">
        <f t="shared" ref="V423:V429" si="245">IF(MAX($N$359:$N$429)=MIN($N$359:$N$429),1,(N423-MIN($N$359:$N$429))/(MAX($N$359:$N$429)-MIN($N$359:$N$429)))</f>
        <v>0.65207282116061327</v>
      </c>
      <c r="W423" s="59">
        <f t="shared" ref="W423:W429" si="246">IFERROR(S423/SUM($S$359:$S$429),1/71)</f>
        <v>8.708518283660956E-3</v>
      </c>
      <c r="X423" s="59">
        <f t="shared" ref="X423:X429" si="247">IFERROR(T423/SUM($T$359:$T$429),1/71)</f>
        <v>1.2955775433225826E-2</v>
      </c>
      <c r="Y423" s="59">
        <f t="shared" ref="Y423:Y429" si="248">IFERROR(U423/SUM($U$359:$U$429),1/71)</f>
        <v>1.3363860410583097E-2</v>
      </c>
      <c r="Z423" s="59">
        <f t="shared" ref="Z423:Z429" si="249">IFERROR(V423/SUM($V$359:$V$429),1/71)</f>
        <v>2.3933256909947777E-2</v>
      </c>
      <c r="AA423" s="59">
        <f t="shared" si="221"/>
        <v>1.2806490186594865E-2</v>
      </c>
      <c r="AB423" s="59">
        <f t="shared" ref="AB423:AB429" si="250">IFERROR(AH352/SUM($AH$288:$AH$358),1/71)</f>
        <v>1.2935676995380894E-2</v>
      </c>
      <c r="AC423" s="60">
        <f t="shared" si="222"/>
        <v>17088298.789088432</v>
      </c>
      <c r="AD423" s="60">
        <f t="shared" si="238"/>
        <v>16922916.112895999</v>
      </c>
      <c r="AE423" s="59">
        <f t="shared" si="236"/>
        <v>3.1999999999999362E-2</v>
      </c>
      <c r="AF423" s="60">
        <f t="shared" si="239"/>
        <v>16922916.112895999</v>
      </c>
      <c r="AG423" s="60">
        <f t="shared" ref="AG423:AG429" si="251">IFERROR(F423/SUM($AF$359:$AF$429),1)</f>
        <v>1.0000000000000004</v>
      </c>
      <c r="AH423" s="60">
        <f t="shared" si="240"/>
        <v>16922916.112896007</v>
      </c>
      <c r="AI423" s="60">
        <f t="shared" si="223"/>
        <v>77.259323970097995</v>
      </c>
      <c r="AJ423" s="60">
        <f t="shared" si="224"/>
        <v>0</v>
      </c>
      <c r="AK423" s="59">
        <f t="shared" si="237"/>
        <v>3.1999999999999806E-2</v>
      </c>
    </row>
    <row r="424" spans="1:37" ht="12.75" customHeight="1" x14ac:dyDescent="0.25">
      <c r="A424" s="62" t="s">
        <v>666</v>
      </c>
      <c r="B424" s="62" t="s">
        <v>452</v>
      </c>
      <c r="C424" s="62" t="s">
        <v>452</v>
      </c>
      <c r="D424" s="124">
        <v>2021</v>
      </c>
      <c r="E424" s="62" t="s">
        <v>676</v>
      </c>
      <c r="F424" s="64">
        <f>SIM_Parametres!$C$27</f>
        <v>1308235828.6264319</v>
      </c>
      <c r="G424" s="125">
        <f>SIM_Districts!D69*(1+SIM_Parametres!$B$6)^(2021-2023)</f>
        <v>584025.82712791022</v>
      </c>
      <c r="H424" s="125">
        <f>MAX(0,MIN(100,SIM_Districts!F69+(2021-2022)*SIM_Parametres!$B$7))</f>
        <v>30.729999999999997</v>
      </c>
      <c r="I424" s="125">
        <f>SIM_Districts!G69*(1+SIM_Parametres!$B$8)^(2021-2023)</f>
        <v>45.269352648257133</v>
      </c>
      <c r="J424" s="125">
        <f>SIM_Districts!H69*(1+SIM_Parametres!$B$9)^(2021-2023)</f>
        <v>19.62962962962963</v>
      </c>
      <c r="K424" s="125">
        <f>MAX(0,MIN(100,SIM_Districts!I69+(2021-2023)*SIM_Parametres!$B$10))</f>
        <v>93.3</v>
      </c>
      <c r="L424" s="125">
        <f>SIM_Districts!E69</f>
        <v>503</v>
      </c>
      <c r="M424" s="61">
        <f t="shared" si="220"/>
        <v>1161.0851433954479</v>
      </c>
      <c r="N424" s="125">
        <f>N353*(1+SIM_Parametres!$B$6)/(1+SIM_Parametres!$B$11)</f>
        <v>153373</v>
      </c>
      <c r="O424" s="132"/>
      <c r="P424" s="126">
        <f>SIM_Parametres!$D$27</f>
        <v>0</v>
      </c>
      <c r="Q424" s="126">
        <f>SIM_Parametres!$B$12</f>
        <v>0.2</v>
      </c>
      <c r="R424" s="66">
        <f t="shared" si="241"/>
        <v>3.4181823758820562E-2</v>
      </c>
      <c r="S424" s="66">
        <f t="shared" si="242"/>
        <v>0.36524822695035453</v>
      </c>
      <c r="T424" s="66">
        <f t="shared" si="243"/>
        <v>0.65469613259668513</v>
      </c>
      <c r="U424" s="66">
        <f t="shared" si="244"/>
        <v>0.49973089584614422</v>
      </c>
      <c r="V424" s="66">
        <f t="shared" si="245"/>
        <v>0.65207282116061327</v>
      </c>
      <c r="W424" s="66">
        <f t="shared" si="246"/>
        <v>8.708518283660956E-3</v>
      </c>
      <c r="X424" s="66">
        <f t="shared" si="247"/>
        <v>1.2955775433225826E-2</v>
      </c>
      <c r="Y424" s="66">
        <f t="shared" si="248"/>
        <v>1.2767979201339293E-2</v>
      </c>
      <c r="Z424" s="66">
        <f t="shared" si="249"/>
        <v>2.3933256909947777E-2</v>
      </c>
      <c r="AA424" s="66">
        <f t="shared" si="221"/>
        <v>2.5593800118389708E-2</v>
      </c>
      <c r="AB424" s="66">
        <f t="shared" si="250"/>
        <v>1.6176107350072334E-2</v>
      </c>
      <c r="AC424" s="67">
        <f t="shared" si="222"/>
        <v>30471352.392708134</v>
      </c>
      <c r="AD424" s="67">
        <f t="shared" si="238"/>
        <v>21162163.203071997</v>
      </c>
      <c r="AE424" s="66">
        <f t="shared" si="236"/>
        <v>3.1999999999999362E-2</v>
      </c>
      <c r="AF424" s="67">
        <f t="shared" si="239"/>
        <v>21162163.203071997</v>
      </c>
      <c r="AG424" s="67">
        <f t="shared" si="251"/>
        <v>1.0000000000000004</v>
      </c>
      <c r="AH424" s="67">
        <f t="shared" si="240"/>
        <v>21162163.203072008</v>
      </c>
      <c r="AI424" s="67">
        <f t="shared" si="223"/>
        <v>36.234978352142605</v>
      </c>
      <c r="AJ424" s="67">
        <f t="shared" si="224"/>
        <v>0</v>
      </c>
      <c r="AK424" s="66">
        <f t="shared" si="237"/>
        <v>3.2000000000000028E-2</v>
      </c>
    </row>
    <row r="425" spans="1:37" ht="12.75" customHeight="1" x14ac:dyDescent="0.25">
      <c r="A425" s="55" t="s">
        <v>667</v>
      </c>
      <c r="B425" s="55" t="s">
        <v>452</v>
      </c>
      <c r="C425" s="55" t="s">
        <v>460</v>
      </c>
      <c r="D425" s="128">
        <v>2021</v>
      </c>
      <c r="E425" s="55" t="s">
        <v>676</v>
      </c>
      <c r="F425" s="57">
        <f>SIM_Parametres!$C$27</f>
        <v>1308235828.6264319</v>
      </c>
      <c r="G425" s="129">
        <f>SIM_Districts!D70*(1+SIM_Parametres!$B$6)^(2021-2023)</f>
        <v>408931.09623904229</v>
      </c>
      <c r="H425" s="129">
        <f>MAX(0,MIN(100,SIM_Districts!F70+(2021-2022)*SIM_Parametres!$B$7))</f>
        <v>30.729999999999997</v>
      </c>
      <c r="I425" s="129">
        <f>SIM_Districts!G70*(1+SIM_Parametres!$B$8)^(2021-2023)</f>
        <v>45.269352648257133</v>
      </c>
      <c r="J425" s="129">
        <f>SIM_Districts!H70*(1+SIM_Parametres!$B$9)^(2021-2023)</f>
        <v>19.62962962962963</v>
      </c>
      <c r="K425" s="129">
        <f>MAX(0,MIN(100,SIM_Districts!I70+(2021-2023)*SIM_Parametres!$B$10))</f>
        <v>93.3</v>
      </c>
      <c r="L425" s="129">
        <f>SIM_Districts!E70</f>
        <v>1739</v>
      </c>
      <c r="M425" s="68">
        <f t="shared" si="220"/>
        <v>235.15301681371034</v>
      </c>
      <c r="N425" s="129">
        <f>N354*(1+SIM_Parametres!$B$6)/(1+SIM_Parametres!$B$11)</f>
        <v>153373</v>
      </c>
      <c r="O425" s="72"/>
      <c r="P425" s="130">
        <f>SIM_Parametres!$D$27</f>
        <v>0</v>
      </c>
      <c r="Q425" s="130">
        <f>SIM_Parametres!$B$12</f>
        <v>0.2</v>
      </c>
      <c r="R425" s="59">
        <f t="shared" si="241"/>
        <v>2.3933891297041637E-2</v>
      </c>
      <c r="S425" s="59">
        <f t="shared" si="242"/>
        <v>0.36524822695035453</v>
      </c>
      <c r="T425" s="59">
        <f t="shared" si="243"/>
        <v>0.65469613259668513</v>
      </c>
      <c r="U425" s="59">
        <f t="shared" si="244"/>
        <v>0.55643930835847488</v>
      </c>
      <c r="V425" s="59">
        <f t="shared" si="245"/>
        <v>0.65207282116061327</v>
      </c>
      <c r="W425" s="59">
        <f t="shared" si="246"/>
        <v>8.708518283660956E-3</v>
      </c>
      <c r="X425" s="59">
        <f t="shared" si="247"/>
        <v>1.2955775433225826E-2</v>
      </c>
      <c r="Y425" s="59">
        <f t="shared" si="248"/>
        <v>1.4216862665453397E-2</v>
      </c>
      <c r="Z425" s="59">
        <f t="shared" si="249"/>
        <v>2.3933256909947777E-2</v>
      </c>
      <c r="AA425" s="59">
        <f t="shared" si="221"/>
        <v>1.9517484814528058E-2</v>
      </c>
      <c r="AB425" s="59">
        <f t="shared" si="250"/>
        <v>1.4236217879244608E-2</v>
      </c>
      <c r="AC425" s="60">
        <f t="shared" si="222"/>
        <v>24111949.683473807</v>
      </c>
      <c r="AD425" s="60">
        <f t="shared" si="238"/>
        <v>18624330.293759994</v>
      </c>
      <c r="AE425" s="59">
        <f t="shared" si="236"/>
        <v>3.1999999999999362E-2</v>
      </c>
      <c r="AF425" s="60">
        <f t="shared" si="239"/>
        <v>18624330.293759994</v>
      </c>
      <c r="AG425" s="60">
        <f t="shared" si="251"/>
        <v>1.0000000000000004</v>
      </c>
      <c r="AH425" s="60">
        <f t="shared" si="240"/>
        <v>18624330.293760002</v>
      </c>
      <c r="AI425" s="60">
        <f t="shared" si="223"/>
        <v>45.543932621042529</v>
      </c>
      <c r="AJ425" s="60">
        <f t="shared" si="224"/>
        <v>0</v>
      </c>
      <c r="AK425" s="59">
        <f t="shared" si="237"/>
        <v>3.1999999999999584E-2</v>
      </c>
    </row>
    <row r="426" spans="1:37" ht="12.75" customHeight="1" x14ac:dyDescent="0.25">
      <c r="A426" s="62" t="s">
        <v>668</v>
      </c>
      <c r="B426" s="62" t="s">
        <v>461</v>
      </c>
      <c r="C426" s="62" t="s">
        <v>463</v>
      </c>
      <c r="D426" s="124">
        <v>2021</v>
      </c>
      <c r="E426" s="62" t="s">
        <v>676</v>
      </c>
      <c r="F426" s="64">
        <f>SIM_Parametres!$C$27</f>
        <v>1308235828.6264319</v>
      </c>
      <c r="G426" s="125">
        <f>SIM_Districts!D71*(1+SIM_Parametres!$B$6)^(2021-2023)</f>
        <v>150511.82957865961</v>
      </c>
      <c r="H426" s="125">
        <f>MAX(0,MIN(100,SIM_Districts!F71+(2021-2022)*SIM_Parametres!$B$7))</f>
        <v>49.129999999999995</v>
      </c>
      <c r="I426" s="125">
        <f>SIM_Districts!G71*(1+SIM_Parametres!$B$8)^(2021-2023)</f>
        <v>45.269352648257133</v>
      </c>
      <c r="J426" s="125">
        <f>SIM_Districts!H71*(1+SIM_Parametres!$B$9)^(2021-2023)</f>
        <v>12.716049382716049</v>
      </c>
      <c r="K426" s="125">
        <f>MAX(0,MIN(100,SIM_Districts!I71+(2021-2023)*SIM_Parametres!$B$10))</f>
        <v>92.3</v>
      </c>
      <c r="L426" s="125">
        <f>SIM_Districts!E71</f>
        <v>2537</v>
      </c>
      <c r="M426" s="61">
        <f t="shared" si="220"/>
        <v>59.326696720007732</v>
      </c>
      <c r="N426" s="125">
        <f>N355*(1+SIM_Parametres!$B$6)/(1+SIM_Parametres!$B$11)</f>
        <v>69419</v>
      </c>
      <c r="O426" s="132"/>
      <c r="P426" s="126">
        <f>SIM_Parametres!$D$27</f>
        <v>0</v>
      </c>
      <c r="Q426" s="126">
        <f>SIM_Parametres!$B$12</f>
        <v>0.2</v>
      </c>
      <c r="R426" s="66">
        <f t="shared" si="241"/>
        <v>8.8091460913227709E-3</v>
      </c>
      <c r="S426" s="66">
        <f t="shared" si="242"/>
        <v>0.6914893617021276</v>
      </c>
      <c r="T426" s="66">
        <f t="shared" si="243"/>
        <v>0.5</v>
      </c>
      <c r="U426" s="66">
        <f t="shared" si="244"/>
        <v>0.58672050041788637</v>
      </c>
      <c r="V426" s="66">
        <f t="shared" si="245"/>
        <v>6.9378604793203735E-2</v>
      </c>
      <c r="W426" s="66">
        <f t="shared" si="246"/>
        <v>1.6487000634115404E-2</v>
      </c>
      <c r="X426" s="66">
        <f t="shared" si="247"/>
        <v>9.8944951620838582E-3</v>
      </c>
      <c r="Y426" s="66">
        <f t="shared" si="248"/>
        <v>1.4990538324933458E-2</v>
      </c>
      <c r="Z426" s="66">
        <f t="shared" si="249"/>
        <v>2.5464272067252584E-3</v>
      </c>
      <c r="AA426" s="66">
        <f t="shared" si="221"/>
        <v>1.0119560300806487E-2</v>
      </c>
      <c r="AB426" s="66">
        <f t="shared" si="250"/>
        <v>1.7832028591736018E-2</v>
      </c>
      <c r="AC426" s="67">
        <f t="shared" si="222"/>
        <v>14276188.432612047</v>
      </c>
      <c r="AD426" s="67">
        <f t="shared" si="238"/>
        <v>23328498.700799994</v>
      </c>
      <c r="AE426" s="66">
        <f t="shared" si="236"/>
        <v>3.1999999999999362E-2</v>
      </c>
      <c r="AF426" s="67">
        <f t="shared" si="239"/>
        <v>23328498.700799994</v>
      </c>
      <c r="AG426" s="67">
        <f t="shared" si="251"/>
        <v>1.0000000000000004</v>
      </c>
      <c r="AH426" s="67">
        <f t="shared" si="240"/>
        <v>23328498.700800005</v>
      </c>
      <c r="AI426" s="67">
        <f t="shared" si="223"/>
        <v>154.99445303472444</v>
      </c>
      <c r="AJ426" s="67">
        <f t="shared" si="224"/>
        <v>0</v>
      </c>
      <c r="AK426" s="66">
        <f t="shared" si="237"/>
        <v>3.1999999999999806E-2</v>
      </c>
    </row>
    <row r="427" spans="1:37" ht="12.75" customHeight="1" x14ac:dyDescent="0.25">
      <c r="A427" s="55" t="s">
        <v>670</v>
      </c>
      <c r="B427" s="55" t="s">
        <v>461</v>
      </c>
      <c r="C427" s="55" t="s">
        <v>464</v>
      </c>
      <c r="D427" s="128">
        <v>2021</v>
      </c>
      <c r="E427" s="55" t="s">
        <v>676</v>
      </c>
      <c r="F427" s="57">
        <f>SIM_Parametres!$C$27</f>
        <v>1308235828.6264319</v>
      </c>
      <c r="G427" s="129">
        <f>SIM_Districts!D72*(1+SIM_Parametres!$B$6)^(2021-2023)</f>
        <v>91921.010462814593</v>
      </c>
      <c r="H427" s="129">
        <f>MAX(0,MIN(100,SIM_Districts!F72+(2021-2022)*SIM_Parametres!$B$7))</f>
        <v>49.129999999999995</v>
      </c>
      <c r="I427" s="129">
        <f>SIM_Districts!G72*(1+SIM_Parametres!$B$8)^(2021-2023)</f>
        <v>45.269352648257133</v>
      </c>
      <c r="J427" s="129">
        <f>SIM_Districts!H72*(1+SIM_Parametres!$B$9)^(2021-2023)</f>
        <v>12.716049382716049</v>
      </c>
      <c r="K427" s="129">
        <f>MAX(0,MIN(100,SIM_Districts!I72+(2021-2023)*SIM_Parametres!$B$10))</f>
        <v>92.3</v>
      </c>
      <c r="L427" s="129">
        <f>SIM_Districts!E72</f>
        <v>1893</v>
      </c>
      <c r="M427" s="68">
        <f t="shared" si="220"/>
        <v>48.55837848009223</v>
      </c>
      <c r="N427" s="129">
        <f>N356*(1+SIM_Parametres!$B$6)/(1+SIM_Parametres!$B$11)</f>
        <v>69419</v>
      </c>
      <c r="O427" s="72"/>
      <c r="P427" s="130">
        <f>SIM_Parametres!$D$27</f>
        <v>0</v>
      </c>
      <c r="Q427" s="130">
        <f>SIM_Parametres!$B$12</f>
        <v>0.2</v>
      </c>
      <c r="R427" s="59">
        <f t="shared" si="241"/>
        <v>5.3799466280871839E-3</v>
      </c>
      <c r="S427" s="59">
        <f t="shared" si="242"/>
        <v>0.6914893617021276</v>
      </c>
      <c r="T427" s="59">
        <f t="shared" si="243"/>
        <v>0.5</v>
      </c>
      <c r="U427" s="59">
        <f t="shared" si="244"/>
        <v>0.56457363162952046</v>
      </c>
      <c r="V427" s="59">
        <f t="shared" si="245"/>
        <v>6.9378604793203735E-2</v>
      </c>
      <c r="W427" s="59">
        <f t="shared" si="246"/>
        <v>1.6487000634115404E-2</v>
      </c>
      <c r="X427" s="59">
        <f t="shared" si="247"/>
        <v>9.8944951620838582E-3</v>
      </c>
      <c r="Y427" s="59">
        <f t="shared" si="248"/>
        <v>1.4424692261752074E-2</v>
      </c>
      <c r="Z427" s="59">
        <f t="shared" si="249"/>
        <v>2.5464272067252584E-3</v>
      </c>
      <c r="AA427" s="59">
        <f t="shared" si="221"/>
        <v>8.0337483197060657E-3</v>
      </c>
      <c r="AB427" s="59">
        <f t="shared" si="250"/>
        <v>1.2086292735958275E-2</v>
      </c>
      <c r="AC427" s="60">
        <f t="shared" si="222"/>
        <v>12093201.260248967</v>
      </c>
      <c r="AD427" s="60">
        <f t="shared" si="238"/>
        <v>15811721.192447999</v>
      </c>
      <c r="AE427" s="59">
        <f t="shared" si="236"/>
        <v>3.1999999999999362E-2</v>
      </c>
      <c r="AF427" s="60">
        <f t="shared" si="239"/>
        <v>15811721.192447999</v>
      </c>
      <c r="AG427" s="60">
        <f t="shared" si="251"/>
        <v>1.0000000000000004</v>
      </c>
      <c r="AH427" s="60">
        <f t="shared" si="240"/>
        <v>15811721.192448007</v>
      </c>
      <c r="AI427" s="60">
        <f t="shared" si="223"/>
        <v>172.01422300339513</v>
      </c>
      <c r="AJ427" s="60">
        <f t="shared" si="224"/>
        <v>0</v>
      </c>
      <c r="AK427" s="59">
        <f t="shared" si="237"/>
        <v>3.2000000000000028E-2</v>
      </c>
    </row>
    <row r="428" spans="1:37" ht="12.75" customHeight="1" x14ac:dyDescent="0.25">
      <c r="A428" s="62" t="s">
        <v>671</v>
      </c>
      <c r="B428" s="62" t="s">
        <v>461</v>
      </c>
      <c r="C428" s="62" t="s">
        <v>465</v>
      </c>
      <c r="D428" s="124">
        <v>2021</v>
      </c>
      <c r="E428" s="62" t="s">
        <v>676</v>
      </c>
      <c r="F428" s="64">
        <f>SIM_Parametres!$C$27</f>
        <v>1308235828.6264319</v>
      </c>
      <c r="G428" s="125">
        <f>SIM_Districts!D73*(1+SIM_Parametres!$B$6)^(2021-2023)</f>
        <v>55352.059572061458</v>
      </c>
      <c r="H428" s="125">
        <f>MAX(0,MIN(100,SIM_Districts!F73+(2021-2022)*SIM_Parametres!$B$7))</f>
        <v>49.129999999999995</v>
      </c>
      <c r="I428" s="125">
        <f>SIM_Districts!G73*(1+SIM_Parametres!$B$8)^(2021-2023)</f>
        <v>45.269352648257133</v>
      </c>
      <c r="J428" s="125">
        <f>SIM_Districts!H73*(1+SIM_Parametres!$B$9)^(2021-2023)</f>
        <v>12.716049382716049</v>
      </c>
      <c r="K428" s="125">
        <f>MAX(0,MIN(100,SIM_Districts!I73+(2021-2023)*SIM_Parametres!$B$10))</f>
        <v>92.3</v>
      </c>
      <c r="L428" s="125">
        <f>SIM_Districts!E73</f>
        <v>877</v>
      </c>
      <c r="M428" s="61">
        <f t="shared" si="220"/>
        <v>63.115233263468028</v>
      </c>
      <c r="N428" s="125">
        <f>N357*(1+SIM_Parametres!$B$6)/(1+SIM_Parametres!$B$11)</f>
        <v>69419</v>
      </c>
      <c r="O428" s="132"/>
      <c r="P428" s="126">
        <f>SIM_Parametres!$D$27</f>
        <v>0</v>
      </c>
      <c r="Q428" s="126">
        <f>SIM_Parametres!$B$12</f>
        <v>0.2</v>
      </c>
      <c r="R428" s="66">
        <f t="shared" si="241"/>
        <v>3.2396415656555512E-3</v>
      </c>
      <c r="S428" s="66">
        <f t="shared" si="242"/>
        <v>0.6914893617021276</v>
      </c>
      <c r="T428" s="66">
        <f t="shared" si="243"/>
        <v>0.5</v>
      </c>
      <c r="U428" s="66">
        <f t="shared" si="244"/>
        <v>0.52916053895252124</v>
      </c>
      <c r="V428" s="66">
        <f t="shared" si="245"/>
        <v>6.9378604793203735E-2</v>
      </c>
      <c r="W428" s="66">
        <f t="shared" si="246"/>
        <v>1.6487000634115404E-2</v>
      </c>
      <c r="X428" s="66">
        <f t="shared" si="247"/>
        <v>9.8944951620838582E-3</v>
      </c>
      <c r="Y428" s="66">
        <f t="shared" si="248"/>
        <v>1.3519898032471053E-2</v>
      </c>
      <c r="Z428" s="66">
        <f t="shared" si="249"/>
        <v>2.5464272067252584E-3</v>
      </c>
      <c r="AA428" s="66">
        <f t="shared" si="221"/>
        <v>6.7043255707830351E-3</v>
      </c>
      <c r="AB428" s="66">
        <f t="shared" si="250"/>
        <v>1.3454885177698578E-2</v>
      </c>
      <c r="AC428" s="67">
        <f t="shared" si="222"/>
        <v>10701842.483023247</v>
      </c>
      <c r="AD428" s="67">
        <f t="shared" si="238"/>
        <v>17602162.859519996</v>
      </c>
      <c r="AE428" s="66">
        <f t="shared" si="236"/>
        <v>3.1999999999999362E-2</v>
      </c>
      <c r="AF428" s="67">
        <f t="shared" si="239"/>
        <v>17602162.859519996</v>
      </c>
      <c r="AG428" s="67">
        <f t="shared" si="251"/>
        <v>1.0000000000000004</v>
      </c>
      <c r="AH428" s="67">
        <f t="shared" si="240"/>
        <v>17602162.859520003</v>
      </c>
      <c r="AI428" s="67">
        <f t="shared" si="223"/>
        <v>318.00375623971479</v>
      </c>
      <c r="AJ428" s="67">
        <f t="shared" si="224"/>
        <v>0</v>
      </c>
      <c r="AK428" s="66">
        <f t="shared" si="237"/>
        <v>3.1999999999999806E-2</v>
      </c>
    </row>
    <row r="429" spans="1:37" ht="12.75" customHeight="1" x14ac:dyDescent="0.25">
      <c r="A429" s="55" t="s">
        <v>672</v>
      </c>
      <c r="B429" s="55" t="s">
        <v>461</v>
      </c>
      <c r="C429" s="55" t="s">
        <v>461</v>
      </c>
      <c r="D429" s="128">
        <v>2021</v>
      </c>
      <c r="E429" s="55" t="s">
        <v>676</v>
      </c>
      <c r="F429" s="57">
        <f>SIM_Parametres!$C$27</f>
        <v>1308235828.6264319</v>
      </c>
      <c r="G429" s="129">
        <f>SIM_Districts!D74*(1+SIM_Parametres!$B$6)^(2021-2023)</f>
        <v>284331.22820246959</v>
      </c>
      <c r="H429" s="129">
        <f>MAX(0,MIN(100,SIM_Districts!F74+(2021-2022)*SIM_Parametres!$B$7))</f>
        <v>49.129999999999995</v>
      </c>
      <c r="I429" s="129">
        <f>SIM_Districts!G74*(1+SIM_Parametres!$B$8)^(2021-2023)</f>
        <v>45.269352648257133</v>
      </c>
      <c r="J429" s="129">
        <f>SIM_Districts!H74*(1+SIM_Parametres!$B$9)^(2021-2023)</f>
        <v>12.716049382716049</v>
      </c>
      <c r="K429" s="129">
        <f>MAX(0,MIN(100,SIM_Districts!I74+(2021-2023)*SIM_Parametres!$B$10))</f>
        <v>92.3</v>
      </c>
      <c r="L429" s="129">
        <f>SIM_Districts!E74</f>
        <v>1136</v>
      </c>
      <c r="M429" s="68">
        <f t="shared" si="220"/>
        <v>250.29157412189224</v>
      </c>
      <c r="N429" s="129">
        <f>N358*(1+SIM_Parametres!$B$6)/(1+SIM_Parametres!$B$11)</f>
        <v>69419</v>
      </c>
      <c r="O429" s="72"/>
      <c r="P429" s="130">
        <f>SIM_Parametres!$D$27</f>
        <v>0</v>
      </c>
      <c r="Q429" s="130">
        <f>SIM_Parametres!$B$12</f>
        <v>0.2</v>
      </c>
      <c r="R429" s="59">
        <f t="shared" si="241"/>
        <v>1.6641318722737258E-2</v>
      </c>
      <c r="S429" s="59">
        <f t="shared" si="242"/>
        <v>0.6914893617021276</v>
      </c>
      <c r="T429" s="59">
        <f t="shared" si="243"/>
        <v>0.5</v>
      </c>
      <c r="U429" s="59">
        <f t="shared" si="244"/>
        <v>0.53532398626606026</v>
      </c>
      <c r="V429" s="59">
        <f t="shared" si="245"/>
        <v>6.9378604793203735E-2</v>
      </c>
      <c r="W429" s="59">
        <f t="shared" si="246"/>
        <v>1.6487000634115404E-2</v>
      </c>
      <c r="X429" s="59">
        <f t="shared" si="247"/>
        <v>9.8944951620838582E-3</v>
      </c>
      <c r="Y429" s="59">
        <f t="shared" si="248"/>
        <v>1.3677372320656838E-2</v>
      </c>
      <c r="Z429" s="59">
        <f t="shared" si="249"/>
        <v>2.5464272067252584E-3</v>
      </c>
      <c r="AA429" s="59">
        <f t="shared" si="221"/>
        <v>1.4753205579441347E-2</v>
      </c>
      <c r="AB429" s="59">
        <f t="shared" si="250"/>
        <v>1.601479995362412E-2</v>
      </c>
      <c r="AC429" s="60">
        <f t="shared" si="222"/>
        <v>19125709.049136713</v>
      </c>
      <c r="AD429" s="60">
        <f t="shared" si="238"/>
        <v>20951135.087615997</v>
      </c>
      <c r="AE429" s="59">
        <f t="shared" si="236"/>
        <v>3.1999999999999362E-2</v>
      </c>
      <c r="AF429" s="60">
        <f t="shared" si="239"/>
        <v>20951135.087615997</v>
      </c>
      <c r="AG429" s="60">
        <f t="shared" si="251"/>
        <v>1.0000000000000004</v>
      </c>
      <c r="AH429" s="60">
        <f t="shared" si="240"/>
        <v>20951135.087616004</v>
      </c>
      <c r="AI429" s="60">
        <f t="shared" si="223"/>
        <v>73.685663091135737</v>
      </c>
      <c r="AJ429" s="60">
        <f t="shared" si="224"/>
        <v>0</v>
      </c>
      <c r="AK429" s="59">
        <f t="shared" si="237"/>
        <v>3.1999999999999806E-2</v>
      </c>
    </row>
    <row r="430" spans="1:37" ht="12.75" customHeight="1" x14ac:dyDescent="0.25">
      <c r="A430" s="62" t="s">
        <v>587</v>
      </c>
      <c r="B430" s="62" t="s">
        <v>376</v>
      </c>
      <c r="C430" s="62" t="s">
        <v>379</v>
      </c>
      <c r="D430" s="124">
        <v>2022</v>
      </c>
      <c r="E430" s="62" t="s">
        <v>676</v>
      </c>
      <c r="F430" s="64">
        <f>SIM_Parametres!$C$28</f>
        <v>1350099375.1424778</v>
      </c>
      <c r="G430" s="125">
        <f>SIM_Districts!D4*(1+SIM_Parametres!$B$6)^(2022-2023)</f>
        <v>440740.77669902914</v>
      </c>
      <c r="H430" s="125">
        <f>MAX(0,MIN(100,SIM_Districts!F4+(2022-2022)*SIM_Parametres!$B$7))</f>
        <v>9.3000000000000007</v>
      </c>
      <c r="I430" s="125">
        <f>SIM_Districts!G4*(1+SIM_Parametres!$B$8)^(2022-2023)</f>
        <v>42.553191489361701</v>
      </c>
      <c r="J430" s="125">
        <f>SIM_Districts!H4*(1+SIM_Parametres!$B$9)^(2022-2023)</f>
        <v>11.555555555555557</v>
      </c>
      <c r="K430" s="125">
        <f>MAX(0,MIN(100,SIM_Districts!I4+(2022-2023)*SIM_Parametres!$B$10))</f>
        <v>96.9</v>
      </c>
      <c r="L430" s="125">
        <f>SIM_Districts!E4</f>
        <v>13</v>
      </c>
      <c r="M430" s="61">
        <f t="shared" si="220"/>
        <v>33903.136669156091</v>
      </c>
      <c r="N430" s="125">
        <f>N359*(1+SIM_Parametres!$B$6)/(1+SIM_Parametres!$B$11)</f>
        <v>73189</v>
      </c>
      <c r="O430" s="132"/>
      <c r="P430" s="126">
        <f>SIM_Parametres!$D$28</f>
        <v>0</v>
      </c>
      <c r="Q430" s="126">
        <f>SIM_Parametres!$B$12</f>
        <v>0.2</v>
      </c>
      <c r="R430" s="66">
        <f t="shared" ref="R430:R461" si="252">IFERROR(G430/SUM($G$430:$G$500),1/71)</f>
        <v>2.5044316606264858E-2</v>
      </c>
      <c r="S430" s="66">
        <f t="shared" ref="S430:S461" si="253">IF(MAX($H$430:$H$500)=MIN($H$430:$H$500),1,(H430-MIN($H$430:$H$500))/(MAX($H$430:$H$500)-MIN($H$430:$H$500)))</f>
        <v>0</v>
      </c>
      <c r="T430" s="66">
        <f t="shared" ref="T430:T461" si="254">(IF(MAX($I$430:$I$500)=MIN($I$430:$I$500),1,(I430-MIN($I$430:$I$500))/(MAX($I$430:$I$500)-MIN($I$430:$I$500)))+IF(MAX($J$430:$J$500)=MIN($J$430:$J$500),1,(J430-MIN($J$430:$J$500))/(MAX($J$430:$J$500)-MIN($J$430:$J$500))))/2</f>
        <v>0.50276243093922646</v>
      </c>
      <c r="U430" s="66">
        <f t="shared" ref="U430:U461" si="255">(IF(MAX($L$430:$L$500)=MIN($L$430:$L$500),1,(L430-MIN($L$430:$L$500))/(MAX($L$430:$L$500)-MIN($L$430:$L$500)))+IF(MAX($M$430:$M$500)=MIN($M$430:$M$500),1,(MAX($M$430:$M$500)-M430)/(MAX($M$430:$M$500)-MIN($M$430:$M$500))))/2</f>
        <v>6.3061112543855895E-3</v>
      </c>
      <c r="V430" s="66">
        <f t="shared" ref="V430:V461" si="256">IF(MAX($N$430:$N$500)=MIN($N$430:$N$500),1,(N430-MIN($N$430:$N$500))/(MAX($N$430:$N$500)-MIN($N$430:$N$500)))</f>
        <v>9.5544805280436421E-2</v>
      </c>
      <c r="W430" s="66">
        <f t="shared" ref="W430:W461" si="257">IFERROR(S430/SUM($S$430:$S$500),1/71)</f>
        <v>0</v>
      </c>
      <c r="X430" s="66">
        <f t="shared" ref="X430:X461" si="258">IFERROR(T430/SUM($T$430:$T$500),1/71)</f>
        <v>9.9491608812113923E-3</v>
      </c>
      <c r="Y430" s="66">
        <f t="shared" ref="Y430:Y461" si="259">IFERROR(U430/SUM($U$430:$U$500),1/71)</f>
        <v>1.6111931042605773E-4</v>
      </c>
      <c r="Z430" s="66">
        <f t="shared" ref="Z430:Z461" si="260">IFERROR(V430/SUM($V$430:$V$500),1/71)</f>
        <v>3.506814418545408E-3</v>
      </c>
      <c r="AA430" s="66">
        <f t="shared" si="221"/>
        <v>1.6702360782389195E-2</v>
      </c>
      <c r="AB430" s="66">
        <f t="shared" ref="AB430:AB461" si="261">IFERROR(AH359/SUM($AH$359:$AH$429),1/71)</f>
        <v>1.5515755195862464E-2</v>
      </c>
      <c r="AC430" s="67">
        <f t="shared" si="222"/>
        <v>21842974.315953564</v>
      </c>
      <c r="AD430" s="67">
        <f t="shared" si="238"/>
        <v>20947811.394797567</v>
      </c>
      <c r="AE430" s="66">
        <f t="shared" si="236"/>
        <v>3.1999999999999806E-2</v>
      </c>
      <c r="AF430" s="67">
        <f t="shared" si="239"/>
        <v>20947811.394797567</v>
      </c>
      <c r="AG430" s="67">
        <f t="shared" ref="AG430:AG461" si="262">IFERROR(F430/SUM($AF$430:$AF$500),1)</f>
        <v>0.99999999999999967</v>
      </c>
      <c r="AH430" s="67">
        <f t="shared" si="240"/>
        <v>20947811.39479756</v>
      </c>
      <c r="AI430" s="67">
        <f t="shared" si="223"/>
        <v>47.528643824808377</v>
      </c>
      <c r="AJ430" s="67">
        <f t="shared" si="224"/>
        <v>0</v>
      </c>
      <c r="AK430" s="66">
        <f t="shared" si="237"/>
        <v>3.1999999999999584E-2</v>
      </c>
    </row>
    <row r="431" spans="1:37" ht="12.75" customHeight="1" x14ac:dyDescent="0.25">
      <c r="A431" s="55" t="s">
        <v>590</v>
      </c>
      <c r="B431" s="55" t="s">
        <v>376</v>
      </c>
      <c r="C431" s="55" t="s">
        <v>381</v>
      </c>
      <c r="D431" s="128">
        <v>2022</v>
      </c>
      <c r="E431" s="55" t="s">
        <v>676</v>
      </c>
      <c r="F431" s="57">
        <f>SIM_Parametres!$C$28</f>
        <v>1350099375.1424778</v>
      </c>
      <c r="G431" s="129">
        <f>SIM_Districts!D5*(1+SIM_Parametres!$B$6)^(2022-2023)</f>
        <v>231009.70873786407</v>
      </c>
      <c r="H431" s="129">
        <f>MAX(0,MIN(100,SIM_Districts!F5+(2022-2022)*SIM_Parametres!$B$7))</f>
        <v>9.3000000000000007</v>
      </c>
      <c r="I431" s="129">
        <f>SIM_Districts!G5*(1+SIM_Parametres!$B$8)^(2022-2023)</f>
        <v>42.553191489361701</v>
      </c>
      <c r="J431" s="129">
        <f>SIM_Districts!H5*(1+SIM_Parametres!$B$9)^(2022-2023)</f>
        <v>11.555555555555557</v>
      </c>
      <c r="K431" s="129">
        <f>MAX(0,MIN(100,SIM_Districts!I5+(2022-2023)*SIM_Parametres!$B$10))</f>
        <v>96.9</v>
      </c>
      <c r="L431" s="129">
        <f>SIM_Districts!E5</f>
        <v>10</v>
      </c>
      <c r="M431" s="68">
        <f t="shared" si="220"/>
        <v>23100.970873786406</v>
      </c>
      <c r="N431" s="129">
        <f>N360*(1+SIM_Parametres!$B$6)/(1+SIM_Parametres!$B$11)</f>
        <v>73189</v>
      </c>
      <c r="O431" s="72"/>
      <c r="P431" s="130">
        <f>SIM_Parametres!$D$28</f>
        <v>0</v>
      </c>
      <c r="Q431" s="130">
        <f>SIM_Parametres!$B$12</f>
        <v>0.2</v>
      </c>
      <c r="R431" s="59">
        <f t="shared" si="252"/>
        <v>1.3126718902850365E-2</v>
      </c>
      <c r="S431" s="59">
        <f t="shared" si="253"/>
        <v>0</v>
      </c>
      <c r="T431" s="59">
        <f t="shared" si="254"/>
        <v>0.50276243093922646</v>
      </c>
      <c r="U431" s="59">
        <f t="shared" si="255"/>
        <v>0.16355896203869921</v>
      </c>
      <c r="V431" s="59">
        <f t="shared" si="256"/>
        <v>9.5544805280436421E-2</v>
      </c>
      <c r="W431" s="59">
        <f t="shared" si="257"/>
        <v>0</v>
      </c>
      <c r="X431" s="59">
        <f t="shared" si="258"/>
        <v>9.9491608812113923E-3</v>
      </c>
      <c r="Y431" s="59">
        <f t="shared" si="259"/>
        <v>4.1788839610703184E-3</v>
      </c>
      <c r="Z431" s="59">
        <f t="shared" si="260"/>
        <v>3.506814418545408E-3</v>
      </c>
      <c r="AA431" s="59">
        <f t="shared" si="221"/>
        <v>9.7526903928727132E-3</v>
      </c>
      <c r="AB431" s="59">
        <f t="shared" si="261"/>
        <v>1.4020301207957157E-2</v>
      </c>
      <c r="AC431" s="60">
        <f t="shared" si="222"/>
        <v>14336777.795687657</v>
      </c>
      <c r="AD431" s="60">
        <f t="shared" si="238"/>
        <v>18928799.900172286</v>
      </c>
      <c r="AE431" s="59">
        <f t="shared" si="236"/>
        <v>3.1999999999999806E-2</v>
      </c>
      <c r="AF431" s="60">
        <f t="shared" si="239"/>
        <v>18928799.900172286</v>
      </c>
      <c r="AG431" s="60">
        <f t="shared" si="262"/>
        <v>0.99999999999999967</v>
      </c>
      <c r="AH431" s="60">
        <f t="shared" si="240"/>
        <v>18928799.900172278</v>
      </c>
      <c r="AI431" s="60">
        <f t="shared" si="223"/>
        <v>81.93941286533348</v>
      </c>
      <c r="AJ431" s="60">
        <f t="shared" si="224"/>
        <v>0</v>
      </c>
      <c r="AK431" s="59">
        <f t="shared" si="237"/>
        <v>3.1999999999999584E-2</v>
      </c>
    </row>
    <row r="432" spans="1:37" ht="12.75" customHeight="1" x14ac:dyDescent="0.25">
      <c r="A432" s="62" t="s">
        <v>591</v>
      </c>
      <c r="B432" s="62" t="s">
        <v>376</v>
      </c>
      <c r="C432" s="62" t="s">
        <v>382</v>
      </c>
      <c r="D432" s="124">
        <v>2022</v>
      </c>
      <c r="E432" s="62" t="s">
        <v>676</v>
      </c>
      <c r="F432" s="64">
        <f>SIM_Parametres!$C$28</f>
        <v>1350099375.1424778</v>
      </c>
      <c r="G432" s="125">
        <f>SIM_Districts!D6*(1+SIM_Parametres!$B$6)^(2022-2023)</f>
        <v>176064.07766990291</v>
      </c>
      <c r="H432" s="125">
        <f>MAX(0,MIN(100,SIM_Districts!F6+(2022-2022)*SIM_Parametres!$B$7))</f>
        <v>9.3000000000000007</v>
      </c>
      <c r="I432" s="125">
        <f>SIM_Districts!G6*(1+SIM_Parametres!$B$8)^(2022-2023)</f>
        <v>42.553191489361701</v>
      </c>
      <c r="J432" s="125">
        <f>SIM_Districts!H6*(1+SIM_Parametres!$B$9)^(2022-2023)</f>
        <v>11.555555555555557</v>
      </c>
      <c r="K432" s="125">
        <f>MAX(0,MIN(100,SIM_Districts!I6+(2022-2023)*SIM_Parametres!$B$10))</f>
        <v>96.9</v>
      </c>
      <c r="L432" s="125">
        <f>SIM_Districts!E6</f>
        <v>169</v>
      </c>
      <c r="M432" s="61">
        <f t="shared" si="220"/>
        <v>1041.7992761532716</v>
      </c>
      <c r="N432" s="125">
        <f>N361*(1+SIM_Parametres!$B$6)/(1+SIM_Parametres!$B$11)</f>
        <v>73189</v>
      </c>
      <c r="O432" s="132"/>
      <c r="P432" s="126">
        <f>SIM_Parametres!$D$28</f>
        <v>0</v>
      </c>
      <c r="Q432" s="126">
        <f>SIM_Parametres!$B$12</f>
        <v>0.2</v>
      </c>
      <c r="R432" s="66">
        <f t="shared" si="252"/>
        <v>1.0004530411684889E-2</v>
      </c>
      <c r="S432" s="66">
        <f t="shared" si="253"/>
        <v>0</v>
      </c>
      <c r="T432" s="66">
        <f t="shared" si="254"/>
        <v>0.50276243093922646</v>
      </c>
      <c r="U432" s="66">
        <f t="shared" si="255"/>
        <v>0.49040605765544509</v>
      </c>
      <c r="V432" s="66">
        <f t="shared" si="256"/>
        <v>9.5544805280436421E-2</v>
      </c>
      <c r="W432" s="66">
        <f t="shared" si="257"/>
        <v>0</v>
      </c>
      <c r="X432" s="66">
        <f t="shared" si="258"/>
        <v>9.9491608812113923E-3</v>
      </c>
      <c r="Y432" s="66">
        <f t="shared" si="259"/>
        <v>1.2529732294725463E-2</v>
      </c>
      <c r="Z432" s="66">
        <f t="shared" si="260"/>
        <v>3.506814418545408E-3</v>
      </c>
      <c r="AA432" s="66">
        <f t="shared" si="221"/>
        <v>8.2969197148561862E-3</v>
      </c>
      <c r="AB432" s="66">
        <f t="shared" si="261"/>
        <v>1.2123259014310994E-2</v>
      </c>
      <c r="AC432" s="67">
        <f t="shared" si="222"/>
        <v>12764429.729494976</v>
      </c>
      <c r="AD432" s="67">
        <f t="shared" si="238"/>
        <v>16367604.419911684</v>
      </c>
      <c r="AE432" s="66">
        <f t="shared" si="236"/>
        <v>3.1999999999999806E-2</v>
      </c>
      <c r="AF432" s="67">
        <f t="shared" si="239"/>
        <v>16367604.419911684</v>
      </c>
      <c r="AG432" s="67">
        <f t="shared" si="262"/>
        <v>0.99999999999999967</v>
      </c>
      <c r="AH432" s="67">
        <f t="shared" si="240"/>
        <v>16367604.419911679</v>
      </c>
      <c r="AI432" s="67">
        <f t="shared" si="223"/>
        <v>92.96390630346977</v>
      </c>
      <c r="AJ432" s="67">
        <f t="shared" si="224"/>
        <v>0</v>
      </c>
      <c r="AK432" s="66">
        <f t="shared" si="237"/>
        <v>3.1999999999999584E-2</v>
      </c>
    </row>
    <row r="433" spans="1:37" ht="12.75" customHeight="1" x14ac:dyDescent="0.25">
      <c r="A433" s="55" t="s">
        <v>592</v>
      </c>
      <c r="B433" s="55" t="s">
        <v>376</v>
      </c>
      <c r="C433" s="55" t="s">
        <v>383</v>
      </c>
      <c r="D433" s="128">
        <v>2022</v>
      </c>
      <c r="E433" s="55" t="s">
        <v>676</v>
      </c>
      <c r="F433" s="57">
        <f>SIM_Parametres!$C$28</f>
        <v>1350099375.1424778</v>
      </c>
      <c r="G433" s="129">
        <f>SIM_Districts!D7*(1+SIM_Parametres!$B$6)^(2022-2023)</f>
        <v>446275.72815533984</v>
      </c>
      <c r="H433" s="129">
        <f>MAX(0,MIN(100,SIM_Districts!F7+(2022-2022)*SIM_Parametres!$B$7))</f>
        <v>9.3000000000000007</v>
      </c>
      <c r="I433" s="129">
        <f>SIM_Districts!G7*(1+SIM_Parametres!$B$8)^(2022-2023)</f>
        <v>42.553191489361701</v>
      </c>
      <c r="J433" s="129">
        <f>SIM_Districts!H7*(1+SIM_Parametres!$B$9)^(2022-2023)</f>
        <v>11.555555555555557</v>
      </c>
      <c r="K433" s="129">
        <f>MAX(0,MIN(100,SIM_Districts!I7+(2022-2023)*SIM_Parametres!$B$10))</f>
        <v>96.9</v>
      </c>
      <c r="L433" s="129">
        <f>SIM_Districts!E7</f>
        <v>13</v>
      </c>
      <c r="M433" s="68">
        <f t="shared" si="220"/>
        <v>34328.902165795371</v>
      </c>
      <c r="N433" s="129">
        <f>N362*(1+SIM_Parametres!$B$6)/(1+SIM_Parametres!$B$11)</f>
        <v>73189</v>
      </c>
      <c r="O433" s="72"/>
      <c r="P433" s="130">
        <f>SIM_Parametres!$D$28</f>
        <v>0</v>
      </c>
      <c r="Q433" s="130">
        <f>SIM_Parametres!$B$12</f>
        <v>0.2</v>
      </c>
      <c r="R433" s="59">
        <f t="shared" si="252"/>
        <v>2.5358830452045938E-2</v>
      </c>
      <c r="S433" s="59">
        <f t="shared" si="253"/>
        <v>0</v>
      </c>
      <c r="T433" s="59">
        <f t="shared" si="254"/>
        <v>0.50276243093922646</v>
      </c>
      <c r="U433" s="59">
        <f t="shared" si="255"/>
        <v>1.0392129693778578E-4</v>
      </c>
      <c r="V433" s="59">
        <f t="shared" si="256"/>
        <v>9.5544805280436421E-2</v>
      </c>
      <c r="W433" s="59">
        <f t="shared" si="257"/>
        <v>0</v>
      </c>
      <c r="X433" s="59">
        <f t="shared" si="258"/>
        <v>9.9491608812113923E-3</v>
      </c>
      <c r="Y433" s="59">
        <f t="shared" si="259"/>
        <v>2.6551589443578546E-6</v>
      </c>
      <c r="Z433" s="59">
        <f t="shared" si="260"/>
        <v>3.506814418545408E-3</v>
      </c>
      <c r="AA433" s="59">
        <f t="shared" si="221"/>
        <v>1.6883145882283759E-2</v>
      </c>
      <c r="AB433" s="59">
        <f t="shared" si="261"/>
        <v>1.6212233485735222E-2</v>
      </c>
      <c r="AC433" s="60">
        <f t="shared" si="222"/>
        <v>22038236.596275739</v>
      </c>
      <c r="AD433" s="60">
        <f t="shared" si="238"/>
        <v>21888126.29875508</v>
      </c>
      <c r="AE433" s="59">
        <f t="shared" si="236"/>
        <v>3.2000000000000028E-2</v>
      </c>
      <c r="AF433" s="60">
        <f t="shared" si="239"/>
        <v>21888126.29875508</v>
      </c>
      <c r="AG433" s="60">
        <f t="shared" si="262"/>
        <v>0.99999999999999967</v>
      </c>
      <c r="AH433" s="60">
        <f t="shared" si="240"/>
        <v>21888126.298755072</v>
      </c>
      <c r="AI433" s="60">
        <f t="shared" si="223"/>
        <v>49.046194802546474</v>
      </c>
      <c r="AJ433" s="60">
        <f t="shared" si="224"/>
        <v>0</v>
      </c>
      <c r="AK433" s="59">
        <f t="shared" si="237"/>
        <v>3.1999999999999584E-2</v>
      </c>
    </row>
    <row r="434" spans="1:37" ht="12.75" customHeight="1" x14ac:dyDescent="0.25">
      <c r="A434" s="62" t="s">
        <v>593</v>
      </c>
      <c r="B434" s="62" t="s">
        <v>376</v>
      </c>
      <c r="C434" s="62" t="s">
        <v>384</v>
      </c>
      <c r="D434" s="124">
        <v>2022</v>
      </c>
      <c r="E434" s="62" t="s">
        <v>676</v>
      </c>
      <c r="F434" s="64">
        <f>SIM_Parametres!$C$28</f>
        <v>1350099375.1424778</v>
      </c>
      <c r="G434" s="125">
        <f>SIM_Districts!D8*(1+SIM_Parametres!$B$6)^(2022-2023)</f>
        <v>316483.49514563108</v>
      </c>
      <c r="H434" s="125">
        <f>MAX(0,MIN(100,SIM_Districts!F8+(2022-2022)*SIM_Parametres!$B$7))</f>
        <v>9.3000000000000007</v>
      </c>
      <c r="I434" s="125">
        <f>SIM_Districts!G8*(1+SIM_Parametres!$B$8)^(2022-2023)</f>
        <v>42.553191489361701</v>
      </c>
      <c r="J434" s="125">
        <f>SIM_Districts!H8*(1+SIM_Parametres!$B$9)^(2022-2023)</f>
        <v>11.555555555555557</v>
      </c>
      <c r="K434" s="125">
        <f>MAX(0,MIN(100,SIM_Districts!I8+(2022-2023)*SIM_Parametres!$B$10))</f>
        <v>96.9</v>
      </c>
      <c r="L434" s="125">
        <f>SIM_Districts!E8</f>
        <v>34</v>
      </c>
      <c r="M434" s="61">
        <f t="shared" si="220"/>
        <v>9308.3380925185611</v>
      </c>
      <c r="N434" s="125">
        <f>N363*(1+SIM_Parametres!$B$6)/(1+SIM_Parametres!$B$11)</f>
        <v>73189</v>
      </c>
      <c r="O434" s="132"/>
      <c r="P434" s="126">
        <f>SIM_Parametres!$D$28</f>
        <v>0</v>
      </c>
      <c r="Q434" s="126">
        <f>SIM_Parametres!$B$12</f>
        <v>0.2</v>
      </c>
      <c r="R434" s="66">
        <f t="shared" si="252"/>
        <v>1.7983615930542811E-2</v>
      </c>
      <c r="S434" s="66">
        <f t="shared" si="253"/>
        <v>0</v>
      </c>
      <c r="T434" s="66">
        <f t="shared" si="254"/>
        <v>0.50276243093922646</v>
      </c>
      <c r="U434" s="66">
        <f t="shared" si="255"/>
        <v>0.36530968637307898</v>
      </c>
      <c r="V434" s="66">
        <f t="shared" si="256"/>
        <v>9.5544805280436421E-2</v>
      </c>
      <c r="W434" s="66">
        <f t="shared" si="257"/>
        <v>0</v>
      </c>
      <c r="X434" s="66">
        <f t="shared" si="258"/>
        <v>9.9491608812113923E-3</v>
      </c>
      <c r="Y434" s="66">
        <f t="shared" si="259"/>
        <v>9.3335563528881213E-3</v>
      </c>
      <c r="Z434" s="66">
        <f t="shared" si="260"/>
        <v>3.506814418545408E-3</v>
      </c>
      <c r="AA434" s="66">
        <f t="shared" si="221"/>
        <v>1.2924562229079072E-2</v>
      </c>
      <c r="AB434" s="66">
        <f t="shared" si="261"/>
        <v>1.1514995706870857E-2</v>
      </c>
      <c r="AC434" s="67">
        <f t="shared" si="222"/>
        <v>17762651.542963043</v>
      </c>
      <c r="AD434" s="67">
        <f t="shared" si="238"/>
        <v>15546388.508614657</v>
      </c>
      <c r="AE434" s="66">
        <f t="shared" si="236"/>
        <v>3.1999999999999806E-2</v>
      </c>
      <c r="AF434" s="67">
        <f t="shared" si="239"/>
        <v>15546388.508614657</v>
      </c>
      <c r="AG434" s="67">
        <f t="shared" si="262"/>
        <v>0.99999999999999967</v>
      </c>
      <c r="AH434" s="67">
        <f t="shared" si="240"/>
        <v>15546388.508614652</v>
      </c>
      <c r="AI434" s="67">
        <f t="shared" si="223"/>
        <v>49.122272557881487</v>
      </c>
      <c r="AJ434" s="67">
        <f t="shared" si="224"/>
        <v>0</v>
      </c>
      <c r="AK434" s="66">
        <f t="shared" si="237"/>
        <v>3.1999999999999362E-2</v>
      </c>
    </row>
    <row r="435" spans="1:37" ht="12.75" customHeight="1" x14ac:dyDescent="0.25">
      <c r="A435" s="55" t="s">
        <v>594</v>
      </c>
      <c r="B435" s="55" t="s">
        <v>376</v>
      </c>
      <c r="C435" s="55" t="s">
        <v>385</v>
      </c>
      <c r="D435" s="128">
        <v>2022</v>
      </c>
      <c r="E435" s="55" t="s">
        <v>676</v>
      </c>
      <c r="F435" s="57">
        <f>SIM_Parametres!$C$28</f>
        <v>1350099375.1424778</v>
      </c>
      <c r="G435" s="129">
        <f>SIM_Districts!D9*(1+SIM_Parametres!$B$6)^(2022-2023)</f>
        <v>464336.89320388349</v>
      </c>
      <c r="H435" s="129">
        <f>MAX(0,MIN(100,SIM_Districts!F9+(2022-2022)*SIM_Parametres!$B$7))</f>
        <v>9.3000000000000007</v>
      </c>
      <c r="I435" s="129">
        <f>SIM_Districts!G9*(1+SIM_Parametres!$B$8)^(2022-2023)</f>
        <v>42.553191489361701</v>
      </c>
      <c r="J435" s="129">
        <f>SIM_Districts!H9*(1+SIM_Parametres!$B$9)^(2022-2023)</f>
        <v>11.555555555555557</v>
      </c>
      <c r="K435" s="129">
        <f>MAX(0,MIN(100,SIM_Districts!I9+(2022-2023)*SIM_Parametres!$B$10))</f>
        <v>96.9</v>
      </c>
      <c r="L435" s="129">
        <f>SIM_Districts!E9</f>
        <v>28</v>
      </c>
      <c r="M435" s="68">
        <f t="shared" si="220"/>
        <v>16583.460471567269</v>
      </c>
      <c r="N435" s="129">
        <f>N364*(1+SIM_Parametres!$B$6)/(1+SIM_Parametres!$B$11)</f>
        <v>73189</v>
      </c>
      <c r="O435" s="72"/>
      <c r="P435" s="130">
        <f>SIM_Parametres!$D$28</f>
        <v>0</v>
      </c>
      <c r="Q435" s="130">
        <f>SIM_Parametres!$B$12</f>
        <v>0.2</v>
      </c>
      <c r="R435" s="59">
        <f t="shared" si="252"/>
        <v>2.6385124272966024E-2</v>
      </c>
      <c r="S435" s="59">
        <f t="shared" si="253"/>
        <v>0</v>
      </c>
      <c r="T435" s="59">
        <f t="shared" si="254"/>
        <v>0.50276243093922646</v>
      </c>
      <c r="U435" s="59">
        <f t="shared" si="255"/>
        <v>0.25912404305391834</v>
      </c>
      <c r="V435" s="59">
        <f t="shared" si="256"/>
        <v>9.5544805280436421E-2</v>
      </c>
      <c r="W435" s="59">
        <f t="shared" si="257"/>
        <v>0</v>
      </c>
      <c r="X435" s="59">
        <f t="shared" si="258"/>
        <v>9.9491608812113923E-3</v>
      </c>
      <c r="Y435" s="59">
        <f t="shared" si="259"/>
        <v>6.6205440163499222E-3</v>
      </c>
      <c r="Z435" s="59">
        <f t="shared" si="260"/>
        <v>3.506814418545408E-3</v>
      </c>
      <c r="AA435" s="59">
        <f t="shared" si="221"/>
        <v>1.7829816617706086E-2</v>
      </c>
      <c r="AB435" s="59">
        <f t="shared" si="261"/>
        <v>1.1432661723267082E-2</v>
      </c>
      <c r="AC435" s="60">
        <f t="shared" si="222"/>
        <v>23060716.250963222</v>
      </c>
      <c r="AD435" s="60">
        <f t="shared" si="238"/>
        <v>15435229.448798209</v>
      </c>
      <c r="AE435" s="59">
        <f t="shared" si="236"/>
        <v>3.1999999999999806E-2</v>
      </c>
      <c r="AF435" s="60">
        <f t="shared" si="239"/>
        <v>15435229.448798209</v>
      </c>
      <c r="AG435" s="60">
        <f t="shared" si="262"/>
        <v>0.99999999999999967</v>
      </c>
      <c r="AH435" s="60">
        <f t="shared" si="240"/>
        <v>15435229.448798204</v>
      </c>
      <c r="AI435" s="60">
        <f t="shared" si="223"/>
        <v>33.241445327112572</v>
      </c>
      <c r="AJ435" s="60">
        <f t="shared" si="224"/>
        <v>0</v>
      </c>
      <c r="AK435" s="59">
        <f t="shared" si="237"/>
        <v>3.1999999999999362E-2</v>
      </c>
    </row>
    <row r="436" spans="1:37" ht="12.75" customHeight="1" x14ac:dyDescent="0.25">
      <c r="A436" s="62" t="s">
        <v>595</v>
      </c>
      <c r="B436" s="62" t="s">
        <v>376</v>
      </c>
      <c r="C436" s="62" t="s">
        <v>386</v>
      </c>
      <c r="D436" s="124">
        <v>2022</v>
      </c>
      <c r="E436" s="62" t="s">
        <v>676</v>
      </c>
      <c r="F436" s="64">
        <f>SIM_Parametres!$C$28</f>
        <v>1350099375.1424778</v>
      </c>
      <c r="G436" s="125">
        <f>SIM_Districts!D10*(1+SIM_Parametres!$B$6)^(2022-2023)</f>
        <v>593658.25242718449</v>
      </c>
      <c r="H436" s="125">
        <f>MAX(0,MIN(100,SIM_Districts!F10+(2022-2022)*SIM_Parametres!$B$7))</f>
        <v>9.3000000000000007</v>
      </c>
      <c r="I436" s="125">
        <f>SIM_Districts!G10*(1+SIM_Parametres!$B$8)^(2022-2023)</f>
        <v>42.553191489361701</v>
      </c>
      <c r="J436" s="125">
        <f>SIM_Districts!H10*(1+SIM_Parametres!$B$9)^(2022-2023)</f>
        <v>11.555555555555557</v>
      </c>
      <c r="K436" s="125">
        <f>MAX(0,MIN(100,SIM_Districts!I10+(2022-2023)*SIM_Parametres!$B$10))</f>
        <v>96.9</v>
      </c>
      <c r="L436" s="125">
        <f>SIM_Districts!E10</f>
        <v>22</v>
      </c>
      <c r="M436" s="61">
        <f t="shared" si="220"/>
        <v>26984.466019417476</v>
      </c>
      <c r="N436" s="125">
        <f>N365*(1+SIM_Parametres!$B$6)/(1+SIM_Parametres!$B$11)</f>
        <v>73189</v>
      </c>
      <c r="O436" s="132"/>
      <c r="P436" s="126">
        <f>SIM_Parametres!$D$28</f>
        <v>0</v>
      </c>
      <c r="Q436" s="126">
        <f>SIM_Parametres!$B$12</f>
        <v>0.2</v>
      </c>
      <c r="R436" s="66">
        <f t="shared" si="252"/>
        <v>3.3733582222779307E-2</v>
      </c>
      <c r="S436" s="66">
        <f t="shared" si="253"/>
        <v>0</v>
      </c>
      <c r="T436" s="66">
        <f t="shared" si="254"/>
        <v>0.50276243093922646</v>
      </c>
      <c r="U436" s="66">
        <f t="shared" si="255"/>
        <v>0.10740318997556664</v>
      </c>
      <c r="V436" s="66">
        <f t="shared" si="256"/>
        <v>9.5544805280436421E-2</v>
      </c>
      <c r="W436" s="66">
        <f t="shared" si="257"/>
        <v>0</v>
      </c>
      <c r="X436" s="66">
        <f t="shared" si="258"/>
        <v>9.9491608812113923E-3</v>
      </c>
      <c r="Y436" s="66">
        <f t="shared" si="259"/>
        <v>2.7441202998738068E-3</v>
      </c>
      <c r="Z436" s="66">
        <f t="shared" si="260"/>
        <v>3.506814418545408E-3</v>
      </c>
      <c r="AA436" s="66">
        <f t="shared" si="221"/>
        <v>2.204507020177025E-2</v>
      </c>
      <c r="AB436" s="66">
        <f t="shared" si="261"/>
        <v>1.8445332755315166E-2</v>
      </c>
      <c r="AC436" s="67">
        <f t="shared" si="222"/>
        <v>27613525.23489292</v>
      </c>
      <c r="AD436" s="67">
        <f t="shared" si="238"/>
        <v>24903032.227246083</v>
      </c>
      <c r="AE436" s="66">
        <f t="shared" si="236"/>
        <v>3.1999999999999806E-2</v>
      </c>
      <c r="AF436" s="67">
        <f t="shared" si="239"/>
        <v>24903032.227246083</v>
      </c>
      <c r="AG436" s="67">
        <f t="shared" si="262"/>
        <v>0.99999999999999967</v>
      </c>
      <c r="AH436" s="67">
        <f t="shared" si="240"/>
        <v>24903032.227246076</v>
      </c>
      <c r="AI436" s="67">
        <f t="shared" si="223"/>
        <v>41.948430979321003</v>
      </c>
      <c r="AJ436" s="67">
        <f t="shared" si="224"/>
        <v>0</v>
      </c>
      <c r="AK436" s="66">
        <f t="shared" si="237"/>
        <v>3.1999999999999584E-2</v>
      </c>
    </row>
    <row r="437" spans="1:37" ht="12.75" customHeight="1" x14ac:dyDescent="0.25">
      <c r="A437" s="55" t="s">
        <v>596</v>
      </c>
      <c r="B437" s="55" t="s">
        <v>376</v>
      </c>
      <c r="C437" s="55" t="s">
        <v>387</v>
      </c>
      <c r="D437" s="128">
        <v>2022</v>
      </c>
      <c r="E437" s="55" t="s">
        <v>676</v>
      </c>
      <c r="F437" s="57">
        <f>SIM_Parametres!$C$28</f>
        <v>1350099375.1424778</v>
      </c>
      <c r="G437" s="129">
        <f>SIM_Districts!D11*(1+SIM_Parametres!$B$6)^(2022-2023)</f>
        <v>286068.93203883496</v>
      </c>
      <c r="H437" s="129">
        <f>MAX(0,MIN(100,SIM_Districts!F11+(2022-2022)*SIM_Parametres!$B$7))</f>
        <v>9.3000000000000007</v>
      </c>
      <c r="I437" s="129">
        <f>SIM_Districts!G11*(1+SIM_Parametres!$B$8)^(2022-2023)</f>
        <v>42.553191489361701</v>
      </c>
      <c r="J437" s="129">
        <f>SIM_Districts!H11*(1+SIM_Parametres!$B$9)^(2022-2023)</f>
        <v>11.555555555555557</v>
      </c>
      <c r="K437" s="129">
        <f>MAX(0,MIN(100,SIM_Districts!I11+(2022-2023)*SIM_Parametres!$B$10))</f>
        <v>96.9</v>
      </c>
      <c r="L437" s="129">
        <f>SIM_Districts!E11</f>
        <v>34</v>
      </c>
      <c r="M437" s="68">
        <f t="shared" si="220"/>
        <v>8413.7921187892644</v>
      </c>
      <c r="N437" s="129">
        <f>N366*(1+SIM_Parametres!$B$6)/(1+SIM_Parametres!$B$11)</f>
        <v>73189</v>
      </c>
      <c r="O437" s="72"/>
      <c r="P437" s="130">
        <f>SIM_Parametres!$D$28</f>
        <v>0</v>
      </c>
      <c r="Q437" s="130">
        <f>SIM_Parametres!$B$12</f>
        <v>0.2</v>
      </c>
      <c r="R437" s="59">
        <f t="shared" si="252"/>
        <v>1.6255362072134839E-2</v>
      </c>
      <c r="S437" s="59">
        <f t="shared" si="253"/>
        <v>0</v>
      </c>
      <c r="T437" s="59">
        <f t="shared" si="254"/>
        <v>0.50276243093922646</v>
      </c>
      <c r="U437" s="59">
        <f t="shared" si="255"/>
        <v>0.37834067197086158</v>
      </c>
      <c r="V437" s="59">
        <f t="shared" si="256"/>
        <v>9.5544805280436421E-2</v>
      </c>
      <c r="W437" s="59">
        <f t="shared" si="257"/>
        <v>0</v>
      </c>
      <c r="X437" s="59">
        <f t="shared" si="258"/>
        <v>9.9491608812113923E-3</v>
      </c>
      <c r="Y437" s="59">
        <f t="shared" si="259"/>
        <v>9.6664942490006407E-3</v>
      </c>
      <c r="Z437" s="59">
        <f t="shared" si="260"/>
        <v>3.506814418545408E-3</v>
      </c>
      <c r="AA437" s="59">
        <f t="shared" si="221"/>
        <v>1.1904256808839914E-2</v>
      </c>
      <c r="AB437" s="59">
        <f t="shared" si="261"/>
        <v>1.2725641322922289E-2</v>
      </c>
      <c r="AC437" s="60">
        <f t="shared" si="222"/>
        <v>16660640.574707545</v>
      </c>
      <c r="AD437" s="60">
        <f t="shared" si="238"/>
        <v>17180880.398364678</v>
      </c>
      <c r="AE437" s="59">
        <f t="shared" si="236"/>
        <v>3.2000000000000028E-2</v>
      </c>
      <c r="AF437" s="60">
        <f t="shared" si="239"/>
        <v>17180880.398364678</v>
      </c>
      <c r="AG437" s="60">
        <f t="shared" si="262"/>
        <v>0.99999999999999967</v>
      </c>
      <c r="AH437" s="60">
        <f t="shared" si="240"/>
        <v>17180880.398364671</v>
      </c>
      <c r="AI437" s="60">
        <f t="shared" si="223"/>
        <v>60.058533011310367</v>
      </c>
      <c r="AJ437" s="60">
        <f t="shared" si="224"/>
        <v>0</v>
      </c>
      <c r="AK437" s="59">
        <f t="shared" si="237"/>
        <v>3.1999999999999584E-2</v>
      </c>
    </row>
    <row r="438" spans="1:37" ht="12.75" customHeight="1" x14ac:dyDescent="0.25">
      <c r="A438" s="62" t="s">
        <v>597</v>
      </c>
      <c r="B438" s="62" t="s">
        <v>376</v>
      </c>
      <c r="C438" s="62" t="s">
        <v>388</v>
      </c>
      <c r="D438" s="124">
        <v>2022</v>
      </c>
      <c r="E438" s="62" t="s">
        <v>676</v>
      </c>
      <c r="F438" s="64">
        <f>SIM_Parametres!$C$28</f>
        <v>1350099375.1424778</v>
      </c>
      <c r="G438" s="125">
        <f>SIM_Districts!D12*(1+SIM_Parametres!$B$6)^(2022-2023)</f>
        <v>444941.74757281551</v>
      </c>
      <c r="H438" s="125">
        <f>MAX(0,MIN(100,SIM_Districts!F12+(2022-2022)*SIM_Parametres!$B$7))</f>
        <v>9.3000000000000007</v>
      </c>
      <c r="I438" s="125">
        <f>SIM_Districts!G12*(1+SIM_Parametres!$B$8)^(2022-2023)</f>
        <v>42.553191489361701</v>
      </c>
      <c r="J438" s="125">
        <f>SIM_Districts!H12*(1+SIM_Parametres!$B$9)^(2022-2023)</f>
        <v>11.555555555555557</v>
      </c>
      <c r="K438" s="125">
        <f>MAX(0,MIN(100,SIM_Districts!I12+(2022-2023)*SIM_Parametres!$B$10))</f>
        <v>96.9</v>
      </c>
      <c r="L438" s="125">
        <f>SIM_Districts!E12</f>
        <v>18</v>
      </c>
      <c r="M438" s="61">
        <f t="shared" si="220"/>
        <v>24718.98597626753</v>
      </c>
      <c r="N438" s="125">
        <f>N367*(1+SIM_Parametres!$B$6)/(1+SIM_Parametres!$B$11)</f>
        <v>73189</v>
      </c>
      <c r="O438" s="132"/>
      <c r="P438" s="126">
        <f>SIM_Parametres!$D$28</f>
        <v>0</v>
      </c>
      <c r="Q438" s="126">
        <f>SIM_Parametres!$B$12</f>
        <v>0.2</v>
      </c>
      <c r="R438" s="66">
        <f t="shared" si="252"/>
        <v>2.5283029360289543E-2</v>
      </c>
      <c r="S438" s="66">
        <f t="shared" si="253"/>
        <v>0</v>
      </c>
      <c r="T438" s="66">
        <f t="shared" si="254"/>
        <v>0.50276243093922646</v>
      </c>
      <c r="U438" s="66">
        <f t="shared" si="255"/>
        <v>0.14026621640536649</v>
      </c>
      <c r="V438" s="66">
        <f t="shared" si="256"/>
        <v>9.5544805280436421E-2</v>
      </c>
      <c r="W438" s="66">
        <f t="shared" si="257"/>
        <v>0</v>
      </c>
      <c r="X438" s="66">
        <f t="shared" si="258"/>
        <v>9.9491608812113923E-3</v>
      </c>
      <c r="Y438" s="66">
        <f t="shared" si="259"/>
        <v>3.5837610774132676E-3</v>
      </c>
      <c r="Z438" s="66">
        <f t="shared" si="260"/>
        <v>3.506814418545408E-3</v>
      </c>
      <c r="AA438" s="66">
        <f t="shared" si="221"/>
        <v>1.7016720523153363E-2</v>
      </c>
      <c r="AB438" s="66">
        <f t="shared" si="261"/>
        <v>1.7623673204657082E-2</v>
      </c>
      <c r="AC438" s="67">
        <f t="shared" si="222"/>
        <v>22182507.827614088</v>
      </c>
      <c r="AD438" s="67">
        <f t="shared" si="238"/>
        <v>23793710.181322757</v>
      </c>
      <c r="AE438" s="66">
        <f t="shared" si="236"/>
        <v>3.1999999999999806E-2</v>
      </c>
      <c r="AF438" s="67">
        <f t="shared" si="239"/>
        <v>23793710.181322757</v>
      </c>
      <c r="AG438" s="67">
        <f t="shared" si="262"/>
        <v>0.99999999999999967</v>
      </c>
      <c r="AH438" s="67">
        <f t="shared" si="240"/>
        <v>23793710.18132275</v>
      </c>
      <c r="AI438" s="67">
        <f t="shared" si="223"/>
        <v>53.476011884968976</v>
      </c>
      <c r="AJ438" s="67">
        <f t="shared" si="224"/>
        <v>0</v>
      </c>
      <c r="AK438" s="66">
        <f t="shared" si="237"/>
        <v>3.1999999999999584E-2</v>
      </c>
    </row>
    <row r="439" spans="1:37" ht="12.75" customHeight="1" x14ac:dyDescent="0.25">
      <c r="A439" s="55" t="s">
        <v>598</v>
      </c>
      <c r="B439" s="55" t="s">
        <v>376</v>
      </c>
      <c r="C439" s="55" t="s">
        <v>389</v>
      </c>
      <c r="D439" s="128">
        <v>2022</v>
      </c>
      <c r="E439" s="55" t="s">
        <v>676</v>
      </c>
      <c r="F439" s="57">
        <f>SIM_Parametres!$C$28</f>
        <v>1350099375.1424778</v>
      </c>
      <c r="G439" s="129">
        <f>SIM_Districts!D13*(1+SIM_Parametres!$B$6)^(2022-2023)</f>
        <v>488212.62135922333</v>
      </c>
      <c r="H439" s="129">
        <f>MAX(0,MIN(100,SIM_Districts!F13+(2022-2022)*SIM_Parametres!$B$7))</f>
        <v>9.3000000000000007</v>
      </c>
      <c r="I439" s="129">
        <f>SIM_Districts!G13*(1+SIM_Parametres!$B$8)^(2022-2023)</f>
        <v>42.553191489361701</v>
      </c>
      <c r="J439" s="129">
        <f>SIM_Districts!H13*(1+SIM_Parametres!$B$9)^(2022-2023)</f>
        <v>11.555555555555557</v>
      </c>
      <c r="K439" s="129">
        <f>MAX(0,MIN(100,SIM_Districts!I13+(2022-2023)*SIM_Parametres!$B$10))</f>
        <v>96.9</v>
      </c>
      <c r="L439" s="129">
        <f>SIM_Districts!E13</f>
        <v>203</v>
      </c>
      <c r="M439" s="68">
        <f t="shared" si="220"/>
        <v>2404.9882825577502</v>
      </c>
      <c r="N439" s="129">
        <f>N368*(1+SIM_Parametres!$B$6)/(1+SIM_Parametres!$B$11)</f>
        <v>73189</v>
      </c>
      <c r="O439" s="72"/>
      <c r="P439" s="130">
        <f>SIM_Parametres!$D$28</f>
        <v>0</v>
      </c>
      <c r="Q439" s="130">
        <f>SIM_Parametres!$B$12</f>
        <v>0.2</v>
      </c>
      <c r="R439" s="59">
        <f t="shared" si="252"/>
        <v>2.7741820378113947E-2</v>
      </c>
      <c r="S439" s="59">
        <f t="shared" si="253"/>
        <v>0</v>
      </c>
      <c r="T439" s="59">
        <f t="shared" si="254"/>
        <v>0.50276243093922646</v>
      </c>
      <c r="U439" s="59">
        <f t="shared" si="255"/>
        <v>0.47172605328939682</v>
      </c>
      <c r="V439" s="59">
        <f t="shared" si="256"/>
        <v>9.5544805280436421E-2</v>
      </c>
      <c r="W439" s="59">
        <f t="shared" si="257"/>
        <v>0</v>
      </c>
      <c r="X439" s="59">
        <f t="shared" si="258"/>
        <v>9.9491608812113923E-3</v>
      </c>
      <c r="Y439" s="59">
        <f t="shared" si="259"/>
        <v>1.2052463610301233E-2</v>
      </c>
      <c r="Z439" s="59">
        <f t="shared" si="260"/>
        <v>3.506814418545408E-3</v>
      </c>
      <c r="AA439" s="59">
        <f t="shared" si="221"/>
        <v>1.8915430260492406E-2</v>
      </c>
      <c r="AB439" s="59">
        <f t="shared" si="261"/>
        <v>1.9934905744391627E-2</v>
      </c>
      <c r="AC439" s="60">
        <f t="shared" si="222"/>
        <v>24233265.291580793</v>
      </c>
      <c r="AD439" s="60">
        <f t="shared" si="238"/>
        <v>26914103.789027326</v>
      </c>
      <c r="AE439" s="59">
        <f t="shared" si="236"/>
        <v>3.1999999999999806E-2</v>
      </c>
      <c r="AF439" s="60">
        <f t="shared" si="239"/>
        <v>26914103.789027326</v>
      </c>
      <c r="AG439" s="60">
        <f t="shared" si="262"/>
        <v>0.99999999999999967</v>
      </c>
      <c r="AH439" s="60">
        <f t="shared" si="240"/>
        <v>26914103.789027318</v>
      </c>
      <c r="AI439" s="60">
        <f t="shared" si="223"/>
        <v>55.127832857119266</v>
      </c>
      <c r="AJ439" s="60">
        <f t="shared" si="224"/>
        <v>0</v>
      </c>
      <c r="AK439" s="59">
        <f t="shared" si="237"/>
        <v>3.1999999999999362E-2</v>
      </c>
    </row>
    <row r="440" spans="1:37" ht="12.75" customHeight="1" x14ac:dyDescent="0.25">
      <c r="A440" s="62" t="s">
        <v>599</v>
      </c>
      <c r="B440" s="62" t="s">
        <v>390</v>
      </c>
      <c r="C440" s="62" t="s">
        <v>392</v>
      </c>
      <c r="D440" s="124">
        <v>2022</v>
      </c>
      <c r="E440" s="62" t="s">
        <v>676</v>
      </c>
      <c r="F440" s="64">
        <f>SIM_Parametres!$C$28</f>
        <v>1350099375.1424778</v>
      </c>
      <c r="G440" s="125">
        <f>SIM_Districts!D14*(1+SIM_Parametres!$B$6)^(2022-2023)</f>
        <v>842766.01941747579</v>
      </c>
      <c r="H440" s="125">
        <f>MAX(0,MIN(100,SIM_Districts!F14+(2022-2022)*SIM_Parametres!$B$7))</f>
        <v>37.4</v>
      </c>
      <c r="I440" s="125">
        <f>SIM_Districts!G14*(1+SIM_Parametres!$B$8)^(2022-2023)</f>
        <v>42.553191489361701</v>
      </c>
      <c r="J440" s="125">
        <f>SIM_Districts!H14*(1+SIM_Parametres!$B$9)^(2022-2023)</f>
        <v>19.444444444444446</v>
      </c>
      <c r="K440" s="125">
        <f>MAX(0,MIN(100,SIM_Districts!I14+(2022-2023)*SIM_Parametres!$B$10))</f>
        <v>92.2</v>
      </c>
      <c r="L440" s="125">
        <f>SIM_Districts!E14</f>
        <v>1335</v>
      </c>
      <c r="M440" s="61">
        <f t="shared" si="220"/>
        <v>631.28540780335265</v>
      </c>
      <c r="N440" s="125">
        <f>N369*(1+SIM_Parametres!$B$6)/(1+SIM_Parametres!$B$11)</f>
        <v>203502</v>
      </c>
      <c r="O440" s="132"/>
      <c r="P440" s="126">
        <f>SIM_Parametres!$D$28</f>
        <v>0</v>
      </c>
      <c r="Q440" s="126">
        <f>SIM_Parametres!$B$12</f>
        <v>0.2</v>
      </c>
      <c r="R440" s="66">
        <f t="shared" si="252"/>
        <v>4.7888691337733706E-2</v>
      </c>
      <c r="S440" s="66">
        <f t="shared" si="253"/>
        <v>0.49822695035460984</v>
      </c>
      <c r="T440" s="66">
        <f t="shared" si="254"/>
        <v>0.69889502762430933</v>
      </c>
      <c r="U440" s="66">
        <f t="shared" si="255"/>
        <v>0.53677681892865114</v>
      </c>
      <c r="V440" s="66">
        <f t="shared" si="256"/>
        <v>1</v>
      </c>
      <c r="W440" s="66">
        <f t="shared" si="257"/>
        <v>1.1879095328683148E-2</v>
      </c>
      <c r="X440" s="66">
        <f t="shared" si="258"/>
        <v>1.3830426939266385E-2</v>
      </c>
      <c r="Y440" s="66">
        <f t="shared" si="259"/>
        <v>1.3714491773092488E-2</v>
      </c>
      <c r="Z440" s="66">
        <f t="shared" si="260"/>
        <v>3.6703349891733537E-2</v>
      </c>
      <c r="AA440" s="66">
        <f t="shared" si="221"/>
        <v>3.5110535226073949E-2</v>
      </c>
      <c r="AB440" s="66">
        <f t="shared" si="261"/>
        <v>1.3175957804673549E-2</v>
      </c>
      <c r="AC440" s="67">
        <f t="shared" si="222"/>
        <v>41725266.167099573</v>
      </c>
      <c r="AD440" s="67">
        <f t="shared" si="238"/>
        <v>17788852.39899341</v>
      </c>
      <c r="AE440" s="66">
        <f t="shared" si="236"/>
        <v>3.1999999999999806E-2</v>
      </c>
      <c r="AF440" s="67">
        <f t="shared" si="239"/>
        <v>17788852.39899341</v>
      </c>
      <c r="AG440" s="67">
        <f t="shared" si="262"/>
        <v>0.99999999999999967</v>
      </c>
      <c r="AH440" s="67">
        <f t="shared" si="240"/>
        <v>17788852.398993403</v>
      </c>
      <c r="AI440" s="67">
        <f t="shared" si="223"/>
        <v>21.107700107900826</v>
      </c>
      <c r="AJ440" s="67">
        <f t="shared" si="224"/>
        <v>0</v>
      </c>
      <c r="AK440" s="66">
        <f t="shared" si="237"/>
        <v>3.1999999999999362E-2</v>
      </c>
    </row>
    <row r="441" spans="1:37" ht="12.75" customHeight="1" x14ac:dyDescent="0.25">
      <c r="A441" s="55" t="s">
        <v>601</v>
      </c>
      <c r="B441" s="55" t="s">
        <v>390</v>
      </c>
      <c r="C441" s="55" t="s">
        <v>390</v>
      </c>
      <c r="D441" s="128">
        <v>2022</v>
      </c>
      <c r="E441" s="55" t="s">
        <v>676</v>
      </c>
      <c r="F441" s="57">
        <f>SIM_Parametres!$C$28</f>
        <v>1350099375.1424778</v>
      </c>
      <c r="G441" s="129">
        <f>SIM_Districts!D15*(1+SIM_Parametres!$B$6)^(2022-2023)</f>
        <v>754791.26213592233</v>
      </c>
      <c r="H441" s="129">
        <f>MAX(0,MIN(100,SIM_Districts!F15+(2022-2022)*SIM_Parametres!$B$7))</f>
        <v>37.4</v>
      </c>
      <c r="I441" s="129">
        <f>SIM_Districts!G15*(1+SIM_Parametres!$B$8)^(2022-2023)</f>
        <v>42.553191489361701</v>
      </c>
      <c r="J441" s="129">
        <f>SIM_Districts!H15*(1+SIM_Parametres!$B$9)^(2022-2023)</f>
        <v>19.444444444444446</v>
      </c>
      <c r="K441" s="129">
        <f>MAX(0,MIN(100,SIM_Districts!I15+(2022-2023)*SIM_Parametres!$B$10))</f>
        <v>92.2</v>
      </c>
      <c r="L441" s="129">
        <f>SIM_Districts!E15</f>
        <v>1292</v>
      </c>
      <c r="M441" s="68">
        <f t="shared" si="220"/>
        <v>584.20376326309781</v>
      </c>
      <c r="N441" s="129">
        <f>N370*(1+SIM_Parametres!$B$6)/(1+SIM_Parametres!$B$11)</f>
        <v>203502</v>
      </c>
      <c r="O441" s="72"/>
      <c r="P441" s="130">
        <f>SIM_Parametres!$D$28</f>
        <v>0</v>
      </c>
      <c r="Q441" s="130">
        <f>SIM_Parametres!$B$12</f>
        <v>0.2</v>
      </c>
      <c r="R441" s="59">
        <f t="shared" si="252"/>
        <v>4.288968105504528E-2</v>
      </c>
      <c r="S441" s="59">
        <f t="shared" si="253"/>
        <v>0.49822695035460984</v>
      </c>
      <c r="T441" s="59">
        <f t="shared" si="254"/>
        <v>0.69889502762430933</v>
      </c>
      <c r="U441" s="59">
        <f t="shared" si="255"/>
        <v>0.53597312572887268</v>
      </c>
      <c r="V441" s="59">
        <f t="shared" si="256"/>
        <v>1</v>
      </c>
      <c r="W441" s="59">
        <f t="shared" si="257"/>
        <v>1.1879095328683148E-2</v>
      </c>
      <c r="X441" s="59">
        <f t="shared" si="258"/>
        <v>1.3830426939266385E-2</v>
      </c>
      <c r="Y441" s="59">
        <f t="shared" si="259"/>
        <v>1.3693957645336279E-2</v>
      </c>
      <c r="Z441" s="59">
        <f t="shared" si="260"/>
        <v>3.6703349891733537E-2</v>
      </c>
      <c r="AA441" s="59">
        <f t="shared" si="221"/>
        <v>3.211010235007309E-2</v>
      </c>
      <c r="AB441" s="59">
        <f t="shared" si="261"/>
        <v>1.3421279470105204E-2</v>
      </c>
      <c r="AC441" s="60">
        <f t="shared" si="222"/>
        <v>38484560.126263008</v>
      </c>
      <c r="AD441" s="60">
        <f t="shared" si="238"/>
        <v>18120061.026201602</v>
      </c>
      <c r="AE441" s="59">
        <f t="shared" si="236"/>
        <v>3.1999999999999806E-2</v>
      </c>
      <c r="AF441" s="60">
        <f t="shared" si="239"/>
        <v>18120061.026201602</v>
      </c>
      <c r="AG441" s="60">
        <f t="shared" si="262"/>
        <v>0.99999999999999967</v>
      </c>
      <c r="AH441" s="60">
        <f t="shared" si="240"/>
        <v>18120061.026201595</v>
      </c>
      <c r="AI441" s="60">
        <f t="shared" si="223"/>
        <v>24.00671806258741</v>
      </c>
      <c r="AJ441" s="60">
        <f t="shared" si="224"/>
        <v>0</v>
      </c>
      <c r="AK441" s="59">
        <f t="shared" si="237"/>
        <v>3.1999999999999362E-2</v>
      </c>
    </row>
    <row r="442" spans="1:37" ht="12.75" customHeight="1" x14ac:dyDescent="0.25">
      <c r="A442" s="62" t="s">
        <v>602</v>
      </c>
      <c r="B442" s="62" t="s">
        <v>390</v>
      </c>
      <c r="C442" s="62" t="s">
        <v>393</v>
      </c>
      <c r="D442" s="124">
        <v>2022</v>
      </c>
      <c r="E442" s="62" t="s">
        <v>676</v>
      </c>
      <c r="F442" s="64">
        <f>SIM_Parametres!$C$28</f>
        <v>1350099375.1424778</v>
      </c>
      <c r="G442" s="125">
        <f>SIM_Districts!D16*(1+SIM_Parametres!$B$6)^(2022-2023)</f>
        <v>422183.49514563108</v>
      </c>
      <c r="H442" s="125">
        <f>MAX(0,MIN(100,SIM_Districts!F16+(2022-2022)*SIM_Parametres!$B$7))</f>
        <v>37.4</v>
      </c>
      <c r="I442" s="125">
        <f>SIM_Districts!G16*(1+SIM_Parametres!$B$8)^(2022-2023)</f>
        <v>42.553191489361701</v>
      </c>
      <c r="J442" s="125">
        <f>SIM_Districts!H16*(1+SIM_Parametres!$B$9)^(2022-2023)</f>
        <v>19.444444444444446</v>
      </c>
      <c r="K442" s="125">
        <f>MAX(0,MIN(100,SIM_Districts!I16+(2022-2023)*SIM_Parametres!$B$10))</f>
        <v>92.2</v>
      </c>
      <c r="L442" s="125">
        <f>SIM_Districts!E16</f>
        <v>1729</v>
      </c>
      <c r="M442" s="61">
        <f t="shared" si="220"/>
        <v>244.17784565970567</v>
      </c>
      <c r="N442" s="125">
        <f>N371*(1+SIM_Parametres!$B$6)/(1+SIM_Parametres!$B$11)</f>
        <v>203502</v>
      </c>
      <c r="O442" s="132"/>
      <c r="P442" s="126">
        <f>SIM_Parametres!$D$28</f>
        <v>0</v>
      </c>
      <c r="Q442" s="126">
        <f>SIM_Parametres!$B$12</f>
        <v>0.2</v>
      </c>
      <c r="R442" s="66">
        <f t="shared" si="252"/>
        <v>2.3989831840739592E-2</v>
      </c>
      <c r="S442" s="66">
        <f t="shared" si="253"/>
        <v>0.49822695035460984</v>
      </c>
      <c r="T442" s="66">
        <f t="shared" si="254"/>
        <v>0.69889502762430933</v>
      </c>
      <c r="U442" s="66">
        <f t="shared" si="255"/>
        <v>0.55606420327741424</v>
      </c>
      <c r="V442" s="66">
        <f t="shared" si="256"/>
        <v>1</v>
      </c>
      <c r="W442" s="66">
        <f t="shared" si="257"/>
        <v>1.1879095328683148E-2</v>
      </c>
      <c r="X442" s="66">
        <f t="shared" si="258"/>
        <v>1.3830426939266385E-2</v>
      </c>
      <c r="Y442" s="66">
        <f t="shared" si="259"/>
        <v>1.4207278839612111E-2</v>
      </c>
      <c r="Z442" s="66">
        <f t="shared" si="260"/>
        <v>3.6703349891733537E-2</v>
      </c>
      <c r="AA442" s="66">
        <f t="shared" si="221"/>
        <v>2.0795858881203468E-2</v>
      </c>
      <c r="AB442" s="66">
        <f t="shared" si="261"/>
        <v>1.2249280417786159E-2</v>
      </c>
      <c r="AC442" s="67">
        <f t="shared" si="222"/>
        <v>26264277.696238421</v>
      </c>
      <c r="AD442" s="67">
        <f t="shared" si="238"/>
        <v>16537745.837998083</v>
      </c>
      <c r="AE442" s="66">
        <f t="shared" si="236"/>
        <v>3.1999999999999806E-2</v>
      </c>
      <c r="AF442" s="67">
        <f t="shared" si="239"/>
        <v>16537745.837998083</v>
      </c>
      <c r="AG442" s="67">
        <f t="shared" si="262"/>
        <v>0.99999999999999967</v>
      </c>
      <c r="AH442" s="67">
        <f t="shared" si="240"/>
        <v>16537745.837998077</v>
      </c>
      <c r="AI442" s="67">
        <f t="shared" si="223"/>
        <v>39.171938335233655</v>
      </c>
      <c r="AJ442" s="67">
        <f t="shared" si="224"/>
        <v>0</v>
      </c>
      <c r="AK442" s="66">
        <f t="shared" si="237"/>
        <v>3.1999999999999362E-2</v>
      </c>
    </row>
    <row r="443" spans="1:37" ht="12.75" customHeight="1" x14ac:dyDescent="0.25">
      <c r="A443" s="55" t="s">
        <v>603</v>
      </c>
      <c r="B443" s="55" t="s">
        <v>394</v>
      </c>
      <c r="C443" s="55" t="s">
        <v>396</v>
      </c>
      <c r="D443" s="128">
        <v>2022</v>
      </c>
      <c r="E443" s="55" t="s">
        <v>676</v>
      </c>
      <c r="F443" s="57">
        <f>SIM_Parametres!$C$28</f>
        <v>1350099375.1424778</v>
      </c>
      <c r="G443" s="129">
        <f>SIM_Districts!D17*(1+SIM_Parametres!$B$6)^(2022-2023)</f>
        <v>93555.33980582525</v>
      </c>
      <c r="H443" s="129">
        <f>MAX(0,MIN(100,SIM_Districts!F17+(2022-2022)*SIM_Parametres!$B$7))</f>
        <v>46.5</v>
      </c>
      <c r="I443" s="129">
        <f>SIM_Districts!G17*(1+SIM_Parametres!$B$8)^(2022-2023)</f>
        <v>42.553191489361701</v>
      </c>
      <c r="J443" s="129">
        <f>SIM_Districts!H17*(1+SIM_Parametres!$B$9)^(2022-2023)</f>
        <v>17.666666666666668</v>
      </c>
      <c r="K443" s="129">
        <f>MAX(0,MIN(100,SIM_Districts!I17+(2022-2023)*SIM_Parametres!$B$10))</f>
        <v>89.5</v>
      </c>
      <c r="L443" s="129">
        <f>SIM_Districts!E17</f>
        <v>978</v>
      </c>
      <c r="M443" s="68">
        <f t="shared" si="220"/>
        <v>95.659856652173062</v>
      </c>
      <c r="N443" s="129">
        <f>N372*(1+SIM_Parametres!$B$6)/(1+SIM_Parametres!$B$11)</f>
        <v>95110</v>
      </c>
      <c r="O443" s="72"/>
      <c r="P443" s="130">
        <f>SIM_Parametres!$D$28</f>
        <v>0</v>
      </c>
      <c r="Q443" s="130">
        <f>SIM_Parametres!$B$12</f>
        <v>0.2</v>
      </c>
      <c r="R443" s="59">
        <f t="shared" si="252"/>
        <v>5.3161170333549087E-3</v>
      </c>
      <c r="S443" s="59">
        <f t="shared" si="253"/>
        <v>0.65957446808510634</v>
      </c>
      <c r="T443" s="59">
        <f t="shared" si="254"/>
        <v>0.65469613259668513</v>
      </c>
      <c r="U443" s="59">
        <f t="shared" si="255"/>
        <v>0.53221272247018292</v>
      </c>
      <c r="V443" s="59">
        <f t="shared" si="256"/>
        <v>0.24769050312675686</v>
      </c>
      <c r="W443" s="59">
        <f t="shared" si="257"/>
        <v>1.5726062143310078E-2</v>
      </c>
      <c r="X443" s="59">
        <f t="shared" si="258"/>
        <v>1.2955775433225826E-2</v>
      </c>
      <c r="Y443" s="59">
        <f t="shared" si="259"/>
        <v>1.3597880434592077E-2</v>
      </c>
      <c r="Z443" s="59">
        <f t="shared" si="260"/>
        <v>9.0910712011208778E-3</v>
      </c>
      <c r="AA443" s="59">
        <f t="shared" si="221"/>
        <v>8.6263934382789786E-3</v>
      </c>
      <c r="AB443" s="59">
        <f t="shared" si="261"/>
        <v>1.1797283650655232E-2</v>
      </c>
      <c r="AC443" s="60">
        <f t="shared" si="222"/>
        <v>13120287.543990158</v>
      </c>
      <c r="AD443" s="60">
        <f t="shared" si="238"/>
        <v>15927505.285128197</v>
      </c>
      <c r="AE443" s="59">
        <f t="shared" si="236"/>
        <v>3.1999999999999806E-2</v>
      </c>
      <c r="AF443" s="60">
        <f t="shared" si="239"/>
        <v>15927505.285128197</v>
      </c>
      <c r="AG443" s="60">
        <f t="shared" si="262"/>
        <v>0.99999999999999967</v>
      </c>
      <c r="AH443" s="60">
        <f t="shared" si="240"/>
        <v>15927505.285128191</v>
      </c>
      <c r="AI443" s="60">
        <f t="shared" si="223"/>
        <v>170.24688615514452</v>
      </c>
      <c r="AJ443" s="60">
        <f t="shared" si="224"/>
        <v>0</v>
      </c>
      <c r="AK443" s="59">
        <f t="shared" si="237"/>
        <v>3.1999999999999362E-2</v>
      </c>
    </row>
    <row r="444" spans="1:37" ht="12.75" customHeight="1" x14ac:dyDescent="0.25">
      <c r="A444" s="62" t="s">
        <v>605</v>
      </c>
      <c r="B444" s="62" t="s">
        <v>394</v>
      </c>
      <c r="C444" s="62" t="s">
        <v>394</v>
      </c>
      <c r="D444" s="124">
        <v>2022</v>
      </c>
      <c r="E444" s="62" t="s">
        <v>676</v>
      </c>
      <c r="F444" s="64">
        <f>SIM_Parametres!$C$28</f>
        <v>1350099375.1424778</v>
      </c>
      <c r="G444" s="125">
        <f>SIM_Districts!D18*(1+SIM_Parametres!$B$6)^(2022-2023)</f>
        <v>228693.20388349515</v>
      </c>
      <c r="H444" s="125">
        <f>MAX(0,MIN(100,SIM_Districts!F18+(2022-2022)*SIM_Parametres!$B$7))</f>
        <v>46.5</v>
      </c>
      <c r="I444" s="125">
        <f>SIM_Districts!G18*(1+SIM_Parametres!$B$8)^(2022-2023)</f>
        <v>42.553191489361701</v>
      </c>
      <c r="J444" s="125">
        <f>SIM_Districts!H18*(1+SIM_Parametres!$B$9)^(2022-2023)</f>
        <v>17.666666666666668</v>
      </c>
      <c r="K444" s="125">
        <f>MAX(0,MIN(100,SIM_Districts!I18+(2022-2023)*SIM_Parametres!$B$10))</f>
        <v>89.5</v>
      </c>
      <c r="L444" s="125">
        <f>SIM_Districts!E18</f>
        <v>1155</v>
      </c>
      <c r="M444" s="61">
        <f t="shared" si="220"/>
        <v>198.00277392510404</v>
      </c>
      <c r="N444" s="125">
        <f>N373*(1+SIM_Parametres!$B$6)/(1+SIM_Parametres!$B$11)</f>
        <v>95110</v>
      </c>
      <c r="O444" s="132"/>
      <c r="P444" s="126">
        <f>SIM_Parametres!$D$28</f>
        <v>0</v>
      </c>
      <c r="Q444" s="126">
        <f>SIM_Parametres!$B$12</f>
        <v>0.2</v>
      </c>
      <c r="R444" s="66">
        <f t="shared" si="252"/>
        <v>1.2995087603774123E-2</v>
      </c>
      <c r="S444" s="66">
        <f t="shared" si="253"/>
        <v>0.65957446808510634</v>
      </c>
      <c r="T444" s="66">
        <f t="shared" si="254"/>
        <v>0.65469613259668513</v>
      </c>
      <c r="U444" s="66">
        <f t="shared" si="255"/>
        <v>0.53685323433738241</v>
      </c>
      <c r="V444" s="66">
        <f t="shared" si="256"/>
        <v>0.24769050312675686</v>
      </c>
      <c r="W444" s="66">
        <f t="shared" si="257"/>
        <v>1.5726062143310078E-2</v>
      </c>
      <c r="X444" s="66">
        <f t="shared" si="258"/>
        <v>1.2955775433225826E-2</v>
      </c>
      <c r="Y444" s="66">
        <f t="shared" si="259"/>
        <v>1.3716444164584495E-2</v>
      </c>
      <c r="Z444" s="66">
        <f t="shared" si="260"/>
        <v>9.0910712011208778E-3</v>
      </c>
      <c r="AA444" s="66">
        <f t="shared" si="221"/>
        <v>1.3239703967030126E-2</v>
      </c>
      <c r="AB444" s="66">
        <f t="shared" si="261"/>
        <v>1.3643077140221498E-2</v>
      </c>
      <c r="AC444" s="67">
        <f t="shared" si="222"/>
        <v>18103029.673754267</v>
      </c>
      <c r="AD444" s="67">
        <f t="shared" si="238"/>
        <v>18419509.922033668</v>
      </c>
      <c r="AE444" s="66">
        <f t="shared" si="236"/>
        <v>3.1999999999999806E-2</v>
      </c>
      <c r="AF444" s="67">
        <f t="shared" si="239"/>
        <v>18419509.922033668</v>
      </c>
      <c r="AG444" s="67">
        <f t="shared" si="262"/>
        <v>0.99999999999999967</v>
      </c>
      <c r="AH444" s="67">
        <f t="shared" si="240"/>
        <v>18419509.92203366</v>
      </c>
      <c r="AI444" s="67">
        <f t="shared" si="223"/>
        <v>80.542445552589513</v>
      </c>
      <c r="AJ444" s="67">
        <f t="shared" si="224"/>
        <v>0</v>
      </c>
      <c r="AK444" s="66">
        <f t="shared" si="237"/>
        <v>3.1999999999999362E-2</v>
      </c>
    </row>
    <row r="445" spans="1:37" ht="12.75" customHeight="1" x14ac:dyDescent="0.25">
      <c r="A445" s="55" t="s">
        <v>606</v>
      </c>
      <c r="B445" s="55" t="s">
        <v>394</v>
      </c>
      <c r="C445" s="55" t="s">
        <v>397</v>
      </c>
      <c r="D445" s="128">
        <v>2022</v>
      </c>
      <c r="E445" s="55" t="s">
        <v>676</v>
      </c>
      <c r="F445" s="57">
        <f>SIM_Parametres!$C$28</f>
        <v>1350099375.1424778</v>
      </c>
      <c r="G445" s="129">
        <f>SIM_Districts!D19*(1+SIM_Parametres!$B$6)^(2022-2023)</f>
        <v>62484.466019417479</v>
      </c>
      <c r="H445" s="129">
        <f>MAX(0,MIN(100,SIM_Districts!F19+(2022-2022)*SIM_Parametres!$B$7))</f>
        <v>46.5</v>
      </c>
      <c r="I445" s="129">
        <f>SIM_Districts!G19*(1+SIM_Parametres!$B$8)^(2022-2023)</f>
        <v>42.553191489361701</v>
      </c>
      <c r="J445" s="129">
        <f>SIM_Districts!H19*(1+SIM_Parametres!$B$9)^(2022-2023)</f>
        <v>17.666666666666668</v>
      </c>
      <c r="K445" s="129">
        <f>MAX(0,MIN(100,SIM_Districts!I19+(2022-2023)*SIM_Parametres!$B$10))</f>
        <v>89.5</v>
      </c>
      <c r="L445" s="129">
        <f>SIM_Districts!E19</f>
        <v>733</v>
      </c>
      <c r="M445" s="68">
        <f t="shared" si="220"/>
        <v>85.24483767996928</v>
      </c>
      <c r="N445" s="129">
        <f>N374*(1+SIM_Parametres!$B$6)/(1+SIM_Parametres!$B$11)</f>
        <v>95110</v>
      </c>
      <c r="O445" s="72"/>
      <c r="P445" s="130">
        <f>SIM_Parametres!$D$28</f>
        <v>0</v>
      </c>
      <c r="Q445" s="130">
        <f>SIM_Parametres!$B$12</f>
        <v>0.2</v>
      </c>
      <c r="R445" s="59">
        <f t="shared" si="252"/>
        <v>3.5505694791483008E-3</v>
      </c>
      <c r="S445" s="59">
        <f t="shared" si="253"/>
        <v>0.65957446808510634</v>
      </c>
      <c r="T445" s="59">
        <f t="shared" si="254"/>
        <v>0.65469613259668513</v>
      </c>
      <c r="U445" s="59">
        <f t="shared" si="255"/>
        <v>0.52387753369973955</v>
      </c>
      <c r="V445" s="59">
        <f t="shared" si="256"/>
        <v>0.24769050312675686</v>
      </c>
      <c r="W445" s="59">
        <f t="shared" si="257"/>
        <v>1.5726062143310078E-2</v>
      </c>
      <c r="X445" s="59">
        <f t="shared" si="258"/>
        <v>1.2955775433225826E-2</v>
      </c>
      <c r="Y445" s="59">
        <f t="shared" si="259"/>
        <v>1.3384918783141526E-2</v>
      </c>
      <c r="Z445" s="59">
        <f t="shared" si="260"/>
        <v>9.0910712011208778E-3</v>
      </c>
      <c r="AA445" s="59">
        <f t="shared" si="221"/>
        <v>7.5564168231824855E-3</v>
      </c>
      <c r="AB445" s="59">
        <f t="shared" si="261"/>
        <v>1.27357230352003E-2</v>
      </c>
      <c r="AC445" s="60">
        <f t="shared" si="222"/>
        <v>11964627.736423086</v>
      </c>
      <c r="AD445" s="60">
        <f t="shared" si="238"/>
        <v>17194491.711811587</v>
      </c>
      <c r="AE445" s="59">
        <f t="shared" si="236"/>
        <v>3.2000000000000028E-2</v>
      </c>
      <c r="AF445" s="60">
        <f t="shared" si="239"/>
        <v>17194491.711811587</v>
      </c>
      <c r="AG445" s="60">
        <f t="shared" si="262"/>
        <v>0.99999999999999967</v>
      </c>
      <c r="AH445" s="60">
        <f t="shared" si="240"/>
        <v>17194491.71181158</v>
      </c>
      <c r="AI445" s="60">
        <f t="shared" si="223"/>
        <v>275.18026170645794</v>
      </c>
      <c r="AJ445" s="60">
        <f t="shared" si="224"/>
        <v>0</v>
      </c>
      <c r="AK445" s="59">
        <f t="shared" si="237"/>
        <v>3.1999999999999584E-2</v>
      </c>
    </row>
    <row r="446" spans="1:37" ht="12.75" customHeight="1" x14ac:dyDescent="0.25">
      <c r="A446" s="62" t="s">
        <v>607</v>
      </c>
      <c r="B446" s="62" t="s">
        <v>394</v>
      </c>
      <c r="C446" s="62" t="s">
        <v>398</v>
      </c>
      <c r="D446" s="124">
        <v>2022</v>
      </c>
      <c r="E446" s="62" t="s">
        <v>676</v>
      </c>
      <c r="F446" s="64">
        <f>SIM_Parametres!$C$28</f>
        <v>1350099375.1424778</v>
      </c>
      <c r="G446" s="125">
        <f>SIM_Districts!D20*(1+SIM_Parametres!$B$6)^(2022-2023)</f>
        <v>117971.84466019418</v>
      </c>
      <c r="H446" s="125">
        <f>MAX(0,MIN(100,SIM_Districts!F20+(2022-2022)*SIM_Parametres!$B$7))</f>
        <v>46.5</v>
      </c>
      <c r="I446" s="125">
        <f>SIM_Districts!G20*(1+SIM_Parametres!$B$8)^(2022-2023)</f>
        <v>42.553191489361701</v>
      </c>
      <c r="J446" s="125">
        <f>SIM_Districts!H20*(1+SIM_Parametres!$B$9)^(2022-2023)</f>
        <v>17.666666666666668</v>
      </c>
      <c r="K446" s="125">
        <f>MAX(0,MIN(100,SIM_Districts!I20+(2022-2023)*SIM_Parametres!$B$10))</f>
        <v>89.5</v>
      </c>
      <c r="L446" s="125">
        <f>SIM_Districts!E20</f>
        <v>1476</v>
      </c>
      <c r="M446" s="61">
        <f t="shared" si="220"/>
        <v>79.926724024521803</v>
      </c>
      <c r="N446" s="125">
        <f>N375*(1+SIM_Parametres!$B$6)/(1+SIM_Parametres!$B$11)</f>
        <v>95110</v>
      </c>
      <c r="O446" s="132"/>
      <c r="P446" s="126">
        <f>SIM_Parametres!$D$28</f>
        <v>0</v>
      </c>
      <c r="Q446" s="126">
        <f>SIM_Parametres!$B$12</f>
        <v>0.2</v>
      </c>
      <c r="R446" s="66">
        <f t="shared" si="252"/>
        <v>6.7035418198043662E-3</v>
      </c>
      <c r="S446" s="66">
        <f t="shared" si="253"/>
        <v>0.65957446808510634</v>
      </c>
      <c r="T446" s="66">
        <f t="shared" si="254"/>
        <v>0.65469613259668513</v>
      </c>
      <c r="U446" s="66">
        <f t="shared" si="255"/>
        <v>0.54969284466862123</v>
      </c>
      <c r="V446" s="66">
        <f t="shared" si="256"/>
        <v>0.24769050312675686</v>
      </c>
      <c r="W446" s="66">
        <f t="shared" si="257"/>
        <v>1.5726062143310078E-2</v>
      </c>
      <c r="X446" s="66">
        <f t="shared" si="258"/>
        <v>1.2955775433225826E-2</v>
      </c>
      <c r="Y446" s="66">
        <f t="shared" si="259"/>
        <v>1.4044492478237349E-2</v>
      </c>
      <c r="Z446" s="66">
        <f t="shared" si="260"/>
        <v>9.0910712011208778E-3</v>
      </c>
      <c r="AA446" s="66">
        <f t="shared" si="221"/>
        <v>9.4811789123309155E-3</v>
      </c>
      <c r="AB446" s="66">
        <f t="shared" si="261"/>
        <v>1.3484290171842786E-2</v>
      </c>
      <c r="AC446" s="67">
        <f t="shared" si="222"/>
        <v>14043523.811508868</v>
      </c>
      <c r="AD446" s="67">
        <f t="shared" si="238"/>
        <v>18205131.735244799</v>
      </c>
      <c r="AE446" s="66">
        <f t="shared" si="236"/>
        <v>3.1999999999999806E-2</v>
      </c>
      <c r="AF446" s="67">
        <f t="shared" si="239"/>
        <v>18205131.735244799</v>
      </c>
      <c r="AG446" s="67">
        <f t="shared" si="262"/>
        <v>0.99999999999999967</v>
      </c>
      <c r="AH446" s="67">
        <f t="shared" si="240"/>
        <v>18205131.735244792</v>
      </c>
      <c r="AI446" s="67">
        <f t="shared" si="223"/>
        <v>154.3175983022289</v>
      </c>
      <c r="AJ446" s="67">
        <f t="shared" si="224"/>
        <v>0</v>
      </c>
      <c r="AK446" s="66">
        <f t="shared" si="237"/>
        <v>3.1999999999999362E-2</v>
      </c>
    </row>
    <row r="447" spans="1:37" ht="12.75" customHeight="1" x14ac:dyDescent="0.25">
      <c r="A447" s="55" t="s">
        <v>608</v>
      </c>
      <c r="B447" s="55" t="s">
        <v>394</v>
      </c>
      <c r="C447" s="55" t="s">
        <v>399</v>
      </c>
      <c r="D447" s="128">
        <v>2022</v>
      </c>
      <c r="E447" s="55" t="s">
        <v>676</v>
      </c>
      <c r="F447" s="57">
        <f>SIM_Parametres!$C$28</f>
        <v>1350099375.1424778</v>
      </c>
      <c r="G447" s="129">
        <f>SIM_Districts!D21*(1+SIM_Parametres!$B$6)^(2022-2023)</f>
        <v>95868.932038834959</v>
      </c>
      <c r="H447" s="129">
        <f>MAX(0,MIN(100,SIM_Districts!F21+(2022-2022)*SIM_Parametres!$B$7))</f>
        <v>46.5</v>
      </c>
      <c r="I447" s="129">
        <f>SIM_Districts!G21*(1+SIM_Parametres!$B$8)^(2022-2023)</f>
        <v>42.553191489361701</v>
      </c>
      <c r="J447" s="129">
        <f>SIM_Districts!H21*(1+SIM_Parametres!$B$9)^(2022-2023)</f>
        <v>17.666666666666668</v>
      </c>
      <c r="K447" s="129">
        <f>MAX(0,MIN(100,SIM_Districts!I21+(2022-2023)*SIM_Parametres!$B$10))</f>
        <v>89.5</v>
      </c>
      <c r="L447" s="129">
        <f>SIM_Districts!E21</f>
        <v>406</v>
      </c>
      <c r="M447" s="68">
        <f t="shared" si="220"/>
        <v>236.13037447988907</v>
      </c>
      <c r="N447" s="129">
        <f>N376*(1+SIM_Parametres!$B$6)/(1+SIM_Parametres!$B$11)</f>
        <v>95110</v>
      </c>
      <c r="O447" s="72"/>
      <c r="P447" s="130">
        <f>SIM_Parametres!$D$28</f>
        <v>0</v>
      </c>
      <c r="Q447" s="130">
        <f>SIM_Parametres!$B$12</f>
        <v>0.2</v>
      </c>
      <c r="R447" s="59">
        <f t="shared" si="252"/>
        <v>5.4475828278639973E-3</v>
      </c>
      <c r="S447" s="59">
        <f t="shared" si="253"/>
        <v>0.65957446808510634</v>
      </c>
      <c r="T447" s="59">
        <f t="shared" si="254"/>
        <v>0.65469613259668513</v>
      </c>
      <c r="U447" s="59">
        <f t="shared" si="255"/>
        <v>0.51035214004959617</v>
      </c>
      <c r="V447" s="59">
        <f t="shared" si="256"/>
        <v>0.24769050312675686</v>
      </c>
      <c r="W447" s="59">
        <f t="shared" si="257"/>
        <v>1.5726062143310078E-2</v>
      </c>
      <c r="X447" s="59">
        <f t="shared" si="258"/>
        <v>1.2955775433225826E-2</v>
      </c>
      <c r="Y447" s="59">
        <f t="shared" si="259"/>
        <v>1.3039348904932265E-2</v>
      </c>
      <c r="Z447" s="59">
        <f t="shared" si="260"/>
        <v>9.0910712011208778E-3</v>
      </c>
      <c r="AA447" s="59">
        <f t="shared" si="221"/>
        <v>8.6773463385014411E-3</v>
      </c>
      <c r="AB447" s="59">
        <f t="shared" si="261"/>
        <v>1.1049556656702576E-2</v>
      </c>
      <c r="AC447" s="60">
        <f t="shared" si="222"/>
        <v>13175320.726991793</v>
      </c>
      <c r="AD447" s="60">
        <f t="shared" si="238"/>
        <v>14917999.537815554</v>
      </c>
      <c r="AE447" s="59">
        <f t="shared" si="236"/>
        <v>3.1999999999999806E-2</v>
      </c>
      <c r="AF447" s="60">
        <f t="shared" si="239"/>
        <v>14917999.537815554</v>
      </c>
      <c r="AG447" s="60">
        <f t="shared" si="262"/>
        <v>0.99999999999999967</v>
      </c>
      <c r="AH447" s="60">
        <f t="shared" si="240"/>
        <v>14917999.537815548</v>
      </c>
      <c r="AI447" s="60">
        <f t="shared" si="223"/>
        <v>155.60827914274154</v>
      </c>
      <c r="AJ447" s="60">
        <f t="shared" si="224"/>
        <v>0</v>
      </c>
      <c r="AK447" s="59">
        <f t="shared" si="237"/>
        <v>3.1999999999999584E-2</v>
      </c>
    </row>
    <row r="448" spans="1:37" ht="12.75" customHeight="1" x14ac:dyDescent="0.25">
      <c r="A448" s="62" t="s">
        <v>609</v>
      </c>
      <c r="B448" s="62" t="s">
        <v>394</v>
      </c>
      <c r="C448" s="62" t="s">
        <v>400</v>
      </c>
      <c r="D448" s="124">
        <v>2022</v>
      </c>
      <c r="E448" s="62" t="s">
        <v>676</v>
      </c>
      <c r="F448" s="64">
        <f>SIM_Parametres!$C$28</f>
        <v>1350099375.1424778</v>
      </c>
      <c r="G448" s="125">
        <f>SIM_Districts!D22*(1+SIM_Parametres!$B$6)^(2022-2023)</f>
        <v>100748.54368932039</v>
      </c>
      <c r="H448" s="125">
        <f>MAX(0,MIN(100,SIM_Districts!F22+(2022-2022)*SIM_Parametres!$B$7))</f>
        <v>46.5</v>
      </c>
      <c r="I448" s="125">
        <f>SIM_Districts!G22*(1+SIM_Parametres!$B$8)^(2022-2023)</f>
        <v>42.553191489361701</v>
      </c>
      <c r="J448" s="125">
        <f>SIM_Districts!H22*(1+SIM_Parametres!$B$9)^(2022-2023)</f>
        <v>17.666666666666668</v>
      </c>
      <c r="K448" s="125">
        <f>MAX(0,MIN(100,SIM_Districts!I22+(2022-2023)*SIM_Parametres!$B$10))</f>
        <v>89.5</v>
      </c>
      <c r="L448" s="125">
        <f>SIM_Districts!E22</f>
        <v>866</v>
      </c>
      <c r="M448" s="61">
        <f t="shared" si="220"/>
        <v>116.33781026480415</v>
      </c>
      <c r="N448" s="125">
        <f>N377*(1+SIM_Parametres!$B$6)/(1+SIM_Parametres!$B$11)</f>
        <v>95110</v>
      </c>
      <c r="O448" s="132"/>
      <c r="P448" s="126">
        <f>SIM_Parametres!$D$28</f>
        <v>0</v>
      </c>
      <c r="Q448" s="126">
        <f>SIM_Parametres!$B$12</f>
        <v>0.2</v>
      </c>
      <c r="R448" s="66">
        <f t="shared" si="252"/>
        <v>5.7248581460354929E-3</v>
      </c>
      <c r="S448" s="66">
        <f t="shared" si="253"/>
        <v>0.65957446808510634</v>
      </c>
      <c r="T448" s="66">
        <f t="shared" si="254"/>
        <v>0.65469613259668513</v>
      </c>
      <c r="U448" s="66">
        <f t="shared" si="255"/>
        <v>0.52803177519419775</v>
      </c>
      <c r="V448" s="66">
        <f t="shared" si="256"/>
        <v>0.24769050312675686</v>
      </c>
      <c r="W448" s="66">
        <f t="shared" si="257"/>
        <v>1.5726062143310078E-2</v>
      </c>
      <c r="X448" s="66">
        <f t="shared" si="258"/>
        <v>1.2955775433225826E-2</v>
      </c>
      <c r="Y448" s="66">
        <f t="shared" si="259"/>
        <v>1.3491058446387229E-2</v>
      </c>
      <c r="Z448" s="66">
        <f t="shared" si="260"/>
        <v>9.0910712011208778E-3</v>
      </c>
      <c r="AA448" s="66">
        <f t="shared" si="221"/>
        <v>8.8662970064770866E-3</v>
      </c>
      <c r="AB448" s="66">
        <f t="shared" si="261"/>
        <v>1.2519806363912849E-2</v>
      </c>
      <c r="AC448" s="67">
        <f t="shared" si="222"/>
        <v>13379402.47000513</v>
      </c>
      <c r="AD448" s="67">
        <f t="shared" si="238"/>
        <v>16902982.748823553</v>
      </c>
      <c r="AE448" s="66">
        <f t="shared" si="236"/>
        <v>3.1999999999999806E-2</v>
      </c>
      <c r="AF448" s="67">
        <f t="shared" si="239"/>
        <v>16902982.748823553</v>
      </c>
      <c r="AG448" s="67">
        <f t="shared" si="262"/>
        <v>0.99999999999999967</v>
      </c>
      <c r="AH448" s="67">
        <f t="shared" si="240"/>
        <v>16902982.748823546</v>
      </c>
      <c r="AI448" s="67">
        <f t="shared" si="223"/>
        <v>167.77396605302303</v>
      </c>
      <c r="AJ448" s="67">
        <f t="shared" si="224"/>
        <v>0</v>
      </c>
      <c r="AK448" s="66">
        <f t="shared" si="237"/>
        <v>3.1999999999999362E-2</v>
      </c>
    </row>
    <row r="449" spans="1:37" ht="12.75" customHeight="1" x14ac:dyDescent="0.25">
      <c r="A449" s="55" t="s">
        <v>610</v>
      </c>
      <c r="B449" s="55" t="s">
        <v>394</v>
      </c>
      <c r="C449" s="55" t="s">
        <v>401</v>
      </c>
      <c r="D449" s="128">
        <v>2022</v>
      </c>
      <c r="E449" s="55" t="s">
        <v>676</v>
      </c>
      <c r="F449" s="57">
        <f>SIM_Parametres!$C$28</f>
        <v>1350099375.1424778</v>
      </c>
      <c r="G449" s="129">
        <f>SIM_Districts!D23*(1+SIM_Parametres!$B$6)^(2022-2023)</f>
        <v>181180.58252427186</v>
      </c>
      <c r="H449" s="129">
        <f>MAX(0,MIN(100,SIM_Districts!F23+(2022-2022)*SIM_Parametres!$B$7))</f>
        <v>46.5</v>
      </c>
      <c r="I449" s="129">
        <f>SIM_Districts!G23*(1+SIM_Parametres!$B$8)^(2022-2023)</f>
        <v>42.553191489361701</v>
      </c>
      <c r="J449" s="129">
        <f>SIM_Districts!H23*(1+SIM_Parametres!$B$9)^(2022-2023)</f>
        <v>17.666666666666668</v>
      </c>
      <c r="K449" s="129">
        <f>MAX(0,MIN(100,SIM_Districts!I23+(2022-2023)*SIM_Parametres!$B$10))</f>
        <v>89.5</v>
      </c>
      <c r="L449" s="129">
        <f>SIM_Districts!E23</f>
        <v>1459</v>
      </c>
      <c r="M449" s="68">
        <f t="shared" si="220"/>
        <v>124.18134511601909</v>
      </c>
      <c r="N449" s="129">
        <f>N378*(1+SIM_Parametres!$B$6)/(1+SIM_Parametres!$B$11)</f>
        <v>95110</v>
      </c>
      <c r="O449" s="72"/>
      <c r="P449" s="130">
        <f>SIM_Parametres!$D$28</f>
        <v>0</v>
      </c>
      <c r="Q449" s="130">
        <f>SIM_Parametres!$B$12</f>
        <v>0.2</v>
      </c>
      <c r="R449" s="59">
        <f t="shared" si="252"/>
        <v>1.0295266767984887E-2</v>
      </c>
      <c r="S449" s="59">
        <f t="shared" si="253"/>
        <v>0.65957446808510634</v>
      </c>
      <c r="T449" s="59">
        <f t="shared" si="254"/>
        <v>0.65469613259668513</v>
      </c>
      <c r="U449" s="59">
        <f t="shared" si="255"/>
        <v>0.54845929360495993</v>
      </c>
      <c r="V449" s="59">
        <f t="shared" si="256"/>
        <v>0.24769050312675686</v>
      </c>
      <c r="W449" s="59">
        <f t="shared" si="257"/>
        <v>1.5726062143310078E-2</v>
      </c>
      <c r="X449" s="59">
        <f t="shared" si="258"/>
        <v>1.2955775433225826E-2</v>
      </c>
      <c r="Y449" s="59">
        <f t="shared" si="259"/>
        <v>1.4012975606946153E-2</v>
      </c>
      <c r="Z449" s="59">
        <f t="shared" si="260"/>
        <v>9.0910712011208778E-3</v>
      </c>
      <c r="AA449" s="59">
        <f t="shared" si="221"/>
        <v>1.1634638037674668E-2</v>
      </c>
      <c r="AB449" s="59">
        <f t="shared" si="261"/>
        <v>1.3653158852499511E-2</v>
      </c>
      <c r="AC449" s="60">
        <f t="shared" si="222"/>
        <v>16369430.86712604</v>
      </c>
      <c r="AD449" s="60">
        <f t="shared" si="238"/>
        <v>18433121.235480577</v>
      </c>
      <c r="AE449" s="59">
        <f t="shared" si="236"/>
        <v>3.1999999999999806E-2</v>
      </c>
      <c r="AF449" s="60">
        <f t="shared" si="239"/>
        <v>18433121.235480577</v>
      </c>
      <c r="AG449" s="60">
        <f t="shared" si="262"/>
        <v>0.99999999999999967</v>
      </c>
      <c r="AH449" s="60">
        <f t="shared" si="240"/>
        <v>18433121.235480569</v>
      </c>
      <c r="AI449" s="60">
        <f t="shared" si="223"/>
        <v>101.73894453072076</v>
      </c>
      <c r="AJ449" s="60">
        <f t="shared" si="224"/>
        <v>0</v>
      </c>
      <c r="AK449" s="59">
        <f t="shared" si="237"/>
        <v>3.1999999999999362E-2</v>
      </c>
    </row>
    <row r="450" spans="1:37" ht="12.75" customHeight="1" x14ac:dyDescent="0.25">
      <c r="A450" s="62" t="s">
        <v>611</v>
      </c>
      <c r="B450" s="62" t="s">
        <v>402</v>
      </c>
      <c r="C450" s="62" t="s">
        <v>404</v>
      </c>
      <c r="D450" s="124">
        <v>2022</v>
      </c>
      <c r="E450" s="62" t="s">
        <v>676</v>
      </c>
      <c r="F450" s="64">
        <f>SIM_Parametres!$C$28</f>
        <v>1350099375.1424778</v>
      </c>
      <c r="G450" s="125">
        <f>SIM_Districts!D24*(1+SIM_Parametres!$B$6)^(2022-2023)</f>
        <v>142186.40776699031</v>
      </c>
      <c r="H450" s="125">
        <f>MAX(0,MIN(100,SIM_Districts!F24+(2022-2022)*SIM_Parametres!$B$7))</f>
        <v>58.2</v>
      </c>
      <c r="I450" s="125">
        <f>SIM_Districts!G24*(1+SIM_Parametres!$B$8)^(2022-2023)</f>
        <v>42.553191489361701</v>
      </c>
      <c r="J450" s="125">
        <f>SIM_Districts!H24*(1+SIM_Parametres!$B$9)^(2022-2023)</f>
        <v>31.555555555555557</v>
      </c>
      <c r="K450" s="125">
        <f>MAX(0,MIN(100,SIM_Districts!I24+(2022-2023)*SIM_Parametres!$B$10))</f>
        <v>83.4</v>
      </c>
      <c r="L450" s="125">
        <f>SIM_Districts!E24</f>
        <v>1150</v>
      </c>
      <c r="M450" s="61">
        <f t="shared" si="220"/>
        <v>123.64035457999157</v>
      </c>
      <c r="N450" s="125">
        <f>N379*(1+SIM_Parametres!$B$6)/(1+SIM_Parametres!$B$11)</f>
        <v>169739</v>
      </c>
      <c r="O450" s="132"/>
      <c r="P450" s="126">
        <f>SIM_Parametres!$D$28</f>
        <v>0</v>
      </c>
      <c r="Q450" s="126">
        <f>SIM_Parametres!$B$12</f>
        <v>0.2</v>
      </c>
      <c r="R450" s="66">
        <f t="shared" si="252"/>
        <v>8.0794916229311679E-3</v>
      </c>
      <c r="S450" s="66">
        <f t="shared" si="253"/>
        <v>0.86702127659574468</v>
      </c>
      <c r="T450" s="66">
        <f t="shared" si="254"/>
        <v>1</v>
      </c>
      <c r="U450" s="66">
        <f t="shared" si="255"/>
        <v>0.53776328071078594</v>
      </c>
      <c r="V450" s="66">
        <f t="shared" si="256"/>
        <v>0.76566328194948607</v>
      </c>
      <c r="W450" s="66">
        <f t="shared" si="257"/>
        <v>2.06721623335447E-2</v>
      </c>
      <c r="X450" s="66">
        <f t="shared" si="258"/>
        <v>1.9788990324167716E-2</v>
      </c>
      <c r="Y450" s="66">
        <f t="shared" si="259"/>
        <v>1.3739695585027883E-2</v>
      </c>
      <c r="Z450" s="66">
        <f t="shared" si="260"/>
        <v>2.8102407336645013E-2</v>
      </c>
      <c r="AA450" s="66">
        <f t="shared" si="221"/>
        <v>1.3008973018499209E-2</v>
      </c>
      <c r="AB450" s="66">
        <f t="shared" si="261"/>
        <v>1.1367130593459994E-2</v>
      </c>
      <c r="AC450" s="67">
        <f t="shared" si="222"/>
        <v>17853821.906204171</v>
      </c>
      <c r="AD450" s="67">
        <f t="shared" si="238"/>
        <v>15346755.911393281</v>
      </c>
      <c r="AE450" s="66">
        <f t="shared" si="236"/>
        <v>3.1999999999999806E-2</v>
      </c>
      <c r="AF450" s="67">
        <f t="shared" si="239"/>
        <v>15346755.911393281</v>
      </c>
      <c r="AG450" s="67">
        <f t="shared" si="262"/>
        <v>0.99999999999999967</v>
      </c>
      <c r="AH450" s="67">
        <f t="shared" si="240"/>
        <v>15346755.911393275</v>
      </c>
      <c r="AI450" s="67">
        <f t="shared" si="223"/>
        <v>107.93405749825931</v>
      </c>
      <c r="AJ450" s="67">
        <f t="shared" si="224"/>
        <v>0</v>
      </c>
      <c r="AK450" s="66">
        <f t="shared" si="237"/>
        <v>3.1999999999999362E-2</v>
      </c>
    </row>
    <row r="451" spans="1:37" ht="12.75" customHeight="1" x14ac:dyDescent="0.25">
      <c r="A451" s="55" t="s">
        <v>613</v>
      </c>
      <c r="B451" s="55" t="s">
        <v>402</v>
      </c>
      <c r="C451" s="55" t="s">
        <v>402</v>
      </c>
      <c r="D451" s="128">
        <v>2022</v>
      </c>
      <c r="E451" s="55" t="s">
        <v>676</v>
      </c>
      <c r="F451" s="57">
        <f>SIM_Parametres!$C$28</f>
        <v>1350099375.1424778</v>
      </c>
      <c r="G451" s="129">
        <f>SIM_Districts!D25*(1+SIM_Parametres!$B$6)^(2022-2023)</f>
        <v>291743.68932038837</v>
      </c>
      <c r="H451" s="129">
        <f>MAX(0,MIN(100,SIM_Districts!F25+(2022-2022)*SIM_Parametres!$B$7))</f>
        <v>58.2</v>
      </c>
      <c r="I451" s="129">
        <f>SIM_Districts!G25*(1+SIM_Parametres!$B$8)^(2022-2023)</f>
        <v>42.553191489361701</v>
      </c>
      <c r="J451" s="129">
        <f>SIM_Districts!H25*(1+SIM_Parametres!$B$9)^(2022-2023)</f>
        <v>31.555555555555557</v>
      </c>
      <c r="K451" s="129">
        <f>MAX(0,MIN(100,SIM_Districts!I25+(2022-2023)*SIM_Parametres!$B$10))</f>
        <v>83.4</v>
      </c>
      <c r="L451" s="129">
        <f>SIM_Districts!E25</f>
        <v>2609</v>
      </c>
      <c r="M451" s="68">
        <f t="shared" si="220"/>
        <v>111.82203500206531</v>
      </c>
      <c r="N451" s="129">
        <f>N380*(1+SIM_Parametres!$B$6)/(1+SIM_Parametres!$B$11)</f>
        <v>169739</v>
      </c>
      <c r="O451" s="72"/>
      <c r="P451" s="130">
        <f>SIM_Parametres!$D$28</f>
        <v>0</v>
      </c>
      <c r="Q451" s="130">
        <f>SIM_Parametres!$B$12</f>
        <v>0.2</v>
      </c>
      <c r="R451" s="59">
        <f t="shared" si="252"/>
        <v>1.6577820137139293E-2</v>
      </c>
      <c r="S451" s="59">
        <f t="shared" si="253"/>
        <v>0.86702127659574468</v>
      </c>
      <c r="T451" s="59">
        <f t="shared" si="254"/>
        <v>1</v>
      </c>
      <c r="U451" s="59">
        <f t="shared" si="255"/>
        <v>0.58847583069176324</v>
      </c>
      <c r="V451" s="59">
        <f t="shared" si="256"/>
        <v>0.76566328194948607</v>
      </c>
      <c r="W451" s="59">
        <f t="shared" si="257"/>
        <v>2.06721623335447E-2</v>
      </c>
      <c r="X451" s="59">
        <f t="shared" si="258"/>
        <v>1.9788990324167716E-2</v>
      </c>
      <c r="Y451" s="59">
        <f t="shared" si="259"/>
        <v>1.5035386503452401E-2</v>
      </c>
      <c r="Z451" s="59">
        <f t="shared" si="260"/>
        <v>2.8102407336645013E-2</v>
      </c>
      <c r="AA451" s="59">
        <f t="shared" si="221"/>
        <v>1.817275467294531E-2</v>
      </c>
      <c r="AB451" s="59">
        <f t="shared" si="261"/>
        <v>1.3225526223373779E-2</v>
      </c>
      <c r="AC451" s="60">
        <f t="shared" si="222"/>
        <v>23431116.614236068</v>
      </c>
      <c r="AD451" s="60">
        <f t="shared" si="238"/>
        <v>17855774.690107394</v>
      </c>
      <c r="AE451" s="59">
        <f t="shared" si="236"/>
        <v>3.1999999999999806E-2</v>
      </c>
      <c r="AF451" s="60">
        <f t="shared" si="239"/>
        <v>17855774.690107394</v>
      </c>
      <c r="AG451" s="60">
        <f t="shared" si="262"/>
        <v>0.99999999999999967</v>
      </c>
      <c r="AH451" s="60">
        <f t="shared" si="240"/>
        <v>17855774.690107387</v>
      </c>
      <c r="AI451" s="60">
        <f t="shared" si="223"/>
        <v>61.20363642381465</v>
      </c>
      <c r="AJ451" s="60">
        <f t="shared" si="224"/>
        <v>0</v>
      </c>
      <c r="AK451" s="59">
        <f t="shared" si="237"/>
        <v>3.1999999999999362E-2</v>
      </c>
    </row>
    <row r="452" spans="1:37" ht="12.75" customHeight="1" x14ac:dyDescent="0.25">
      <c r="A452" s="62" t="s">
        <v>614</v>
      </c>
      <c r="B452" s="62" t="s">
        <v>402</v>
      </c>
      <c r="C452" s="62" t="s">
        <v>405</v>
      </c>
      <c r="D452" s="124">
        <v>2022</v>
      </c>
      <c r="E452" s="62" t="s">
        <v>676</v>
      </c>
      <c r="F452" s="64">
        <f>SIM_Parametres!$C$28</f>
        <v>1350099375.1424778</v>
      </c>
      <c r="G452" s="125">
        <f>SIM_Districts!D26*(1+SIM_Parametres!$B$6)^(2022-2023)</f>
        <v>229596.11650485438</v>
      </c>
      <c r="H452" s="125">
        <f>MAX(0,MIN(100,SIM_Districts!F26+(2022-2022)*SIM_Parametres!$B$7))</f>
        <v>58.2</v>
      </c>
      <c r="I452" s="125">
        <f>SIM_Districts!G26*(1+SIM_Parametres!$B$8)^(2022-2023)</f>
        <v>42.553191489361701</v>
      </c>
      <c r="J452" s="125">
        <f>SIM_Districts!H26*(1+SIM_Parametres!$B$9)^(2022-2023)</f>
        <v>31.555555555555557</v>
      </c>
      <c r="K452" s="125">
        <f>MAX(0,MIN(100,SIM_Districts!I26+(2022-2023)*SIM_Parametres!$B$10))</f>
        <v>83.4</v>
      </c>
      <c r="L452" s="125">
        <f>SIM_Districts!E26</f>
        <v>4537</v>
      </c>
      <c r="M452" s="61">
        <f t="shared" ref="M452:M515" si="263">IFERROR(G452/L452,0)</f>
        <v>50.60527143593881</v>
      </c>
      <c r="N452" s="125">
        <f>N381*(1+SIM_Parametres!$B$6)/(1+SIM_Parametres!$B$11)</f>
        <v>169739</v>
      </c>
      <c r="O452" s="132"/>
      <c r="P452" s="126">
        <f>SIM_Parametres!$D$28</f>
        <v>0</v>
      </c>
      <c r="Q452" s="126">
        <f>SIM_Parametres!$B$12</f>
        <v>0.2</v>
      </c>
      <c r="R452" s="66">
        <f t="shared" si="252"/>
        <v>1.304639401959177E-2</v>
      </c>
      <c r="S452" s="66">
        <f t="shared" si="253"/>
        <v>0.86702127659574468</v>
      </c>
      <c r="T452" s="66">
        <f t="shared" si="254"/>
        <v>1</v>
      </c>
      <c r="U452" s="66">
        <f t="shared" si="255"/>
        <v>0.65615433798264988</v>
      </c>
      <c r="V452" s="66">
        <f t="shared" si="256"/>
        <v>0.76566328194948607</v>
      </c>
      <c r="W452" s="66">
        <f t="shared" si="257"/>
        <v>2.06721623335447E-2</v>
      </c>
      <c r="X452" s="66">
        <f t="shared" si="258"/>
        <v>1.9788990324167716E-2</v>
      </c>
      <c r="Y452" s="66">
        <f t="shared" si="259"/>
        <v>1.6764552702001334E-2</v>
      </c>
      <c r="Z452" s="66">
        <f t="shared" si="260"/>
        <v>2.8102407336645013E-2</v>
      </c>
      <c r="AA452" s="66">
        <f t="shared" ref="AA452:AA515" si="264">0.6*R452+0.15*W452+0.15*X452+0.05*Y452+0.05*Z452</f>
        <v>1.6140357312344242E-2</v>
      </c>
      <c r="AB452" s="66">
        <f t="shared" si="261"/>
        <v>1.9379571426411061E-2</v>
      </c>
      <c r="AC452" s="67">
        <f t="shared" ref="AC452:AC515" si="265">F452*(Q452/71+(1-Q452)*AA452)</f>
        <v>21235965.888965089</v>
      </c>
      <c r="AD452" s="67">
        <f t="shared" si="238"/>
        <v>26164347.273326591</v>
      </c>
      <c r="AE452" s="66">
        <f t="shared" si="236"/>
        <v>3.1999999999999806E-2</v>
      </c>
      <c r="AF452" s="67">
        <f t="shared" si="239"/>
        <v>26164347.273326591</v>
      </c>
      <c r="AG452" s="67">
        <f t="shared" si="262"/>
        <v>0.99999999999999967</v>
      </c>
      <c r="AH452" s="67">
        <f t="shared" si="240"/>
        <v>26164347.273326583</v>
      </c>
      <c r="AI452" s="67">
        <f t="shared" ref="AI452:AI515" si="266">IFERROR(AH452/G452,0)</f>
        <v>113.9581438555098</v>
      </c>
      <c r="AJ452" s="67">
        <f t="shared" ref="AJ452:AJ515" si="267">AH452-F452*AB452</f>
        <v>0</v>
      </c>
      <c r="AK452" s="66">
        <f t="shared" si="237"/>
        <v>3.1999999999999584E-2</v>
      </c>
    </row>
    <row r="453" spans="1:37" ht="12.75" customHeight="1" x14ac:dyDescent="0.25">
      <c r="A453" s="55" t="s">
        <v>615</v>
      </c>
      <c r="B453" s="55" t="s">
        <v>402</v>
      </c>
      <c r="C453" s="55" t="s">
        <v>406</v>
      </c>
      <c r="D453" s="128">
        <v>2022</v>
      </c>
      <c r="E453" s="55" t="s">
        <v>676</v>
      </c>
      <c r="F453" s="57">
        <f>SIM_Parametres!$C$28</f>
        <v>1350099375.1424778</v>
      </c>
      <c r="G453" s="129">
        <f>SIM_Districts!D27*(1+SIM_Parametres!$B$6)^(2022-2023)</f>
        <v>132983.49514563108</v>
      </c>
      <c r="H453" s="129">
        <f>MAX(0,MIN(100,SIM_Districts!F27+(2022-2022)*SIM_Parametres!$B$7))</f>
        <v>58.2</v>
      </c>
      <c r="I453" s="129">
        <f>SIM_Districts!G27*(1+SIM_Parametres!$B$8)^(2022-2023)</f>
        <v>42.553191489361701</v>
      </c>
      <c r="J453" s="129">
        <f>SIM_Districts!H27*(1+SIM_Parametres!$B$9)^(2022-2023)</f>
        <v>31.555555555555557</v>
      </c>
      <c r="K453" s="129">
        <f>MAX(0,MIN(100,SIM_Districts!I27+(2022-2023)*SIM_Parametres!$B$10))</f>
        <v>83.4</v>
      </c>
      <c r="L453" s="129">
        <f>SIM_Districts!E27</f>
        <v>2765</v>
      </c>
      <c r="M453" s="68">
        <f t="shared" si="263"/>
        <v>48.095296616864765</v>
      </c>
      <c r="N453" s="129">
        <f>N382*(1+SIM_Parametres!$B$6)/(1+SIM_Parametres!$B$11)</f>
        <v>169739</v>
      </c>
      <c r="O453" s="72"/>
      <c r="P453" s="130">
        <f>SIM_Parametres!$D$28</f>
        <v>0</v>
      </c>
      <c r="Q453" s="130">
        <f>SIM_Parametres!$B$12</f>
        <v>0.2</v>
      </c>
      <c r="R453" s="59">
        <f t="shared" si="252"/>
        <v>7.5565523589145303E-3</v>
      </c>
      <c r="S453" s="59">
        <f t="shared" si="253"/>
        <v>0.86702127659574468</v>
      </c>
      <c r="T453" s="59">
        <f t="shared" si="254"/>
        <v>1</v>
      </c>
      <c r="U453" s="59">
        <f t="shared" si="255"/>
        <v>0.59480805510502455</v>
      </c>
      <c r="V453" s="59">
        <f t="shared" si="256"/>
        <v>0.76566328194948607</v>
      </c>
      <c r="W453" s="59">
        <f t="shared" si="257"/>
        <v>2.06721623335447E-2</v>
      </c>
      <c r="X453" s="59">
        <f t="shared" si="258"/>
        <v>1.9788990324167716E-2</v>
      </c>
      <c r="Y453" s="59">
        <f t="shared" si="259"/>
        <v>1.519717299750104E-2</v>
      </c>
      <c r="Z453" s="59">
        <f t="shared" si="260"/>
        <v>2.8102407336645013E-2</v>
      </c>
      <c r="AA453" s="59">
        <f t="shared" si="264"/>
        <v>1.2768083330712884E-2</v>
      </c>
      <c r="AB453" s="59">
        <f t="shared" si="261"/>
        <v>1.2841581014119441E-2</v>
      </c>
      <c r="AC453" s="60">
        <f t="shared" si="265"/>
        <v>17593641.892637301</v>
      </c>
      <c r="AD453" s="60">
        <f t="shared" si="238"/>
        <v>17337410.503004164</v>
      </c>
      <c r="AE453" s="59">
        <f t="shared" si="236"/>
        <v>3.1999999999999806E-2</v>
      </c>
      <c r="AF453" s="60">
        <f t="shared" si="239"/>
        <v>17337410.503004164</v>
      </c>
      <c r="AG453" s="60">
        <f t="shared" si="262"/>
        <v>0.99999999999999967</v>
      </c>
      <c r="AH453" s="60">
        <f t="shared" si="240"/>
        <v>17337410.503004156</v>
      </c>
      <c r="AI453" s="60">
        <f t="shared" si="266"/>
        <v>130.37264875628247</v>
      </c>
      <c r="AJ453" s="60">
        <f t="shared" si="267"/>
        <v>0</v>
      </c>
      <c r="AK453" s="59">
        <f t="shared" si="237"/>
        <v>3.1999999999999362E-2</v>
      </c>
    </row>
    <row r="454" spans="1:37" ht="12.75" customHeight="1" x14ac:dyDescent="0.25">
      <c r="A454" s="62" t="s">
        <v>616</v>
      </c>
      <c r="B454" s="62" t="s">
        <v>407</v>
      </c>
      <c r="C454" s="62" t="s">
        <v>409</v>
      </c>
      <c r="D454" s="124">
        <v>2022</v>
      </c>
      <c r="E454" s="62" t="s">
        <v>676</v>
      </c>
      <c r="F454" s="64">
        <f>SIM_Parametres!$C$28</f>
        <v>1350099375.1424778</v>
      </c>
      <c r="G454" s="125">
        <f>SIM_Districts!D28*(1+SIM_Parametres!$B$6)^(2022-2023)</f>
        <v>155569.90291262136</v>
      </c>
      <c r="H454" s="125">
        <f>MAX(0,MIN(100,SIM_Districts!F28+(2022-2022)*SIM_Parametres!$B$7))</f>
        <v>49.6</v>
      </c>
      <c r="I454" s="125">
        <f>SIM_Districts!G28*(1+SIM_Parametres!$B$8)^(2022-2023)</f>
        <v>42.553191489361701</v>
      </c>
      <c r="J454" s="125">
        <f>SIM_Districts!H28*(1+SIM_Parametres!$B$9)^(2022-2023)</f>
        <v>16.222222222222221</v>
      </c>
      <c r="K454" s="125">
        <f>MAX(0,MIN(100,SIM_Districts!I28+(2022-2023)*SIM_Parametres!$B$10))</f>
        <v>91.1</v>
      </c>
      <c r="L454" s="125">
        <f>SIM_Districts!E28</f>
        <v>1066</v>
      </c>
      <c r="M454" s="61">
        <f t="shared" si="263"/>
        <v>145.93799522759977</v>
      </c>
      <c r="N454" s="125">
        <f>N383*(1+SIM_Parametres!$B$6)/(1+SIM_Parametres!$B$11)</f>
        <v>190293</v>
      </c>
      <c r="O454" s="132"/>
      <c r="P454" s="126">
        <f>SIM_Parametres!$D$28</f>
        <v>0</v>
      </c>
      <c r="Q454" s="126">
        <f>SIM_Parametres!$B$12</f>
        <v>0.2</v>
      </c>
      <c r="R454" s="66">
        <f t="shared" si="252"/>
        <v>8.8399851090024129E-3</v>
      </c>
      <c r="S454" s="66">
        <f t="shared" si="253"/>
        <v>0.71453900709219842</v>
      </c>
      <c r="T454" s="66">
        <f t="shared" si="254"/>
        <v>0.61878453038674031</v>
      </c>
      <c r="U454" s="66">
        <f t="shared" si="255"/>
        <v>0.53452867131516979</v>
      </c>
      <c r="V454" s="66">
        <f t="shared" si="256"/>
        <v>0.90832112938040932</v>
      </c>
      <c r="W454" s="66">
        <f t="shared" si="257"/>
        <v>1.7036567321919247E-2</v>
      </c>
      <c r="X454" s="66">
        <f t="shared" si="258"/>
        <v>1.2245121084567868E-2</v>
      </c>
      <c r="Y454" s="66">
        <f t="shared" si="259"/>
        <v>1.3657052254725572E-2</v>
      </c>
      <c r="Z454" s="66">
        <f t="shared" si="260"/>
        <v>3.333842822570373E-2</v>
      </c>
      <c r="AA454" s="66">
        <f t="shared" si="264"/>
        <v>1.204601835039598E-2</v>
      </c>
      <c r="AB454" s="66">
        <f t="shared" si="261"/>
        <v>1.2106456160514305E-2</v>
      </c>
      <c r="AC454" s="67">
        <f t="shared" si="265"/>
        <v>16813754.309646808</v>
      </c>
      <c r="AD454" s="67">
        <f t="shared" si="238"/>
        <v>16344918.897500163</v>
      </c>
      <c r="AE454" s="66">
        <f t="shared" si="236"/>
        <v>3.1999999999999806E-2</v>
      </c>
      <c r="AF454" s="67">
        <f t="shared" si="239"/>
        <v>16344918.897500163</v>
      </c>
      <c r="AG454" s="67">
        <f t="shared" si="262"/>
        <v>0.99999999999999967</v>
      </c>
      <c r="AH454" s="67">
        <f t="shared" si="240"/>
        <v>16344918.897500157</v>
      </c>
      <c r="AI454" s="67">
        <f t="shared" si="266"/>
        <v>105.06478818515799</v>
      </c>
      <c r="AJ454" s="67">
        <f t="shared" si="267"/>
        <v>0</v>
      </c>
      <c r="AK454" s="66">
        <f t="shared" si="237"/>
        <v>3.1999999999999362E-2</v>
      </c>
    </row>
    <row r="455" spans="1:37" ht="12.75" customHeight="1" x14ac:dyDescent="0.25">
      <c r="A455" s="55" t="s">
        <v>618</v>
      </c>
      <c r="B455" s="55" t="s">
        <v>407</v>
      </c>
      <c r="C455" s="55" t="s">
        <v>410</v>
      </c>
      <c r="D455" s="128">
        <v>2022</v>
      </c>
      <c r="E455" s="55" t="s">
        <v>676</v>
      </c>
      <c r="F455" s="57">
        <f>SIM_Parametres!$C$28</f>
        <v>1350099375.1424778</v>
      </c>
      <c r="G455" s="129">
        <f>SIM_Districts!D29*(1+SIM_Parametres!$B$6)^(2022-2023)</f>
        <v>422899.02912621357</v>
      </c>
      <c r="H455" s="129">
        <f>MAX(0,MIN(100,SIM_Districts!F29+(2022-2022)*SIM_Parametres!$B$7))</f>
        <v>49.6</v>
      </c>
      <c r="I455" s="129">
        <f>SIM_Districts!G29*(1+SIM_Parametres!$B$8)^(2022-2023)</f>
        <v>42.553191489361701</v>
      </c>
      <c r="J455" s="129">
        <f>SIM_Districts!H29*(1+SIM_Parametres!$B$9)^(2022-2023)</f>
        <v>16.222222222222221</v>
      </c>
      <c r="K455" s="129">
        <f>MAX(0,MIN(100,SIM_Districts!I29+(2022-2023)*SIM_Parametres!$B$10))</f>
        <v>91.1</v>
      </c>
      <c r="L455" s="129">
        <f>SIM_Districts!E29</f>
        <v>535</v>
      </c>
      <c r="M455" s="68">
        <f t="shared" si="263"/>
        <v>790.46547500226836</v>
      </c>
      <c r="N455" s="129">
        <f>N384*(1+SIM_Parametres!$B$6)/(1+SIM_Parametres!$B$11)</f>
        <v>190293</v>
      </c>
      <c r="O455" s="72"/>
      <c r="P455" s="130">
        <f>SIM_Parametres!$D$28</f>
        <v>0</v>
      </c>
      <c r="Q455" s="130">
        <f>SIM_Parametres!$B$12</f>
        <v>0.2</v>
      </c>
      <c r="R455" s="59">
        <f t="shared" si="252"/>
        <v>2.403049079607035E-2</v>
      </c>
      <c r="S455" s="59">
        <f t="shared" si="253"/>
        <v>0.71453900709219842</v>
      </c>
      <c r="T455" s="59">
        <f t="shared" si="254"/>
        <v>0.61878453038674031</v>
      </c>
      <c r="U455" s="59">
        <f t="shared" si="255"/>
        <v>0.50674567312414043</v>
      </c>
      <c r="V455" s="59">
        <f t="shared" si="256"/>
        <v>0.90832112938040932</v>
      </c>
      <c r="W455" s="59">
        <f t="shared" si="257"/>
        <v>1.7036567321919247E-2</v>
      </c>
      <c r="X455" s="59">
        <f t="shared" si="258"/>
        <v>1.2245121084567868E-2</v>
      </c>
      <c r="Y455" s="59">
        <f t="shared" si="259"/>
        <v>1.2947204722778849E-2</v>
      </c>
      <c r="Z455" s="59">
        <f t="shared" si="260"/>
        <v>3.333842822570373E-2</v>
      </c>
      <c r="AA455" s="59">
        <f t="shared" si="264"/>
        <v>2.1124829386039407E-2</v>
      </c>
      <c r="AB455" s="59">
        <f t="shared" si="261"/>
        <v>1.4237898164624284E-2</v>
      </c>
      <c r="AC455" s="60">
        <f t="shared" si="265"/>
        <v>26619591.994653866</v>
      </c>
      <c r="AD455" s="60">
        <f t="shared" si="238"/>
        <v>19222577.415401477</v>
      </c>
      <c r="AE455" s="59">
        <f t="shared" si="236"/>
        <v>3.2000000000000028E-2</v>
      </c>
      <c r="AF455" s="60">
        <f t="shared" si="239"/>
        <v>19222577.415401477</v>
      </c>
      <c r="AG455" s="60">
        <f t="shared" si="262"/>
        <v>0.99999999999999967</v>
      </c>
      <c r="AH455" s="60">
        <f t="shared" si="240"/>
        <v>19222577.41540147</v>
      </c>
      <c r="AI455" s="60">
        <f t="shared" si="266"/>
        <v>45.454295449953662</v>
      </c>
      <c r="AJ455" s="60">
        <f t="shared" si="267"/>
        <v>0</v>
      </c>
      <c r="AK455" s="59">
        <f t="shared" si="237"/>
        <v>3.1999999999999584E-2</v>
      </c>
    </row>
    <row r="456" spans="1:37" ht="12.75" customHeight="1" x14ac:dyDescent="0.25">
      <c r="A456" s="62" t="s">
        <v>619</v>
      </c>
      <c r="B456" s="62" t="s">
        <v>407</v>
      </c>
      <c r="C456" s="62" t="s">
        <v>411</v>
      </c>
      <c r="D456" s="124">
        <v>2022</v>
      </c>
      <c r="E456" s="62" t="s">
        <v>676</v>
      </c>
      <c r="F456" s="64">
        <f>SIM_Parametres!$C$28</f>
        <v>1350099375.1424778</v>
      </c>
      <c r="G456" s="125">
        <f>SIM_Districts!D30*(1+SIM_Parametres!$B$6)^(2022-2023)</f>
        <v>237238.83495145632</v>
      </c>
      <c r="H456" s="125">
        <f>MAX(0,MIN(100,SIM_Districts!F30+(2022-2022)*SIM_Parametres!$B$7))</f>
        <v>49.6</v>
      </c>
      <c r="I456" s="125">
        <f>SIM_Districts!G30*(1+SIM_Parametres!$B$8)^(2022-2023)</f>
        <v>42.553191489361701</v>
      </c>
      <c r="J456" s="125">
        <f>SIM_Districts!H30*(1+SIM_Parametres!$B$9)^(2022-2023)</f>
        <v>16.222222222222221</v>
      </c>
      <c r="K456" s="125">
        <f>MAX(0,MIN(100,SIM_Districts!I30+(2022-2023)*SIM_Parametres!$B$10))</f>
        <v>91.1</v>
      </c>
      <c r="L456" s="125">
        <f>SIM_Districts!E30</f>
        <v>1359</v>
      </c>
      <c r="M456" s="61">
        <f t="shared" si="263"/>
        <v>174.56867914014447</v>
      </c>
      <c r="N456" s="125">
        <f>N385*(1+SIM_Parametres!$B$6)/(1+SIM_Parametres!$B$11)</f>
        <v>190293</v>
      </c>
      <c r="O456" s="132"/>
      <c r="P456" s="126">
        <f>SIM_Parametres!$D$28</f>
        <v>0</v>
      </c>
      <c r="Q456" s="126">
        <f>SIM_Parametres!$B$12</f>
        <v>0.2</v>
      </c>
      <c r="R456" s="66">
        <f t="shared" si="252"/>
        <v>1.3480678003803077E-2</v>
      </c>
      <c r="S456" s="66">
        <f t="shared" si="253"/>
        <v>0.71453900709219842</v>
      </c>
      <c r="T456" s="66">
        <f t="shared" si="254"/>
        <v>0.61878453038674031</v>
      </c>
      <c r="U456" s="66">
        <f t="shared" si="255"/>
        <v>0.54426125050867191</v>
      </c>
      <c r="V456" s="66">
        <f t="shared" si="256"/>
        <v>0.90832112938040932</v>
      </c>
      <c r="W456" s="66">
        <f t="shared" si="257"/>
        <v>1.7036567321919247E-2</v>
      </c>
      <c r="X456" s="66">
        <f t="shared" si="258"/>
        <v>1.2245121084567868E-2</v>
      </c>
      <c r="Y456" s="66">
        <f t="shared" si="259"/>
        <v>1.390571682549944E-2</v>
      </c>
      <c r="Z456" s="66">
        <f t="shared" si="260"/>
        <v>3.333842822570373E-2</v>
      </c>
      <c r="AA456" s="66">
        <f t="shared" si="264"/>
        <v>1.4842867315815071E-2</v>
      </c>
      <c r="AB456" s="66">
        <f t="shared" si="261"/>
        <v>1.3021371549744011E-2</v>
      </c>
      <c r="AC456" s="67">
        <f t="shared" si="265"/>
        <v>19834573.542110968</v>
      </c>
      <c r="AD456" s="67">
        <f t="shared" si="238"/>
        <v>17580145.592807427</v>
      </c>
      <c r="AE456" s="66">
        <f t="shared" si="236"/>
        <v>3.1999999999999806E-2</v>
      </c>
      <c r="AF456" s="67">
        <f t="shared" si="239"/>
        <v>17580145.592807427</v>
      </c>
      <c r="AG456" s="67">
        <f t="shared" si="262"/>
        <v>0.99999999999999967</v>
      </c>
      <c r="AH456" s="67">
        <f t="shared" si="240"/>
        <v>17580145.59280742</v>
      </c>
      <c r="AI456" s="67">
        <f t="shared" si="266"/>
        <v>74.103152615821344</v>
      </c>
      <c r="AJ456" s="67">
        <f t="shared" si="267"/>
        <v>0</v>
      </c>
      <c r="AK456" s="66">
        <f t="shared" si="237"/>
        <v>3.1999999999999362E-2</v>
      </c>
    </row>
    <row r="457" spans="1:37" ht="12.75" customHeight="1" x14ac:dyDescent="0.25">
      <c r="A457" s="55" t="s">
        <v>620</v>
      </c>
      <c r="B457" s="55" t="s">
        <v>407</v>
      </c>
      <c r="C457" s="55" t="s">
        <v>412</v>
      </c>
      <c r="D457" s="128">
        <v>2022</v>
      </c>
      <c r="E457" s="55" t="s">
        <v>676</v>
      </c>
      <c r="F457" s="57">
        <f>SIM_Parametres!$C$28</f>
        <v>1350099375.1424778</v>
      </c>
      <c r="G457" s="129">
        <f>SIM_Districts!D31*(1+SIM_Parametres!$B$6)^(2022-2023)</f>
        <v>482078.64077669906</v>
      </c>
      <c r="H457" s="129">
        <f>MAX(0,MIN(100,SIM_Districts!F31+(2022-2022)*SIM_Parametres!$B$7))</f>
        <v>49.6</v>
      </c>
      <c r="I457" s="129">
        <f>SIM_Districts!G31*(1+SIM_Parametres!$B$8)^(2022-2023)</f>
        <v>42.553191489361701</v>
      </c>
      <c r="J457" s="129">
        <f>SIM_Districts!H31*(1+SIM_Parametres!$B$9)^(2022-2023)</f>
        <v>16.222222222222221</v>
      </c>
      <c r="K457" s="129">
        <f>MAX(0,MIN(100,SIM_Districts!I31+(2022-2023)*SIM_Parametres!$B$10))</f>
        <v>91.1</v>
      </c>
      <c r="L457" s="129">
        <f>SIM_Districts!E31</f>
        <v>2302</v>
      </c>
      <c r="M457" s="68">
        <f t="shared" si="263"/>
        <v>209.41730702723677</v>
      </c>
      <c r="N457" s="129">
        <f>N386*(1+SIM_Parametres!$B$6)/(1+SIM_Parametres!$B$11)</f>
        <v>190293</v>
      </c>
      <c r="O457" s="72"/>
      <c r="P457" s="130">
        <f>SIM_Parametres!$D$28</f>
        <v>0</v>
      </c>
      <c r="Q457" s="130">
        <f>SIM_Parametres!$B$12</f>
        <v>0.2</v>
      </c>
      <c r="R457" s="59">
        <f t="shared" si="252"/>
        <v>2.7393267759688256E-2</v>
      </c>
      <c r="S457" s="59">
        <f t="shared" si="253"/>
        <v>0.71453900709219842</v>
      </c>
      <c r="T457" s="59">
        <f t="shared" si="254"/>
        <v>0.61878453038674031</v>
      </c>
      <c r="U457" s="59">
        <f t="shared" si="255"/>
        <v>0.5764195329812869</v>
      </c>
      <c r="V457" s="59">
        <f t="shared" si="256"/>
        <v>0.90832112938040932</v>
      </c>
      <c r="W457" s="59">
        <f t="shared" si="257"/>
        <v>1.7036567321919247E-2</v>
      </c>
      <c r="X457" s="59">
        <f t="shared" si="258"/>
        <v>1.2245121084567868E-2</v>
      </c>
      <c r="Y457" s="59">
        <f t="shared" si="259"/>
        <v>1.4727351599683094E-2</v>
      </c>
      <c r="Z457" s="59">
        <f t="shared" si="260"/>
        <v>3.333842822570373E-2</v>
      </c>
      <c r="AA457" s="59">
        <f t="shared" si="264"/>
        <v>2.3231502908055361E-2</v>
      </c>
      <c r="AB457" s="59">
        <f t="shared" si="261"/>
        <v>1.7670721195287811E-2</v>
      </c>
      <c r="AC457" s="60">
        <f t="shared" si="265"/>
        <v>28894966.87921622</v>
      </c>
      <c r="AD457" s="60">
        <f t="shared" si="238"/>
        <v>23857229.64407501</v>
      </c>
      <c r="AE457" s="59">
        <f t="shared" si="236"/>
        <v>3.1999999999999584E-2</v>
      </c>
      <c r="AF457" s="60">
        <f t="shared" si="239"/>
        <v>23857229.64407501</v>
      </c>
      <c r="AG457" s="60">
        <f t="shared" si="262"/>
        <v>0.99999999999999967</v>
      </c>
      <c r="AH457" s="60">
        <f t="shared" si="240"/>
        <v>23857229.644075003</v>
      </c>
      <c r="AI457" s="60">
        <f t="shared" si="266"/>
        <v>49.488252799662568</v>
      </c>
      <c r="AJ457" s="60">
        <f t="shared" si="267"/>
        <v>0</v>
      </c>
      <c r="AK457" s="59">
        <f t="shared" si="237"/>
        <v>3.1999999999999362E-2</v>
      </c>
    </row>
    <row r="458" spans="1:37" ht="12.75" customHeight="1" x14ac:dyDescent="0.25">
      <c r="A458" s="62" t="s">
        <v>621</v>
      </c>
      <c r="B458" s="62" t="s">
        <v>413</v>
      </c>
      <c r="C458" s="62" t="s">
        <v>413</v>
      </c>
      <c r="D458" s="124">
        <v>2022</v>
      </c>
      <c r="E458" s="62" t="s">
        <v>676</v>
      </c>
      <c r="F458" s="64">
        <f>SIM_Parametres!$C$28</f>
        <v>1350099375.1424778</v>
      </c>
      <c r="G458" s="125">
        <f>SIM_Districts!D32*(1+SIM_Parametres!$B$6)^(2022-2023)</f>
        <v>123474.75728155339</v>
      </c>
      <c r="H458" s="125">
        <f>MAX(0,MIN(100,SIM_Districts!F32+(2022-2022)*SIM_Parametres!$B$7))</f>
        <v>65.7</v>
      </c>
      <c r="I458" s="125">
        <f>SIM_Districts!G32*(1+SIM_Parametres!$B$8)^(2022-2023)</f>
        <v>42.553191489361701</v>
      </c>
      <c r="J458" s="125">
        <f>SIM_Districts!H32*(1+SIM_Parametres!$B$9)^(2022-2023)</f>
        <v>23.666666666666668</v>
      </c>
      <c r="K458" s="125">
        <f>MAX(0,MIN(100,SIM_Districts!I32+(2022-2023)*SIM_Parametres!$B$10))</f>
        <v>85.6</v>
      </c>
      <c r="L458" s="125">
        <f>SIM_Districts!E32</f>
        <v>7061</v>
      </c>
      <c r="M458" s="61">
        <f t="shared" si="263"/>
        <v>17.486865498024841</v>
      </c>
      <c r="N458" s="125">
        <f>N387*(1+SIM_Parametres!$B$6)/(1+SIM_Parametres!$B$11)</f>
        <v>59423</v>
      </c>
      <c r="O458" s="132"/>
      <c r="P458" s="126">
        <f>SIM_Parametres!$D$28</f>
        <v>0</v>
      </c>
      <c r="Q458" s="126">
        <f>SIM_Parametres!$B$12</f>
        <v>0.2</v>
      </c>
      <c r="R458" s="66">
        <f t="shared" si="252"/>
        <v>7.0162351153467539E-3</v>
      </c>
      <c r="S458" s="66">
        <f t="shared" si="253"/>
        <v>1</v>
      </c>
      <c r="T458" s="66">
        <f t="shared" si="254"/>
        <v>0.80386740331491713</v>
      </c>
      <c r="U458" s="66">
        <f t="shared" si="255"/>
        <v>0.74406922993471691</v>
      </c>
      <c r="V458" s="66">
        <f t="shared" si="256"/>
        <v>0</v>
      </c>
      <c r="W458" s="66">
        <f t="shared" si="257"/>
        <v>2.3842739378566891E-2</v>
      </c>
      <c r="X458" s="66">
        <f t="shared" si="258"/>
        <v>1.590772426611272E-2</v>
      </c>
      <c r="Y458" s="66">
        <f t="shared" si="259"/>
        <v>1.9010752649337739E-2</v>
      </c>
      <c r="Z458" s="66">
        <f t="shared" si="260"/>
        <v>0</v>
      </c>
      <c r="AA458" s="66">
        <f t="shared" si="264"/>
        <v>1.1122848248376881E-2</v>
      </c>
      <c r="AB458" s="66">
        <f t="shared" si="261"/>
        <v>1.776817774730861E-2</v>
      </c>
      <c r="AC458" s="67">
        <f t="shared" si="265"/>
        <v>15816657.207337847</v>
      </c>
      <c r="AD458" s="67">
        <f t="shared" si="238"/>
        <v>23988805.674061831</v>
      </c>
      <c r="AE458" s="66">
        <f t="shared" si="236"/>
        <v>3.1999999999999806E-2</v>
      </c>
      <c r="AF458" s="67">
        <f t="shared" si="239"/>
        <v>23988805.674061831</v>
      </c>
      <c r="AG458" s="67">
        <f t="shared" si="262"/>
        <v>0.99999999999999967</v>
      </c>
      <c r="AH458" s="67">
        <f t="shared" si="240"/>
        <v>23988805.674061824</v>
      </c>
      <c r="AI458" s="67">
        <f t="shared" si="266"/>
        <v>194.28105146512931</v>
      </c>
      <c r="AJ458" s="67">
        <f t="shared" si="267"/>
        <v>0</v>
      </c>
      <c r="AK458" s="66">
        <f t="shared" si="237"/>
        <v>3.1999999999999362E-2</v>
      </c>
    </row>
    <row r="459" spans="1:37" ht="12.75" customHeight="1" x14ac:dyDescent="0.25">
      <c r="A459" s="55" t="s">
        <v>623</v>
      </c>
      <c r="B459" s="55" t="s">
        <v>413</v>
      </c>
      <c r="C459" s="55" t="s">
        <v>415</v>
      </c>
      <c r="D459" s="128">
        <v>2022</v>
      </c>
      <c r="E459" s="55" t="s">
        <v>676</v>
      </c>
      <c r="F459" s="57">
        <f>SIM_Parametres!$C$28</f>
        <v>1350099375.1424778</v>
      </c>
      <c r="G459" s="129">
        <f>SIM_Districts!D33*(1+SIM_Parametres!$B$6)^(2022-2023)</f>
        <v>34768.932038834952</v>
      </c>
      <c r="H459" s="129">
        <f>MAX(0,MIN(100,SIM_Districts!F33+(2022-2022)*SIM_Parametres!$B$7))</f>
        <v>65.7</v>
      </c>
      <c r="I459" s="129">
        <f>SIM_Districts!G33*(1+SIM_Parametres!$B$8)^(2022-2023)</f>
        <v>42.553191489361701</v>
      </c>
      <c r="J459" s="129">
        <f>SIM_Districts!H33*(1+SIM_Parametres!$B$9)^(2022-2023)</f>
        <v>23.666666666666668</v>
      </c>
      <c r="K459" s="129">
        <f>MAX(0,MIN(100,SIM_Districts!I33+(2022-2023)*SIM_Parametres!$B$10))</f>
        <v>85.6</v>
      </c>
      <c r="L459" s="129">
        <f>SIM_Districts!E33</f>
        <v>1931</v>
      </c>
      <c r="M459" s="68">
        <f t="shared" si="263"/>
        <v>18.005661335491947</v>
      </c>
      <c r="N459" s="129">
        <f>N388*(1+SIM_Parametres!$B$6)/(1+SIM_Parametres!$B$11)</f>
        <v>59423</v>
      </c>
      <c r="O459" s="72"/>
      <c r="P459" s="130">
        <f>SIM_Parametres!$D$28</f>
        <v>0</v>
      </c>
      <c r="Q459" s="130">
        <f>SIM_Parametres!$B$12</f>
        <v>0.2</v>
      </c>
      <c r="R459" s="59">
        <f t="shared" si="252"/>
        <v>1.9756831863027538E-3</v>
      </c>
      <c r="S459" s="59">
        <f t="shared" si="253"/>
        <v>1</v>
      </c>
      <c r="T459" s="59">
        <f t="shared" si="254"/>
        <v>0.80386740331491713</v>
      </c>
      <c r="U459" s="59">
        <f t="shared" si="255"/>
        <v>0.56635625479419383</v>
      </c>
      <c r="V459" s="59">
        <f t="shared" si="256"/>
        <v>0</v>
      </c>
      <c r="W459" s="59">
        <f t="shared" si="257"/>
        <v>2.3842739378566891E-2</v>
      </c>
      <c r="X459" s="59">
        <f t="shared" si="258"/>
        <v>1.590772426611272E-2</v>
      </c>
      <c r="Y459" s="59">
        <f t="shared" si="259"/>
        <v>1.4470237765701426E-2</v>
      </c>
      <c r="Z459" s="59">
        <f t="shared" si="260"/>
        <v>0</v>
      </c>
      <c r="AA459" s="59">
        <f t="shared" si="264"/>
        <v>7.8714913467686654E-3</v>
      </c>
      <c r="AB459" s="59">
        <f t="shared" si="261"/>
        <v>1.2869305722883976E-2</v>
      </c>
      <c r="AC459" s="60">
        <f t="shared" si="265"/>
        <v>12304933.2703567</v>
      </c>
      <c r="AD459" s="60">
        <f t="shared" si="238"/>
        <v>17374841.614983167</v>
      </c>
      <c r="AE459" s="59">
        <f t="shared" ref="AE459:AE522" si="268">IFERROR(AD459/AH388-1,0)</f>
        <v>3.1999999999999584E-2</v>
      </c>
      <c r="AF459" s="60">
        <f t="shared" si="239"/>
        <v>17374841.614983167</v>
      </c>
      <c r="AG459" s="60">
        <f t="shared" si="262"/>
        <v>0.99999999999999967</v>
      </c>
      <c r="AH459" s="60">
        <f t="shared" si="240"/>
        <v>17374841.61498316</v>
      </c>
      <c r="AI459" s="60">
        <f t="shared" si="266"/>
        <v>499.72318952956147</v>
      </c>
      <c r="AJ459" s="60">
        <f t="shared" si="267"/>
        <v>0</v>
      </c>
      <c r="AK459" s="59">
        <f t="shared" ref="AK459:AK522" si="269">IFERROR(AH459/AH388-1,0)</f>
        <v>3.199999999999914E-2</v>
      </c>
    </row>
    <row r="460" spans="1:37" ht="12.75" customHeight="1" x14ac:dyDescent="0.25">
      <c r="A460" s="62" t="s">
        <v>624</v>
      </c>
      <c r="B460" s="62" t="s">
        <v>413</v>
      </c>
      <c r="C460" s="62" t="s">
        <v>416</v>
      </c>
      <c r="D460" s="124">
        <v>2022</v>
      </c>
      <c r="E460" s="62" t="s">
        <v>676</v>
      </c>
      <c r="F460" s="64">
        <f>SIM_Parametres!$C$28</f>
        <v>1350099375.1424778</v>
      </c>
      <c r="G460" s="125">
        <f>SIM_Districts!D34*(1+SIM_Parametres!$B$6)^(2022-2023)</f>
        <v>79763.10679611651</v>
      </c>
      <c r="H460" s="125">
        <f>MAX(0,MIN(100,SIM_Districts!F34+(2022-2022)*SIM_Parametres!$B$7))</f>
        <v>65.7</v>
      </c>
      <c r="I460" s="125">
        <f>SIM_Districts!G34*(1+SIM_Parametres!$B$8)^(2022-2023)</f>
        <v>42.553191489361701</v>
      </c>
      <c r="J460" s="125">
        <f>SIM_Districts!H34*(1+SIM_Parametres!$B$9)^(2022-2023)</f>
        <v>23.666666666666668</v>
      </c>
      <c r="K460" s="125">
        <f>MAX(0,MIN(100,SIM_Districts!I34+(2022-2023)*SIM_Parametres!$B$10))</f>
        <v>85.6</v>
      </c>
      <c r="L460" s="125">
        <f>SIM_Districts!E34</f>
        <v>7918</v>
      </c>
      <c r="M460" s="61">
        <f t="shared" si="263"/>
        <v>10.073643192234972</v>
      </c>
      <c r="N460" s="125">
        <f>N389*(1+SIM_Parametres!$B$6)/(1+SIM_Parametres!$B$11)</f>
        <v>59423</v>
      </c>
      <c r="O460" s="132"/>
      <c r="P460" s="126">
        <f>SIM_Parametres!$D$28</f>
        <v>0</v>
      </c>
      <c r="Q460" s="126">
        <f>SIM_Parametres!$B$12</f>
        <v>0.2</v>
      </c>
      <c r="R460" s="66">
        <f t="shared" si="252"/>
        <v>4.5323977396930937E-3</v>
      </c>
      <c r="S460" s="66">
        <f t="shared" si="253"/>
        <v>1</v>
      </c>
      <c r="T460" s="66">
        <f t="shared" si="254"/>
        <v>0.80386740331491713</v>
      </c>
      <c r="U460" s="66">
        <f t="shared" si="255"/>
        <v>0.77386406994971757</v>
      </c>
      <c r="V460" s="66">
        <f t="shared" si="256"/>
        <v>0</v>
      </c>
      <c r="W460" s="66">
        <f t="shared" si="257"/>
        <v>2.3842739378566891E-2</v>
      </c>
      <c r="X460" s="66">
        <f t="shared" si="258"/>
        <v>1.590772426611272E-2</v>
      </c>
      <c r="Y460" s="66">
        <f t="shared" si="259"/>
        <v>1.9772002155383654E-2</v>
      </c>
      <c r="Z460" s="66">
        <f t="shared" si="260"/>
        <v>0</v>
      </c>
      <c r="AA460" s="66">
        <f t="shared" si="264"/>
        <v>9.6706082982869809E-3</v>
      </c>
      <c r="AB460" s="66">
        <f t="shared" si="261"/>
        <v>1.2918874141584206E-2</v>
      </c>
      <c r="AC460" s="67">
        <f t="shared" si="265"/>
        <v>14248122.607999193</v>
      </c>
      <c r="AD460" s="67">
        <f t="shared" si="238"/>
        <v>17441763.906097151</v>
      </c>
      <c r="AE460" s="66">
        <f t="shared" si="268"/>
        <v>3.1999999999999806E-2</v>
      </c>
      <c r="AF460" s="67">
        <f t="shared" si="239"/>
        <v>17441763.906097151</v>
      </c>
      <c r="AG460" s="67">
        <f t="shared" si="262"/>
        <v>0.99999999999999967</v>
      </c>
      <c r="AH460" s="67">
        <f t="shared" si="240"/>
        <v>17441763.906097144</v>
      </c>
      <c r="AI460" s="67">
        <f t="shared" si="266"/>
        <v>218.66956550075537</v>
      </c>
      <c r="AJ460" s="67">
        <f t="shared" si="267"/>
        <v>0</v>
      </c>
      <c r="AK460" s="66">
        <f t="shared" si="269"/>
        <v>3.1999999999999362E-2</v>
      </c>
    </row>
    <row r="461" spans="1:37" ht="12.75" customHeight="1" x14ac:dyDescent="0.25">
      <c r="A461" s="55" t="s">
        <v>625</v>
      </c>
      <c r="B461" s="55" t="s">
        <v>417</v>
      </c>
      <c r="C461" s="55" t="s">
        <v>417</v>
      </c>
      <c r="D461" s="128">
        <v>2022</v>
      </c>
      <c r="E461" s="55" t="s">
        <v>676</v>
      </c>
      <c r="F461" s="57">
        <f>SIM_Parametres!$C$28</f>
        <v>1350099375.1424778</v>
      </c>
      <c r="G461" s="129">
        <f>SIM_Districts!D35*(1+SIM_Parametres!$B$6)^(2022-2023)</f>
        <v>329797.08737864078</v>
      </c>
      <c r="H461" s="129">
        <f>MAX(0,MIN(100,SIM_Districts!F35+(2022-2022)*SIM_Parametres!$B$7))</f>
        <v>62.5</v>
      </c>
      <c r="I461" s="129">
        <f>SIM_Districts!G35*(1+SIM_Parametres!$B$8)^(2022-2023)</f>
        <v>42.553191489361701</v>
      </c>
      <c r="J461" s="129">
        <f>SIM_Districts!H35*(1+SIM_Parametres!$B$9)^(2022-2023)</f>
        <v>19.888888888888889</v>
      </c>
      <c r="K461" s="129">
        <f>MAX(0,MIN(100,SIM_Districts!I35+(2022-2023)*SIM_Parametres!$B$10))</f>
        <v>86.5</v>
      </c>
      <c r="L461" s="129">
        <f>SIM_Districts!E35</f>
        <v>3571</v>
      </c>
      <c r="M461" s="68">
        <f t="shared" si="263"/>
        <v>92.354266978056785</v>
      </c>
      <c r="N461" s="129">
        <f>N390*(1+SIM_Parametres!$B$6)/(1+SIM_Parametres!$B$11)</f>
        <v>155501</v>
      </c>
      <c r="O461" s="72"/>
      <c r="P461" s="130">
        <f>SIM_Parametres!$D$28</f>
        <v>0</v>
      </c>
      <c r="Q461" s="130">
        <f>SIM_Parametres!$B$12</f>
        <v>0.2</v>
      </c>
      <c r="R461" s="59">
        <f t="shared" si="252"/>
        <v>1.8740137307002368E-2</v>
      </c>
      <c r="S461" s="59">
        <f t="shared" si="253"/>
        <v>0.94326241134751765</v>
      </c>
      <c r="T461" s="59">
        <f t="shared" si="254"/>
        <v>0.70994475138121538</v>
      </c>
      <c r="U461" s="59">
        <f t="shared" si="255"/>
        <v>0.62208351647816396</v>
      </c>
      <c r="V461" s="59">
        <f t="shared" si="256"/>
        <v>0.66684249613059499</v>
      </c>
      <c r="W461" s="59">
        <f t="shared" si="257"/>
        <v>2.2489959839357421E-2</v>
      </c>
      <c r="X461" s="59">
        <f t="shared" si="258"/>
        <v>1.4049089815776525E-2</v>
      </c>
      <c r="Y461" s="59">
        <f t="shared" si="259"/>
        <v>1.589405311120607E-2</v>
      </c>
      <c r="Z461" s="59">
        <f t="shared" si="260"/>
        <v>2.4475353458158197E-2</v>
      </c>
      <c r="AA461" s="59">
        <f t="shared" si="264"/>
        <v>1.8743410160939729E-2</v>
      </c>
      <c r="AB461" s="59">
        <f t="shared" si="261"/>
        <v>1.4750385205423289E-2</v>
      </c>
      <c r="AC461" s="60">
        <f t="shared" si="265"/>
        <v>24047469.908446383</v>
      </c>
      <c r="AD461" s="60">
        <f t="shared" si="238"/>
        <v>19914485.84895283</v>
      </c>
      <c r="AE461" s="59">
        <f t="shared" si="268"/>
        <v>3.1999999999999806E-2</v>
      </c>
      <c r="AF461" s="60">
        <f t="shared" si="239"/>
        <v>19914485.84895283</v>
      </c>
      <c r="AG461" s="60">
        <f t="shared" si="262"/>
        <v>0.99999999999999967</v>
      </c>
      <c r="AH461" s="60">
        <f t="shared" si="240"/>
        <v>19914485.848952822</v>
      </c>
      <c r="AI461" s="60">
        <f t="shared" si="266"/>
        <v>60.38405616993505</v>
      </c>
      <c r="AJ461" s="60">
        <f t="shared" si="267"/>
        <v>0</v>
      </c>
      <c r="AK461" s="59">
        <f t="shared" si="269"/>
        <v>3.1999999999999362E-2</v>
      </c>
    </row>
    <row r="462" spans="1:37" ht="12.75" customHeight="1" x14ac:dyDescent="0.25">
      <c r="A462" s="62" t="s">
        <v>627</v>
      </c>
      <c r="B462" s="62" t="s">
        <v>417</v>
      </c>
      <c r="C462" s="62" t="s">
        <v>419</v>
      </c>
      <c r="D462" s="124">
        <v>2022</v>
      </c>
      <c r="E462" s="62" t="s">
        <v>676</v>
      </c>
      <c r="F462" s="64">
        <f>SIM_Parametres!$C$28</f>
        <v>1350099375.1424778</v>
      </c>
      <c r="G462" s="125">
        <f>SIM_Districts!D36*(1+SIM_Parametres!$B$6)^(2022-2023)</f>
        <v>185130.09708737864</v>
      </c>
      <c r="H462" s="125">
        <f>MAX(0,MIN(100,SIM_Districts!F36+(2022-2022)*SIM_Parametres!$B$7))</f>
        <v>62.5</v>
      </c>
      <c r="I462" s="125">
        <f>SIM_Districts!G36*(1+SIM_Parametres!$B$8)^(2022-2023)</f>
        <v>42.553191489361701</v>
      </c>
      <c r="J462" s="125">
        <f>SIM_Districts!H36*(1+SIM_Parametres!$B$9)^(2022-2023)</f>
        <v>19.888888888888889</v>
      </c>
      <c r="K462" s="125">
        <f>MAX(0,MIN(100,SIM_Districts!I36+(2022-2023)*SIM_Parametres!$B$10))</f>
        <v>86.5</v>
      </c>
      <c r="L462" s="125">
        <f>SIM_Districts!E36</f>
        <v>4702</v>
      </c>
      <c r="M462" s="61">
        <f t="shared" si="263"/>
        <v>39.372628049208558</v>
      </c>
      <c r="N462" s="125">
        <f>N391*(1+SIM_Parametres!$B$6)/(1+SIM_Parametres!$B$11)</f>
        <v>155501</v>
      </c>
      <c r="O462" s="132"/>
      <c r="P462" s="126">
        <f>SIM_Parametres!$D$28</f>
        <v>0</v>
      </c>
      <c r="Q462" s="126">
        <f>SIM_Parametres!$B$12</f>
        <v>0.2</v>
      </c>
      <c r="R462" s="66">
        <f t="shared" ref="R462:R493" si="270">IFERROR(G462/SUM($G$430:$G$500),1/71)</f>
        <v>1.0519690961045302E-2</v>
      </c>
      <c r="S462" s="66">
        <f t="shared" ref="S462:S493" si="271">IF(MAX($H$430:$H$500)=MIN($H$430:$H$500),1,(H462-MIN($H$430:$H$500))/(MAX($H$430:$H$500)-MIN($H$430:$H$500)))</f>
        <v>0.94326241134751765</v>
      </c>
      <c r="T462" s="66">
        <f t="shared" ref="T462:T493" si="272">(IF(MAX($I$430:$I$500)=MIN($I$430:$I$500),1,(I462-MIN($I$430:$I$500))/(MAX($I$430:$I$500)-MIN($I$430:$I$500)))+IF(MAX($J$430:$J$500)=MIN($J$430:$J$500),1,(J462-MIN($J$430:$J$500))/(MAX($J$430:$J$500)-MIN($J$430:$J$500))))/2</f>
        <v>0.70994475138121538</v>
      </c>
      <c r="U462" s="66">
        <f t="shared" ref="U462:U493" si="273">(IF(MAX($L$430:$L$500)=MIN($L$430:$L$500),1,(L462-MIN($L$430:$L$500))/(MAX($L$430:$L$500)-MIN($L$430:$L$500)))+IF(MAX($M$430:$M$500)=MIN($M$430:$M$500),1,(MAX($M$430:$M$500)-M462)/(MAX($M$430:$M$500)-MIN($M$430:$M$500))))/2</f>
        <v>0.6620336369180585</v>
      </c>
      <c r="V462" s="66">
        <f t="shared" ref="V462:V493" si="274">IF(MAX($N$430:$N$500)=MIN($N$430:$N$500),1,(N462-MIN($N$430:$N$500))/(MAX($N$430:$N$500)-MIN($N$430:$N$500)))</f>
        <v>0.66684249613059499</v>
      </c>
      <c r="W462" s="66">
        <f t="shared" ref="W462:W493" si="275">IFERROR(S462/SUM($S$430:$S$500),1/71)</f>
        <v>2.2489959839357421E-2</v>
      </c>
      <c r="X462" s="66">
        <f t="shared" ref="X462:X493" si="276">IFERROR(T462/SUM($T$430:$T$500),1/71)</f>
        <v>1.4049089815776525E-2</v>
      </c>
      <c r="Y462" s="66">
        <f t="shared" ref="Y462:Y493" si="277">IFERROR(U462/SUM($U$430:$U$500),1/71)</f>
        <v>1.6914767081679924E-2</v>
      </c>
      <c r="Z462" s="66">
        <f t="shared" ref="Z462:Z493" si="278">IFERROR(V462/SUM($V$430:$V$500),1/71)</f>
        <v>2.4475353458158197E-2</v>
      </c>
      <c r="AA462" s="66">
        <f t="shared" si="264"/>
        <v>1.3862178051889181E-2</v>
      </c>
      <c r="AB462" s="66">
        <f t="shared" ref="AB462:AB493" si="279">IFERROR(AH391/SUM($AH$359:$AH$429),1/71)</f>
        <v>1.3806064822049378E-2</v>
      </c>
      <c r="AC462" s="67">
        <f t="shared" si="265"/>
        <v>18775351.172162745</v>
      </c>
      <c r="AD462" s="67">
        <f t="shared" si="238"/>
        <v>18639559.48942541</v>
      </c>
      <c r="AE462" s="66">
        <f t="shared" si="268"/>
        <v>3.2000000000000028E-2</v>
      </c>
      <c r="AF462" s="67">
        <f t="shared" si="239"/>
        <v>18639559.48942541</v>
      </c>
      <c r="AG462" s="67">
        <f t="shared" ref="AG462:AG493" si="280">IFERROR(F462/SUM($AF$430:$AF$500),1)</f>
        <v>0.99999999999999967</v>
      </c>
      <c r="AH462" s="67">
        <f t="shared" si="240"/>
        <v>18639559.489425402</v>
      </c>
      <c r="AI462" s="67">
        <f t="shared" si="266"/>
        <v>100.68357216183929</v>
      </c>
      <c r="AJ462" s="67">
        <f t="shared" si="267"/>
        <v>0</v>
      </c>
      <c r="AK462" s="66">
        <f t="shared" si="269"/>
        <v>3.1999999999999584E-2</v>
      </c>
    </row>
    <row r="463" spans="1:37" ht="12.75" customHeight="1" x14ac:dyDescent="0.25">
      <c r="A463" s="55" t="s">
        <v>628</v>
      </c>
      <c r="B463" s="55" t="s">
        <v>417</v>
      </c>
      <c r="C463" s="55" t="s">
        <v>420</v>
      </c>
      <c r="D463" s="128">
        <v>2022</v>
      </c>
      <c r="E463" s="55" t="s">
        <v>676</v>
      </c>
      <c r="F463" s="57">
        <f>SIM_Parametres!$C$28</f>
        <v>1350099375.1424778</v>
      </c>
      <c r="G463" s="129">
        <f>SIM_Districts!D37*(1+SIM_Parametres!$B$6)^(2022-2023)</f>
        <v>373226.21359223302</v>
      </c>
      <c r="H463" s="129">
        <f>MAX(0,MIN(100,SIM_Districts!F37+(2022-2022)*SIM_Parametres!$B$7))</f>
        <v>62.5</v>
      </c>
      <c r="I463" s="129">
        <f>SIM_Districts!G37*(1+SIM_Parametres!$B$8)^(2022-2023)</f>
        <v>42.553191489361701</v>
      </c>
      <c r="J463" s="129">
        <f>SIM_Districts!H37*(1+SIM_Parametres!$B$9)^(2022-2023)</f>
        <v>19.888888888888889</v>
      </c>
      <c r="K463" s="129">
        <f>MAX(0,MIN(100,SIM_Districts!I37+(2022-2023)*SIM_Parametres!$B$10))</f>
        <v>86.5</v>
      </c>
      <c r="L463" s="129">
        <f>SIM_Districts!E37</f>
        <v>5498</v>
      </c>
      <c r="M463" s="68">
        <f t="shared" si="263"/>
        <v>67.883996651915794</v>
      </c>
      <c r="N463" s="129">
        <f>N392*(1+SIM_Parametres!$B$6)/(1+SIM_Parametres!$B$11)</f>
        <v>155501</v>
      </c>
      <c r="O463" s="72"/>
      <c r="P463" s="130">
        <f>SIM_Parametres!$D$28</f>
        <v>0</v>
      </c>
      <c r="Q463" s="130">
        <f>SIM_Parametres!$B$12</f>
        <v>0.2</v>
      </c>
      <c r="R463" s="59">
        <f t="shared" si="270"/>
        <v>2.120792073964212E-2</v>
      </c>
      <c r="S463" s="59">
        <f t="shared" si="271"/>
        <v>0.94326241134751765</v>
      </c>
      <c r="T463" s="59">
        <f t="shared" si="272"/>
        <v>0.70994475138121538</v>
      </c>
      <c r="U463" s="59">
        <f t="shared" si="273"/>
        <v>0.68919209164884077</v>
      </c>
      <c r="V463" s="59">
        <f t="shared" si="274"/>
        <v>0.66684249613059499</v>
      </c>
      <c r="W463" s="59">
        <f t="shared" si="275"/>
        <v>2.2489959839357421E-2</v>
      </c>
      <c r="X463" s="59">
        <f t="shared" si="276"/>
        <v>1.4049089815776525E-2</v>
      </c>
      <c r="Y463" s="59">
        <f t="shared" si="277"/>
        <v>1.7608657709666832E-2</v>
      </c>
      <c r="Z463" s="59">
        <f t="shared" si="278"/>
        <v>2.4475353458158197E-2</v>
      </c>
      <c r="AA463" s="59">
        <f t="shared" si="264"/>
        <v>2.0309810450446615E-2</v>
      </c>
      <c r="AB463" s="59">
        <f t="shared" si="279"/>
        <v>1.8667130425431458E-2</v>
      </c>
      <c r="AC463" s="60">
        <f t="shared" si="265"/>
        <v>25739306.750115372</v>
      </c>
      <c r="AD463" s="60">
        <f t="shared" si="238"/>
        <v>25202481.123078145</v>
      </c>
      <c r="AE463" s="59">
        <f t="shared" si="268"/>
        <v>3.1999999999999806E-2</v>
      </c>
      <c r="AF463" s="60">
        <f t="shared" si="239"/>
        <v>25202481.123078145</v>
      </c>
      <c r="AG463" s="60">
        <f t="shared" si="280"/>
        <v>0.99999999999999967</v>
      </c>
      <c r="AH463" s="60">
        <f t="shared" si="240"/>
        <v>25202481.123078138</v>
      </c>
      <c r="AI463" s="60">
        <f t="shared" si="266"/>
        <v>67.526020963289085</v>
      </c>
      <c r="AJ463" s="60">
        <f t="shared" si="267"/>
        <v>0</v>
      </c>
      <c r="AK463" s="59">
        <f t="shared" si="269"/>
        <v>3.1999999999999584E-2</v>
      </c>
    </row>
    <row r="464" spans="1:37" ht="12.75" customHeight="1" x14ac:dyDescent="0.25">
      <c r="A464" s="62" t="s">
        <v>629</v>
      </c>
      <c r="B464" s="62" t="s">
        <v>421</v>
      </c>
      <c r="C464" s="62" t="s">
        <v>423</v>
      </c>
      <c r="D464" s="124">
        <v>2022</v>
      </c>
      <c r="E464" s="62" t="s">
        <v>676</v>
      </c>
      <c r="F464" s="64">
        <f>SIM_Parametres!$C$28</f>
        <v>1350099375.1424778</v>
      </c>
      <c r="G464" s="125">
        <f>SIM_Districts!D38*(1+SIM_Parametres!$B$6)^(2022-2023)</f>
        <v>79333.009708737867</v>
      </c>
      <c r="H464" s="125">
        <f>MAX(0,MIN(100,SIM_Districts!F38+(2022-2022)*SIM_Parametres!$B$7))</f>
        <v>47</v>
      </c>
      <c r="I464" s="125">
        <f>SIM_Districts!G38*(1+SIM_Parametres!$B$8)^(2022-2023)</f>
        <v>42.553191489361701</v>
      </c>
      <c r="J464" s="125">
        <f>SIM_Districts!H38*(1+SIM_Parametres!$B$9)^(2022-2023)</f>
        <v>20</v>
      </c>
      <c r="K464" s="125">
        <f>MAX(0,MIN(100,SIM_Districts!I38+(2022-2023)*SIM_Parametres!$B$10))</f>
        <v>91.8</v>
      </c>
      <c r="L464" s="125">
        <f>SIM_Districts!E38</f>
        <v>822</v>
      </c>
      <c r="M464" s="61">
        <f t="shared" si="263"/>
        <v>96.512177261238278</v>
      </c>
      <c r="N464" s="125">
        <f>N393*(1+SIM_Parametres!$B$6)/(1+SIM_Parametres!$B$11)</f>
        <v>97480</v>
      </c>
      <c r="O464" s="132"/>
      <c r="P464" s="126">
        <f>SIM_Parametres!$D$28</f>
        <v>0</v>
      </c>
      <c r="Q464" s="126">
        <f>SIM_Parametres!$B$12</f>
        <v>0.2</v>
      </c>
      <c r="R464" s="66">
        <f t="shared" si="270"/>
        <v>4.5079582319433971E-3</v>
      </c>
      <c r="S464" s="66">
        <f t="shared" si="271"/>
        <v>0.66843971631205668</v>
      </c>
      <c r="T464" s="66">
        <f t="shared" si="272"/>
        <v>0.71270718232044195</v>
      </c>
      <c r="U464" s="66">
        <f t="shared" si="273"/>
        <v>0.52679639914705134</v>
      </c>
      <c r="V464" s="66">
        <f t="shared" si="274"/>
        <v>0.26413981218637</v>
      </c>
      <c r="W464" s="66">
        <f t="shared" si="275"/>
        <v>1.5937433946311558E-2</v>
      </c>
      <c r="X464" s="66">
        <f t="shared" si="276"/>
        <v>1.4103755534904061E-2</v>
      </c>
      <c r="Y464" s="66">
        <f t="shared" si="277"/>
        <v>1.3459494947298202E-2</v>
      </c>
      <c r="Z464" s="66">
        <f t="shared" si="278"/>
        <v>9.6948159470131197E-3</v>
      </c>
      <c r="AA464" s="66">
        <f t="shared" si="264"/>
        <v>8.3686689060639453E-3</v>
      </c>
      <c r="AB464" s="66">
        <f t="shared" si="279"/>
        <v>1.1122649070718171E-2</v>
      </c>
      <c r="AC464" s="67">
        <f t="shared" si="265"/>
        <v>12841924.560068233</v>
      </c>
      <c r="AD464" s="67">
        <f t="shared" si="238"/>
        <v>15016681.560305664</v>
      </c>
      <c r="AE464" s="66">
        <f t="shared" si="268"/>
        <v>3.1999999999999806E-2</v>
      </c>
      <c r="AF464" s="67">
        <f t="shared" si="239"/>
        <v>15016681.560305664</v>
      </c>
      <c r="AG464" s="67">
        <f t="shared" si="280"/>
        <v>0.99999999999999967</v>
      </c>
      <c r="AH464" s="67">
        <f t="shared" si="240"/>
        <v>15016681.560305659</v>
      </c>
      <c r="AI464" s="67">
        <f t="shared" si="266"/>
        <v>189.28667417809686</v>
      </c>
      <c r="AJ464" s="67">
        <f t="shared" si="267"/>
        <v>0</v>
      </c>
      <c r="AK464" s="66">
        <f t="shared" si="269"/>
        <v>3.1999999999999362E-2</v>
      </c>
    </row>
    <row r="465" spans="1:37" ht="12.75" customHeight="1" x14ac:dyDescent="0.25">
      <c r="A465" s="55" t="s">
        <v>631</v>
      </c>
      <c r="B465" s="55" t="s">
        <v>421</v>
      </c>
      <c r="C465" s="55" t="s">
        <v>424</v>
      </c>
      <c r="D465" s="128">
        <v>2022</v>
      </c>
      <c r="E465" s="55" t="s">
        <v>676</v>
      </c>
      <c r="F465" s="57">
        <f>SIM_Parametres!$C$28</f>
        <v>1350099375.1424778</v>
      </c>
      <c r="G465" s="129">
        <f>SIM_Districts!D39*(1+SIM_Parametres!$B$6)^(2022-2023)</f>
        <v>164823.3009708738</v>
      </c>
      <c r="H465" s="129">
        <f>MAX(0,MIN(100,SIM_Districts!F39+(2022-2022)*SIM_Parametres!$B$7))</f>
        <v>47</v>
      </c>
      <c r="I465" s="129">
        <f>SIM_Districts!G39*(1+SIM_Parametres!$B$8)^(2022-2023)</f>
        <v>42.553191489361701</v>
      </c>
      <c r="J465" s="129">
        <f>SIM_Districts!H39*(1+SIM_Parametres!$B$9)^(2022-2023)</f>
        <v>20</v>
      </c>
      <c r="K465" s="129">
        <f>MAX(0,MIN(100,SIM_Districts!I39+(2022-2023)*SIM_Parametres!$B$10))</f>
        <v>91.8</v>
      </c>
      <c r="L465" s="129">
        <f>SIM_Districts!E39</f>
        <v>6832</v>
      </c>
      <c r="M465" s="68">
        <f t="shared" si="263"/>
        <v>24.125190423137266</v>
      </c>
      <c r="N465" s="129">
        <f>N394*(1+SIM_Parametres!$B$6)/(1+SIM_Parametres!$B$11)</f>
        <v>97480</v>
      </c>
      <c r="O465" s="72"/>
      <c r="P465" s="130">
        <f>SIM_Parametres!$D$28</f>
        <v>0</v>
      </c>
      <c r="Q465" s="130">
        <f>SIM_Parametres!$B$12</f>
        <v>0.2</v>
      </c>
      <c r="R465" s="59">
        <f t="shared" si="270"/>
        <v>9.3657931188497138E-3</v>
      </c>
      <c r="S465" s="59">
        <f t="shared" si="271"/>
        <v>0.66843971631205668</v>
      </c>
      <c r="T465" s="59">
        <f t="shared" si="272"/>
        <v>0.71270718232044195</v>
      </c>
      <c r="U465" s="59">
        <f t="shared" si="273"/>
        <v>0.73603986945859257</v>
      </c>
      <c r="V465" s="59">
        <f t="shared" si="274"/>
        <v>0.26413981218637</v>
      </c>
      <c r="W465" s="59">
        <f t="shared" si="275"/>
        <v>1.5937433946311558E-2</v>
      </c>
      <c r="X465" s="59">
        <f t="shared" si="276"/>
        <v>1.4103755534904061E-2</v>
      </c>
      <c r="Y465" s="59">
        <f t="shared" si="277"/>
        <v>1.880560482195431E-2</v>
      </c>
      <c r="Z465" s="59">
        <f t="shared" si="278"/>
        <v>9.6948159470131197E-3</v>
      </c>
      <c r="AA465" s="59">
        <f t="shared" si="264"/>
        <v>1.1550675331940541E-2</v>
      </c>
      <c r="AB465" s="59">
        <f t="shared" si="279"/>
        <v>1.7022971181425456E-2</v>
      </c>
      <c r="AC465" s="60">
        <f t="shared" si="265"/>
        <v>16278744.469888506</v>
      </c>
      <c r="AD465" s="60">
        <f t="shared" si="238"/>
        <v>22982702.755110916</v>
      </c>
      <c r="AE465" s="59">
        <f t="shared" si="268"/>
        <v>3.1999999999999806E-2</v>
      </c>
      <c r="AF465" s="60">
        <f t="shared" si="239"/>
        <v>22982702.755110916</v>
      </c>
      <c r="AG465" s="60">
        <f t="shared" si="280"/>
        <v>0.99999999999999967</v>
      </c>
      <c r="AH465" s="60">
        <f t="shared" si="240"/>
        <v>22982702.755110908</v>
      </c>
      <c r="AI465" s="60">
        <f t="shared" si="266"/>
        <v>139.43843267143535</v>
      </c>
      <c r="AJ465" s="60">
        <f t="shared" si="267"/>
        <v>0</v>
      </c>
      <c r="AK465" s="59">
        <f t="shared" si="269"/>
        <v>3.1999999999999584E-2</v>
      </c>
    </row>
    <row r="466" spans="1:37" ht="12.75" customHeight="1" x14ac:dyDescent="0.25">
      <c r="A466" s="62" t="s">
        <v>632</v>
      </c>
      <c r="B466" s="62" t="s">
        <v>421</v>
      </c>
      <c r="C466" s="62" t="s">
        <v>425</v>
      </c>
      <c r="D466" s="124">
        <v>2022</v>
      </c>
      <c r="E466" s="62" t="s">
        <v>676</v>
      </c>
      <c r="F466" s="64">
        <f>SIM_Parametres!$C$28</f>
        <v>1350099375.1424778</v>
      </c>
      <c r="G466" s="125">
        <f>SIM_Districts!D40*(1+SIM_Parametres!$B$6)^(2022-2023)</f>
        <v>103629.12621359223</v>
      </c>
      <c r="H466" s="125">
        <f>MAX(0,MIN(100,SIM_Districts!F40+(2022-2022)*SIM_Parametres!$B$7))</f>
        <v>47</v>
      </c>
      <c r="I466" s="125">
        <f>SIM_Districts!G40*(1+SIM_Parametres!$B$8)^(2022-2023)</f>
        <v>42.553191489361701</v>
      </c>
      <c r="J466" s="125">
        <f>SIM_Districts!H40*(1+SIM_Parametres!$B$9)^(2022-2023)</f>
        <v>20</v>
      </c>
      <c r="K466" s="125">
        <f>MAX(0,MIN(100,SIM_Districts!I40+(2022-2023)*SIM_Parametres!$B$10))</f>
        <v>91.8</v>
      </c>
      <c r="L466" s="125">
        <f>SIM_Districts!E40</f>
        <v>1601</v>
      </c>
      <c r="M466" s="61">
        <f t="shared" si="263"/>
        <v>64.727749040344932</v>
      </c>
      <c r="N466" s="125">
        <f>N395*(1+SIM_Parametres!$B$6)/(1+SIM_Parametres!$B$11)</f>
        <v>97480</v>
      </c>
      <c r="O466" s="132"/>
      <c r="P466" s="126">
        <f>SIM_Parametres!$D$28</f>
        <v>0</v>
      </c>
      <c r="Q466" s="126">
        <f>SIM_Parametres!$B$12</f>
        <v>0.2</v>
      </c>
      <c r="R466" s="66">
        <f t="shared" si="270"/>
        <v>5.8885421629505013E-3</v>
      </c>
      <c r="S466" s="66">
        <f t="shared" si="271"/>
        <v>0.66843971631205668</v>
      </c>
      <c r="T466" s="66">
        <f t="shared" si="272"/>
        <v>0.71270718232044195</v>
      </c>
      <c r="U466" s="66">
        <f t="shared" si="273"/>
        <v>0.5542443044598161</v>
      </c>
      <c r="V466" s="66">
        <f t="shared" si="274"/>
        <v>0.26413981218637</v>
      </c>
      <c r="W466" s="66">
        <f t="shared" si="275"/>
        <v>1.5937433946311558E-2</v>
      </c>
      <c r="X466" s="66">
        <f t="shared" si="276"/>
        <v>1.4103755534904061E-2</v>
      </c>
      <c r="Y466" s="66">
        <f t="shared" si="277"/>
        <v>1.4160780953560275E-2</v>
      </c>
      <c r="Z466" s="66">
        <f t="shared" si="278"/>
        <v>9.6948159470131197E-3</v>
      </c>
      <c r="AA466" s="66">
        <f t="shared" si="264"/>
        <v>9.2320835649813138E-3</v>
      </c>
      <c r="AB466" s="66">
        <f t="shared" si="279"/>
        <v>1.785891315781073E-2</v>
      </c>
      <c r="AC466" s="67">
        <f t="shared" si="265"/>
        <v>13774481.033262789</v>
      </c>
      <c r="AD466" s="67">
        <f t="shared" si="238"/>
        <v>24111307.49508404</v>
      </c>
      <c r="AE466" s="66">
        <f t="shared" si="268"/>
        <v>3.1999999999999806E-2</v>
      </c>
      <c r="AF466" s="67">
        <f t="shared" si="239"/>
        <v>24111307.49508404</v>
      </c>
      <c r="AG466" s="67">
        <f t="shared" si="280"/>
        <v>0.99999999999999967</v>
      </c>
      <c r="AH466" s="67">
        <f t="shared" si="240"/>
        <v>24111307.495084032</v>
      </c>
      <c r="AI466" s="67">
        <f t="shared" si="266"/>
        <v>232.66921546156527</v>
      </c>
      <c r="AJ466" s="67">
        <f t="shared" si="267"/>
        <v>0</v>
      </c>
      <c r="AK466" s="66">
        <f t="shared" si="269"/>
        <v>3.1999999999999584E-2</v>
      </c>
    </row>
    <row r="467" spans="1:37" ht="12.75" customHeight="1" x14ac:dyDescent="0.25">
      <c r="A467" s="55" t="s">
        <v>633</v>
      </c>
      <c r="B467" s="55" t="s">
        <v>421</v>
      </c>
      <c r="C467" s="55" t="s">
        <v>426</v>
      </c>
      <c r="D467" s="128">
        <v>2022</v>
      </c>
      <c r="E467" s="55" t="s">
        <v>676</v>
      </c>
      <c r="F467" s="57">
        <f>SIM_Parametres!$C$28</f>
        <v>1350099375.1424778</v>
      </c>
      <c r="G467" s="129">
        <f>SIM_Districts!D41*(1+SIM_Parametres!$B$6)^(2022-2023)</f>
        <v>220336.89320388349</v>
      </c>
      <c r="H467" s="129">
        <f>MAX(0,MIN(100,SIM_Districts!F41+(2022-2022)*SIM_Parametres!$B$7))</f>
        <v>47</v>
      </c>
      <c r="I467" s="129">
        <f>SIM_Districts!G41*(1+SIM_Parametres!$B$8)^(2022-2023)</f>
        <v>42.553191489361701</v>
      </c>
      <c r="J467" s="129">
        <f>SIM_Districts!H41*(1+SIM_Parametres!$B$9)^(2022-2023)</f>
        <v>20</v>
      </c>
      <c r="K467" s="129">
        <f>MAX(0,MIN(100,SIM_Districts!I41+(2022-2023)*SIM_Parametres!$B$10))</f>
        <v>91.8</v>
      </c>
      <c r="L467" s="129">
        <f>SIM_Districts!E41</f>
        <v>2260</v>
      </c>
      <c r="M467" s="68">
        <f t="shared" si="263"/>
        <v>97.494200532691806</v>
      </c>
      <c r="N467" s="129">
        <f>N396*(1+SIM_Parametres!$B$6)/(1+SIM_Parametres!$B$11)</f>
        <v>97480</v>
      </c>
      <c r="O467" s="72"/>
      <c r="P467" s="130">
        <f>SIM_Parametres!$D$28</f>
        <v>0</v>
      </c>
      <c r="Q467" s="130">
        <f>SIM_Parametres!$B$12</f>
        <v>0.2</v>
      </c>
      <c r="R467" s="59">
        <f t="shared" si="270"/>
        <v>1.2520255000610162E-2</v>
      </c>
      <c r="S467" s="59">
        <f t="shared" si="271"/>
        <v>0.66843971631205668</v>
      </c>
      <c r="T467" s="59">
        <f t="shared" si="272"/>
        <v>0.71270718232044195</v>
      </c>
      <c r="U467" s="59">
        <f t="shared" si="273"/>
        <v>0.57659503553202685</v>
      </c>
      <c r="V467" s="59">
        <f t="shared" si="274"/>
        <v>0.26413981218637</v>
      </c>
      <c r="W467" s="59">
        <f t="shared" si="275"/>
        <v>1.5937433946311558E-2</v>
      </c>
      <c r="X467" s="59">
        <f t="shared" si="276"/>
        <v>1.4103755534904061E-2</v>
      </c>
      <c r="Y467" s="59">
        <f t="shared" si="277"/>
        <v>1.4731835638865494E-2</v>
      </c>
      <c r="Z467" s="59">
        <f t="shared" si="278"/>
        <v>9.6948159470131197E-3</v>
      </c>
      <c r="AA467" s="59">
        <f t="shared" si="264"/>
        <v>1.3239664001842368E-2</v>
      </c>
      <c r="AB467" s="59">
        <f t="shared" si="279"/>
        <v>1.3885878377583649E-2</v>
      </c>
      <c r="AC467" s="60">
        <f t="shared" si="265"/>
        <v>18102986.508174252</v>
      </c>
      <c r="AD467" s="60">
        <f t="shared" si="238"/>
        <v>18747315.720880128</v>
      </c>
      <c r="AE467" s="59">
        <f t="shared" si="268"/>
        <v>3.1999999999999806E-2</v>
      </c>
      <c r="AF467" s="60">
        <f t="shared" si="239"/>
        <v>18747315.720880128</v>
      </c>
      <c r="AG467" s="60">
        <f t="shared" si="280"/>
        <v>0.99999999999999967</v>
      </c>
      <c r="AH467" s="60">
        <f t="shared" si="240"/>
        <v>18747315.720880121</v>
      </c>
      <c r="AI467" s="60">
        <f t="shared" si="266"/>
        <v>85.084778351361877</v>
      </c>
      <c r="AJ467" s="60">
        <f t="shared" si="267"/>
        <v>0</v>
      </c>
      <c r="AK467" s="59">
        <f t="shared" si="269"/>
        <v>3.1999999999999584E-2</v>
      </c>
    </row>
    <row r="468" spans="1:37" ht="12.75" customHeight="1" x14ac:dyDescent="0.25">
      <c r="A468" s="62" t="s">
        <v>634</v>
      </c>
      <c r="B468" s="62" t="s">
        <v>421</v>
      </c>
      <c r="C468" s="62" t="s">
        <v>427</v>
      </c>
      <c r="D468" s="124">
        <v>2022</v>
      </c>
      <c r="E468" s="62" t="s">
        <v>676</v>
      </c>
      <c r="F468" s="64">
        <f>SIM_Parametres!$C$28</f>
        <v>1350099375.1424778</v>
      </c>
      <c r="G468" s="125">
        <f>SIM_Districts!D42*(1+SIM_Parametres!$B$6)^(2022-2023)</f>
        <v>94598.058252427189</v>
      </c>
      <c r="H468" s="125">
        <f>MAX(0,MIN(100,SIM_Districts!F42+(2022-2022)*SIM_Parametres!$B$7))</f>
        <v>47</v>
      </c>
      <c r="I468" s="125">
        <f>SIM_Districts!G42*(1+SIM_Parametres!$B$8)^(2022-2023)</f>
        <v>42.553191489361701</v>
      </c>
      <c r="J468" s="125">
        <f>SIM_Districts!H42*(1+SIM_Parametres!$B$9)^(2022-2023)</f>
        <v>20</v>
      </c>
      <c r="K468" s="125">
        <f>MAX(0,MIN(100,SIM_Districts!I42+(2022-2023)*SIM_Parametres!$B$10))</f>
        <v>91.8</v>
      </c>
      <c r="L468" s="125">
        <f>SIM_Districts!E42</f>
        <v>2889</v>
      </c>
      <c r="M468" s="61">
        <f t="shared" si="263"/>
        <v>32.744222309597504</v>
      </c>
      <c r="N468" s="125">
        <f>N397*(1+SIM_Parametres!$B$6)/(1+SIM_Parametres!$B$11)</f>
        <v>97480</v>
      </c>
      <c r="O468" s="132"/>
      <c r="P468" s="126">
        <f>SIM_Parametres!$D$28</f>
        <v>0</v>
      </c>
      <c r="Q468" s="126">
        <f>SIM_Parametres!$B$12</f>
        <v>0.2</v>
      </c>
      <c r="R468" s="66">
        <f t="shared" si="270"/>
        <v>5.375367668395933E-3</v>
      </c>
      <c r="S468" s="66">
        <f t="shared" si="271"/>
        <v>0.66843971631205668</v>
      </c>
      <c r="T468" s="66">
        <f t="shared" si="272"/>
        <v>0.71270718232044195</v>
      </c>
      <c r="U468" s="66">
        <f t="shared" si="273"/>
        <v>0.59932709011759788</v>
      </c>
      <c r="V468" s="66">
        <f t="shared" si="274"/>
        <v>0.26413981218637</v>
      </c>
      <c r="W468" s="66">
        <f t="shared" si="275"/>
        <v>1.5937433946311558E-2</v>
      </c>
      <c r="X468" s="66">
        <f t="shared" si="276"/>
        <v>1.4103755534904061E-2</v>
      </c>
      <c r="Y468" s="66">
        <f t="shared" si="277"/>
        <v>1.5312633029150603E-2</v>
      </c>
      <c r="Z468" s="66">
        <f t="shared" si="278"/>
        <v>9.6948159470131197E-3</v>
      </c>
      <c r="AA468" s="66">
        <f t="shared" si="264"/>
        <v>8.9817714720280863E-3</v>
      </c>
      <c r="AB468" s="66">
        <f t="shared" si="279"/>
        <v>1.2318172118352583E-2</v>
      </c>
      <c r="AC468" s="67">
        <f t="shared" si="265"/>
        <v>13504124.073033383</v>
      </c>
      <c r="AD468" s="67">
        <f t="shared" si="238"/>
        <v>16630756.479885314</v>
      </c>
      <c r="AE468" s="66">
        <f t="shared" si="268"/>
        <v>3.1999999999999806E-2</v>
      </c>
      <c r="AF468" s="67">
        <f t="shared" si="239"/>
        <v>16630756.479885314</v>
      </c>
      <c r="AG468" s="67">
        <f t="shared" si="280"/>
        <v>0.99999999999999967</v>
      </c>
      <c r="AH468" s="67">
        <f t="shared" si="240"/>
        <v>16630756.479885308</v>
      </c>
      <c r="AI468" s="67">
        <f t="shared" si="266"/>
        <v>175.80441699455918</v>
      </c>
      <c r="AJ468" s="67">
        <f t="shared" si="267"/>
        <v>0</v>
      </c>
      <c r="AK468" s="66">
        <f t="shared" si="269"/>
        <v>3.1999999999999362E-2</v>
      </c>
    </row>
    <row r="469" spans="1:37" ht="12.75" customHeight="1" x14ac:dyDescent="0.25">
      <c r="A469" s="55" t="s">
        <v>635</v>
      </c>
      <c r="B469" s="55" t="s">
        <v>421</v>
      </c>
      <c r="C469" s="55" t="s">
        <v>428</v>
      </c>
      <c r="D469" s="128">
        <v>2022</v>
      </c>
      <c r="E469" s="55" t="s">
        <v>676</v>
      </c>
      <c r="F469" s="57">
        <f>SIM_Parametres!$C$28</f>
        <v>1350099375.1424778</v>
      </c>
      <c r="G469" s="129">
        <f>SIM_Districts!D43*(1+SIM_Parametres!$B$6)^(2022-2023)</f>
        <v>137652.42718446601</v>
      </c>
      <c r="H469" s="129">
        <f>MAX(0,MIN(100,SIM_Districts!F43+(2022-2022)*SIM_Parametres!$B$7))</f>
        <v>47</v>
      </c>
      <c r="I469" s="129">
        <f>SIM_Districts!G43*(1+SIM_Parametres!$B$8)^(2022-2023)</f>
        <v>42.553191489361701</v>
      </c>
      <c r="J469" s="129">
        <f>SIM_Districts!H43*(1+SIM_Parametres!$B$9)^(2022-2023)</f>
        <v>20</v>
      </c>
      <c r="K469" s="129">
        <f>MAX(0,MIN(100,SIM_Districts!I43+(2022-2023)*SIM_Parametres!$B$10))</f>
        <v>91.8</v>
      </c>
      <c r="L469" s="129">
        <f>SIM_Districts!E43</f>
        <v>8907</v>
      </c>
      <c r="M469" s="68">
        <f t="shared" si="263"/>
        <v>15.45440969849175</v>
      </c>
      <c r="N469" s="129">
        <f>N398*(1+SIM_Parametres!$B$6)/(1+SIM_Parametres!$B$11)</f>
        <v>97480</v>
      </c>
      <c r="O469" s="72"/>
      <c r="P469" s="130">
        <f>SIM_Parametres!$D$28</f>
        <v>0</v>
      </c>
      <c r="Q469" s="130">
        <f>SIM_Parametres!$B$12</f>
        <v>0.2</v>
      </c>
      <c r="R469" s="59">
        <f t="shared" si="270"/>
        <v>7.8218561800619084E-3</v>
      </c>
      <c r="S469" s="59">
        <f t="shared" si="271"/>
        <v>0.66843971631205668</v>
      </c>
      <c r="T469" s="59">
        <f t="shared" si="272"/>
        <v>0.71270718232044195</v>
      </c>
      <c r="U469" s="59">
        <f t="shared" si="273"/>
        <v>0.80804507507275991</v>
      </c>
      <c r="V469" s="59">
        <f t="shared" si="274"/>
        <v>0.26413981218637</v>
      </c>
      <c r="W469" s="59">
        <f t="shared" si="275"/>
        <v>1.5937433946311558E-2</v>
      </c>
      <c r="X469" s="59">
        <f t="shared" si="276"/>
        <v>1.4103755534904061E-2</v>
      </c>
      <c r="Y469" s="59">
        <f t="shared" si="277"/>
        <v>2.0645316905621231E-2</v>
      </c>
      <c r="Z469" s="59">
        <f t="shared" si="278"/>
        <v>9.6948159470131197E-3</v>
      </c>
      <c r="AA469" s="59">
        <f t="shared" si="264"/>
        <v>1.0716298772851206E-2</v>
      </c>
      <c r="AB469" s="59">
        <f t="shared" si="279"/>
        <v>1.3706927984648913E-2</v>
      </c>
      <c r="AC469" s="60">
        <f t="shared" si="265"/>
        <v>15377551.453040471</v>
      </c>
      <c r="AD469" s="60">
        <f t="shared" si="238"/>
        <v>18505714.907197438</v>
      </c>
      <c r="AE469" s="59">
        <f t="shared" si="268"/>
        <v>3.1999999999999806E-2</v>
      </c>
      <c r="AF469" s="60">
        <f t="shared" si="239"/>
        <v>18505714.907197438</v>
      </c>
      <c r="AG469" s="60">
        <f t="shared" si="280"/>
        <v>0.99999999999999967</v>
      </c>
      <c r="AH469" s="60">
        <f t="shared" si="240"/>
        <v>18505714.907197431</v>
      </c>
      <c r="AI469" s="60">
        <f t="shared" si="266"/>
        <v>134.43798475415323</v>
      </c>
      <c r="AJ469" s="60">
        <f t="shared" si="267"/>
        <v>0</v>
      </c>
      <c r="AK469" s="59">
        <f t="shared" si="269"/>
        <v>3.1999999999999362E-2</v>
      </c>
    </row>
    <row r="470" spans="1:37" ht="12.75" customHeight="1" x14ac:dyDescent="0.25">
      <c r="A470" s="62" t="s">
        <v>636</v>
      </c>
      <c r="B470" s="62" t="s">
        <v>421</v>
      </c>
      <c r="C470" s="62" t="s">
        <v>421</v>
      </c>
      <c r="D470" s="124">
        <v>2022</v>
      </c>
      <c r="E470" s="62" t="s">
        <v>676</v>
      </c>
      <c r="F470" s="64">
        <f>SIM_Parametres!$C$28</f>
        <v>1350099375.1424778</v>
      </c>
      <c r="G470" s="125">
        <f>SIM_Districts!D44*(1+SIM_Parametres!$B$6)^(2022-2023)</f>
        <v>203087.3786407767</v>
      </c>
      <c r="H470" s="125">
        <f>MAX(0,MIN(100,SIM_Districts!F44+(2022-2022)*SIM_Parametres!$B$7))</f>
        <v>47</v>
      </c>
      <c r="I470" s="125">
        <f>SIM_Districts!G44*(1+SIM_Parametres!$B$8)^(2022-2023)</f>
        <v>42.553191489361701</v>
      </c>
      <c r="J470" s="125">
        <f>SIM_Districts!H44*(1+SIM_Parametres!$B$9)^(2022-2023)</f>
        <v>20</v>
      </c>
      <c r="K470" s="125">
        <f>MAX(0,MIN(100,SIM_Districts!I44+(2022-2023)*SIM_Parametres!$B$10))</f>
        <v>91.8</v>
      </c>
      <c r="L470" s="125">
        <f>SIM_Districts!E44</f>
        <v>759</v>
      </c>
      <c r="M470" s="61">
        <f t="shared" si="263"/>
        <v>267.57230387454109</v>
      </c>
      <c r="N470" s="125">
        <f>N399*(1+SIM_Parametres!$B$6)/(1+SIM_Parametres!$B$11)</f>
        <v>97480</v>
      </c>
      <c r="O470" s="132"/>
      <c r="P470" s="126">
        <f>SIM_Parametres!$D$28</f>
        <v>0</v>
      </c>
      <c r="Q470" s="126">
        <f>SIM_Parametres!$B$12</f>
        <v>0.2</v>
      </c>
      <c r="R470" s="66">
        <f t="shared" si="270"/>
        <v>1.1540081785736907E-2</v>
      </c>
      <c r="S470" s="66">
        <f t="shared" si="271"/>
        <v>0.66843971631205668</v>
      </c>
      <c r="T470" s="66">
        <f t="shared" si="272"/>
        <v>0.71270718232044195</v>
      </c>
      <c r="U470" s="66">
        <f t="shared" si="273"/>
        <v>0.52212219334654875</v>
      </c>
      <c r="V470" s="66">
        <f t="shared" si="274"/>
        <v>0.26413981218637</v>
      </c>
      <c r="W470" s="66">
        <f t="shared" si="275"/>
        <v>1.5937433946311558E-2</v>
      </c>
      <c r="X470" s="66">
        <f t="shared" si="276"/>
        <v>1.4103755534904061E-2</v>
      </c>
      <c r="Y470" s="66">
        <f t="shared" si="277"/>
        <v>1.3340070347099038E-2</v>
      </c>
      <c r="Z470" s="66">
        <f t="shared" si="278"/>
        <v>9.6948159470131197E-3</v>
      </c>
      <c r="AA470" s="66">
        <f t="shared" si="264"/>
        <v>1.2581971808330095E-2</v>
      </c>
      <c r="AB470" s="66">
        <f t="shared" si="279"/>
        <v>1.6193750346558865E-2</v>
      </c>
      <c r="AC470" s="67">
        <f t="shared" si="265"/>
        <v>17392626.652576648</v>
      </c>
      <c r="AD470" s="67">
        <f t="shared" si="238"/>
        <v>21863172.224102404</v>
      </c>
      <c r="AE470" s="66">
        <f t="shared" si="268"/>
        <v>3.1999999999999806E-2</v>
      </c>
      <c r="AF470" s="67">
        <f t="shared" si="239"/>
        <v>21863172.224102404</v>
      </c>
      <c r="AG470" s="67">
        <f t="shared" si="280"/>
        <v>0.99999999999999967</v>
      </c>
      <c r="AH470" s="67">
        <f t="shared" si="240"/>
        <v>21863172.224102397</v>
      </c>
      <c r="AI470" s="67">
        <f t="shared" si="266"/>
        <v>107.65401754864456</v>
      </c>
      <c r="AJ470" s="67">
        <f t="shared" si="267"/>
        <v>0</v>
      </c>
      <c r="AK470" s="66">
        <f t="shared" si="269"/>
        <v>3.1999999999999362E-2</v>
      </c>
    </row>
    <row r="471" spans="1:37" ht="12.75" customHeight="1" x14ac:dyDescent="0.25">
      <c r="A471" s="55" t="s">
        <v>637</v>
      </c>
      <c r="B471" s="55" t="s">
        <v>421</v>
      </c>
      <c r="C471" s="55" t="s">
        <v>429</v>
      </c>
      <c r="D471" s="128">
        <v>2022</v>
      </c>
      <c r="E471" s="55" t="s">
        <v>676</v>
      </c>
      <c r="F471" s="57">
        <f>SIM_Parametres!$C$28</f>
        <v>1350099375.1424778</v>
      </c>
      <c r="G471" s="129">
        <f>SIM_Districts!D45*(1+SIM_Parametres!$B$6)^(2022-2023)</f>
        <v>89654.368932038837</v>
      </c>
      <c r="H471" s="129">
        <f>MAX(0,MIN(100,SIM_Districts!F45+(2022-2022)*SIM_Parametres!$B$7))</f>
        <v>47</v>
      </c>
      <c r="I471" s="129">
        <f>SIM_Districts!G45*(1+SIM_Parametres!$B$8)^(2022-2023)</f>
        <v>42.553191489361701</v>
      </c>
      <c r="J471" s="129">
        <f>SIM_Districts!H45*(1+SIM_Parametres!$B$9)^(2022-2023)</f>
        <v>20</v>
      </c>
      <c r="K471" s="129">
        <f>MAX(0,MIN(100,SIM_Districts!I45+(2022-2023)*SIM_Parametres!$B$10))</f>
        <v>91.8</v>
      </c>
      <c r="L471" s="129">
        <f>SIM_Districts!E45</f>
        <v>1185</v>
      </c>
      <c r="M471" s="68">
        <f t="shared" si="263"/>
        <v>75.657695301298602</v>
      </c>
      <c r="N471" s="129">
        <f>N400*(1+SIM_Parametres!$B$6)/(1+SIM_Parametres!$B$11)</f>
        <v>97480</v>
      </c>
      <c r="O471" s="72"/>
      <c r="P471" s="130">
        <f>SIM_Parametres!$D$28</f>
        <v>0</v>
      </c>
      <c r="Q471" s="130">
        <f>SIM_Parametres!$B$12</f>
        <v>0.2</v>
      </c>
      <c r="R471" s="59">
        <f t="shared" si="270"/>
        <v>5.0944512497470545E-3</v>
      </c>
      <c r="S471" s="59">
        <f t="shared" si="271"/>
        <v>0.66843971631205668</v>
      </c>
      <c r="T471" s="59">
        <f t="shared" si="272"/>
        <v>0.71270718232044195</v>
      </c>
      <c r="U471" s="59">
        <f t="shared" si="273"/>
        <v>0.53967466644845508</v>
      </c>
      <c r="V471" s="59">
        <f t="shared" si="274"/>
        <v>0.26413981218637</v>
      </c>
      <c r="W471" s="59">
        <f t="shared" si="275"/>
        <v>1.5937433946311558E-2</v>
      </c>
      <c r="X471" s="59">
        <f t="shared" si="276"/>
        <v>1.4103755534904061E-2</v>
      </c>
      <c r="Y471" s="59">
        <f t="shared" si="277"/>
        <v>1.3788530935307707E-2</v>
      </c>
      <c r="Z471" s="59">
        <f t="shared" si="278"/>
        <v>9.6948159470131197E-3</v>
      </c>
      <c r="AA471" s="59">
        <f t="shared" si="264"/>
        <v>8.7370165161466153E-3</v>
      </c>
      <c r="AB471" s="59">
        <f t="shared" si="279"/>
        <v>1.2926435425792719E-2</v>
      </c>
      <c r="AC471" s="60">
        <f t="shared" si="265"/>
        <v>13239769.262634505</v>
      </c>
      <c r="AD471" s="60">
        <f t="shared" si="238"/>
        <v>17451972.391182337</v>
      </c>
      <c r="AE471" s="59">
        <f t="shared" si="268"/>
        <v>3.1999999999999806E-2</v>
      </c>
      <c r="AF471" s="60">
        <f t="shared" si="239"/>
        <v>17451972.391182337</v>
      </c>
      <c r="AG471" s="60">
        <f t="shared" si="280"/>
        <v>0.99999999999999967</v>
      </c>
      <c r="AH471" s="60">
        <f t="shared" si="240"/>
        <v>17451972.39118233</v>
      </c>
      <c r="AI471" s="60">
        <f t="shared" si="266"/>
        <v>194.65835964348307</v>
      </c>
      <c r="AJ471" s="60">
        <f t="shared" si="267"/>
        <v>0</v>
      </c>
      <c r="AK471" s="59">
        <f t="shared" si="269"/>
        <v>3.1999999999999362E-2</v>
      </c>
    </row>
    <row r="472" spans="1:37" ht="12.75" customHeight="1" x14ac:dyDescent="0.25">
      <c r="A472" s="62" t="s">
        <v>638</v>
      </c>
      <c r="B472" s="62" t="s">
        <v>430</v>
      </c>
      <c r="C472" s="62" t="s">
        <v>432</v>
      </c>
      <c r="D472" s="124">
        <v>2022</v>
      </c>
      <c r="E472" s="62" t="s">
        <v>676</v>
      </c>
      <c r="F472" s="64">
        <f>SIM_Parametres!$C$28</f>
        <v>1350099375.1424778</v>
      </c>
      <c r="G472" s="125">
        <f>SIM_Districts!D46*(1+SIM_Parametres!$B$6)^(2022-2023)</f>
        <v>342468.93203883496</v>
      </c>
      <c r="H472" s="125">
        <f>MAX(0,MIN(100,SIM_Districts!F46+(2022-2022)*SIM_Parametres!$B$7))</f>
        <v>44.7</v>
      </c>
      <c r="I472" s="125">
        <f>SIM_Districts!G46*(1+SIM_Parametres!$B$8)^(2022-2023)</f>
        <v>42.553191489361701</v>
      </c>
      <c r="J472" s="125">
        <f>SIM_Districts!H46*(1+SIM_Parametres!$B$9)^(2022-2023)</f>
        <v>28.111111111111114</v>
      </c>
      <c r="K472" s="125">
        <f>MAX(0,MIN(100,SIM_Districts!I46+(2022-2023)*SIM_Parametres!$B$10))</f>
        <v>79.7</v>
      </c>
      <c r="L472" s="125">
        <f>SIM_Districts!E46</f>
        <v>8704</v>
      </c>
      <c r="M472" s="61">
        <f t="shared" si="263"/>
        <v>39.346154875785267</v>
      </c>
      <c r="N472" s="125">
        <f>N401*(1+SIM_Parametres!$B$6)/(1+SIM_Parametres!$B$11)</f>
        <v>133963</v>
      </c>
      <c r="O472" s="132"/>
      <c r="P472" s="126">
        <f>SIM_Parametres!$D$28</f>
        <v>0</v>
      </c>
      <c r="Q472" s="126">
        <f>SIM_Parametres!$B$12</f>
        <v>0.2</v>
      </c>
      <c r="R472" s="66">
        <f t="shared" si="270"/>
        <v>1.9460192510499061E-2</v>
      </c>
      <c r="S472" s="66">
        <f t="shared" si="271"/>
        <v>0.62765957446808518</v>
      </c>
      <c r="T472" s="66">
        <f t="shared" si="272"/>
        <v>0.91436464088397795</v>
      </c>
      <c r="U472" s="66">
        <f t="shared" si="273"/>
        <v>0.80066503267175948</v>
      </c>
      <c r="V472" s="66">
        <f t="shared" si="274"/>
        <v>0.51735506215340199</v>
      </c>
      <c r="W472" s="66">
        <f t="shared" si="275"/>
        <v>1.4965123652504754E-2</v>
      </c>
      <c r="X472" s="66">
        <f t="shared" si="276"/>
        <v>1.8094353031214129E-2</v>
      </c>
      <c r="Y472" s="66">
        <f t="shared" si="277"/>
        <v>2.0456758966409912E-2</v>
      </c>
      <c r="Z472" s="66">
        <f t="shared" si="278"/>
        <v>1.8988663864475865E-2</v>
      </c>
      <c r="AA472" s="66">
        <f t="shared" si="264"/>
        <v>1.8607308150401559E-2</v>
      </c>
      <c r="AB472" s="66">
        <f t="shared" si="279"/>
        <v>1.6362619027215586E-2</v>
      </c>
      <c r="AC472" s="67">
        <f t="shared" si="265"/>
        <v>23900468.916939806</v>
      </c>
      <c r="AD472" s="67">
        <f t="shared" si="238"/>
        <v>22091161.724338181</v>
      </c>
      <c r="AE472" s="66">
        <f t="shared" si="268"/>
        <v>3.2000000000000028E-2</v>
      </c>
      <c r="AF472" s="67">
        <f t="shared" si="239"/>
        <v>22091161.724338181</v>
      </c>
      <c r="AG472" s="67">
        <f t="shared" si="280"/>
        <v>0.99999999999999967</v>
      </c>
      <c r="AH472" s="67">
        <f t="shared" si="240"/>
        <v>22091161.724338174</v>
      </c>
      <c r="AI472" s="67">
        <f t="shared" si="266"/>
        <v>64.505593522956715</v>
      </c>
      <c r="AJ472" s="67">
        <f t="shared" si="267"/>
        <v>0</v>
      </c>
      <c r="AK472" s="66">
        <f t="shared" si="269"/>
        <v>3.1999999999999584E-2</v>
      </c>
    </row>
    <row r="473" spans="1:37" ht="12.75" customHeight="1" x14ac:dyDescent="0.25">
      <c r="A473" s="55" t="s">
        <v>640</v>
      </c>
      <c r="B473" s="55" t="s">
        <v>430</v>
      </c>
      <c r="C473" s="55" t="s">
        <v>430</v>
      </c>
      <c r="D473" s="128">
        <v>2022</v>
      </c>
      <c r="E473" s="55" t="s">
        <v>676</v>
      </c>
      <c r="F473" s="57">
        <f>SIM_Parametres!$C$28</f>
        <v>1350099375.1424778</v>
      </c>
      <c r="G473" s="129">
        <f>SIM_Districts!D47*(1+SIM_Parametres!$B$6)^(2022-2023)</f>
        <v>277819.41747572814</v>
      </c>
      <c r="H473" s="129">
        <f>MAX(0,MIN(100,SIM_Districts!F47+(2022-2022)*SIM_Parametres!$B$7))</f>
        <v>44.7</v>
      </c>
      <c r="I473" s="129">
        <f>SIM_Districts!G47*(1+SIM_Parametres!$B$8)^(2022-2023)</f>
        <v>42.553191489361701</v>
      </c>
      <c r="J473" s="129">
        <f>SIM_Districts!H47*(1+SIM_Parametres!$B$9)^(2022-2023)</f>
        <v>28.111111111111114</v>
      </c>
      <c r="K473" s="129">
        <f>MAX(0,MIN(100,SIM_Districts!I47+(2022-2023)*SIM_Parametres!$B$10))</f>
        <v>79.7</v>
      </c>
      <c r="L473" s="129">
        <f>SIM_Districts!E47</f>
        <v>3957</v>
      </c>
      <c r="M473" s="68">
        <f t="shared" si="263"/>
        <v>70.209607651182239</v>
      </c>
      <c r="N473" s="129">
        <f>N402*(1+SIM_Parametres!$B$6)/(1+SIM_Parametres!$B$11)</f>
        <v>133963</v>
      </c>
      <c r="O473" s="72"/>
      <c r="P473" s="130">
        <f>SIM_Parametres!$D$28</f>
        <v>0</v>
      </c>
      <c r="Q473" s="130">
        <f>SIM_Parametres!$B$12</f>
        <v>0.2</v>
      </c>
      <c r="R473" s="59">
        <f t="shared" si="270"/>
        <v>1.578659796976651E-2</v>
      </c>
      <c r="S473" s="59">
        <f t="shared" si="271"/>
        <v>0.62765957446808518</v>
      </c>
      <c r="T473" s="59">
        <f t="shared" si="272"/>
        <v>0.91436464088397795</v>
      </c>
      <c r="U473" s="59">
        <f t="shared" si="273"/>
        <v>0.63577730793030052</v>
      </c>
      <c r="V473" s="59">
        <f t="shared" si="274"/>
        <v>0.51735506215340199</v>
      </c>
      <c r="W473" s="59">
        <f t="shared" si="275"/>
        <v>1.4965123652504754E-2</v>
      </c>
      <c r="X473" s="59">
        <f t="shared" si="276"/>
        <v>1.8094353031214129E-2</v>
      </c>
      <c r="Y473" s="59">
        <f t="shared" si="277"/>
        <v>1.6243925504331402E-2</v>
      </c>
      <c r="Z473" s="59">
        <f t="shared" si="278"/>
        <v>1.8988663864475865E-2</v>
      </c>
      <c r="AA473" s="59">
        <f t="shared" si="264"/>
        <v>1.61925097528581E-2</v>
      </c>
      <c r="AB473" s="59">
        <f t="shared" si="279"/>
        <v>1.4458855692050739E-2</v>
      </c>
      <c r="AC473" s="60">
        <f t="shared" si="265"/>
        <v>21292294.670845021</v>
      </c>
      <c r="AD473" s="60">
        <f t="shared" ref="AD473:AD536" si="281">F473*((1-P473)*AB473+P473*(Q473/71+(1-Q473)*AA473))</f>
        <v>19520892.035112962</v>
      </c>
      <c r="AE473" s="59">
        <f t="shared" si="268"/>
        <v>3.1999999999999806E-2</v>
      </c>
      <c r="AF473" s="60">
        <f t="shared" ref="AF473:AF536" si="282">AD473</f>
        <v>19520892.035112962</v>
      </c>
      <c r="AG473" s="60">
        <f t="shared" si="280"/>
        <v>0.99999999999999967</v>
      </c>
      <c r="AH473" s="60">
        <f t="shared" ref="AH473:AH536" si="283">AF473*AG473</f>
        <v>19520892.035112955</v>
      </c>
      <c r="AI473" s="60">
        <f t="shared" si="266"/>
        <v>70.264678446453118</v>
      </c>
      <c r="AJ473" s="60">
        <f t="shared" si="267"/>
        <v>0</v>
      </c>
      <c r="AK473" s="59">
        <f t="shared" si="269"/>
        <v>3.1999999999999584E-2</v>
      </c>
    </row>
    <row r="474" spans="1:37" ht="12.75" customHeight="1" x14ac:dyDescent="0.25">
      <c r="A474" s="62" t="s">
        <v>641</v>
      </c>
      <c r="B474" s="62" t="s">
        <v>430</v>
      </c>
      <c r="C474" s="62" t="s">
        <v>433</v>
      </c>
      <c r="D474" s="124">
        <v>2022</v>
      </c>
      <c r="E474" s="62" t="s">
        <v>676</v>
      </c>
      <c r="F474" s="64">
        <f>SIM_Parametres!$C$28</f>
        <v>1350099375.1424778</v>
      </c>
      <c r="G474" s="125">
        <f>SIM_Districts!D48*(1+SIM_Parametres!$B$6)^(2022-2023)</f>
        <v>73647.572815533975</v>
      </c>
      <c r="H474" s="125">
        <f>MAX(0,MIN(100,SIM_Districts!F48+(2022-2022)*SIM_Parametres!$B$7))</f>
        <v>44.7</v>
      </c>
      <c r="I474" s="125">
        <f>SIM_Districts!G48*(1+SIM_Parametres!$B$8)^(2022-2023)</f>
        <v>42.553191489361701</v>
      </c>
      <c r="J474" s="125">
        <f>SIM_Districts!H48*(1+SIM_Parametres!$B$9)^(2022-2023)</f>
        <v>28.111111111111114</v>
      </c>
      <c r="K474" s="125">
        <f>MAX(0,MIN(100,SIM_Districts!I48+(2022-2023)*SIM_Parametres!$B$10))</f>
        <v>79.7</v>
      </c>
      <c r="L474" s="125">
        <f>SIM_Districts!E48</f>
        <v>14444</v>
      </c>
      <c r="M474" s="61">
        <f t="shared" si="263"/>
        <v>5.0988350052294358</v>
      </c>
      <c r="N474" s="125">
        <f>N403*(1+SIM_Parametres!$B$6)/(1+SIM_Parametres!$B$11)</f>
        <v>133963</v>
      </c>
      <c r="O474" s="132"/>
      <c r="P474" s="126">
        <f>SIM_Parametres!$D$28</f>
        <v>0</v>
      </c>
      <c r="Q474" s="126">
        <f>SIM_Parametres!$B$12</f>
        <v>0.2</v>
      </c>
      <c r="R474" s="66">
        <f t="shared" si="270"/>
        <v>4.1848933168593767E-3</v>
      </c>
      <c r="S474" s="66">
        <f t="shared" si="271"/>
        <v>0.62765957446808518</v>
      </c>
      <c r="T474" s="66">
        <f t="shared" si="272"/>
        <v>0.91436464088397795</v>
      </c>
      <c r="U474" s="66">
        <f t="shared" si="273"/>
        <v>1</v>
      </c>
      <c r="V474" s="66">
        <f t="shared" si="274"/>
        <v>0.51735506215340199</v>
      </c>
      <c r="W474" s="66">
        <f t="shared" si="275"/>
        <v>1.4965123652504754E-2</v>
      </c>
      <c r="X474" s="66">
        <f t="shared" si="276"/>
        <v>1.8094353031214129E-2</v>
      </c>
      <c r="Y474" s="66">
        <f t="shared" si="277"/>
        <v>2.5549709468574183E-2</v>
      </c>
      <c r="Z474" s="66">
        <f t="shared" si="278"/>
        <v>1.8988663864475865E-2</v>
      </c>
      <c r="AA474" s="66">
        <f t="shared" si="264"/>
        <v>9.6967761593259594E-3</v>
      </c>
      <c r="AB474" s="66">
        <f t="shared" si="279"/>
        <v>1.357418543965507E-2</v>
      </c>
      <c r="AC474" s="67">
        <f t="shared" si="265"/>
        <v>14276385.978269225</v>
      </c>
      <c r="AD474" s="67">
        <f t="shared" si="281"/>
        <v>18326499.280146431</v>
      </c>
      <c r="AE474" s="66">
        <f t="shared" si="268"/>
        <v>3.1999999999999806E-2</v>
      </c>
      <c r="AF474" s="67">
        <f t="shared" si="282"/>
        <v>18326499.280146431</v>
      </c>
      <c r="AG474" s="67">
        <f t="shared" si="280"/>
        <v>0.99999999999999967</v>
      </c>
      <c r="AH474" s="67">
        <f t="shared" si="283"/>
        <v>18326499.280146424</v>
      </c>
      <c r="AI474" s="67">
        <f t="shared" si="266"/>
        <v>248.84050593288447</v>
      </c>
      <c r="AJ474" s="67">
        <f t="shared" si="267"/>
        <v>0</v>
      </c>
      <c r="AK474" s="66">
        <f t="shared" si="269"/>
        <v>3.1999999999999362E-2</v>
      </c>
    </row>
    <row r="475" spans="1:37" ht="12.75" customHeight="1" x14ac:dyDescent="0.25">
      <c r="A475" s="55" t="s">
        <v>642</v>
      </c>
      <c r="B475" s="55" t="s">
        <v>430</v>
      </c>
      <c r="C475" s="55" t="s">
        <v>434</v>
      </c>
      <c r="D475" s="128">
        <v>2022</v>
      </c>
      <c r="E475" s="55" t="s">
        <v>676</v>
      </c>
      <c r="F475" s="57">
        <f>SIM_Parametres!$C$28</f>
        <v>1350099375.1424778</v>
      </c>
      <c r="G475" s="129">
        <f>SIM_Districts!D49*(1+SIM_Parametres!$B$6)^(2022-2023)</f>
        <v>113471.84466019418</v>
      </c>
      <c r="H475" s="129">
        <f>MAX(0,MIN(100,SIM_Districts!F49+(2022-2022)*SIM_Parametres!$B$7))</f>
        <v>44.7</v>
      </c>
      <c r="I475" s="129">
        <f>SIM_Districts!G49*(1+SIM_Parametres!$B$8)^(2022-2023)</f>
        <v>42.553191489361701</v>
      </c>
      <c r="J475" s="129">
        <f>SIM_Districts!H49*(1+SIM_Parametres!$B$9)^(2022-2023)</f>
        <v>28.111111111111114</v>
      </c>
      <c r="K475" s="129">
        <f>MAX(0,MIN(100,SIM_Districts!I49+(2022-2023)*SIM_Parametres!$B$10))</f>
        <v>79.7</v>
      </c>
      <c r="L475" s="129">
        <f>SIM_Districts!E49</f>
        <v>1898</v>
      </c>
      <c r="M475" s="68">
        <f t="shared" si="263"/>
        <v>59.784955036983234</v>
      </c>
      <c r="N475" s="129">
        <f>N404*(1+SIM_Parametres!$B$6)/(1+SIM_Parametres!$B$11)</f>
        <v>133963</v>
      </c>
      <c r="O475" s="72"/>
      <c r="P475" s="130">
        <f>SIM_Parametres!$D$28</f>
        <v>0</v>
      </c>
      <c r="Q475" s="130">
        <f>SIM_Parametres!$B$12</f>
        <v>0.2</v>
      </c>
      <c r="R475" s="59">
        <f t="shared" si="270"/>
        <v>6.4478372635519013E-3</v>
      </c>
      <c r="S475" s="59">
        <f t="shared" si="271"/>
        <v>0.62765957446808518</v>
      </c>
      <c r="T475" s="59">
        <f t="shared" si="272"/>
        <v>0.91436464088397795</v>
      </c>
      <c r="U475" s="59">
        <f t="shared" si="273"/>
        <v>0.5646045152795196</v>
      </c>
      <c r="V475" s="59">
        <f t="shared" si="274"/>
        <v>0.51735506215340199</v>
      </c>
      <c r="W475" s="59">
        <f t="shared" si="275"/>
        <v>1.4965123652504754E-2</v>
      </c>
      <c r="X475" s="59">
        <f t="shared" si="276"/>
        <v>1.8094353031214129E-2</v>
      </c>
      <c r="Y475" s="59">
        <f t="shared" si="277"/>
        <v>1.442548133003688E-2</v>
      </c>
      <c r="Z475" s="59">
        <f t="shared" si="278"/>
        <v>1.8988663864475865E-2</v>
      </c>
      <c r="AA475" s="59">
        <f t="shared" si="264"/>
        <v>1.0498331120414612E-2</v>
      </c>
      <c r="AB475" s="59">
        <f t="shared" si="279"/>
        <v>1.2930636139241893E-2</v>
      </c>
      <c r="AC475" s="60">
        <f t="shared" si="265"/>
        <v>15142129.059955738</v>
      </c>
      <c r="AD475" s="60">
        <f t="shared" si="281"/>
        <v>17457643.771785222</v>
      </c>
      <c r="AE475" s="59">
        <f t="shared" si="268"/>
        <v>3.2000000000000028E-2</v>
      </c>
      <c r="AF475" s="60">
        <f t="shared" si="282"/>
        <v>17457643.771785222</v>
      </c>
      <c r="AG475" s="60">
        <f t="shared" si="280"/>
        <v>0.99999999999999967</v>
      </c>
      <c r="AH475" s="60">
        <f t="shared" si="283"/>
        <v>17457643.771785215</v>
      </c>
      <c r="AI475" s="60">
        <f t="shared" si="266"/>
        <v>153.85000414917323</v>
      </c>
      <c r="AJ475" s="60">
        <f t="shared" si="267"/>
        <v>0</v>
      </c>
      <c r="AK475" s="59">
        <f t="shared" si="269"/>
        <v>3.1999999999999584E-2</v>
      </c>
    </row>
    <row r="476" spans="1:37" ht="12.75" customHeight="1" x14ac:dyDescent="0.25">
      <c r="A476" s="62" t="s">
        <v>643</v>
      </c>
      <c r="B476" s="62" t="s">
        <v>435</v>
      </c>
      <c r="C476" s="62" t="s">
        <v>437</v>
      </c>
      <c r="D476" s="124">
        <v>2022</v>
      </c>
      <c r="E476" s="62" t="s">
        <v>676</v>
      </c>
      <c r="F476" s="64">
        <f>SIM_Parametres!$C$28</f>
        <v>1350099375.1424778</v>
      </c>
      <c r="G476" s="125">
        <f>SIM_Districts!D50*(1+SIM_Parametres!$B$6)^(2022-2023)</f>
        <v>95485.436893203878</v>
      </c>
      <c r="H476" s="125">
        <f>MAX(0,MIN(100,SIM_Districts!F50+(2022-2022)*SIM_Parametres!$B$7))</f>
        <v>37.299999999999997</v>
      </c>
      <c r="I476" s="125">
        <f>SIM_Districts!G50*(1+SIM_Parametres!$B$8)^(2022-2023)</f>
        <v>42.553191489361701</v>
      </c>
      <c r="J476" s="125">
        <f>SIM_Districts!H50*(1+SIM_Parametres!$B$9)^(2022-2023)</f>
        <v>25.444444444444443</v>
      </c>
      <c r="K476" s="125">
        <f>MAX(0,MIN(100,SIM_Districts!I50+(2022-2023)*SIM_Parametres!$B$10))</f>
        <v>83.9</v>
      </c>
      <c r="L476" s="125">
        <f>SIM_Districts!E50</f>
        <v>2448</v>
      </c>
      <c r="M476" s="61">
        <f t="shared" si="263"/>
        <v>39.005488926962371</v>
      </c>
      <c r="N476" s="125">
        <f>N405*(1+SIM_Parametres!$B$6)/(1+SIM_Parametres!$B$11)</f>
        <v>89545</v>
      </c>
      <c r="O476" s="132"/>
      <c r="P476" s="126">
        <f>SIM_Parametres!$D$28</f>
        <v>0</v>
      </c>
      <c r="Q476" s="126">
        <f>SIM_Parametres!$B$12</f>
        <v>0.2</v>
      </c>
      <c r="R476" s="66">
        <f t="shared" si="270"/>
        <v>5.4257913931887594E-3</v>
      </c>
      <c r="S476" s="66">
        <f t="shared" si="271"/>
        <v>0.49645390070921974</v>
      </c>
      <c r="T476" s="66">
        <f t="shared" si="272"/>
        <v>0.84806629834254132</v>
      </c>
      <c r="U476" s="66">
        <f t="shared" si="273"/>
        <v>0.58395945065622235</v>
      </c>
      <c r="V476" s="66">
        <f t="shared" si="274"/>
        <v>0.20906585970196906</v>
      </c>
      <c r="W476" s="66">
        <f t="shared" si="275"/>
        <v>1.1836820968082851E-2</v>
      </c>
      <c r="X476" s="66">
        <f t="shared" si="276"/>
        <v>1.6782375772153281E-2</v>
      </c>
      <c r="Y476" s="66">
        <f t="shared" si="277"/>
        <v>1.4919994305694663E-2</v>
      </c>
      <c r="Z476" s="66">
        <f t="shared" si="278"/>
        <v>7.6734173990574452E-3</v>
      </c>
      <c r="AA476" s="66">
        <f t="shared" si="264"/>
        <v>8.6780249321862808E-3</v>
      </c>
      <c r="AB476" s="66">
        <f t="shared" si="279"/>
        <v>1.2822257732253249E-2</v>
      </c>
      <c r="AC476" s="67">
        <f t="shared" si="265"/>
        <v>13176053.662119696</v>
      </c>
      <c r="AD476" s="67">
        <f t="shared" si="281"/>
        <v>17311322.152230915</v>
      </c>
      <c r="AE476" s="66">
        <f t="shared" si="268"/>
        <v>3.1999999999999584E-2</v>
      </c>
      <c r="AF476" s="67">
        <f t="shared" si="282"/>
        <v>17311322.152230915</v>
      </c>
      <c r="AG476" s="67">
        <f t="shared" si="280"/>
        <v>0.99999999999999967</v>
      </c>
      <c r="AH476" s="67">
        <f t="shared" si="283"/>
        <v>17311322.152230907</v>
      </c>
      <c r="AI476" s="67">
        <f t="shared" si="266"/>
        <v>181.2980357579851</v>
      </c>
      <c r="AJ476" s="67">
        <f t="shared" si="267"/>
        <v>0</v>
      </c>
      <c r="AK476" s="66">
        <f t="shared" si="269"/>
        <v>3.199999999999914E-2</v>
      </c>
    </row>
    <row r="477" spans="1:37" ht="12.75" customHeight="1" x14ac:dyDescent="0.25">
      <c r="A477" s="55" t="s">
        <v>645</v>
      </c>
      <c r="B477" s="55" t="s">
        <v>435</v>
      </c>
      <c r="C477" s="55" t="s">
        <v>438</v>
      </c>
      <c r="D477" s="128">
        <v>2022</v>
      </c>
      <c r="E477" s="55" t="s">
        <v>676</v>
      </c>
      <c r="F477" s="57">
        <f>SIM_Parametres!$C$28</f>
        <v>1350099375.1424778</v>
      </c>
      <c r="G477" s="129">
        <f>SIM_Districts!D51*(1+SIM_Parametres!$B$6)^(2022-2023)</f>
        <v>180073.78640776698</v>
      </c>
      <c r="H477" s="129">
        <f>MAX(0,MIN(100,SIM_Districts!F51+(2022-2022)*SIM_Parametres!$B$7))</f>
        <v>37.299999999999997</v>
      </c>
      <c r="I477" s="129">
        <f>SIM_Districts!G51*(1+SIM_Parametres!$B$8)^(2022-2023)</f>
        <v>42.553191489361701</v>
      </c>
      <c r="J477" s="129">
        <f>SIM_Districts!H51*(1+SIM_Parametres!$B$9)^(2022-2023)</f>
        <v>25.444444444444443</v>
      </c>
      <c r="K477" s="129">
        <f>MAX(0,MIN(100,SIM_Districts!I51+(2022-2023)*SIM_Parametres!$B$10))</f>
        <v>83.9</v>
      </c>
      <c r="L477" s="129">
        <f>SIM_Districts!E51</f>
        <v>6989</v>
      </c>
      <c r="M477" s="68">
        <f t="shared" si="263"/>
        <v>25.765314981795246</v>
      </c>
      <c r="N477" s="129">
        <f>N406*(1+SIM_Parametres!$B$6)/(1+SIM_Parametres!$B$11)</f>
        <v>89545</v>
      </c>
      <c r="O477" s="72"/>
      <c r="P477" s="130">
        <f>SIM_Parametres!$D$28</f>
        <v>0</v>
      </c>
      <c r="Q477" s="130">
        <f>SIM_Parametres!$B$12</f>
        <v>0.2</v>
      </c>
      <c r="R477" s="59">
        <f t="shared" si="270"/>
        <v>1.0232375032466479E-2</v>
      </c>
      <c r="S477" s="59">
        <f t="shared" si="271"/>
        <v>0.49645390070921974</v>
      </c>
      <c r="T477" s="59">
        <f t="shared" si="272"/>
        <v>0.84806629834254132</v>
      </c>
      <c r="U477" s="59">
        <f t="shared" si="273"/>
        <v>0.74145452539080825</v>
      </c>
      <c r="V477" s="59">
        <f t="shared" si="274"/>
        <v>0.20906585970196906</v>
      </c>
      <c r="W477" s="59">
        <f t="shared" si="275"/>
        <v>1.1836820968082851E-2</v>
      </c>
      <c r="X477" s="59">
        <f t="shared" si="276"/>
        <v>1.6782375772153281E-2</v>
      </c>
      <c r="Y477" s="59">
        <f t="shared" si="277"/>
        <v>1.8943947707894711E-2</v>
      </c>
      <c r="Z477" s="59">
        <f t="shared" si="278"/>
        <v>7.6734173990574452E-3</v>
      </c>
      <c r="AA477" s="59">
        <f t="shared" si="264"/>
        <v>1.1763172785862915E-2</v>
      </c>
      <c r="AB477" s="59">
        <f t="shared" si="279"/>
        <v>1.2647508052767684E-2</v>
      </c>
      <c r="AC477" s="60">
        <f t="shared" si="265"/>
        <v>16508258.61369648</v>
      </c>
      <c r="AD477" s="60">
        <f t="shared" si="281"/>
        <v>17075392.719151106</v>
      </c>
      <c r="AE477" s="59">
        <f t="shared" si="268"/>
        <v>3.1999999999999806E-2</v>
      </c>
      <c r="AF477" s="60">
        <f t="shared" si="282"/>
        <v>17075392.719151106</v>
      </c>
      <c r="AG477" s="60">
        <f t="shared" si="280"/>
        <v>0.99999999999999967</v>
      </c>
      <c r="AH477" s="60">
        <f t="shared" si="283"/>
        <v>17075392.719151098</v>
      </c>
      <c r="AI477" s="60">
        <f t="shared" si="266"/>
        <v>94.824422031560047</v>
      </c>
      <c r="AJ477" s="60">
        <f t="shared" si="267"/>
        <v>0</v>
      </c>
      <c r="AK477" s="59">
        <f t="shared" si="269"/>
        <v>3.1999999999999362E-2</v>
      </c>
    </row>
    <row r="478" spans="1:37" ht="12.75" customHeight="1" x14ac:dyDescent="0.25">
      <c r="A478" s="62" t="s">
        <v>646</v>
      </c>
      <c r="B478" s="62" t="s">
        <v>435</v>
      </c>
      <c r="C478" s="62" t="s">
        <v>439</v>
      </c>
      <c r="D478" s="124">
        <v>2022</v>
      </c>
      <c r="E478" s="62" t="s">
        <v>676</v>
      </c>
      <c r="F478" s="64">
        <f>SIM_Parametres!$C$28</f>
        <v>1350099375.1424778</v>
      </c>
      <c r="G478" s="125">
        <f>SIM_Districts!D52*(1+SIM_Parametres!$B$6)^(2022-2023)</f>
        <v>296107.76699029125</v>
      </c>
      <c r="H478" s="125">
        <f>MAX(0,MIN(100,SIM_Districts!F52+(2022-2022)*SIM_Parametres!$B$7))</f>
        <v>37.299999999999997</v>
      </c>
      <c r="I478" s="125">
        <f>SIM_Districts!G52*(1+SIM_Parametres!$B$8)^(2022-2023)</f>
        <v>42.553191489361701</v>
      </c>
      <c r="J478" s="125">
        <f>SIM_Districts!H52*(1+SIM_Parametres!$B$9)^(2022-2023)</f>
        <v>25.444444444444443</v>
      </c>
      <c r="K478" s="125">
        <f>MAX(0,MIN(100,SIM_Districts!I52+(2022-2023)*SIM_Parametres!$B$10))</f>
        <v>83.9</v>
      </c>
      <c r="L478" s="125">
        <f>SIM_Districts!E52</f>
        <v>5859</v>
      </c>
      <c r="M478" s="61">
        <f t="shared" si="263"/>
        <v>50.538960059786866</v>
      </c>
      <c r="N478" s="125">
        <f>N407*(1+SIM_Parametres!$B$6)/(1+SIM_Parametres!$B$11)</f>
        <v>89545</v>
      </c>
      <c r="O478" s="132"/>
      <c r="P478" s="126">
        <f>SIM_Parametres!$D$28</f>
        <v>0</v>
      </c>
      <c r="Q478" s="126">
        <f>SIM_Parametres!$B$12</f>
        <v>0.2</v>
      </c>
      <c r="R478" s="66">
        <f t="shared" si="270"/>
        <v>1.6825801146924585E-2</v>
      </c>
      <c r="S478" s="66">
        <f t="shared" si="271"/>
        <v>0.49645390070921974</v>
      </c>
      <c r="T478" s="66">
        <f t="shared" si="272"/>
        <v>0.84806629834254132</v>
      </c>
      <c r="U478" s="66">
        <f t="shared" si="273"/>
        <v>0.70194995546768002</v>
      </c>
      <c r="V478" s="66">
        <f t="shared" si="274"/>
        <v>0.20906585970196906</v>
      </c>
      <c r="W478" s="66">
        <f t="shared" si="275"/>
        <v>1.1836820968082851E-2</v>
      </c>
      <c r="X478" s="66">
        <f t="shared" si="276"/>
        <v>1.6782375772153281E-2</v>
      </c>
      <c r="Y478" s="66">
        <f t="shared" si="277"/>
        <v>1.7934617423677812E-2</v>
      </c>
      <c r="Z478" s="66">
        <f t="shared" si="278"/>
        <v>7.6734173990574452E-3</v>
      </c>
      <c r="AA478" s="66">
        <f t="shared" si="264"/>
        <v>1.5668761940326934E-2</v>
      </c>
      <c r="AB478" s="66">
        <f t="shared" si="279"/>
        <v>1.5369570367831273E-2</v>
      </c>
      <c r="AC478" s="67">
        <f t="shared" si="265"/>
        <v>20726605.395300567</v>
      </c>
      <c r="AD478" s="67">
        <f t="shared" si="281"/>
        <v>20750447.349817343</v>
      </c>
      <c r="AE478" s="66">
        <f t="shared" si="268"/>
        <v>3.1999999999999806E-2</v>
      </c>
      <c r="AF478" s="67">
        <f t="shared" si="282"/>
        <v>20750447.349817343</v>
      </c>
      <c r="AG478" s="67">
        <f t="shared" si="280"/>
        <v>0.99999999999999967</v>
      </c>
      <c r="AH478" s="67">
        <f t="shared" si="283"/>
        <v>20750447.349817336</v>
      </c>
      <c r="AI478" s="67">
        <f t="shared" si="266"/>
        <v>70.077349070339309</v>
      </c>
      <c r="AJ478" s="67">
        <f t="shared" si="267"/>
        <v>0</v>
      </c>
      <c r="AK478" s="66">
        <f t="shared" si="269"/>
        <v>3.1999999999999362E-2</v>
      </c>
    </row>
    <row r="479" spans="1:37" ht="12.75" customHeight="1" x14ac:dyDescent="0.25">
      <c r="A479" s="55" t="s">
        <v>647</v>
      </c>
      <c r="B479" s="55" t="s">
        <v>435</v>
      </c>
      <c r="C479" s="55" t="s">
        <v>440</v>
      </c>
      <c r="D479" s="128">
        <v>2022</v>
      </c>
      <c r="E479" s="55" t="s">
        <v>676</v>
      </c>
      <c r="F479" s="57">
        <f>SIM_Parametres!$C$28</f>
        <v>1350099375.1424778</v>
      </c>
      <c r="G479" s="129">
        <f>SIM_Districts!D53*(1+SIM_Parametres!$B$6)^(2022-2023)</f>
        <v>214940.77669902914</v>
      </c>
      <c r="H479" s="129">
        <f>MAX(0,MIN(100,SIM_Districts!F53+(2022-2022)*SIM_Parametres!$B$7))</f>
        <v>37.299999999999997</v>
      </c>
      <c r="I479" s="129">
        <f>SIM_Districts!G53*(1+SIM_Parametres!$B$8)^(2022-2023)</f>
        <v>42.553191489361701</v>
      </c>
      <c r="J479" s="129">
        <f>SIM_Districts!H53*(1+SIM_Parametres!$B$9)^(2022-2023)</f>
        <v>25.444444444444443</v>
      </c>
      <c r="K479" s="129">
        <f>MAX(0,MIN(100,SIM_Districts!I53+(2022-2023)*SIM_Parametres!$B$10))</f>
        <v>83.9</v>
      </c>
      <c r="L479" s="129">
        <f>SIM_Districts!E53</f>
        <v>3143</v>
      </c>
      <c r="M479" s="68">
        <f t="shared" si="263"/>
        <v>68.387138625208124</v>
      </c>
      <c r="N479" s="129">
        <f>N408*(1+SIM_Parametres!$B$6)/(1+SIM_Parametres!$B$11)</f>
        <v>89545</v>
      </c>
      <c r="O479" s="72"/>
      <c r="P479" s="130">
        <f>SIM_Parametres!$D$28</f>
        <v>0</v>
      </c>
      <c r="Q479" s="130">
        <f>SIM_Parametres!$B$12</f>
        <v>0.2</v>
      </c>
      <c r="R479" s="59">
        <f t="shared" si="270"/>
        <v>1.2213630205863409E-2</v>
      </c>
      <c r="S479" s="59">
        <f t="shared" si="271"/>
        <v>0.49645390070921974</v>
      </c>
      <c r="T479" s="59">
        <f t="shared" si="272"/>
        <v>0.84806629834254132</v>
      </c>
      <c r="U479" s="59">
        <f t="shared" si="273"/>
        <v>0.60760654420796101</v>
      </c>
      <c r="V479" s="59">
        <f t="shared" si="274"/>
        <v>0.20906585970196906</v>
      </c>
      <c r="W479" s="59">
        <f t="shared" si="275"/>
        <v>1.1836820968082851E-2</v>
      </c>
      <c r="X479" s="59">
        <f t="shared" si="276"/>
        <v>1.6782375772153281E-2</v>
      </c>
      <c r="Y479" s="59">
        <f t="shared" si="277"/>
        <v>1.5524170675717779E-2</v>
      </c>
      <c r="Z479" s="59">
        <f t="shared" si="278"/>
        <v>7.6734173990574452E-3</v>
      </c>
      <c r="AA479" s="59">
        <f t="shared" si="264"/>
        <v>1.2780937038292226E-2</v>
      </c>
      <c r="AB479" s="59">
        <f t="shared" si="279"/>
        <v>1.38968002325515E-2</v>
      </c>
      <c r="AC479" s="60">
        <f t="shared" si="265"/>
        <v>17607524.918694209</v>
      </c>
      <c r="AD479" s="60">
        <f t="shared" si="281"/>
        <v>18762061.310447618</v>
      </c>
      <c r="AE479" s="59">
        <f t="shared" si="268"/>
        <v>3.1999999999999806E-2</v>
      </c>
      <c r="AF479" s="60">
        <f t="shared" si="282"/>
        <v>18762061.310447618</v>
      </c>
      <c r="AG479" s="60">
        <f t="shared" si="280"/>
        <v>0.99999999999999967</v>
      </c>
      <c r="AH479" s="60">
        <f t="shared" si="283"/>
        <v>18762061.310447611</v>
      </c>
      <c r="AI479" s="60">
        <f t="shared" si="266"/>
        <v>87.289445951519895</v>
      </c>
      <c r="AJ479" s="60">
        <f t="shared" si="267"/>
        <v>0</v>
      </c>
      <c r="AK479" s="59">
        <f t="shared" si="269"/>
        <v>3.1999999999999362E-2</v>
      </c>
    </row>
    <row r="480" spans="1:37" ht="12.75" customHeight="1" x14ac:dyDescent="0.25">
      <c r="A480" s="62" t="s">
        <v>648</v>
      </c>
      <c r="B480" s="62" t="s">
        <v>435</v>
      </c>
      <c r="C480" s="62" t="s">
        <v>435</v>
      </c>
      <c r="D480" s="124">
        <v>2022</v>
      </c>
      <c r="E480" s="62" t="s">
        <v>676</v>
      </c>
      <c r="F480" s="64">
        <f>SIM_Parametres!$C$28</f>
        <v>1350099375.1424778</v>
      </c>
      <c r="G480" s="125">
        <f>SIM_Districts!D54*(1+SIM_Parametres!$B$6)^(2022-2023)</f>
        <v>380810.67961165047</v>
      </c>
      <c r="H480" s="125">
        <f>MAX(0,MIN(100,SIM_Districts!F54+(2022-2022)*SIM_Parametres!$B$7))</f>
        <v>37.299999999999997</v>
      </c>
      <c r="I480" s="125">
        <f>SIM_Districts!G54*(1+SIM_Parametres!$B$8)^(2022-2023)</f>
        <v>42.553191489361701</v>
      </c>
      <c r="J480" s="125">
        <f>SIM_Districts!H54*(1+SIM_Parametres!$B$9)^(2022-2023)</f>
        <v>25.444444444444443</v>
      </c>
      <c r="K480" s="125">
        <f>MAX(0,MIN(100,SIM_Districts!I54+(2022-2023)*SIM_Parametres!$B$10))</f>
        <v>83.9</v>
      </c>
      <c r="L480" s="125">
        <f>SIM_Districts!E54</f>
        <v>802</v>
      </c>
      <c r="M480" s="61">
        <f t="shared" si="263"/>
        <v>474.82628380505048</v>
      </c>
      <c r="N480" s="125">
        <f>N409*(1+SIM_Parametres!$B$6)/(1+SIM_Parametres!$B$11)</f>
        <v>89545</v>
      </c>
      <c r="O480" s="132"/>
      <c r="P480" s="126">
        <f>SIM_Parametres!$D$28</f>
        <v>0</v>
      </c>
      <c r="Q480" s="126">
        <f>SIM_Parametres!$B$12</f>
        <v>0.2</v>
      </c>
      <c r="R480" s="66">
        <f t="shared" si="270"/>
        <v>2.1638894632510352E-2</v>
      </c>
      <c r="S480" s="66">
        <f t="shared" si="271"/>
        <v>0.49645390070921974</v>
      </c>
      <c r="T480" s="66">
        <f t="shared" si="272"/>
        <v>0.84806629834254132</v>
      </c>
      <c r="U480" s="66">
        <f t="shared" si="273"/>
        <v>0.52059263207206896</v>
      </c>
      <c r="V480" s="66">
        <f t="shared" si="274"/>
        <v>0.20906585970196906</v>
      </c>
      <c r="W480" s="66">
        <f t="shared" si="275"/>
        <v>1.1836820968082851E-2</v>
      </c>
      <c r="X480" s="66">
        <f t="shared" si="276"/>
        <v>1.6782375772153281E-2</v>
      </c>
      <c r="Y480" s="66">
        <f t="shared" si="277"/>
        <v>1.3300990500921697E-2</v>
      </c>
      <c r="Z480" s="66">
        <f t="shared" si="278"/>
        <v>7.6734173990574452E-3</v>
      </c>
      <c r="AA480" s="66">
        <f t="shared" si="264"/>
        <v>1.832493668554059E-2</v>
      </c>
      <c r="AB480" s="66">
        <f t="shared" si="279"/>
        <v>1.3760697116798315E-2</v>
      </c>
      <c r="AC480" s="67">
        <f t="shared" si="265"/>
        <v>23595485.286326315</v>
      </c>
      <c r="AD480" s="67">
        <f t="shared" si="281"/>
        <v>18578308.5789143</v>
      </c>
      <c r="AE480" s="66">
        <f t="shared" si="268"/>
        <v>3.1999999999999806E-2</v>
      </c>
      <c r="AF480" s="67">
        <f t="shared" si="282"/>
        <v>18578308.5789143</v>
      </c>
      <c r="AG480" s="67">
        <f t="shared" si="280"/>
        <v>0.99999999999999967</v>
      </c>
      <c r="AH480" s="67">
        <f t="shared" si="283"/>
        <v>18578308.578914292</v>
      </c>
      <c r="AI480" s="67">
        <f t="shared" si="266"/>
        <v>48.786206830807352</v>
      </c>
      <c r="AJ480" s="67">
        <f t="shared" si="267"/>
        <v>0</v>
      </c>
      <c r="AK480" s="66">
        <f t="shared" si="269"/>
        <v>3.1999999999999362E-2</v>
      </c>
    </row>
    <row r="481" spans="1:37" ht="12.75" customHeight="1" x14ac:dyDescent="0.25">
      <c r="A481" s="55" t="s">
        <v>649</v>
      </c>
      <c r="B481" s="55" t="s">
        <v>441</v>
      </c>
      <c r="C481" s="55" t="s">
        <v>443</v>
      </c>
      <c r="D481" s="128">
        <v>2022</v>
      </c>
      <c r="E481" s="55" t="s">
        <v>676</v>
      </c>
      <c r="F481" s="57">
        <f>SIM_Parametres!$C$28</f>
        <v>1350099375.1424778</v>
      </c>
      <c r="G481" s="129">
        <f>SIM_Districts!D55*(1+SIM_Parametres!$B$6)^(2022-2023)</f>
        <v>280502.91262135922</v>
      </c>
      <c r="H481" s="129">
        <f>MAX(0,MIN(100,SIM_Districts!F55+(2022-2022)*SIM_Parametres!$B$7))</f>
        <v>64.400000000000006</v>
      </c>
      <c r="I481" s="129">
        <f>SIM_Districts!G55*(1+SIM_Parametres!$B$8)^(2022-2023)</f>
        <v>42.553191489361701</v>
      </c>
      <c r="J481" s="129">
        <f>SIM_Districts!H55*(1+SIM_Parametres!$B$9)^(2022-2023)</f>
        <v>27.222222222222225</v>
      </c>
      <c r="K481" s="129">
        <f>MAX(0,MIN(100,SIM_Districts!I55+(2022-2023)*SIM_Parametres!$B$10))</f>
        <v>79.599999999999994</v>
      </c>
      <c r="L481" s="129">
        <f>SIM_Districts!E55</f>
        <v>2865</v>
      </c>
      <c r="M481" s="68">
        <f t="shared" si="263"/>
        <v>97.906775784069538</v>
      </c>
      <c r="N481" s="129">
        <f>N410*(1+SIM_Parametres!$B$6)/(1+SIM_Parametres!$B$11)</f>
        <v>178218</v>
      </c>
      <c r="O481" s="72"/>
      <c r="P481" s="130">
        <f>SIM_Parametres!$D$28</f>
        <v>0</v>
      </c>
      <c r="Q481" s="130">
        <f>SIM_Parametres!$B$12</f>
        <v>0.2</v>
      </c>
      <c r="R481" s="59">
        <f t="shared" si="270"/>
        <v>1.593908284430412E-2</v>
      </c>
      <c r="S481" s="59">
        <f t="shared" si="271"/>
        <v>0.97695035460992918</v>
      </c>
      <c r="T481" s="59">
        <f t="shared" si="272"/>
        <v>0.89226519337016574</v>
      </c>
      <c r="U481" s="59">
        <f t="shared" si="273"/>
        <v>0.59754648703547397</v>
      </c>
      <c r="V481" s="59">
        <f t="shared" si="274"/>
        <v>0.82451294081719062</v>
      </c>
      <c r="W481" s="59">
        <f t="shared" si="275"/>
        <v>2.3293172690763048E-2</v>
      </c>
      <c r="X481" s="59">
        <f t="shared" si="276"/>
        <v>1.7657027278193845E-2</v>
      </c>
      <c r="Y481" s="59">
        <f t="shared" si="277"/>
        <v>1.526713913772349E-2</v>
      </c>
      <c r="Z481" s="59">
        <f t="shared" si="278"/>
        <v>3.0262386957075536E-2</v>
      </c>
      <c r="AA481" s="59">
        <f t="shared" si="264"/>
        <v>1.7982456006665957E-2</v>
      </c>
      <c r="AB481" s="59">
        <f t="shared" si="279"/>
        <v>1.2724801180232453E-2</v>
      </c>
      <c r="AC481" s="60">
        <f t="shared" si="265"/>
        <v>23225578.925888706</v>
      </c>
      <c r="AD481" s="60">
        <f t="shared" si="281"/>
        <v>17179746.122244097</v>
      </c>
      <c r="AE481" s="59">
        <f t="shared" si="268"/>
        <v>3.1999999999999584E-2</v>
      </c>
      <c r="AF481" s="60">
        <f t="shared" si="282"/>
        <v>17179746.122244097</v>
      </c>
      <c r="AG481" s="60">
        <f t="shared" si="280"/>
        <v>0.99999999999999967</v>
      </c>
      <c r="AH481" s="60">
        <f t="shared" si="283"/>
        <v>17179746.12224409</v>
      </c>
      <c r="AI481" s="60">
        <f t="shared" si="266"/>
        <v>61.24623078489887</v>
      </c>
      <c r="AJ481" s="60">
        <f t="shared" si="267"/>
        <v>0</v>
      </c>
      <c r="AK481" s="59">
        <f t="shared" si="269"/>
        <v>3.199999999999914E-2</v>
      </c>
    </row>
    <row r="482" spans="1:37" ht="12.75" customHeight="1" x14ac:dyDescent="0.25">
      <c r="A482" s="62" t="s">
        <v>651</v>
      </c>
      <c r="B482" s="62" t="s">
        <v>441</v>
      </c>
      <c r="C482" s="62" t="s">
        <v>441</v>
      </c>
      <c r="D482" s="124">
        <v>2022</v>
      </c>
      <c r="E482" s="62" t="s">
        <v>676</v>
      </c>
      <c r="F482" s="64">
        <f>SIM_Parametres!$C$28</f>
        <v>1350099375.1424778</v>
      </c>
      <c r="G482" s="125">
        <f>SIM_Districts!D56*(1+SIM_Parametres!$B$6)^(2022-2023)</f>
        <v>291600</v>
      </c>
      <c r="H482" s="125">
        <f>MAX(0,MIN(100,SIM_Districts!F56+(2022-2022)*SIM_Parametres!$B$7))</f>
        <v>64.400000000000006</v>
      </c>
      <c r="I482" s="125">
        <f>SIM_Districts!G56*(1+SIM_Parametres!$B$8)^(2022-2023)</f>
        <v>42.553191489361701</v>
      </c>
      <c r="J482" s="125">
        <f>SIM_Districts!H56*(1+SIM_Parametres!$B$9)^(2022-2023)</f>
        <v>27.222222222222225</v>
      </c>
      <c r="K482" s="125">
        <f>MAX(0,MIN(100,SIM_Districts!I56+(2022-2023)*SIM_Parametres!$B$10))</f>
        <v>79.599999999999994</v>
      </c>
      <c r="L482" s="125">
        <f>SIM_Districts!E56</f>
        <v>2749</v>
      </c>
      <c r="M482" s="61">
        <f t="shared" si="263"/>
        <v>106.07493634048745</v>
      </c>
      <c r="N482" s="125">
        <f>N411*(1+SIM_Parametres!$B$6)/(1+SIM_Parametres!$B$11)</f>
        <v>178218</v>
      </c>
      <c r="O482" s="132"/>
      <c r="P482" s="126">
        <f>SIM_Parametres!$D$28</f>
        <v>0</v>
      </c>
      <c r="Q482" s="126">
        <f>SIM_Parametres!$B$12</f>
        <v>0.2</v>
      </c>
      <c r="R482" s="66">
        <f t="shared" si="270"/>
        <v>1.6569655245159711E-2</v>
      </c>
      <c r="S482" s="66">
        <f t="shared" si="271"/>
        <v>0.97695035460992918</v>
      </c>
      <c r="T482" s="66">
        <f t="shared" si="272"/>
        <v>0.89226519337016574</v>
      </c>
      <c r="U482" s="66">
        <f t="shared" si="273"/>
        <v>0.59340921006518588</v>
      </c>
      <c r="V482" s="66">
        <f t="shared" si="274"/>
        <v>0.82451294081719062</v>
      </c>
      <c r="W482" s="66">
        <f t="shared" si="275"/>
        <v>2.3293172690763048E-2</v>
      </c>
      <c r="X482" s="66">
        <f t="shared" si="276"/>
        <v>1.7657027278193845E-2</v>
      </c>
      <c r="Y482" s="66">
        <f t="shared" si="277"/>
        <v>1.5161432913141606E-2</v>
      </c>
      <c r="Z482" s="66">
        <f t="shared" si="278"/>
        <v>3.0262386957075536E-2</v>
      </c>
      <c r="AA482" s="66">
        <f t="shared" si="264"/>
        <v>1.8355514135950216E-2</v>
      </c>
      <c r="AB482" s="66">
        <f t="shared" si="279"/>
        <v>1.4496662113093287E-2</v>
      </c>
      <c r="AC482" s="67">
        <f t="shared" si="265"/>
        <v>23628511.363679506</v>
      </c>
      <c r="AD482" s="67">
        <f t="shared" si="281"/>
        <v>19571934.460538879</v>
      </c>
      <c r="AE482" s="66">
        <f t="shared" si="268"/>
        <v>3.1999999999999806E-2</v>
      </c>
      <c r="AF482" s="67">
        <f t="shared" si="282"/>
        <v>19571934.460538879</v>
      </c>
      <c r="AG482" s="67">
        <f t="shared" si="280"/>
        <v>0.99999999999999967</v>
      </c>
      <c r="AH482" s="67">
        <f t="shared" si="283"/>
        <v>19571934.460538872</v>
      </c>
      <c r="AI482" s="67">
        <f t="shared" si="266"/>
        <v>67.119116805688861</v>
      </c>
      <c r="AJ482" s="67">
        <f t="shared" si="267"/>
        <v>0</v>
      </c>
      <c r="AK482" s="66">
        <f t="shared" si="269"/>
        <v>3.1999999999999362E-2</v>
      </c>
    </row>
    <row r="483" spans="1:37" ht="12.75" customHeight="1" x14ac:dyDescent="0.25">
      <c r="A483" s="55" t="s">
        <v>652</v>
      </c>
      <c r="B483" s="55" t="s">
        <v>444</v>
      </c>
      <c r="C483" s="55" t="s">
        <v>446</v>
      </c>
      <c r="D483" s="128">
        <v>2022</v>
      </c>
      <c r="E483" s="55" t="s">
        <v>676</v>
      </c>
      <c r="F483" s="57">
        <f>SIM_Parametres!$C$28</f>
        <v>1350099375.1424778</v>
      </c>
      <c r="G483" s="129">
        <f>SIM_Districts!D57*(1+SIM_Parametres!$B$6)^(2022-2023)</f>
        <v>147006.79611650485</v>
      </c>
      <c r="H483" s="129">
        <f>MAX(0,MIN(100,SIM_Districts!F57+(2022-2022)*SIM_Parametres!$B$7))</f>
        <v>62.8</v>
      </c>
      <c r="I483" s="129">
        <f>SIM_Districts!G57*(1+SIM_Parametres!$B$8)^(2022-2023)</f>
        <v>42.553191489361701</v>
      </c>
      <c r="J483" s="129">
        <f>SIM_Districts!H57*(1+SIM_Parametres!$B$9)^(2022-2023)</f>
        <v>26.111111111111111</v>
      </c>
      <c r="K483" s="129">
        <f>MAX(0,MIN(100,SIM_Districts!I57+(2022-2023)*SIM_Parametres!$B$10))</f>
        <v>83.6</v>
      </c>
      <c r="L483" s="129">
        <f>SIM_Districts!E57</f>
        <v>1360</v>
      </c>
      <c r="M483" s="68">
        <f t="shared" si="263"/>
        <v>108.09323243860651</v>
      </c>
      <c r="N483" s="129">
        <f>N412*(1+SIM_Parametres!$B$6)/(1+SIM_Parametres!$B$11)</f>
        <v>71159</v>
      </c>
      <c r="O483" s="72"/>
      <c r="P483" s="130">
        <f>SIM_Parametres!$D$28</f>
        <v>0</v>
      </c>
      <c r="Q483" s="130">
        <f>SIM_Parametres!$B$12</f>
        <v>0.2</v>
      </c>
      <c r="R483" s="59">
        <f t="shared" si="270"/>
        <v>8.3534016815705377E-3</v>
      </c>
      <c r="S483" s="59">
        <f t="shared" si="271"/>
        <v>0.9485815602836879</v>
      </c>
      <c r="T483" s="59">
        <f t="shared" si="272"/>
        <v>0.86464088397790051</v>
      </c>
      <c r="U483" s="59">
        <f t="shared" si="273"/>
        <v>0.54526424876049673</v>
      </c>
      <c r="V483" s="59">
        <f t="shared" si="274"/>
        <v>8.1455312710388056E-2</v>
      </c>
      <c r="W483" s="59">
        <f t="shared" si="275"/>
        <v>2.2616782921158311E-2</v>
      </c>
      <c r="X483" s="59">
        <f t="shared" si="276"/>
        <v>1.7110370086918493E-2</v>
      </c>
      <c r="Y483" s="59">
        <f t="shared" si="277"/>
        <v>1.3931343139431052E-2</v>
      </c>
      <c r="Z483" s="59">
        <f t="shared" si="278"/>
        <v>2.9896828429499429E-3</v>
      </c>
      <c r="AA483" s="59">
        <f t="shared" si="264"/>
        <v>1.1817165259272892E-2</v>
      </c>
      <c r="AB483" s="59">
        <f t="shared" si="279"/>
        <v>1.460167994932259E-2</v>
      </c>
      <c r="AC483" s="60">
        <f t="shared" si="265"/>
        <v>16566574.777387043</v>
      </c>
      <c r="AD483" s="60">
        <f t="shared" si="281"/>
        <v>19713718.975610875</v>
      </c>
      <c r="AE483" s="59">
        <f t="shared" si="268"/>
        <v>3.1999999999999806E-2</v>
      </c>
      <c r="AF483" s="60">
        <f t="shared" si="282"/>
        <v>19713718.975610875</v>
      </c>
      <c r="AG483" s="60">
        <f t="shared" si="280"/>
        <v>0.99999999999999967</v>
      </c>
      <c r="AH483" s="60">
        <f t="shared" si="283"/>
        <v>19713718.975610867</v>
      </c>
      <c r="AI483" s="60">
        <f t="shared" si="266"/>
        <v>134.10073205042494</v>
      </c>
      <c r="AJ483" s="60">
        <f t="shared" si="267"/>
        <v>0</v>
      </c>
      <c r="AK483" s="59">
        <f t="shared" si="269"/>
        <v>3.1999999999999362E-2</v>
      </c>
    </row>
    <row r="484" spans="1:37" ht="12.75" customHeight="1" x14ac:dyDescent="0.25">
      <c r="A484" s="62" t="s">
        <v>654</v>
      </c>
      <c r="B484" s="62" t="s">
        <v>444</v>
      </c>
      <c r="C484" s="62" t="s">
        <v>447</v>
      </c>
      <c r="D484" s="124">
        <v>2022</v>
      </c>
      <c r="E484" s="62" t="s">
        <v>676</v>
      </c>
      <c r="F484" s="64">
        <f>SIM_Parametres!$C$28</f>
        <v>1350099375.1424778</v>
      </c>
      <c r="G484" s="125">
        <f>SIM_Districts!D58*(1+SIM_Parametres!$B$6)^(2022-2023)</f>
        <v>72090.291262135928</v>
      </c>
      <c r="H484" s="125">
        <f>MAX(0,MIN(100,SIM_Districts!F58+(2022-2022)*SIM_Parametres!$B$7))</f>
        <v>62.8</v>
      </c>
      <c r="I484" s="125">
        <f>SIM_Districts!G58*(1+SIM_Parametres!$B$8)^(2022-2023)</f>
        <v>42.553191489361701</v>
      </c>
      <c r="J484" s="125">
        <f>SIM_Districts!H58*(1+SIM_Parametres!$B$9)^(2022-2023)</f>
        <v>26.111111111111111</v>
      </c>
      <c r="K484" s="125">
        <f>MAX(0,MIN(100,SIM_Districts!I58+(2022-2023)*SIM_Parametres!$B$10))</f>
        <v>83.6</v>
      </c>
      <c r="L484" s="125">
        <f>SIM_Districts!E58</f>
        <v>6089</v>
      </c>
      <c r="M484" s="61">
        <f t="shared" si="263"/>
        <v>11.839430327169639</v>
      </c>
      <c r="N484" s="125">
        <f>N413*(1+SIM_Parametres!$B$6)/(1+SIM_Parametres!$B$11)</f>
        <v>71159</v>
      </c>
      <c r="O484" s="132"/>
      <c r="P484" s="126">
        <f>SIM_Parametres!$D$28</f>
        <v>0</v>
      </c>
      <c r="Q484" s="126">
        <f>SIM_Parametres!$B$12</f>
        <v>0.2</v>
      </c>
      <c r="R484" s="66">
        <f t="shared" si="270"/>
        <v>4.0964035416211995E-3</v>
      </c>
      <c r="S484" s="66">
        <f t="shared" si="271"/>
        <v>0.9485815602836879</v>
      </c>
      <c r="T484" s="66">
        <f t="shared" si="272"/>
        <v>0.86464088397790051</v>
      </c>
      <c r="U484" s="66">
        <f t="shared" si="273"/>
        <v>0.71048099676349064</v>
      </c>
      <c r="V484" s="66">
        <f t="shared" si="274"/>
        <v>8.1455312710388056E-2</v>
      </c>
      <c r="W484" s="66">
        <f t="shared" si="275"/>
        <v>2.2616782921158311E-2</v>
      </c>
      <c r="X484" s="66">
        <f t="shared" si="276"/>
        <v>1.7110370086918493E-2</v>
      </c>
      <c r="Y484" s="66">
        <f t="shared" si="277"/>
        <v>1.8152583050250179E-2</v>
      </c>
      <c r="Z484" s="66">
        <f t="shared" si="278"/>
        <v>2.9896828429499429E-3</v>
      </c>
      <c r="AA484" s="66">
        <f t="shared" si="264"/>
        <v>9.4740283708442466E-3</v>
      </c>
      <c r="AB484" s="66">
        <f t="shared" si="279"/>
        <v>1.2162745720733212E-2</v>
      </c>
      <c r="AC484" s="67">
        <f t="shared" si="265"/>
        <v>14035800.658234401</v>
      </c>
      <c r="AD484" s="67">
        <f t="shared" si="281"/>
        <v>16420915.397578754</v>
      </c>
      <c r="AE484" s="66">
        <f t="shared" si="268"/>
        <v>3.1999999999999806E-2</v>
      </c>
      <c r="AF484" s="67">
        <f t="shared" si="282"/>
        <v>16420915.397578754</v>
      </c>
      <c r="AG484" s="67">
        <f t="shared" si="280"/>
        <v>0.99999999999999967</v>
      </c>
      <c r="AH484" s="67">
        <f t="shared" si="283"/>
        <v>16420915.397578748</v>
      </c>
      <c r="AI484" s="67">
        <f t="shared" si="266"/>
        <v>227.78261968548219</v>
      </c>
      <c r="AJ484" s="67">
        <f t="shared" si="267"/>
        <v>0</v>
      </c>
      <c r="AK484" s="66">
        <f t="shared" si="269"/>
        <v>3.1999999999999362E-2</v>
      </c>
    </row>
    <row r="485" spans="1:37" ht="12.75" customHeight="1" x14ac:dyDescent="0.25">
      <c r="A485" s="55" t="s">
        <v>655</v>
      </c>
      <c r="B485" s="55" t="s">
        <v>444</v>
      </c>
      <c r="C485" s="55" t="s">
        <v>448</v>
      </c>
      <c r="D485" s="128">
        <v>2022</v>
      </c>
      <c r="E485" s="55" t="s">
        <v>676</v>
      </c>
      <c r="F485" s="57">
        <f>SIM_Parametres!$C$28</f>
        <v>1350099375.1424778</v>
      </c>
      <c r="G485" s="129">
        <f>SIM_Districts!D59*(1+SIM_Parametres!$B$6)^(2022-2023)</f>
        <v>126995.14563106796</v>
      </c>
      <c r="H485" s="129">
        <f>MAX(0,MIN(100,SIM_Districts!F59+(2022-2022)*SIM_Parametres!$B$7))</f>
        <v>62.8</v>
      </c>
      <c r="I485" s="129">
        <f>SIM_Districts!G59*(1+SIM_Parametres!$B$8)^(2022-2023)</f>
        <v>42.553191489361701</v>
      </c>
      <c r="J485" s="129">
        <f>SIM_Districts!H59*(1+SIM_Parametres!$B$9)^(2022-2023)</f>
        <v>26.111111111111111</v>
      </c>
      <c r="K485" s="129">
        <f>MAX(0,MIN(100,SIM_Districts!I59+(2022-2023)*SIM_Parametres!$B$10))</f>
        <v>83.6</v>
      </c>
      <c r="L485" s="129">
        <f>SIM_Districts!E59</f>
        <v>9596</v>
      </c>
      <c r="M485" s="68">
        <f t="shared" si="263"/>
        <v>13.234175242920797</v>
      </c>
      <c r="N485" s="129">
        <f>N414*(1+SIM_Parametres!$B$6)/(1+SIM_Parametres!$B$11)</f>
        <v>71159</v>
      </c>
      <c r="O485" s="72"/>
      <c r="P485" s="130">
        <f>SIM_Parametres!$D$28</f>
        <v>0</v>
      </c>
      <c r="Q485" s="130">
        <f>SIM_Parametres!$B$12</f>
        <v>0.2</v>
      </c>
      <c r="R485" s="59">
        <f t="shared" si="270"/>
        <v>7.2162749688465247E-3</v>
      </c>
      <c r="S485" s="59">
        <f t="shared" si="271"/>
        <v>0.9485815602836879</v>
      </c>
      <c r="T485" s="59">
        <f t="shared" si="272"/>
        <v>0.86464088397790051</v>
      </c>
      <c r="U485" s="59">
        <f t="shared" si="273"/>
        <v>0.83194467542502504</v>
      </c>
      <c r="V485" s="59">
        <f t="shared" si="274"/>
        <v>8.1455312710388056E-2</v>
      </c>
      <c r="W485" s="59">
        <f t="shared" si="275"/>
        <v>2.2616782921158311E-2</v>
      </c>
      <c r="X485" s="59">
        <f t="shared" si="276"/>
        <v>1.7110370086918493E-2</v>
      </c>
      <c r="Y485" s="59">
        <f t="shared" si="277"/>
        <v>2.1255944751036638E-2</v>
      </c>
      <c r="Z485" s="59">
        <f t="shared" si="278"/>
        <v>2.9896828429499429E-3</v>
      </c>
      <c r="AA485" s="59">
        <f t="shared" si="264"/>
        <v>1.1501119312218764E-2</v>
      </c>
      <c r="AB485" s="59">
        <f t="shared" si="279"/>
        <v>1.2786971739280201E-2</v>
      </c>
      <c r="AC485" s="60">
        <f t="shared" si="265"/>
        <v>16225220.028879771</v>
      </c>
      <c r="AD485" s="60">
        <f t="shared" si="281"/>
        <v>17263682.555166721</v>
      </c>
      <c r="AE485" s="59">
        <f t="shared" si="268"/>
        <v>3.1999999999999806E-2</v>
      </c>
      <c r="AF485" s="60">
        <f t="shared" si="282"/>
        <v>17263682.555166721</v>
      </c>
      <c r="AG485" s="60">
        <f t="shared" si="280"/>
        <v>0.99999999999999967</v>
      </c>
      <c r="AH485" s="60">
        <f t="shared" si="283"/>
        <v>17263682.555166714</v>
      </c>
      <c r="AI485" s="60">
        <f t="shared" si="266"/>
        <v>135.939704383026</v>
      </c>
      <c r="AJ485" s="60">
        <f t="shared" si="267"/>
        <v>0</v>
      </c>
      <c r="AK485" s="59">
        <f t="shared" si="269"/>
        <v>3.1999999999999362E-2</v>
      </c>
    </row>
    <row r="486" spans="1:37" ht="12.75" customHeight="1" x14ac:dyDescent="0.25">
      <c r="A486" s="62" t="s">
        <v>656</v>
      </c>
      <c r="B486" s="62" t="s">
        <v>444</v>
      </c>
      <c r="C486" s="62" t="s">
        <v>449</v>
      </c>
      <c r="D486" s="124">
        <v>2022</v>
      </c>
      <c r="E486" s="62" t="s">
        <v>676</v>
      </c>
      <c r="F486" s="64">
        <f>SIM_Parametres!$C$28</f>
        <v>1350099375.1424778</v>
      </c>
      <c r="G486" s="125">
        <f>SIM_Districts!D60*(1+SIM_Parametres!$B$6)^(2022-2023)</f>
        <v>93718.446601941745</v>
      </c>
      <c r="H486" s="125">
        <f>MAX(0,MIN(100,SIM_Districts!F60+(2022-2022)*SIM_Parametres!$B$7))</f>
        <v>62.8</v>
      </c>
      <c r="I486" s="125">
        <f>SIM_Districts!G60*(1+SIM_Parametres!$B$8)^(2022-2023)</f>
        <v>42.553191489361701</v>
      </c>
      <c r="J486" s="125">
        <f>SIM_Districts!H60*(1+SIM_Parametres!$B$9)^(2022-2023)</f>
        <v>26.111111111111111</v>
      </c>
      <c r="K486" s="125">
        <f>MAX(0,MIN(100,SIM_Districts!I60+(2022-2023)*SIM_Parametres!$B$10))</f>
        <v>83.6</v>
      </c>
      <c r="L486" s="125">
        <f>SIM_Districts!E60</f>
        <v>5363</v>
      </c>
      <c r="M486" s="61">
        <f t="shared" si="263"/>
        <v>17.475004027958558</v>
      </c>
      <c r="N486" s="125">
        <f>N415*(1+SIM_Parametres!$B$6)/(1+SIM_Parametres!$B$11)</f>
        <v>71159</v>
      </c>
      <c r="O486" s="132"/>
      <c r="P486" s="126">
        <f>SIM_Parametres!$D$28</f>
        <v>0</v>
      </c>
      <c r="Q486" s="126">
        <f>SIM_Parametres!$B$12</f>
        <v>0.2</v>
      </c>
      <c r="R486" s="66">
        <f t="shared" si="270"/>
        <v>5.3253852891155156E-3</v>
      </c>
      <c r="S486" s="66">
        <f t="shared" si="271"/>
        <v>0.9485815602836879</v>
      </c>
      <c r="T486" s="66">
        <f t="shared" si="272"/>
        <v>0.86464088397790051</v>
      </c>
      <c r="U486" s="66">
        <f t="shared" si="273"/>
        <v>0.68524994865574662</v>
      </c>
      <c r="V486" s="66">
        <f t="shared" si="274"/>
        <v>8.1455312710388056E-2</v>
      </c>
      <c r="W486" s="66">
        <f t="shared" si="275"/>
        <v>2.2616782921158311E-2</v>
      </c>
      <c r="X486" s="66">
        <f t="shared" si="276"/>
        <v>1.7110370086918493E-2</v>
      </c>
      <c r="Y486" s="66">
        <f t="shared" si="277"/>
        <v>1.7507937101509701E-2</v>
      </c>
      <c r="Z486" s="66">
        <f t="shared" si="278"/>
        <v>2.9896828429499429E-3</v>
      </c>
      <c r="AA486" s="66">
        <f t="shared" si="264"/>
        <v>1.0179185121903812E-2</v>
      </c>
      <c r="AB486" s="66">
        <f t="shared" si="279"/>
        <v>1.3375911764854144E-2</v>
      </c>
      <c r="AC486" s="67">
        <f t="shared" si="265"/>
        <v>14797426.009420816</v>
      </c>
      <c r="AD486" s="67">
        <f t="shared" si="281"/>
        <v>18058810.115690496</v>
      </c>
      <c r="AE486" s="66">
        <f t="shared" si="268"/>
        <v>3.1999999999999806E-2</v>
      </c>
      <c r="AF486" s="67">
        <f t="shared" si="282"/>
        <v>18058810.115690496</v>
      </c>
      <c r="AG486" s="67">
        <f t="shared" si="280"/>
        <v>0.99999999999999967</v>
      </c>
      <c r="AH486" s="67">
        <f t="shared" si="283"/>
        <v>18058810.115690488</v>
      </c>
      <c r="AI486" s="67">
        <f t="shared" si="266"/>
        <v>192.69216222066925</v>
      </c>
      <c r="AJ486" s="67">
        <f t="shared" si="267"/>
        <v>0</v>
      </c>
      <c r="AK486" s="66">
        <f t="shared" si="269"/>
        <v>3.1999999999999362E-2</v>
      </c>
    </row>
    <row r="487" spans="1:37" ht="12.75" customHeight="1" x14ac:dyDescent="0.25">
      <c r="A487" s="55" t="s">
        <v>657</v>
      </c>
      <c r="B487" s="55" t="s">
        <v>444</v>
      </c>
      <c r="C487" s="55" t="s">
        <v>450</v>
      </c>
      <c r="D487" s="128">
        <v>2022</v>
      </c>
      <c r="E487" s="55" t="s">
        <v>676</v>
      </c>
      <c r="F487" s="57">
        <f>SIM_Parametres!$C$28</f>
        <v>1350099375.1424778</v>
      </c>
      <c r="G487" s="129">
        <f>SIM_Districts!D61*(1+SIM_Parametres!$B$6)^(2022-2023)</f>
        <v>119087.3786407767</v>
      </c>
      <c r="H487" s="129">
        <f>MAX(0,MIN(100,SIM_Districts!F61+(2022-2022)*SIM_Parametres!$B$7))</f>
        <v>62.8</v>
      </c>
      <c r="I487" s="129">
        <f>SIM_Districts!G61*(1+SIM_Parametres!$B$8)^(2022-2023)</f>
        <v>42.553191489361701</v>
      </c>
      <c r="J487" s="129">
        <f>SIM_Districts!H61*(1+SIM_Parametres!$B$9)^(2022-2023)</f>
        <v>26.111111111111111</v>
      </c>
      <c r="K487" s="129">
        <f>MAX(0,MIN(100,SIM_Districts!I61+(2022-2023)*SIM_Parametres!$B$10))</f>
        <v>83.6</v>
      </c>
      <c r="L487" s="129">
        <f>SIM_Districts!E61</f>
        <v>2477</v>
      </c>
      <c r="M487" s="68">
        <f t="shared" si="263"/>
        <v>48.077262269187202</v>
      </c>
      <c r="N487" s="129">
        <f>N416*(1+SIM_Parametres!$B$6)/(1+SIM_Parametres!$B$11)</f>
        <v>71159</v>
      </c>
      <c r="O487" s="72"/>
      <c r="P487" s="130">
        <f>SIM_Parametres!$D$28</f>
        <v>0</v>
      </c>
      <c r="Q487" s="130">
        <f>SIM_Parametres!$B$12</f>
        <v>0.2</v>
      </c>
      <c r="R487" s="59">
        <f t="shared" si="270"/>
        <v>6.7669300690242325E-3</v>
      </c>
      <c r="S487" s="59">
        <f t="shared" si="271"/>
        <v>0.9485815602836879</v>
      </c>
      <c r="T487" s="59">
        <f t="shared" si="272"/>
        <v>0.86464088397790051</v>
      </c>
      <c r="U487" s="59">
        <f t="shared" si="273"/>
        <v>0.58483187330804909</v>
      </c>
      <c r="V487" s="59">
        <f t="shared" si="274"/>
        <v>8.1455312710388056E-2</v>
      </c>
      <c r="W487" s="59">
        <f t="shared" si="275"/>
        <v>2.2616782921158311E-2</v>
      </c>
      <c r="X487" s="59">
        <f t="shared" si="276"/>
        <v>1.7110370086918493E-2</v>
      </c>
      <c r="Y487" s="59">
        <f t="shared" si="277"/>
        <v>1.4942284450982639E-2</v>
      </c>
      <c r="Z487" s="59">
        <f t="shared" si="278"/>
        <v>2.9896828429499429E-3</v>
      </c>
      <c r="AA487" s="59">
        <f t="shared" si="264"/>
        <v>1.0915829357322689E-2</v>
      </c>
      <c r="AB487" s="59">
        <f t="shared" si="279"/>
        <v>1.300288841056765E-2</v>
      </c>
      <c r="AC487" s="60">
        <f t="shared" si="265"/>
        <v>15593060.346973883</v>
      </c>
      <c r="AD487" s="60">
        <f t="shared" si="281"/>
        <v>17555191.518154752</v>
      </c>
      <c r="AE487" s="59">
        <f t="shared" si="268"/>
        <v>3.1999999999999806E-2</v>
      </c>
      <c r="AF487" s="60">
        <f t="shared" si="282"/>
        <v>17555191.518154752</v>
      </c>
      <c r="AG487" s="60">
        <f t="shared" si="280"/>
        <v>0.99999999999999967</v>
      </c>
      <c r="AH487" s="60">
        <f t="shared" si="283"/>
        <v>17555191.518154744</v>
      </c>
      <c r="AI487" s="60">
        <f t="shared" si="266"/>
        <v>147.41437521359356</v>
      </c>
      <c r="AJ487" s="60">
        <f t="shared" si="267"/>
        <v>0</v>
      </c>
      <c r="AK487" s="59">
        <f t="shared" si="269"/>
        <v>3.1999999999999362E-2</v>
      </c>
    </row>
    <row r="488" spans="1:37" ht="12.75" customHeight="1" x14ac:dyDescent="0.25">
      <c r="A488" s="62" t="s">
        <v>658</v>
      </c>
      <c r="B488" s="62" t="s">
        <v>444</v>
      </c>
      <c r="C488" s="62" t="s">
        <v>451</v>
      </c>
      <c r="D488" s="124">
        <v>2022</v>
      </c>
      <c r="E488" s="62" t="s">
        <v>676</v>
      </c>
      <c r="F488" s="64">
        <f>SIM_Parametres!$C$28</f>
        <v>1350099375.1424778</v>
      </c>
      <c r="G488" s="125">
        <f>SIM_Districts!D62*(1+SIM_Parametres!$B$6)^(2022-2023)</f>
        <v>399501.9417475728</v>
      </c>
      <c r="H488" s="125">
        <f>MAX(0,MIN(100,SIM_Districts!F62+(2022-2022)*SIM_Parametres!$B$7))</f>
        <v>62.8</v>
      </c>
      <c r="I488" s="125">
        <f>SIM_Districts!G62*(1+SIM_Parametres!$B$8)^(2022-2023)</f>
        <v>42.553191489361701</v>
      </c>
      <c r="J488" s="125">
        <f>SIM_Districts!H62*(1+SIM_Parametres!$B$9)^(2022-2023)</f>
        <v>26.111111111111111</v>
      </c>
      <c r="K488" s="125">
        <f>MAX(0,MIN(100,SIM_Districts!I62+(2022-2023)*SIM_Parametres!$B$10))</f>
        <v>83.6</v>
      </c>
      <c r="L488" s="125">
        <f>SIM_Districts!E62</f>
        <v>11599</v>
      </c>
      <c r="M488" s="61">
        <f t="shared" si="263"/>
        <v>34.442791770633058</v>
      </c>
      <c r="N488" s="125">
        <f>N417*(1+SIM_Parametres!$B$6)/(1+SIM_Parametres!$B$11)</f>
        <v>71159</v>
      </c>
      <c r="O488" s="132"/>
      <c r="P488" s="126">
        <f>SIM_Parametres!$D$28</f>
        <v>0</v>
      </c>
      <c r="Q488" s="126">
        <f>SIM_Parametres!$B$12</f>
        <v>0.2</v>
      </c>
      <c r="R488" s="66">
        <f t="shared" si="270"/>
        <v>2.2700992608124686E-2</v>
      </c>
      <c r="S488" s="66">
        <f t="shared" si="271"/>
        <v>0.9485815602836879</v>
      </c>
      <c r="T488" s="66">
        <f t="shared" si="272"/>
        <v>0.86464088397790051</v>
      </c>
      <c r="U488" s="66">
        <f t="shared" si="273"/>
        <v>0.90102051224376711</v>
      </c>
      <c r="V488" s="66">
        <f t="shared" si="274"/>
        <v>8.1455312710388056E-2</v>
      </c>
      <c r="W488" s="66">
        <f t="shared" si="275"/>
        <v>2.2616782921158311E-2</v>
      </c>
      <c r="X488" s="66">
        <f t="shared" si="276"/>
        <v>1.7110370086918493E-2</v>
      </c>
      <c r="Y488" s="66">
        <f t="shared" si="277"/>
        <v>2.3020812313054136E-2</v>
      </c>
      <c r="Z488" s="66">
        <f t="shared" si="278"/>
        <v>2.9896828429499429E-3</v>
      </c>
      <c r="AA488" s="66">
        <f t="shared" si="264"/>
        <v>2.0880193273886537E-2</v>
      </c>
      <c r="AB488" s="66">
        <f t="shared" si="279"/>
        <v>1.4405926702591169E-2</v>
      </c>
      <c r="AC488" s="67">
        <f t="shared" si="265"/>
        <v>26355365.544929966</v>
      </c>
      <c r="AD488" s="67">
        <f t="shared" si="281"/>
        <v>19449432.63951667</v>
      </c>
      <c r="AE488" s="66">
        <f t="shared" si="268"/>
        <v>3.1999999999999806E-2</v>
      </c>
      <c r="AF488" s="67">
        <f t="shared" si="282"/>
        <v>19449432.63951667</v>
      </c>
      <c r="AG488" s="67">
        <f t="shared" si="280"/>
        <v>0.99999999999999967</v>
      </c>
      <c r="AH488" s="67">
        <f t="shared" si="283"/>
        <v>19449432.639516663</v>
      </c>
      <c r="AI488" s="67">
        <f t="shared" si="266"/>
        <v>48.684200518369146</v>
      </c>
      <c r="AJ488" s="67">
        <f t="shared" si="267"/>
        <v>0</v>
      </c>
      <c r="AK488" s="66">
        <f t="shared" si="269"/>
        <v>3.1999999999999362E-2</v>
      </c>
    </row>
    <row r="489" spans="1:37" ht="12.75" customHeight="1" x14ac:dyDescent="0.25">
      <c r="A489" s="55" t="s">
        <v>659</v>
      </c>
      <c r="B489" s="55" t="s">
        <v>452</v>
      </c>
      <c r="C489" s="55" t="s">
        <v>454</v>
      </c>
      <c r="D489" s="128">
        <v>2022</v>
      </c>
      <c r="E489" s="55" t="s">
        <v>676</v>
      </c>
      <c r="F489" s="57">
        <f>SIM_Parametres!$C$28</f>
        <v>1350099375.1424778</v>
      </c>
      <c r="G489" s="129">
        <f>SIM_Districts!D63*(1+SIM_Parametres!$B$6)^(2022-2023)</f>
        <v>118512.6213592233</v>
      </c>
      <c r="H489" s="129">
        <f>MAX(0,MIN(100,SIM_Districts!F63+(2022-2022)*SIM_Parametres!$B$7))</f>
        <v>29.9</v>
      </c>
      <c r="I489" s="129">
        <f>SIM_Districts!G63*(1+SIM_Parametres!$B$8)^(2022-2023)</f>
        <v>42.553191489361701</v>
      </c>
      <c r="J489" s="129">
        <f>SIM_Districts!H63*(1+SIM_Parametres!$B$9)^(2022-2023)</f>
        <v>17.666666666666668</v>
      </c>
      <c r="K489" s="129">
        <f>MAX(0,MIN(100,SIM_Districts!I63+(2022-2023)*SIM_Parametres!$B$10))</f>
        <v>95.3</v>
      </c>
      <c r="L489" s="129">
        <f>SIM_Districts!E63</f>
        <v>393</v>
      </c>
      <c r="M489" s="68">
        <f t="shared" si="263"/>
        <v>301.55883297512287</v>
      </c>
      <c r="N489" s="129">
        <f>N418*(1+SIM_Parametres!$B$6)/(1+SIM_Parametres!$B$11)</f>
        <v>153373</v>
      </c>
      <c r="O489" s="72"/>
      <c r="P489" s="130">
        <f>SIM_Parametres!$D$28</f>
        <v>0</v>
      </c>
      <c r="Q489" s="130">
        <f>SIM_Parametres!$B$12</f>
        <v>0.2</v>
      </c>
      <c r="R489" s="59">
        <f t="shared" si="270"/>
        <v>6.7342705011059021E-3</v>
      </c>
      <c r="S489" s="59">
        <f t="shared" si="271"/>
        <v>0.36524822695035453</v>
      </c>
      <c r="T489" s="59">
        <f t="shared" si="272"/>
        <v>0.65469613259668513</v>
      </c>
      <c r="U489" s="59">
        <f t="shared" si="273"/>
        <v>0.50894870824452298</v>
      </c>
      <c r="V489" s="59">
        <f t="shared" si="274"/>
        <v>0.65207282116061327</v>
      </c>
      <c r="W489" s="59">
        <f t="shared" si="275"/>
        <v>8.708518283660956E-3</v>
      </c>
      <c r="X489" s="59">
        <f t="shared" si="276"/>
        <v>1.2955775433225826E-2</v>
      </c>
      <c r="Y489" s="59">
        <f t="shared" si="277"/>
        <v>1.3003491630053689E-2</v>
      </c>
      <c r="Z489" s="59">
        <f t="shared" si="278"/>
        <v>2.3933256909947777E-2</v>
      </c>
      <c r="AA489" s="59">
        <f t="shared" si="264"/>
        <v>9.1370437851966309E-3</v>
      </c>
      <c r="AB489" s="59">
        <f t="shared" si="279"/>
        <v>1.4225296024276766E-2</v>
      </c>
      <c r="AC489" s="60">
        <f t="shared" si="265"/>
        <v>13671830.515422005</v>
      </c>
      <c r="AD489" s="60">
        <f t="shared" si="281"/>
        <v>19205563.273592837</v>
      </c>
      <c r="AE489" s="59">
        <f t="shared" si="268"/>
        <v>3.2000000000000028E-2</v>
      </c>
      <c r="AF489" s="60">
        <f t="shared" si="282"/>
        <v>19205563.273592837</v>
      </c>
      <c r="AG489" s="60">
        <f t="shared" si="280"/>
        <v>0.99999999999999967</v>
      </c>
      <c r="AH489" s="60">
        <f t="shared" si="283"/>
        <v>19205563.27359283</v>
      </c>
      <c r="AI489" s="60">
        <f t="shared" si="266"/>
        <v>162.05500353737764</v>
      </c>
      <c r="AJ489" s="60">
        <f t="shared" si="267"/>
        <v>0</v>
      </c>
      <c r="AK489" s="59">
        <f t="shared" si="269"/>
        <v>3.1999999999999584E-2</v>
      </c>
    </row>
    <row r="490" spans="1:37" ht="12.75" customHeight="1" x14ac:dyDescent="0.25">
      <c r="A490" s="62" t="s">
        <v>661</v>
      </c>
      <c r="B490" s="62" t="s">
        <v>452</v>
      </c>
      <c r="C490" s="62" t="s">
        <v>455</v>
      </c>
      <c r="D490" s="124">
        <v>2022</v>
      </c>
      <c r="E490" s="62" t="s">
        <v>676</v>
      </c>
      <c r="F490" s="64">
        <f>SIM_Parametres!$C$28</f>
        <v>1350099375.1424778</v>
      </c>
      <c r="G490" s="125">
        <f>SIM_Districts!D64*(1+SIM_Parametres!$B$6)^(2022-2023)</f>
        <v>205405.82524271845</v>
      </c>
      <c r="H490" s="125">
        <f>MAX(0,MIN(100,SIM_Districts!F64+(2022-2022)*SIM_Parametres!$B$7))</f>
        <v>29.9</v>
      </c>
      <c r="I490" s="125">
        <f>SIM_Districts!G64*(1+SIM_Parametres!$B$8)^(2022-2023)</f>
        <v>42.553191489361701</v>
      </c>
      <c r="J490" s="125">
        <f>SIM_Districts!H64*(1+SIM_Parametres!$B$9)^(2022-2023)</f>
        <v>17.666666666666668</v>
      </c>
      <c r="K490" s="125">
        <f>MAX(0,MIN(100,SIM_Districts!I64+(2022-2023)*SIM_Parametres!$B$10))</f>
        <v>95.3</v>
      </c>
      <c r="L490" s="125">
        <f>SIM_Districts!E64</f>
        <v>537</v>
      </c>
      <c r="M490" s="61">
        <f t="shared" si="263"/>
        <v>382.50619225832111</v>
      </c>
      <c r="N490" s="125">
        <f>N419*(1+SIM_Parametres!$B$6)/(1+SIM_Parametres!$B$11)</f>
        <v>153373</v>
      </c>
      <c r="O490" s="132"/>
      <c r="P490" s="126">
        <f>SIM_Parametres!$D$28</f>
        <v>0</v>
      </c>
      <c r="Q490" s="126">
        <f>SIM_Parametres!$B$12</f>
        <v>0.2</v>
      </c>
      <c r="R490" s="66">
        <f t="shared" si="270"/>
        <v>1.167182342119125E-2</v>
      </c>
      <c r="S490" s="66">
        <f t="shared" si="271"/>
        <v>0.36524822695035453</v>
      </c>
      <c r="T490" s="66">
        <f t="shared" si="272"/>
        <v>0.65469613259668513</v>
      </c>
      <c r="U490" s="66">
        <f t="shared" si="273"/>
        <v>0.51275775815315705</v>
      </c>
      <c r="V490" s="66">
        <f t="shared" si="274"/>
        <v>0.65207282116061327</v>
      </c>
      <c r="W490" s="66">
        <f t="shared" si="275"/>
        <v>8.708518283660956E-3</v>
      </c>
      <c r="X490" s="66">
        <f t="shared" si="276"/>
        <v>1.2955775433225826E-2</v>
      </c>
      <c r="Y490" s="66">
        <f t="shared" si="277"/>
        <v>1.3100811748570588E-2</v>
      </c>
      <c r="Z490" s="66">
        <f t="shared" si="278"/>
        <v>2.3933256909947777E-2</v>
      </c>
      <c r="AA490" s="66">
        <f t="shared" si="264"/>
        <v>1.2104441543173684E-2</v>
      </c>
      <c r="AB490" s="66">
        <f t="shared" si="279"/>
        <v>1.4479859259296601E-2</v>
      </c>
      <c r="AC490" s="67">
        <f t="shared" si="265"/>
        <v>16876856.002497215</v>
      </c>
      <c r="AD490" s="67">
        <f t="shared" si="281"/>
        <v>19549248.938127361</v>
      </c>
      <c r="AE490" s="66">
        <f t="shared" si="268"/>
        <v>3.1999999999999806E-2</v>
      </c>
      <c r="AF490" s="67">
        <f t="shared" si="282"/>
        <v>19549248.938127361</v>
      </c>
      <c r="AG490" s="67">
        <f t="shared" si="280"/>
        <v>0.99999999999999967</v>
      </c>
      <c r="AH490" s="67">
        <f t="shared" si="283"/>
        <v>19549248.938127354</v>
      </c>
      <c r="AI490" s="67">
        <f t="shared" si="266"/>
        <v>95.173780563559589</v>
      </c>
      <c r="AJ490" s="67">
        <f t="shared" si="267"/>
        <v>0</v>
      </c>
      <c r="AK490" s="66">
        <f t="shared" si="269"/>
        <v>3.1999999999999362E-2</v>
      </c>
    </row>
    <row r="491" spans="1:37" ht="12.75" customHeight="1" x14ac:dyDescent="0.25">
      <c r="A491" s="55" t="s">
        <v>662</v>
      </c>
      <c r="B491" s="55" t="s">
        <v>452</v>
      </c>
      <c r="C491" s="55" t="s">
        <v>456</v>
      </c>
      <c r="D491" s="128">
        <v>2022</v>
      </c>
      <c r="E491" s="55" t="s">
        <v>676</v>
      </c>
      <c r="F491" s="57">
        <f>SIM_Parametres!$C$28</f>
        <v>1350099375.1424778</v>
      </c>
      <c r="G491" s="129">
        <f>SIM_Districts!D65*(1+SIM_Parametres!$B$6)^(2022-2023)</f>
        <v>534825.24271844665</v>
      </c>
      <c r="H491" s="129">
        <f>MAX(0,MIN(100,SIM_Districts!F65+(2022-2022)*SIM_Parametres!$B$7))</f>
        <v>29.9</v>
      </c>
      <c r="I491" s="129">
        <f>SIM_Districts!G65*(1+SIM_Parametres!$B$8)^(2022-2023)</f>
        <v>42.553191489361701</v>
      </c>
      <c r="J491" s="129">
        <f>SIM_Districts!H65*(1+SIM_Parametres!$B$9)^(2022-2023)</f>
        <v>17.666666666666668</v>
      </c>
      <c r="K491" s="129">
        <f>MAX(0,MIN(100,SIM_Districts!I65+(2022-2023)*SIM_Parametres!$B$10))</f>
        <v>95.3</v>
      </c>
      <c r="L491" s="129">
        <f>SIM_Districts!E65</f>
        <v>487</v>
      </c>
      <c r="M491" s="68">
        <f t="shared" si="263"/>
        <v>1098.2037838161123</v>
      </c>
      <c r="N491" s="129">
        <f>N420*(1+SIM_Parametres!$B$6)/(1+SIM_Parametres!$B$11)</f>
        <v>153373</v>
      </c>
      <c r="O491" s="72"/>
      <c r="P491" s="130">
        <f>SIM_Parametres!$D$28</f>
        <v>0</v>
      </c>
      <c r="Q491" s="130">
        <f>SIM_Parametres!$B$12</f>
        <v>0.2</v>
      </c>
      <c r="R491" s="59">
        <f t="shared" si="270"/>
        <v>3.0390500302652692E-2</v>
      </c>
      <c r="S491" s="59">
        <f t="shared" si="271"/>
        <v>0.36524822695035453</v>
      </c>
      <c r="T491" s="59">
        <f t="shared" si="272"/>
        <v>0.65469613259668513</v>
      </c>
      <c r="U491" s="59">
        <f t="shared" si="273"/>
        <v>0.50060006219339392</v>
      </c>
      <c r="V491" s="59">
        <f t="shared" si="274"/>
        <v>0.65207282116061327</v>
      </c>
      <c r="W491" s="59">
        <f t="shared" si="275"/>
        <v>8.708518283660956E-3</v>
      </c>
      <c r="X491" s="59">
        <f t="shared" si="276"/>
        <v>1.2955775433225826E-2</v>
      </c>
      <c r="Y491" s="59">
        <f t="shared" si="277"/>
        <v>1.2790186148991382E-2</v>
      </c>
      <c r="Z491" s="59">
        <f t="shared" si="278"/>
        <v>2.3933256909947777E-2</v>
      </c>
      <c r="AA491" s="59">
        <f t="shared" si="264"/>
        <v>2.3320116392071589E-2</v>
      </c>
      <c r="AB491" s="59">
        <f t="shared" si="279"/>
        <v>1.3112947102935965E-2</v>
      </c>
      <c r="AC491" s="60">
        <f t="shared" si="265"/>
        <v>28990676.486735828</v>
      </c>
      <c r="AD491" s="60">
        <f t="shared" si="281"/>
        <v>17703781.689950209</v>
      </c>
      <c r="AE491" s="59">
        <f t="shared" si="268"/>
        <v>3.1999999999999806E-2</v>
      </c>
      <c r="AF491" s="60">
        <f t="shared" si="282"/>
        <v>17703781.689950209</v>
      </c>
      <c r="AG491" s="60">
        <f t="shared" si="280"/>
        <v>0.99999999999999967</v>
      </c>
      <c r="AH491" s="60">
        <f t="shared" si="283"/>
        <v>17703781.689950202</v>
      </c>
      <c r="AI491" s="60">
        <f t="shared" si="266"/>
        <v>33.101993466060428</v>
      </c>
      <c r="AJ491" s="60">
        <f t="shared" si="267"/>
        <v>0</v>
      </c>
      <c r="AK491" s="59">
        <f t="shared" si="269"/>
        <v>3.1999999999999362E-2</v>
      </c>
    </row>
    <row r="492" spans="1:37" ht="12.75" customHeight="1" x14ac:dyDescent="0.25">
      <c r="A492" s="62" t="s">
        <v>663</v>
      </c>
      <c r="B492" s="62" t="s">
        <v>452</v>
      </c>
      <c r="C492" s="62" t="s">
        <v>457</v>
      </c>
      <c r="D492" s="124">
        <v>2022</v>
      </c>
      <c r="E492" s="62" t="s">
        <v>676</v>
      </c>
      <c r="F492" s="64">
        <f>SIM_Parametres!$C$28</f>
        <v>1350099375.1424778</v>
      </c>
      <c r="G492" s="125">
        <f>SIM_Districts!D66*(1+SIM_Parametres!$B$6)^(2022-2023)</f>
        <v>107199.02912621359</v>
      </c>
      <c r="H492" s="125">
        <f>MAX(0,MIN(100,SIM_Districts!F66+(2022-2022)*SIM_Parametres!$B$7))</f>
        <v>29.9</v>
      </c>
      <c r="I492" s="125">
        <f>SIM_Districts!G66*(1+SIM_Parametres!$B$8)^(2022-2023)</f>
        <v>42.553191489361701</v>
      </c>
      <c r="J492" s="125">
        <f>SIM_Districts!H66*(1+SIM_Parametres!$B$9)^(2022-2023)</f>
        <v>17.666666666666668</v>
      </c>
      <c r="K492" s="125">
        <f>MAX(0,MIN(100,SIM_Districts!I66+(2022-2023)*SIM_Parametres!$B$10))</f>
        <v>95.3</v>
      </c>
      <c r="L492" s="125">
        <f>SIM_Districts!E66</f>
        <v>230</v>
      </c>
      <c r="M492" s="61">
        <f t="shared" si="263"/>
        <v>466.08273533136344</v>
      </c>
      <c r="N492" s="125">
        <f>N421*(1+SIM_Parametres!$B$6)/(1+SIM_Parametres!$B$11)</f>
        <v>153373</v>
      </c>
      <c r="O492" s="132"/>
      <c r="P492" s="126">
        <f>SIM_Parametres!$D$28</f>
        <v>0</v>
      </c>
      <c r="Q492" s="126">
        <f>SIM_Parametres!$B$12</f>
        <v>0.2</v>
      </c>
      <c r="R492" s="66">
        <f t="shared" si="270"/>
        <v>6.0913955940918845E-3</v>
      </c>
      <c r="S492" s="66">
        <f t="shared" si="271"/>
        <v>0.36524822695035453</v>
      </c>
      <c r="T492" s="66">
        <f t="shared" si="272"/>
        <v>0.65469613259668513</v>
      </c>
      <c r="U492" s="66">
        <f t="shared" si="273"/>
        <v>0.50090567337352976</v>
      </c>
      <c r="V492" s="66">
        <f t="shared" si="274"/>
        <v>0.65207282116061327</v>
      </c>
      <c r="W492" s="66">
        <f t="shared" si="275"/>
        <v>8.708518283660956E-3</v>
      </c>
      <c r="X492" s="66">
        <f t="shared" si="276"/>
        <v>1.2955775433225826E-2</v>
      </c>
      <c r="Y492" s="66">
        <f t="shared" si="277"/>
        <v>1.2797994425854201E-2</v>
      </c>
      <c r="Z492" s="66">
        <f t="shared" si="278"/>
        <v>2.3933256909947777E-2</v>
      </c>
      <c r="AA492" s="66">
        <f t="shared" si="264"/>
        <v>8.7410439807782472E-3</v>
      </c>
      <c r="AB492" s="66">
        <f t="shared" si="279"/>
        <v>1.2876026864402652E-2</v>
      </c>
      <c r="AC492" s="67">
        <f t="shared" si="265"/>
        <v>13244119.244620563</v>
      </c>
      <c r="AD492" s="67">
        <f t="shared" si="281"/>
        <v>17383915.82394778</v>
      </c>
      <c r="AE492" s="66">
        <f t="shared" si="268"/>
        <v>3.1999999999999806E-2</v>
      </c>
      <c r="AF492" s="67">
        <f t="shared" si="282"/>
        <v>17383915.82394778</v>
      </c>
      <c r="AG492" s="67">
        <f t="shared" si="280"/>
        <v>0.99999999999999967</v>
      </c>
      <c r="AH492" s="67">
        <f t="shared" si="283"/>
        <v>17383915.823947772</v>
      </c>
      <c r="AI492" s="67">
        <f t="shared" si="266"/>
        <v>162.1648625518834</v>
      </c>
      <c r="AJ492" s="67">
        <f t="shared" si="267"/>
        <v>0</v>
      </c>
      <c r="AK492" s="66">
        <f t="shared" si="269"/>
        <v>3.1999999999999362E-2</v>
      </c>
    </row>
    <row r="493" spans="1:37" ht="12.75" customHeight="1" x14ac:dyDescent="0.25">
      <c r="A493" s="55" t="s">
        <v>664</v>
      </c>
      <c r="B493" s="55" t="s">
        <v>452</v>
      </c>
      <c r="C493" s="55" t="s">
        <v>458</v>
      </c>
      <c r="D493" s="128">
        <v>2022</v>
      </c>
      <c r="E493" s="55" t="s">
        <v>676</v>
      </c>
      <c r="F493" s="57">
        <f>SIM_Parametres!$C$28</f>
        <v>1350099375.1424778</v>
      </c>
      <c r="G493" s="129">
        <f>SIM_Districts!D67*(1+SIM_Parametres!$B$6)^(2022-2023)</f>
        <v>177619.41747572814</v>
      </c>
      <c r="H493" s="129">
        <f>MAX(0,MIN(100,SIM_Districts!F67+(2022-2022)*SIM_Parametres!$B$7))</f>
        <v>29.9</v>
      </c>
      <c r="I493" s="129">
        <f>SIM_Districts!G67*(1+SIM_Parametres!$B$8)^(2022-2023)</f>
        <v>42.553191489361701</v>
      </c>
      <c r="J493" s="129">
        <f>SIM_Districts!H67*(1+SIM_Parametres!$B$9)^(2022-2023)</f>
        <v>17.666666666666668</v>
      </c>
      <c r="K493" s="129">
        <f>MAX(0,MIN(100,SIM_Districts!I67+(2022-2023)*SIM_Parametres!$B$10))</f>
        <v>95.3</v>
      </c>
      <c r="L493" s="129">
        <f>SIM_Districts!E67</f>
        <v>557</v>
      </c>
      <c r="M493" s="68">
        <f t="shared" si="263"/>
        <v>318.88584825085843</v>
      </c>
      <c r="N493" s="129">
        <f>N422*(1+SIM_Parametres!$B$6)/(1+SIM_Parametres!$B$11)</f>
        <v>153373</v>
      </c>
      <c r="O493" s="72"/>
      <c r="P493" s="130">
        <f>SIM_Parametres!$D$28</f>
        <v>0</v>
      </c>
      <c r="Q493" s="130">
        <f>SIM_Parametres!$B$12</f>
        <v>0.2</v>
      </c>
      <c r="R493" s="59">
        <f t="shared" si="270"/>
        <v>1.0092909850544963E-2</v>
      </c>
      <c r="S493" s="59">
        <f t="shared" si="271"/>
        <v>0.36524822695035453</v>
      </c>
      <c r="T493" s="59">
        <f t="shared" si="272"/>
        <v>0.65469613259668513</v>
      </c>
      <c r="U493" s="59">
        <f t="shared" si="273"/>
        <v>0.51437733390901985</v>
      </c>
      <c r="V493" s="59">
        <f t="shared" si="274"/>
        <v>0.65207282116061327</v>
      </c>
      <c r="W493" s="59">
        <f t="shared" si="275"/>
        <v>8.708518283660956E-3</v>
      </c>
      <c r="X493" s="59">
        <f t="shared" si="276"/>
        <v>1.2955775433225826E-2</v>
      </c>
      <c r="Y493" s="59">
        <f t="shared" si="277"/>
        <v>1.3142191438595229E-2</v>
      </c>
      <c r="Z493" s="59">
        <f t="shared" si="278"/>
        <v>2.3933256909947777E-2</v>
      </c>
      <c r="AA493" s="59">
        <f t="shared" si="264"/>
        <v>1.1159162385287144E-2</v>
      </c>
      <c r="AB493" s="59">
        <f t="shared" si="279"/>
        <v>1.2245079704336987E-2</v>
      </c>
      <c r="AC493" s="60">
        <f t="shared" si="265"/>
        <v>15855879.362178955</v>
      </c>
      <c r="AD493" s="60">
        <f t="shared" si="281"/>
        <v>16532074.457395202</v>
      </c>
      <c r="AE493" s="59">
        <f t="shared" si="268"/>
        <v>3.1999999999999806E-2</v>
      </c>
      <c r="AF493" s="60">
        <f t="shared" si="282"/>
        <v>16532074.457395202</v>
      </c>
      <c r="AG493" s="60">
        <f t="shared" si="280"/>
        <v>0.99999999999999967</v>
      </c>
      <c r="AH493" s="60">
        <f t="shared" si="283"/>
        <v>16532074.457395196</v>
      </c>
      <c r="AI493" s="60">
        <f t="shared" si="266"/>
        <v>93.075828602209654</v>
      </c>
      <c r="AJ493" s="60">
        <f t="shared" si="267"/>
        <v>0</v>
      </c>
      <c r="AK493" s="59">
        <f t="shared" si="269"/>
        <v>3.1999999999999362E-2</v>
      </c>
    </row>
    <row r="494" spans="1:37" ht="12.75" customHeight="1" x14ac:dyDescent="0.25">
      <c r="A494" s="62" t="s">
        <v>665</v>
      </c>
      <c r="B494" s="62" t="s">
        <v>452</v>
      </c>
      <c r="C494" s="62" t="s">
        <v>459</v>
      </c>
      <c r="D494" s="124">
        <v>2022</v>
      </c>
      <c r="E494" s="62" t="s">
        <v>676</v>
      </c>
      <c r="F494" s="64">
        <f>SIM_Parametres!$C$28</f>
        <v>1350099375.1424778</v>
      </c>
      <c r="G494" s="125">
        <f>SIM_Districts!D68*(1+SIM_Parametres!$B$6)^(2022-2023)</f>
        <v>225611.6504854369</v>
      </c>
      <c r="H494" s="125">
        <f>MAX(0,MIN(100,SIM_Districts!F68+(2022-2022)*SIM_Parametres!$B$7))</f>
        <v>29.9</v>
      </c>
      <c r="I494" s="125">
        <f>SIM_Districts!G68*(1+SIM_Parametres!$B$8)^(2022-2023)</f>
        <v>42.553191489361701</v>
      </c>
      <c r="J494" s="125">
        <f>SIM_Districts!H68*(1+SIM_Parametres!$B$9)^(2022-2023)</f>
        <v>17.666666666666668</v>
      </c>
      <c r="K494" s="125">
        <f>MAX(0,MIN(100,SIM_Districts!I68+(2022-2023)*SIM_Parametres!$B$10))</f>
        <v>95.3</v>
      </c>
      <c r="L494" s="125">
        <f>SIM_Districts!E68</f>
        <v>793</v>
      </c>
      <c r="M494" s="61">
        <f t="shared" si="263"/>
        <v>284.50397286940341</v>
      </c>
      <c r="N494" s="125">
        <f>N423*(1+SIM_Parametres!$B$6)/(1+SIM_Parametres!$B$11)</f>
        <v>153373</v>
      </c>
      <c r="O494" s="132"/>
      <c r="P494" s="126">
        <f>SIM_Parametres!$D$28</f>
        <v>0</v>
      </c>
      <c r="Q494" s="126">
        <f>SIM_Parametres!$B$12</f>
        <v>0.2</v>
      </c>
      <c r="R494" s="66">
        <f t="shared" ref="R494:R500" si="284">IFERROR(G494/SUM($G$430:$G$500),1/71)</f>
        <v>1.281998377172551E-2</v>
      </c>
      <c r="S494" s="66">
        <f t="shared" ref="S494:S500" si="285">IF(MAX($H$430:$H$500)=MIN($H$430:$H$500),1,(H494-MIN($H$430:$H$500))/(MAX($H$430:$H$500)-MIN($H$430:$H$500)))</f>
        <v>0.36524822695035453</v>
      </c>
      <c r="T494" s="66">
        <f t="shared" ref="T494:T500" si="286">(IF(MAX($I$430:$I$500)=MIN($I$430:$I$500),1,(I494-MIN($I$430:$I$500))/(MAX($I$430:$I$500)-MIN($I$430:$I$500)))+IF(MAX($J$430:$J$500)=MIN($J$430:$J$500),1,(J494-MIN($J$430:$J$500))/(MAX($J$430:$J$500)-MIN($J$430:$J$500))))/2</f>
        <v>0.65469613259668513</v>
      </c>
      <c r="U494" s="66">
        <f t="shared" ref="U494:U500" si="287">(IF(MAX($L$430:$L$500)=MIN($L$430:$L$500),1,(L494-MIN($L$430:$L$500))/(MAX($L$430:$L$500)-MIN($L$430:$L$500)))+IF(MAX($M$430:$M$500)=MIN($M$430:$M$500),1,(MAX($M$430:$M$500)-M494)/(MAX($M$430:$M$500)-MIN($M$430:$M$500))))/2</f>
        <v>0.52305332187907927</v>
      </c>
      <c r="V494" s="66">
        <f t="shared" ref="V494:V500" si="288">IF(MAX($N$430:$N$500)=MIN($N$430:$N$500),1,(N494-MIN($N$430:$N$500))/(MAX($N$430:$N$500)-MIN($N$430:$N$500)))</f>
        <v>0.65207282116061327</v>
      </c>
      <c r="W494" s="66">
        <f t="shared" ref="W494:W500" si="289">IFERROR(S494/SUM($S$430:$S$500),1/71)</f>
        <v>8.708518283660956E-3</v>
      </c>
      <c r="X494" s="66">
        <f t="shared" ref="X494:X500" si="290">IFERROR(T494/SUM($T$430:$T$500),1/71)</f>
        <v>1.2955775433225826E-2</v>
      </c>
      <c r="Y494" s="66">
        <f t="shared" ref="Y494:Y500" si="291">IFERROR(U494/SUM($U$430:$U$500),1/71)</f>
        <v>1.3363860410583092E-2</v>
      </c>
      <c r="Z494" s="66">
        <f t="shared" ref="Z494:Z500" si="292">IFERROR(V494/SUM($V$430:$V$500),1/71)</f>
        <v>2.3933256909947777E-2</v>
      </c>
      <c r="AA494" s="66">
        <f t="shared" si="264"/>
        <v>1.2806490186594865E-2</v>
      </c>
      <c r="AB494" s="66">
        <f t="shared" ref="AB494:AB500" si="293">IFERROR(AH423/SUM($AH$359:$AH$429),1/71)</f>
        <v>1.2935676995380899E-2</v>
      </c>
      <c r="AC494" s="67">
        <f t="shared" si="265"/>
        <v>17635124.35033926</v>
      </c>
      <c r="AD494" s="67">
        <f t="shared" si="281"/>
        <v>17464449.428508677</v>
      </c>
      <c r="AE494" s="66">
        <f t="shared" si="268"/>
        <v>3.1999999999999806E-2</v>
      </c>
      <c r="AF494" s="67">
        <f t="shared" si="282"/>
        <v>17464449.428508677</v>
      </c>
      <c r="AG494" s="67">
        <f t="shared" ref="AG494:AG500" si="294">IFERROR(F494/SUM($AF$430:$AF$500),1)</f>
        <v>0.99999999999999967</v>
      </c>
      <c r="AH494" s="67">
        <f t="shared" si="283"/>
        <v>17464449.428508669</v>
      </c>
      <c r="AI494" s="67">
        <f t="shared" si="266"/>
        <v>77.409342074894269</v>
      </c>
      <c r="AJ494" s="67">
        <f t="shared" si="267"/>
        <v>0</v>
      </c>
      <c r="AK494" s="66">
        <f t="shared" si="269"/>
        <v>3.1999999999999362E-2</v>
      </c>
    </row>
    <row r="495" spans="1:37" ht="12.75" customHeight="1" x14ac:dyDescent="0.25">
      <c r="A495" s="55" t="s">
        <v>666</v>
      </c>
      <c r="B495" s="55" t="s">
        <v>452</v>
      </c>
      <c r="C495" s="55" t="s">
        <v>452</v>
      </c>
      <c r="D495" s="128">
        <v>2022</v>
      </c>
      <c r="E495" s="55" t="s">
        <v>676</v>
      </c>
      <c r="F495" s="57">
        <f>SIM_Parametres!$C$28</f>
        <v>1350099375.1424778</v>
      </c>
      <c r="G495" s="129">
        <f>SIM_Districts!D69*(1+SIM_Parametres!$B$6)^(2022-2023)</f>
        <v>601546.60194174759</v>
      </c>
      <c r="H495" s="129">
        <f>MAX(0,MIN(100,SIM_Districts!F69+(2022-2022)*SIM_Parametres!$B$7))</f>
        <v>29.9</v>
      </c>
      <c r="I495" s="129">
        <f>SIM_Districts!G69*(1+SIM_Parametres!$B$8)^(2022-2023)</f>
        <v>42.553191489361701</v>
      </c>
      <c r="J495" s="129">
        <f>SIM_Districts!H69*(1+SIM_Parametres!$B$9)^(2022-2023)</f>
        <v>17.666666666666668</v>
      </c>
      <c r="K495" s="129">
        <f>MAX(0,MIN(100,SIM_Districts!I69+(2022-2023)*SIM_Parametres!$B$10))</f>
        <v>95.3</v>
      </c>
      <c r="L495" s="129">
        <f>SIM_Districts!E69</f>
        <v>503</v>
      </c>
      <c r="M495" s="68">
        <f t="shared" si="263"/>
        <v>1195.9176976973113</v>
      </c>
      <c r="N495" s="129">
        <f>N424*(1+SIM_Parametres!$B$6)/(1+SIM_Parametres!$B$11)</f>
        <v>153373</v>
      </c>
      <c r="O495" s="72"/>
      <c r="P495" s="130">
        <f>SIM_Parametres!$D$28</f>
        <v>0</v>
      </c>
      <c r="Q495" s="130">
        <f>SIM_Parametres!$B$12</f>
        <v>0.2</v>
      </c>
      <c r="R495" s="59">
        <f t="shared" si="284"/>
        <v>3.4181823758820569E-2</v>
      </c>
      <c r="S495" s="59">
        <f t="shared" si="285"/>
        <v>0.36524822695035453</v>
      </c>
      <c r="T495" s="59">
        <f t="shared" si="286"/>
        <v>0.65469613259668513</v>
      </c>
      <c r="U495" s="59">
        <f t="shared" si="287"/>
        <v>0.49973089584614422</v>
      </c>
      <c r="V495" s="59">
        <f t="shared" si="288"/>
        <v>0.65207282116061327</v>
      </c>
      <c r="W495" s="59">
        <f t="shared" si="289"/>
        <v>8.708518283660956E-3</v>
      </c>
      <c r="X495" s="59">
        <f t="shared" si="290"/>
        <v>1.2955775433225826E-2</v>
      </c>
      <c r="Y495" s="59">
        <f t="shared" si="291"/>
        <v>1.2767979201339289E-2</v>
      </c>
      <c r="Z495" s="59">
        <f t="shared" si="292"/>
        <v>2.3933256909947777E-2</v>
      </c>
      <c r="AA495" s="59">
        <f t="shared" si="264"/>
        <v>2.5593800118389711E-2</v>
      </c>
      <c r="AB495" s="59">
        <f t="shared" si="293"/>
        <v>1.6176107350072341E-2</v>
      </c>
      <c r="AC495" s="60">
        <f t="shared" si="265"/>
        <v>31446435.6692748</v>
      </c>
      <c r="AD495" s="60">
        <f t="shared" si="281"/>
        <v>21839352.425570309</v>
      </c>
      <c r="AE495" s="59">
        <f t="shared" si="268"/>
        <v>3.1999999999999806E-2</v>
      </c>
      <c r="AF495" s="60">
        <f t="shared" si="282"/>
        <v>21839352.425570309</v>
      </c>
      <c r="AG495" s="60">
        <f t="shared" si="294"/>
        <v>0.99999999999999967</v>
      </c>
      <c r="AH495" s="60">
        <f t="shared" si="283"/>
        <v>21839352.425570302</v>
      </c>
      <c r="AI495" s="60">
        <f t="shared" si="266"/>
        <v>36.305337533408881</v>
      </c>
      <c r="AJ495" s="60">
        <f t="shared" si="267"/>
        <v>0</v>
      </c>
      <c r="AK495" s="59">
        <f t="shared" si="269"/>
        <v>3.1999999999999584E-2</v>
      </c>
    </row>
    <row r="496" spans="1:37" ht="12.75" customHeight="1" x14ac:dyDescent="0.25">
      <c r="A496" s="62" t="s">
        <v>667</v>
      </c>
      <c r="B496" s="62" t="s">
        <v>452</v>
      </c>
      <c r="C496" s="62" t="s">
        <v>460</v>
      </c>
      <c r="D496" s="124">
        <v>2022</v>
      </c>
      <c r="E496" s="62" t="s">
        <v>676</v>
      </c>
      <c r="F496" s="64">
        <f>SIM_Parametres!$C$28</f>
        <v>1350099375.1424778</v>
      </c>
      <c r="G496" s="125">
        <f>SIM_Districts!D70*(1+SIM_Parametres!$B$6)^(2022-2023)</f>
        <v>421199.02912621357</v>
      </c>
      <c r="H496" s="125">
        <f>MAX(0,MIN(100,SIM_Districts!F70+(2022-2022)*SIM_Parametres!$B$7))</f>
        <v>29.9</v>
      </c>
      <c r="I496" s="125">
        <f>SIM_Districts!G70*(1+SIM_Parametres!$B$8)^(2022-2023)</f>
        <v>42.553191489361701</v>
      </c>
      <c r="J496" s="125">
        <f>SIM_Districts!H70*(1+SIM_Parametres!$B$9)^(2022-2023)</f>
        <v>17.666666666666668</v>
      </c>
      <c r="K496" s="125">
        <f>MAX(0,MIN(100,SIM_Districts!I70+(2022-2023)*SIM_Parametres!$B$10))</f>
        <v>95.3</v>
      </c>
      <c r="L496" s="125">
        <f>SIM_Districts!E70</f>
        <v>1739</v>
      </c>
      <c r="M496" s="61">
        <f t="shared" si="263"/>
        <v>242.20760731812166</v>
      </c>
      <c r="N496" s="125">
        <f>N425*(1+SIM_Parametres!$B$6)/(1+SIM_Parametres!$B$11)</f>
        <v>153373</v>
      </c>
      <c r="O496" s="132"/>
      <c r="P496" s="126">
        <f>SIM_Parametres!$D$28</f>
        <v>0</v>
      </c>
      <c r="Q496" s="126">
        <f>SIM_Parametres!$B$12</f>
        <v>0.2</v>
      </c>
      <c r="R496" s="66">
        <f t="shared" si="284"/>
        <v>2.393389129704164E-2</v>
      </c>
      <c r="S496" s="66">
        <f t="shared" si="285"/>
        <v>0.36524822695035453</v>
      </c>
      <c r="T496" s="66">
        <f t="shared" si="286"/>
        <v>0.65469613259668513</v>
      </c>
      <c r="U496" s="66">
        <f t="shared" si="287"/>
        <v>0.55643930835847477</v>
      </c>
      <c r="V496" s="66">
        <f t="shared" si="288"/>
        <v>0.65207282116061327</v>
      </c>
      <c r="W496" s="66">
        <f t="shared" si="289"/>
        <v>8.708518283660956E-3</v>
      </c>
      <c r="X496" s="66">
        <f t="shared" si="290"/>
        <v>1.2955775433225826E-2</v>
      </c>
      <c r="Y496" s="66">
        <f t="shared" si="291"/>
        <v>1.4216862665453392E-2</v>
      </c>
      <c r="Z496" s="66">
        <f t="shared" si="292"/>
        <v>2.3933256909947777E-2</v>
      </c>
      <c r="AA496" s="66">
        <f t="shared" si="264"/>
        <v>1.9517484814528058E-2</v>
      </c>
      <c r="AB496" s="66">
        <f t="shared" si="293"/>
        <v>1.423621787924461E-2</v>
      </c>
      <c r="AC496" s="67">
        <f t="shared" si="265"/>
        <v>24883532.073344968</v>
      </c>
      <c r="AD496" s="67">
        <f t="shared" si="281"/>
        <v>19220308.86316032</v>
      </c>
      <c r="AE496" s="66">
        <f t="shared" si="268"/>
        <v>3.1999999999999806E-2</v>
      </c>
      <c r="AF496" s="67">
        <f t="shared" si="282"/>
        <v>19220308.86316032</v>
      </c>
      <c r="AG496" s="67">
        <f t="shared" si="294"/>
        <v>0.99999999999999967</v>
      </c>
      <c r="AH496" s="67">
        <f t="shared" si="283"/>
        <v>19220308.863160312</v>
      </c>
      <c r="AI496" s="67">
        <f t="shared" si="266"/>
        <v>45.632367441665892</v>
      </c>
      <c r="AJ496" s="67">
        <f t="shared" si="267"/>
        <v>0</v>
      </c>
      <c r="AK496" s="66">
        <f t="shared" si="269"/>
        <v>3.1999999999999584E-2</v>
      </c>
    </row>
    <row r="497" spans="1:37" ht="12.75" customHeight="1" x14ac:dyDescent="0.25">
      <c r="A497" s="55" t="s">
        <v>668</v>
      </c>
      <c r="B497" s="55" t="s">
        <v>461</v>
      </c>
      <c r="C497" s="55" t="s">
        <v>463</v>
      </c>
      <c r="D497" s="128">
        <v>2022</v>
      </c>
      <c r="E497" s="55" t="s">
        <v>676</v>
      </c>
      <c r="F497" s="57">
        <f>SIM_Parametres!$C$28</f>
        <v>1350099375.1424778</v>
      </c>
      <c r="G497" s="129">
        <f>SIM_Districts!D71*(1+SIM_Parametres!$B$6)^(2022-2023)</f>
        <v>155027.18446601942</v>
      </c>
      <c r="H497" s="129">
        <f>MAX(0,MIN(100,SIM_Districts!F71+(2022-2022)*SIM_Parametres!$B$7))</f>
        <v>48.3</v>
      </c>
      <c r="I497" s="129">
        <f>SIM_Districts!G71*(1+SIM_Parametres!$B$8)^(2022-2023)</f>
        <v>42.553191489361701</v>
      </c>
      <c r="J497" s="129">
        <f>SIM_Districts!H71*(1+SIM_Parametres!$B$9)^(2022-2023)</f>
        <v>11.444444444444446</v>
      </c>
      <c r="K497" s="129">
        <f>MAX(0,MIN(100,SIM_Districts!I71+(2022-2023)*SIM_Parametres!$B$10))</f>
        <v>94.3</v>
      </c>
      <c r="L497" s="129">
        <f>SIM_Districts!E71</f>
        <v>2537</v>
      </c>
      <c r="M497" s="68">
        <f t="shared" si="263"/>
        <v>61.106497621607971</v>
      </c>
      <c r="N497" s="129">
        <f>N426*(1+SIM_Parametres!$B$6)/(1+SIM_Parametres!$B$11)</f>
        <v>69419</v>
      </c>
      <c r="O497" s="72"/>
      <c r="P497" s="130">
        <f>SIM_Parametres!$D$28</f>
        <v>0</v>
      </c>
      <c r="Q497" s="130">
        <f>SIM_Parametres!$B$12</f>
        <v>0.2</v>
      </c>
      <c r="R497" s="59">
        <f t="shared" si="284"/>
        <v>8.8091460913227726E-3</v>
      </c>
      <c r="S497" s="59">
        <f t="shared" si="285"/>
        <v>0.6914893617021276</v>
      </c>
      <c r="T497" s="59">
        <f t="shared" si="286"/>
        <v>0.5</v>
      </c>
      <c r="U497" s="59">
        <f t="shared" si="287"/>
        <v>0.58672050041788648</v>
      </c>
      <c r="V497" s="59">
        <f t="shared" si="288"/>
        <v>6.9378604793203735E-2</v>
      </c>
      <c r="W497" s="59">
        <f t="shared" si="289"/>
        <v>1.6487000634115404E-2</v>
      </c>
      <c r="X497" s="59">
        <f t="shared" si="290"/>
        <v>9.8944951620838582E-3</v>
      </c>
      <c r="Y497" s="59">
        <f t="shared" si="291"/>
        <v>1.4990538324933458E-2</v>
      </c>
      <c r="Z497" s="59">
        <f t="shared" si="292"/>
        <v>2.5464272067252584E-3</v>
      </c>
      <c r="AA497" s="59">
        <f t="shared" si="264"/>
        <v>1.0119560300806487E-2</v>
      </c>
      <c r="AB497" s="59">
        <f t="shared" si="293"/>
        <v>1.7832028591736021E-2</v>
      </c>
      <c r="AC497" s="60">
        <f t="shared" si="265"/>
        <v>14733026.46245563</v>
      </c>
      <c r="AD497" s="60">
        <f t="shared" si="281"/>
        <v>24075010.659225598</v>
      </c>
      <c r="AE497" s="59">
        <f t="shared" si="268"/>
        <v>3.1999999999999584E-2</v>
      </c>
      <c r="AF497" s="60">
        <f t="shared" si="282"/>
        <v>24075010.659225598</v>
      </c>
      <c r="AG497" s="60">
        <f t="shared" si="294"/>
        <v>0.99999999999999967</v>
      </c>
      <c r="AH497" s="60">
        <f t="shared" si="283"/>
        <v>24075010.659225591</v>
      </c>
      <c r="AI497" s="60">
        <f t="shared" si="266"/>
        <v>155.29541313770437</v>
      </c>
      <c r="AJ497" s="60">
        <f t="shared" si="267"/>
        <v>0</v>
      </c>
      <c r="AK497" s="59">
        <f t="shared" si="269"/>
        <v>3.1999999999999362E-2</v>
      </c>
    </row>
    <row r="498" spans="1:37" ht="12.75" customHeight="1" x14ac:dyDescent="0.25">
      <c r="A498" s="62" t="s">
        <v>670</v>
      </c>
      <c r="B498" s="62" t="s">
        <v>461</v>
      </c>
      <c r="C498" s="62" t="s">
        <v>464</v>
      </c>
      <c r="D498" s="124">
        <v>2022</v>
      </c>
      <c r="E498" s="62" t="s">
        <v>676</v>
      </c>
      <c r="F498" s="64">
        <f>SIM_Parametres!$C$28</f>
        <v>1350099375.1424778</v>
      </c>
      <c r="G498" s="125">
        <f>SIM_Districts!D72*(1+SIM_Parametres!$B$6)^(2022-2023)</f>
        <v>94678.640776699031</v>
      </c>
      <c r="H498" s="125">
        <f>MAX(0,MIN(100,SIM_Districts!F72+(2022-2022)*SIM_Parametres!$B$7))</f>
        <v>48.3</v>
      </c>
      <c r="I498" s="125">
        <f>SIM_Districts!G72*(1+SIM_Parametres!$B$8)^(2022-2023)</f>
        <v>42.553191489361701</v>
      </c>
      <c r="J498" s="125">
        <f>SIM_Districts!H72*(1+SIM_Parametres!$B$9)^(2022-2023)</f>
        <v>11.444444444444446</v>
      </c>
      <c r="K498" s="125">
        <f>MAX(0,MIN(100,SIM_Districts!I72+(2022-2023)*SIM_Parametres!$B$10))</f>
        <v>94.3</v>
      </c>
      <c r="L498" s="125">
        <f>SIM_Districts!E72</f>
        <v>1893</v>
      </c>
      <c r="M498" s="61">
        <f t="shared" si="263"/>
        <v>50.015129834494999</v>
      </c>
      <c r="N498" s="125">
        <f>N427*(1+SIM_Parametres!$B$6)/(1+SIM_Parametres!$B$11)</f>
        <v>69419</v>
      </c>
      <c r="O498" s="132"/>
      <c r="P498" s="126">
        <f>SIM_Parametres!$D$28</f>
        <v>0</v>
      </c>
      <c r="Q498" s="126">
        <f>SIM_Parametres!$B$12</f>
        <v>0.2</v>
      </c>
      <c r="R498" s="66">
        <f t="shared" si="284"/>
        <v>5.3799466280871847E-3</v>
      </c>
      <c r="S498" s="66">
        <f t="shared" si="285"/>
        <v>0.6914893617021276</v>
      </c>
      <c r="T498" s="66">
        <f t="shared" si="286"/>
        <v>0.5</v>
      </c>
      <c r="U498" s="66">
        <f t="shared" si="287"/>
        <v>0.56457363162952046</v>
      </c>
      <c r="V498" s="66">
        <f t="shared" si="288"/>
        <v>6.9378604793203735E-2</v>
      </c>
      <c r="W498" s="66">
        <f t="shared" si="289"/>
        <v>1.6487000634115404E-2</v>
      </c>
      <c r="X498" s="66">
        <f t="shared" si="290"/>
        <v>9.8944951620838582E-3</v>
      </c>
      <c r="Y498" s="66">
        <f t="shared" si="291"/>
        <v>1.4424692261752073E-2</v>
      </c>
      <c r="Z498" s="66">
        <f t="shared" si="292"/>
        <v>2.5464272067252584E-3</v>
      </c>
      <c r="AA498" s="66">
        <f t="shared" si="264"/>
        <v>8.0337483197060675E-3</v>
      </c>
      <c r="AB498" s="66">
        <f t="shared" si="293"/>
        <v>1.2086292735958279E-2</v>
      </c>
      <c r="AC498" s="67">
        <f t="shared" si="265"/>
        <v>12480183.700576937</v>
      </c>
      <c r="AD498" s="67">
        <f t="shared" si="281"/>
        <v>16317696.270606341</v>
      </c>
      <c r="AE498" s="66">
        <f t="shared" si="268"/>
        <v>3.1999999999999806E-2</v>
      </c>
      <c r="AF498" s="67">
        <f t="shared" si="282"/>
        <v>16317696.270606341</v>
      </c>
      <c r="AG498" s="67">
        <f t="shared" si="294"/>
        <v>0.99999999999999967</v>
      </c>
      <c r="AH498" s="67">
        <f t="shared" si="283"/>
        <v>16317696.270606335</v>
      </c>
      <c r="AI498" s="67">
        <f t="shared" si="266"/>
        <v>172.34823120340164</v>
      </c>
      <c r="AJ498" s="67">
        <f t="shared" si="267"/>
        <v>0</v>
      </c>
      <c r="AK498" s="66">
        <f t="shared" si="269"/>
        <v>3.1999999999999584E-2</v>
      </c>
    </row>
    <row r="499" spans="1:37" ht="12.75" customHeight="1" x14ac:dyDescent="0.25">
      <c r="A499" s="55" t="s">
        <v>671</v>
      </c>
      <c r="B499" s="55" t="s">
        <v>461</v>
      </c>
      <c r="C499" s="55" t="s">
        <v>465</v>
      </c>
      <c r="D499" s="128">
        <v>2022</v>
      </c>
      <c r="E499" s="55" t="s">
        <v>676</v>
      </c>
      <c r="F499" s="57">
        <f>SIM_Parametres!$C$28</f>
        <v>1350099375.1424778</v>
      </c>
      <c r="G499" s="129">
        <f>SIM_Districts!D73*(1+SIM_Parametres!$B$6)^(2022-2023)</f>
        <v>57012.621359223303</v>
      </c>
      <c r="H499" s="129">
        <f>MAX(0,MIN(100,SIM_Districts!F73+(2022-2022)*SIM_Parametres!$B$7))</f>
        <v>48.3</v>
      </c>
      <c r="I499" s="129">
        <f>SIM_Districts!G73*(1+SIM_Parametres!$B$8)^(2022-2023)</f>
        <v>42.553191489361701</v>
      </c>
      <c r="J499" s="129">
        <f>SIM_Districts!H73*(1+SIM_Parametres!$B$9)^(2022-2023)</f>
        <v>11.444444444444446</v>
      </c>
      <c r="K499" s="129">
        <f>MAX(0,MIN(100,SIM_Districts!I73+(2022-2023)*SIM_Parametres!$B$10))</f>
        <v>94.3</v>
      </c>
      <c r="L499" s="129">
        <f>SIM_Districts!E73</f>
        <v>877</v>
      </c>
      <c r="M499" s="68">
        <f t="shared" si="263"/>
        <v>65.008690261372067</v>
      </c>
      <c r="N499" s="129">
        <f>N428*(1+SIM_Parametres!$B$6)/(1+SIM_Parametres!$B$11)</f>
        <v>69419</v>
      </c>
      <c r="O499" s="72"/>
      <c r="P499" s="130">
        <f>SIM_Parametres!$D$28</f>
        <v>0</v>
      </c>
      <c r="Q499" s="130">
        <f>SIM_Parametres!$B$12</f>
        <v>0.2</v>
      </c>
      <c r="R499" s="59">
        <f t="shared" si="284"/>
        <v>3.239641565655552E-3</v>
      </c>
      <c r="S499" s="59">
        <f t="shared" si="285"/>
        <v>0.6914893617021276</v>
      </c>
      <c r="T499" s="59">
        <f t="shared" si="286"/>
        <v>0.5</v>
      </c>
      <c r="U499" s="59">
        <f t="shared" si="287"/>
        <v>0.52916053895252124</v>
      </c>
      <c r="V499" s="59">
        <f t="shared" si="288"/>
        <v>6.9378604793203735E-2</v>
      </c>
      <c r="W499" s="59">
        <f t="shared" si="289"/>
        <v>1.6487000634115404E-2</v>
      </c>
      <c r="X499" s="59">
        <f t="shared" si="290"/>
        <v>9.8944951620838582E-3</v>
      </c>
      <c r="Y499" s="59">
        <f t="shared" si="291"/>
        <v>1.3519898032471051E-2</v>
      </c>
      <c r="Z499" s="59">
        <f t="shared" si="292"/>
        <v>2.5464272067252584E-3</v>
      </c>
      <c r="AA499" s="59">
        <f t="shared" si="264"/>
        <v>6.7043255707830368E-3</v>
      </c>
      <c r="AB499" s="59">
        <f t="shared" si="293"/>
        <v>1.3454885177698581E-2</v>
      </c>
      <c r="AC499" s="60">
        <f t="shared" si="265"/>
        <v>11044301.442479992</v>
      </c>
      <c r="AD499" s="60">
        <f t="shared" si="281"/>
        <v>18165432.071024641</v>
      </c>
      <c r="AE499" s="59">
        <f t="shared" si="268"/>
        <v>3.1999999999999806E-2</v>
      </c>
      <c r="AF499" s="60">
        <f t="shared" si="282"/>
        <v>18165432.071024641</v>
      </c>
      <c r="AG499" s="60">
        <f t="shared" si="294"/>
        <v>0.99999999999999967</v>
      </c>
      <c r="AH499" s="60">
        <f t="shared" si="283"/>
        <v>18165432.071024634</v>
      </c>
      <c r="AI499" s="60">
        <f t="shared" si="266"/>
        <v>318.6212392615393</v>
      </c>
      <c r="AJ499" s="60">
        <f t="shared" si="267"/>
        <v>0</v>
      </c>
      <c r="AK499" s="59">
        <f t="shared" si="269"/>
        <v>3.1999999999999362E-2</v>
      </c>
    </row>
    <row r="500" spans="1:37" ht="12.75" customHeight="1" x14ac:dyDescent="0.25">
      <c r="A500" s="62" t="s">
        <v>672</v>
      </c>
      <c r="B500" s="62" t="s">
        <v>461</v>
      </c>
      <c r="C500" s="62" t="s">
        <v>461</v>
      </c>
      <c r="D500" s="124">
        <v>2022</v>
      </c>
      <c r="E500" s="62" t="s">
        <v>676</v>
      </c>
      <c r="F500" s="64">
        <f>SIM_Parametres!$C$28</f>
        <v>1350099375.1424778</v>
      </c>
      <c r="G500" s="125">
        <f>SIM_Districts!D74*(1+SIM_Parametres!$B$6)^(2022-2023)</f>
        <v>292861.16504854371</v>
      </c>
      <c r="H500" s="125">
        <f>MAX(0,MIN(100,SIM_Districts!F74+(2022-2022)*SIM_Parametres!$B$7))</f>
        <v>48.3</v>
      </c>
      <c r="I500" s="125">
        <f>SIM_Districts!G74*(1+SIM_Parametres!$B$8)^(2022-2023)</f>
        <v>42.553191489361701</v>
      </c>
      <c r="J500" s="125">
        <f>SIM_Districts!H74*(1+SIM_Parametres!$B$9)^(2022-2023)</f>
        <v>11.444444444444446</v>
      </c>
      <c r="K500" s="125">
        <f>MAX(0,MIN(100,SIM_Districts!I74+(2022-2023)*SIM_Parametres!$B$10))</f>
        <v>94.3</v>
      </c>
      <c r="L500" s="125">
        <f>SIM_Districts!E74</f>
        <v>1136</v>
      </c>
      <c r="M500" s="61">
        <f t="shared" si="263"/>
        <v>257.80032134554904</v>
      </c>
      <c r="N500" s="125">
        <f>N429*(1+SIM_Parametres!$B$6)/(1+SIM_Parametres!$B$11)</f>
        <v>69419</v>
      </c>
      <c r="O500" s="132"/>
      <c r="P500" s="126">
        <f>SIM_Parametres!$D$28</f>
        <v>0</v>
      </c>
      <c r="Q500" s="126">
        <f>SIM_Parametres!$B$12</f>
        <v>0.2</v>
      </c>
      <c r="R500" s="66">
        <f t="shared" si="284"/>
        <v>1.6641318722737265E-2</v>
      </c>
      <c r="S500" s="66">
        <f t="shared" si="285"/>
        <v>0.6914893617021276</v>
      </c>
      <c r="T500" s="66">
        <f t="shared" si="286"/>
        <v>0.5</v>
      </c>
      <c r="U500" s="66">
        <f t="shared" si="287"/>
        <v>0.53532398626606015</v>
      </c>
      <c r="V500" s="66">
        <f t="shared" si="288"/>
        <v>6.9378604793203735E-2</v>
      </c>
      <c r="W500" s="66">
        <f t="shared" si="289"/>
        <v>1.6487000634115404E-2</v>
      </c>
      <c r="X500" s="66">
        <f t="shared" si="290"/>
        <v>9.8944951620838582E-3</v>
      </c>
      <c r="Y500" s="66">
        <f t="shared" si="291"/>
        <v>1.3677372320656833E-2</v>
      </c>
      <c r="Z500" s="66">
        <f t="shared" si="292"/>
        <v>2.5464272067252584E-3</v>
      </c>
      <c r="AA500" s="66">
        <f t="shared" si="264"/>
        <v>1.4753205579441353E-2</v>
      </c>
      <c r="AB500" s="66">
        <f t="shared" si="293"/>
        <v>1.6014799953624124E-2</v>
      </c>
      <c r="AC500" s="67">
        <f t="shared" si="265"/>
        <v>19737731.738709092</v>
      </c>
      <c r="AD500" s="67">
        <f t="shared" si="281"/>
        <v>21621571.41041971</v>
      </c>
      <c r="AE500" s="66">
        <f t="shared" si="268"/>
        <v>3.1999999999999806E-2</v>
      </c>
      <c r="AF500" s="67">
        <f t="shared" si="282"/>
        <v>21621571.41041971</v>
      </c>
      <c r="AG500" s="67">
        <f t="shared" si="294"/>
        <v>0.99999999999999967</v>
      </c>
      <c r="AH500" s="67">
        <f t="shared" si="283"/>
        <v>21621571.410419703</v>
      </c>
      <c r="AI500" s="67">
        <f t="shared" si="266"/>
        <v>73.828742048594194</v>
      </c>
      <c r="AJ500" s="67">
        <f t="shared" si="267"/>
        <v>0</v>
      </c>
      <c r="AK500" s="66">
        <f t="shared" si="269"/>
        <v>3.1999999999999362E-2</v>
      </c>
    </row>
    <row r="501" spans="1:37" ht="12.75" customHeight="1" x14ac:dyDescent="0.25">
      <c r="A501" s="55" t="s">
        <v>587</v>
      </c>
      <c r="B501" s="55" t="s">
        <v>376</v>
      </c>
      <c r="C501" s="55" t="s">
        <v>379</v>
      </c>
      <c r="D501" s="128">
        <v>2023</v>
      </c>
      <c r="E501" s="55" t="s">
        <v>676</v>
      </c>
      <c r="F501" s="57">
        <f>SIM_Parametres!$C$29</f>
        <v>1393302555.147037</v>
      </c>
      <c r="G501" s="129">
        <f>SIM_Districts!D4*(1+SIM_Parametres!$B$6)^(2023-2023)</f>
        <v>453963</v>
      </c>
      <c r="H501" s="129">
        <f>MAX(0,MIN(100,SIM_Districts!F4+(2023-2022)*SIM_Parametres!$B$7))</f>
        <v>8.4700000000000006</v>
      </c>
      <c r="I501" s="129">
        <f>SIM_Districts!G4*(1+SIM_Parametres!$B$8)^(2023-2023)</f>
        <v>40</v>
      </c>
      <c r="J501" s="129">
        <f>SIM_Districts!H4*(1+SIM_Parametres!$B$9)^(2023-2023)</f>
        <v>10.4</v>
      </c>
      <c r="K501" s="129">
        <f>MAX(0,MIN(100,SIM_Districts!I4+(2023-2023)*SIM_Parametres!$B$10))</f>
        <v>98.9</v>
      </c>
      <c r="L501" s="129">
        <f>SIM_Districts!E4</f>
        <v>13</v>
      </c>
      <c r="M501" s="68">
        <f t="shared" si="263"/>
        <v>34920.230769230766</v>
      </c>
      <c r="N501" s="129">
        <f>N430*(1+SIM_Parametres!$B$6)/(1+SIM_Parametres!$B$11)</f>
        <v>73189</v>
      </c>
      <c r="O501" s="72"/>
      <c r="P501" s="130">
        <f>SIM_Parametres!$D$29</f>
        <v>0</v>
      </c>
      <c r="Q501" s="130">
        <f>SIM_Parametres!$B$12</f>
        <v>0.2</v>
      </c>
      <c r="R501" s="59">
        <f t="shared" ref="R501:R532" si="295">IFERROR(G501/SUM($G$501:$G$571),1/71)</f>
        <v>2.5044316606264855E-2</v>
      </c>
      <c r="S501" s="59">
        <f t="shared" ref="S501:S532" si="296">IF(MAX($H$501:$H$571)=MIN($H$501:$H$571),1,(H501-MIN($H$501:$H$571))/(MAX($H$501:$H$571)-MIN($H$501:$H$571)))</f>
        <v>0</v>
      </c>
      <c r="T501" s="59">
        <f t="shared" ref="T501:T532" si="297">(IF(MAX($I$501:$I$571)=MIN($I$501:$I$571),1,(I501-MIN($I$501:$I$571))/(MAX($I$501:$I$571)-MIN($I$501:$I$571)))+IF(MAX($J$501:$J$571)=MIN($J$501:$J$571),1,(J501-MIN($J$501:$J$571))/(MAX($J$501:$J$571)-MIN($J$501:$J$571))))/2</f>
        <v>0.50276243093922646</v>
      </c>
      <c r="U501" s="59">
        <f t="shared" ref="U501:U532" si="298">(IF(MAX($L$501:$L$571)=MIN($L$501:$L$571),1,(L501-MIN($L$501:$L$571))/(MAX($L$501:$L$571)-MIN($L$501:$L$571)))+IF(MAX($M$501:$M$571)=MIN($M$501:$M$571),1,(MAX($M$501:$M$571)-M501)/(MAX($M$501:$M$571)-MIN($M$501:$M$571))))/2</f>
        <v>6.3061112543857257E-3</v>
      </c>
      <c r="V501" s="59">
        <f t="shared" ref="V501:V532" si="299">IF(MAX($N$501:$N$571)=MIN($N$501:$N$571),1,(N501-MIN($N$501:$N$571))/(MAX($N$501:$N$571)-MIN($N$501:$N$571)))</f>
        <v>9.5544805280436421E-2</v>
      </c>
      <c r="W501" s="59">
        <f t="shared" ref="W501:W532" si="300">IFERROR(S501/SUM($S$501:$S$571),1/71)</f>
        <v>0</v>
      </c>
      <c r="X501" s="59">
        <f t="shared" ref="X501:X532" si="301">IFERROR(T501/SUM($T$501:$T$571),1/71)</f>
        <v>9.9491608812113923E-3</v>
      </c>
      <c r="Y501" s="59">
        <f t="shared" ref="Y501:Y532" si="302">IFERROR(U501/SUM($U$501:$U$571),1/71)</f>
        <v>1.6111931042606123E-4</v>
      </c>
      <c r="Z501" s="59">
        <f t="shared" ref="Z501:Z532" si="303">IFERROR(V501/SUM($V$501:$V$571),1/71)</f>
        <v>3.506814418545408E-3</v>
      </c>
      <c r="AA501" s="59">
        <f t="shared" si="264"/>
        <v>1.6702360782389191E-2</v>
      </c>
      <c r="AB501" s="59">
        <f t="shared" ref="AB501:AB532" si="304">IFERROR(AH430/SUM($AH$430:$AH$500),1/71)</f>
        <v>1.5515755195862457E-2</v>
      </c>
      <c r="AC501" s="60">
        <f t="shared" si="265"/>
        <v>22541949.494064074</v>
      </c>
      <c r="AD501" s="60">
        <f t="shared" si="281"/>
        <v>21618141.359431077</v>
      </c>
      <c r="AE501" s="59">
        <f t="shared" si="268"/>
        <v>3.1999999999999806E-2</v>
      </c>
      <c r="AF501" s="60">
        <f t="shared" si="282"/>
        <v>21618141.359431077</v>
      </c>
      <c r="AG501" s="60">
        <f t="shared" ref="AG501:AG532" si="305">IFERROR(F501/SUM($AF$501:$AF$571),1)</f>
        <v>1.0000000000000004</v>
      </c>
      <c r="AH501" s="60">
        <f t="shared" si="283"/>
        <v>21618141.359431088</v>
      </c>
      <c r="AI501" s="60">
        <f t="shared" si="266"/>
        <v>47.620932453594428</v>
      </c>
      <c r="AJ501" s="60">
        <f t="shared" si="267"/>
        <v>0</v>
      </c>
      <c r="AK501" s="59">
        <f t="shared" si="269"/>
        <v>3.200000000000025E-2</v>
      </c>
    </row>
    <row r="502" spans="1:37" ht="12.75" customHeight="1" x14ac:dyDescent="0.25">
      <c r="A502" s="62" t="s">
        <v>590</v>
      </c>
      <c r="B502" s="62" t="s">
        <v>376</v>
      </c>
      <c r="C502" s="62" t="s">
        <v>381</v>
      </c>
      <c r="D502" s="124">
        <v>2023</v>
      </c>
      <c r="E502" s="62" t="s">
        <v>676</v>
      </c>
      <c r="F502" s="64">
        <f>SIM_Parametres!$C$29</f>
        <v>1393302555.147037</v>
      </c>
      <c r="G502" s="125">
        <f>SIM_Districts!D5*(1+SIM_Parametres!$B$6)^(2023-2023)</f>
        <v>237940</v>
      </c>
      <c r="H502" s="125">
        <f>MAX(0,MIN(100,SIM_Districts!F5+(2023-2022)*SIM_Parametres!$B$7))</f>
        <v>8.4700000000000006</v>
      </c>
      <c r="I502" s="125">
        <f>SIM_Districts!G5*(1+SIM_Parametres!$B$8)^(2023-2023)</f>
        <v>40</v>
      </c>
      <c r="J502" s="125">
        <f>SIM_Districts!H5*(1+SIM_Parametres!$B$9)^(2023-2023)</f>
        <v>10.4</v>
      </c>
      <c r="K502" s="125">
        <f>MAX(0,MIN(100,SIM_Districts!I5+(2023-2023)*SIM_Parametres!$B$10))</f>
        <v>98.9</v>
      </c>
      <c r="L502" s="125">
        <f>SIM_Districts!E5</f>
        <v>10</v>
      </c>
      <c r="M502" s="61">
        <f t="shared" si="263"/>
        <v>23794</v>
      </c>
      <c r="N502" s="125">
        <f>N431*(1+SIM_Parametres!$B$6)/(1+SIM_Parametres!$B$11)</f>
        <v>73189</v>
      </c>
      <c r="O502" s="132"/>
      <c r="P502" s="126">
        <f>SIM_Parametres!$D$29</f>
        <v>0</v>
      </c>
      <c r="Q502" s="126">
        <f>SIM_Parametres!$B$12</f>
        <v>0.2</v>
      </c>
      <c r="R502" s="66">
        <f t="shared" si="295"/>
        <v>1.3126718902850363E-2</v>
      </c>
      <c r="S502" s="66">
        <f t="shared" si="296"/>
        <v>0</v>
      </c>
      <c r="T502" s="66">
        <f t="shared" si="297"/>
        <v>0.50276243093922646</v>
      </c>
      <c r="U502" s="66">
        <f t="shared" si="298"/>
        <v>0.16355896203869918</v>
      </c>
      <c r="V502" s="66">
        <f t="shared" si="299"/>
        <v>9.5544805280436421E-2</v>
      </c>
      <c r="W502" s="66">
        <f t="shared" si="300"/>
        <v>0</v>
      </c>
      <c r="X502" s="66">
        <f t="shared" si="301"/>
        <v>9.9491608812113923E-3</v>
      </c>
      <c r="Y502" s="66">
        <f t="shared" si="302"/>
        <v>4.1788839610703184E-3</v>
      </c>
      <c r="Z502" s="66">
        <f t="shared" si="303"/>
        <v>3.506814418545408E-3</v>
      </c>
      <c r="AA502" s="66">
        <f t="shared" si="264"/>
        <v>9.7526903928727132E-3</v>
      </c>
      <c r="AB502" s="66">
        <f t="shared" si="304"/>
        <v>1.402030120795715E-2</v>
      </c>
      <c r="AC502" s="67">
        <f t="shared" si="265"/>
        <v>14795554.685149662</v>
      </c>
      <c r="AD502" s="67">
        <f t="shared" si="281"/>
        <v>19534521.496977787</v>
      </c>
      <c r="AE502" s="66">
        <f t="shared" si="268"/>
        <v>3.1999999999999806E-2</v>
      </c>
      <c r="AF502" s="67">
        <f t="shared" si="282"/>
        <v>19534521.496977787</v>
      </c>
      <c r="AG502" s="67">
        <f t="shared" si="305"/>
        <v>1.0000000000000004</v>
      </c>
      <c r="AH502" s="67">
        <f t="shared" si="283"/>
        <v>19534521.496977795</v>
      </c>
      <c r="AI502" s="67">
        <f t="shared" si="266"/>
        <v>82.098518521382687</v>
      </c>
      <c r="AJ502" s="67">
        <f t="shared" si="267"/>
        <v>0</v>
      </c>
      <c r="AK502" s="66">
        <f t="shared" si="269"/>
        <v>3.200000000000025E-2</v>
      </c>
    </row>
    <row r="503" spans="1:37" ht="12.75" customHeight="1" x14ac:dyDescent="0.25">
      <c r="A503" s="55" t="s">
        <v>591</v>
      </c>
      <c r="B503" s="55" t="s">
        <v>376</v>
      </c>
      <c r="C503" s="55" t="s">
        <v>382</v>
      </c>
      <c r="D503" s="128">
        <v>2023</v>
      </c>
      <c r="E503" s="55" t="s">
        <v>676</v>
      </c>
      <c r="F503" s="57">
        <f>SIM_Parametres!$C$29</f>
        <v>1393302555.147037</v>
      </c>
      <c r="G503" s="129">
        <f>SIM_Districts!D6*(1+SIM_Parametres!$B$6)^(2023-2023)</f>
        <v>181346</v>
      </c>
      <c r="H503" s="129">
        <f>MAX(0,MIN(100,SIM_Districts!F6+(2023-2022)*SIM_Parametres!$B$7))</f>
        <v>8.4700000000000006</v>
      </c>
      <c r="I503" s="129">
        <f>SIM_Districts!G6*(1+SIM_Parametres!$B$8)^(2023-2023)</f>
        <v>40</v>
      </c>
      <c r="J503" s="129">
        <f>SIM_Districts!H6*(1+SIM_Parametres!$B$9)^(2023-2023)</f>
        <v>10.4</v>
      </c>
      <c r="K503" s="129">
        <f>MAX(0,MIN(100,SIM_Districts!I6+(2023-2023)*SIM_Parametres!$B$10))</f>
        <v>98.9</v>
      </c>
      <c r="L503" s="129">
        <f>SIM_Districts!E6</f>
        <v>169</v>
      </c>
      <c r="M503" s="68">
        <f t="shared" si="263"/>
        <v>1073.0532544378698</v>
      </c>
      <c r="N503" s="129">
        <f>N432*(1+SIM_Parametres!$B$6)/(1+SIM_Parametres!$B$11)</f>
        <v>73189</v>
      </c>
      <c r="O503" s="72"/>
      <c r="P503" s="130">
        <f>SIM_Parametres!$D$29</f>
        <v>0</v>
      </c>
      <c r="Q503" s="130">
        <f>SIM_Parametres!$B$12</f>
        <v>0.2</v>
      </c>
      <c r="R503" s="59">
        <f t="shared" si="295"/>
        <v>1.0004530411684887E-2</v>
      </c>
      <c r="S503" s="59">
        <f t="shared" si="296"/>
        <v>0</v>
      </c>
      <c r="T503" s="59">
        <f t="shared" si="297"/>
        <v>0.50276243093922646</v>
      </c>
      <c r="U503" s="59">
        <f t="shared" si="298"/>
        <v>0.49040605765544504</v>
      </c>
      <c r="V503" s="59">
        <f t="shared" si="299"/>
        <v>9.5544805280436421E-2</v>
      </c>
      <c r="W503" s="59">
        <f t="shared" si="300"/>
        <v>0</v>
      </c>
      <c r="X503" s="59">
        <f t="shared" si="301"/>
        <v>9.9491608812113923E-3</v>
      </c>
      <c r="Y503" s="59">
        <f t="shared" si="302"/>
        <v>1.2529732294725463E-2</v>
      </c>
      <c r="Z503" s="59">
        <f t="shared" si="303"/>
        <v>3.506814418545408E-3</v>
      </c>
      <c r="AA503" s="59">
        <f t="shared" si="264"/>
        <v>8.2969197148561845E-3</v>
      </c>
      <c r="AB503" s="59">
        <f t="shared" si="304"/>
        <v>1.2123259014310989E-2</v>
      </c>
      <c r="AC503" s="60">
        <f t="shared" si="265"/>
        <v>13172891.480838813</v>
      </c>
      <c r="AD503" s="60">
        <f t="shared" si="281"/>
        <v>16891367.761348851</v>
      </c>
      <c r="AE503" s="59">
        <f t="shared" si="268"/>
        <v>3.1999999999999806E-2</v>
      </c>
      <c r="AF503" s="60">
        <f t="shared" si="282"/>
        <v>16891367.761348851</v>
      </c>
      <c r="AG503" s="60">
        <f t="shared" si="305"/>
        <v>1.0000000000000004</v>
      </c>
      <c r="AH503" s="60">
        <f t="shared" si="283"/>
        <v>16891367.761348858</v>
      </c>
      <c r="AI503" s="60">
        <f t="shared" si="266"/>
        <v>93.144418742894018</v>
      </c>
      <c r="AJ503" s="60">
        <f t="shared" si="267"/>
        <v>0</v>
      </c>
      <c r="AK503" s="59">
        <f t="shared" si="269"/>
        <v>3.200000000000025E-2</v>
      </c>
    </row>
    <row r="504" spans="1:37" ht="12.75" customHeight="1" x14ac:dyDescent="0.25">
      <c r="A504" s="62" t="s">
        <v>592</v>
      </c>
      <c r="B504" s="62" t="s">
        <v>376</v>
      </c>
      <c r="C504" s="62" t="s">
        <v>383</v>
      </c>
      <c r="D504" s="124">
        <v>2023</v>
      </c>
      <c r="E504" s="62" t="s">
        <v>676</v>
      </c>
      <c r="F504" s="64">
        <f>SIM_Parametres!$C$29</f>
        <v>1393302555.147037</v>
      </c>
      <c r="G504" s="125">
        <f>SIM_Districts!D7*(1+SIM_Parametres!$B$6)^(2023-2023)</f>
        <v>459664</v>
      </c>
      <c r="H504" s="125">
        <f>MAX(0,MIN(100,SIM_Districts!F7+(2023-2022)*SIM_Parametres!$B$7))</f>
        <v>8.4700000000000006</v>
      </c>
      <c r="I504" s="125">
        <f>SIM_Districts!G7*(1+SIM_Parametres!$B$8)^(2023-2023)</f>
        <v>40</v>
      </c>
      <c r="J504" s="125">
        <f>SIM_Districts!H7*(1+SIM_Parametres!$B$9)^(2023-2023)</f>
        <v>10.4</v>
      </c>
      <c r="K504" s="125">
        <f>MAX(0,MIN(100,SIM_Districts!I7+(2023-2023)*SIM_Parametres!$B$10))</f>
        <v>98.9</v>
      </c>
      <c r="L504" s="125">
        <f>SIM_Districts!E7</f>
        <v>13</v>
      </c>
      <c r="M504" s="61">
        <f t="shared" si="263"/>
        <v>35358.769230769234</v>
      </c>
      <c r="N504" s="125">
        <f>N433*(1+SIM_Parametres!$B$6)/(1+SIM_Parametres!$B$11)</f>
        <v>73189</v>
      </c>
      <c r="O504" s="132"/>
      <c r="P504" s="126">
        <f>SIM_Parametres!$D$29</f>
        <v>0</v>
      </c>
      <c r="Q504" s="126">
        <f>SIM_Parametres!$B$12</f>
        <v>0.2</v>
      </c>
      <c r="R504" s="66">
        <f t="shared" si="295"/>
        <v>2.5358830452045934E-2</v>
      </c>
      <c r="S504" s="66">
        <f t="shared" si="296"/>
        <v>0</v>
      </c>
      <c r="T504" s="66">
        <f t="shared" si="297"/>
        <v>0.50276243093922646</v>
      </c>
      <c r="U504" s="66">
        <f t="shared" si="298"/>
        <v>1.0392129693778578E-4</v>
      </c>
      <c r="V504" s="66">
        <f t="shared" si="299"/>
        <v>9.5544805280436421E-2</v>
      </c>
      <c r="W504" s="66">
        <f t="shared" si="300"/>
        <v>0</v>
      </c>
      <c r="X504" s="66">
        <f t="shared" si="301"/>
        <v>9.9491608812113923E-3</v>
      </c>
      <c r="Y504" s="66">
        <f t="shared" si="302"/>
        <v>2.6551589443578551E-6</v>
      </c>
      <c r="Z504" s="66">
        <f t="shared" si="303"/>
        <v>3.506814418545408E-3</v>
      </c>
      <c r="AA504" s="66">
        <f t="shared" si="264"/>
        <v>1.6883145882283755E-2</v>
      </c>
      <c r="AB504" s="66">
        <f t="shared" si="304"/>
        <v>1.6212233485735215E-2</v>
      </c>
      <c r="AC504" s="67">
        <f t="shared" si="265"/>
        <v>22743460.167356558</v>
      </c>
      <c r="AD504" s="67">
        <f t="shared" si="281"/>
        <v>22588546.34031523</v>
      </c>
      <c r="AE504" s="66">
        <f t="shared" si="268"/>
        <v>3.1999999999999806E-2</v>
      </c>
      <c r="AF504" s="67">
        <f t="shared" si="282"/>
        <v>22588546.34031523</v>
      </c>
      <c r="AG504" s="67">
        <f t="shared" si="305"/>
        <v>1.0000000000000004</v>
      </c>
      <c r="AH504" s="67">
        <f t="shared" si="283"/>
        <v>22588546.340315241</v>
      </c>
      <c r="AI504" s="67">
        <f t="shared" si="266"/>
        <v>49.141430132260176</v>
      </c>
      <c r="AJ504" s="67">
        <f t="shared" si="267"/>
        <v>0</v>
      </c>
      <c r="AK504" s="66">
        <f t="shared" si="269"/>
        <v>3.200000000000025E-2</v>
      </c>
    </row>
    <row r="505" spans="1:37" ht="12.75" customHeight="1" x14ac:dyDescent="0.25">
      <c r="A505" s="55" t="s">
        <v>593</v>
      </c>
      <c r="B505" s="55" t="s">
        <v>376</v>
      </c>
      <c r="C505" s="55" t="s">
        <v>384</v>
      </c>
      <c r="D505" s="128">
        <v>2023</v>
      </c>
      <c r="E505" s="55" t="s">
        <v>676</v>
      </c>
      <c r="F505" s="57">
        <f>SIM_Parametres!$C$29</f>
        <v>1393302555.147037</v>
      </c>
      <c r="G505" s="129">
        <f>SIM_Districts!D8*(1+SIM_Parametres!$B$6)^(2023-2023)</f>
        <v>325978</v>
      </c>
      <c r="H505" s="129">
        <f>MAX(0,MIN(100,SIM_Districts!F8+(2023-2022)*SIM_Parametres!$B$7))</f>
        <v>8.4700000000000006</v>
      </c>
      <c r="I505" s="129">
        <f>SIM_Districts!G8*(1+SIM_Parametres!$B$8)^(2023-2023)</f>
        <v>40</v>
      </c>
      <c r="J505" s="129">
        <f>SIM_Districts!H8*(1+SIM_Parametres!$B$9)^(2023-2023)</f>
        <v>10.4</v>
      </c>
      <c r="K505" s="129">
        <f>MAX(0,MIN(100,SIM_Districts!I8+(2023-2023)*SIM_Parametres!$B$10))</f>
        <v>98.9</v>
      </c>
      <c r="L505" s="129">
        <f>SIM_Districts!E8</f>
        <v>34</v>
      </c>
      <c r="M505" s="68">
        <f t="shared" si="263"/>
        <v>9587.5882352941171</v>
      </c>
      <c r="N505" s="129">
        <f>N434*(1+SIM_Parametres!$B$6)/(1+SIM_Parametres!$B$11)</f>
        <v>73189</v>
      </c>
      <c r="O505" s="72"/>
      <c r="P505" s="130">
        <f>SIM_Parametres!$D$29</f>
        <v>0</v>
      </c>
      <c r="Q505" s="130">
        <f>SIM_Parametres!$B$12</f>
        <v>0.2</v>
      </c>
      <c r="R505" s="59">
        <f t="shared" si="295"/>
        <v>1.7983615930542807E-2</v>
      </c>
      <c r="S505" s="59">
        <f t="shared" si="296"/>
        <v>0</v>
      </c>
      <c r="T505" s="59">
        <f t="shared" si="297"/>
        <v>0.50276243093922646</v>
      </c>
      <c r="U505" s="59">
        <f t="shared" si="298"/>
        <v>0.36530968637307898</v>
      </c>
      <c r="V505" s="59">
        <f t="shared" si="299"/>
        <v>9.5544805280436421E-2</v>
      </c>
      <c r="W505" s="59">
        <f t="shared" si="300"/>
        <v>0</v>
      </c>
      <c r="X505" s="59">
        <f t="shared" si="301"/>
        <v>9.9491608812113923E-3</v>
      </c>
      <c r="Y505" s="59">
        <f t="shared" si="302"/>
        <v>9.333556352888123E-3</v>
      </c>
      <c r="Z505" s="59">
        <f t="shared" si="303"/>
        <v>3.506814418545408E-3</v>
      </c>
      <c r="AA505" s="59">
        <f t="shared" si="264"/>
        <v>1.292456222907907E-2</v>
      </c>
      <c r="AB505" s="59">
        <f t="shared" si="304"/>
        <v>1.151499570687085E-2</v>
      </c>
      <c r="AC505" s="60">
        <f t="shared" si="265"/>
        <v>18331056.392337859</v>
      </c>
      <c r="AD505" s="60">
        <f t="shared" si="281"/>
        <v>16043872.940890318</v>
      </c>
      <c r="AE505" s="59">
        <f t="shared" si="268"/>
        <v>3.1999999999999806E-2</v>
      </c>
      <c r="AF505" s="60">
        <f t="shared" si="282"/>
        <v>16043872.940890318</v>
      </c>
      <c r="AG505" s="60">
        <f t="shared" si="305"/>
        <v>1.0000000000000004</v>
      </c>
      <c r="AH505" s="60">
        <f t="shared" si="283"/>
        <v>16043872.940890325</v>
      </c>
      <c r="AI505" s="60">
        <f t="shared" si="266"/>
        <v>49.217655611391947</v>
      </c>
      <c r="AJ505" s="60">
        <f t="shared" si="267"/>
        <v>0</v>
      </c>
      <c r="AK505" s="59">
        <f t="shared" si="269"/>
        <v>3.200000000000025E-2</v>
      </c>
    </row>
    <row r="506" spans="1:37" ht="12.75" customHeight="1" x14ac:dyDescent="0.25">
      <c r="A506" s="62" t="s">
        <v>594</v>
      </c>
      <c r="B506" s="62" t="s">
        <v>376</v>
      </c>
      <c r="C506" s="62" t="s">
        <v>385</v>
      </c>
      <c r="D506" s="124">
        <v>2023</v>
      </c>
      <c r="E506" s="62" t="s">
        <v>676</v>
      </c>
      <c r="F506" s="64">
        <f>SIM_Parametres!$C$29</f>
        <v>1393302555.147037</v>
      </c>
      <c r="G506" s="125">
        <f>SIM_Districts!D9*(1+SIM_Parametres!$B$6)^(2023-2023)</f>
        <v>478267</v>
      </c>
      <c r="H506" s="125">
        <f>MAX(0,MIN(100,SIM_Districts!F9+(2023-2022)*SIM_Parametres!$B$7))</f>
        <v>8.4700000000000006</v>
      </c>
      <c r="I506" s="125">
        <f>SIM_Districts!G9*(1+SIM_Parametres!$B$8)^(2023-2023)</f>
        <v>40</v>
      </c>
      <c r="J506" s="125">
        <f>SIM_Districts!H9*(1+SIM_Parametres!$B$9)^(2023-2023)</f>
        <v>10.4</v>
      </c>
      <c r="K506" s="125">
        <f>MAX(0,MIN(100,SIM_Districts!I9+(2023-2023)*SIM_Parametres!$B$10))</f>
        <v>98.9</v>
      </c>
      <c r="L506" s="125">
        <f>SIM_Districts!E9</f>
        <v>28</v>
      </c>
      <c r="M506" s="61">
        <f t="shared" si="263"/>
        <v>17080.964285714286</v>
      </c>
      <c r="N506" s="125">
        <f>N435*(1+SIM_Parametres!$B$6)/(1+SIM_Parametres!$B$11)</f>
        <v>73189</v>
      </c>
      <c r="O506" s="132"/>
      <c r="P506" s="126">
        <f>SIM_Parametres!$D$29</f>
        <v>0</v>
      </c>
      <c r="Q506" s="126">
        <f>SIM_Parametres!$B$12</f>
        <v>0.2</v>
      </c>
      <c r="R506" s="66">
        <f t="shared" si="295"/>
        <v>2.6385124272966021E-2</v>
      </c>
      <c r="S506" s="66">
        <f t="shared" si="296"/>
        <v>0</v>
      </c>
      <c r="T506" s="66">
        <f t="shared" si="297"/>
        <v>0.50276243093922646</v>
      </c>
      <c r="U506" s="66">
        <f t="shared" si="298"/>
        <v>0.25912404305391834</v>
      </c>
      <c r="V506" s="66">
        <f t="shared" si="299"/>
        <v>9.5544805280436421E-2</v>
      </c>
      <c r="W506" s="66">
        <f t="shared" si="300"/>
        <v>0</v>
      </c>
      <c r="X506" s="66">
        <f t="shared" si="301"/>
        <v>9.9491608812113923E-3</v>
      </c>
      <c r="Y506" s="66">
        <f t="shared" si="302"/>
        <v>6.6205440163499231E-3</v>
      </c>
      <c r="Z506" s="66">
        <f t="shared" si="303"/>
        <v>3.506814418545408E-3</v>
      </c>
      <c r="AA506" s="66">
        <f t="shared" si="264"/>
        <v>1.7829816617706083E-2</v>
      </c>
      <c r="AB506" s="66">
        <f t="shared" si="304"/>
        <v>1.1432661723267075E-2</v>
      </c>
      <c r="AC506" s="67">
        <f t="shared" si="265"/>
        <v>23798659.170994043</v>
      </c>
      <c r="AD506" s="67">
        <f t="shared" si="281"/>
        <v>15929156.791159743</v>
      </c>
      <c r="AE506" s="66">
        <f t="shared" si="268"/>
        <v>3.1999999999999806E-2</v>
      </c>
      <c r="AF506" s="67">
        <f t="shared" si="282"/>
        <v>15929156.791159743</v>
      </c>
      <c r="AG506" s="67">
        <f t="shared" si="305"/>
        <v>1.0000000000000004</v>
      </c>
      <c r="AH506" s="67">
        <f t="shared" si="283"/>
        <v>15929156.791159751</v>
      </c>
      <c r="AI506" s="67">
        <f t="shared" si="266"/>
        <v>33.305991822893382</v>
      </c>
      <c r="AJ506" s="67">
        <f t="shared" si="267"/>
        <v>0</v>
      </c>
      <c r="AK506" s="66">
        <f t="shared" si="269"/>
        <v>3.200000000000025E-2</v>
      </c>
    </row>
    <row r="507" spans="1:37" ht="12.75" customHeight="1" x14ac:dyDescent="0.25">
      <c r="A507" s="55" t="s">
        <v>595</v>
      </c>
      <c r="B507" s="55" t="s">
        <v>376</v>
      </c>
      <c r="C507" s="55" t="s">
        <v>386</v>
      </c>
      <c r="D507" s="128">
        <v>2023</v>
      </c>
      <c r="E507" s="55" t="s">
        <v>676</v>
      </c>
      <c r="F507" s="57">
        <f>SIM_Parametres!$C$29</f>
        <v>1393302555.147037</v>
      </c>
      <c r="G507" s="129">
        <f>SIM_Districts!D10*(1+SIM_Parametres!$B$6)^(2023-2023)</f>
        <v>611468</v>
      </c>
      <c r="H507" s="129">
        <f>MAX(0,MIN(100,SIM_Districts!F10+(2023-2022)*SIM_Parametres!$B$7))</f>
        <v>8.4700000000000006</v>
      </c>
      <c r="I507" s="129">
        <f>SIM_Districts!G10*(1+SIM_Parametres!$B$8)^(2023-2023)</f>
        <v>40</v>
      </c>
      <c r="J507" s="129">
        <f>SIM_Districts!H10*(1+SIM_Parametres!$B$9)^(2023-2023)</f>
        <v>10.4</v>
      </c>
      <c r="K507" s="129">
        <f>MAX(0,MIN(100,SIM_Districts!I10+(2023-2023)*SIM_Parametres!$B$10))</f>
        <v>98.9</v>
      </c>
      <c r="L507" s="129">
        <f>SIM_Districts!E10</f>
        <v>22</v>
      </c>
      <c r="M507" s="68">
        <f t="shared" si="263"/>
        <v>27794</v>
      </c>
      <c r="N507" s="129">
        <f>N436*(1+SIM_Parametres!$B$6)/(1+SIM_Parametres!$B$11)</f>
        <v>73189</v>
      </c>
      <c r="O507" s="72"/>
      <c r="P507" s="130">
        <f>SIM_Parametres!$D$29</f>
        <v>0</v>
      </c>
      <c r="Q507" s="130">
        <f>SIM_Parametres!$B$12</f>
        <v>0.2</v>
      </c>
      <c r="R507" s="59">
        <f t="shared" si="295"/>
        <v>3.37335822227793E-2</v>
      </c>
      <c r="S507" s="59">
        <f t="shared" si="296"/>
        <v>0</v>
      </c>
      <c r="T507" s="59">
        <f t="shared" si="297"/>
        <v>0.50276243093922646</v>
      </c>
      <c r="U507" s="59">
        <f t="shared" si="298"/>
        <v>0.10740318997556665</v>
      </c>
      <c r="V507" s="59">
        <f t="shared" si="299"/>
        <v>9.5544805280436421E-2</v>
      </c>
      <c r="W507" s="59">
        <f t="shared" si="300"/>
        <v>0</v>
      </c>
      <c r="X507" s="59">
        <f t="shared" si="301"/>
        <v>9.9491608812113923E-3</v>
      </c>
      <c r="Y507" s="59">
        <f t="shared" si="302"/>
        <v>2.7441202998738077E-3</v>
      </c>
      <c r="Z507" s="59">
        <f t="shared" si="303"/>
        <v>3.506814418545408E-3</v>
      </c>
      <c r="AA507" s="59">
        <f t="shared" si="264"/>
        <v>2.2045070201770246E-2</v>
      </c>
      <c r="AB507" s="59">
        <f t="shared" si="304"/>
        <v>1.8445332755315156E-2</v>
      </c>
      <c r="AC507" s="60">
        <f t="shared" si="265"/>
        <v>28497158.042409487</v>
      </c>
      <c r="AD507" s="60">
        <f t="shared" si="281"/>
        <v>25699929.258517943</v>
      </c>
      <c r="AE507" s="59">
        <f t="shared" si="268"/>
        <v>3.1999999999999806E-2</v>
      </c>
      <c r="AF507" s="60">
        <f t="shared" si="282"/>
        <v>25699929.258517943</v>
      </c>
      <c r="AG507" s="60">
        <f t="shared" si="305"/>
        <v>1.0000000000000004</v>
      </c>
      <c r="AH507" s="60">
        <f t="shared" si="283"/>
        <v>25699929.258517954</v>
      </c>
      <c r="AI507" s="60">
        <f t="shared" si="266"/>
        <v>42.029884243358531</v>
      </c>
      <c r="AJ507" s="60">
        <f t="shared" si="267"/>
        <v>0</v>
      </c>
      <c r="AK507" s="59">
        <f t="shared" si="269"/>
        <v>3.200000000000025E-2</v>
      </c>
    </row>
    <row r="508" spans="1:37" ht="12.75" customHeight="1" x14ac:dyDescent="0.25">
      <c r="A508" s="62" t="s">
        <v>596</v>
      </c>
      <c r="B508" s="62" t="s">
        <v>376</v>
      </c>
      <c r="C508" s="62" t="s">
        <v>387</v>
      </c>
      <c r="D508" s="124">
        <v>2023</v>
      </c>
      <c r="E508" s="62" t="s">
        <v>676</v>
      </c>
      <c r="F508" s="64">
        <f>SIM_Parametres!$C$29</f>
        <v>1393302555.147037</v>
      </c>
      <c r="G508" s="125">
        <f>SIM_Districts!D11*(1+SIM_Parametres!$B$6)^(2023-2023)</f>
        <v>294651</v>
      </c>
      <c r="H508" s="125">
        <f>MAX(0,MIN(100,SIM_Districts!F11+(2023-2022)*SIM_Parametres!$B$7))</f>
        <v>8.4700000000000006</v>
      </c>
      <c r="I508" s="125">
        <f>SIM_Districts!G11*(1+SIM_Parametres!$B$8)^(2023-2023)</f>
        <v>40</v>
      </c>
      <c r="J508" s="125">
        <f>SIM_Districts!H11*(1+SIM_Parametres!$B$9)^(2023-2023)</f>
        <v>10.4</v>
      </c>
      <c r="K508" s="125">
        <f>MAX(0,MIN(100,SIM_Districts!I11+(2023-2023)*SIM_Parametres!$B$10))</f>
        <v>98.9</v>
      </c>
      <c r="L508" s="125">
        <f>SIM_Districts!E11</f>
        <v>34</v>
      </c>
      <c r="M508" s="61">
        <f t="shared" si="263"/>
        <v>8666.2058823529405</v>
      </c>
      <c r="N508" s="125">
        <f>N437*(1+SIM_Parametres!$B$6)/(1+SIM_Parametres!$B$11)</f>
        <v>73189</v>
      </c>
      <c r="O508" s="132"/>
      <c r="P508" s="126">
        <f>SIM_Parametres!$D$29</f>
        <v>0</v>
      </c>
      <c r="Q508" s="126">
        <f>SIM_Parametres!$B$12</f>
        <v>0.2</v>
      </c>
      <c r="R508" s="66">
        <f t="shared" si="295"/>
        <v>1.6255362072134835E-2</v>
      </c>
      <c r="S508" s="66">
        <f t="shared" si="296"/>
        <v>0</v>
      </c>
      <c r="T508" s="66">
        <f t="shared" si="297"/>
        <v>0.50276243093922646</v>
      </c>
      <c r="U508" s="66">
        <f t="shared" si="298"/>
        <v>0.37834067197086158</v>
      </c>
      <c r="V508" s="66">
        <f t="shared" si="299"/>
        <v>9.5544805280436421E-2</v>
      </c>
      <c r="W508" s="66">
        <f t="shared" si="300"/>
        <v>0</v>
      </c>
      <c r="X508" s="66">
        <f t="shared" si="301"/>
        <v>9.9491608812113923E-3</v>
      </c>
      <c r="Y508" s="66">
        <f t="shared" si="302"/>
        <v>9.6664942490006425E-3</v>
      </c>
      <c r="Z508" s="66">
        <f t="shared" si="303"/>
        <v>3.506814418545408E-3</v>
      </c>
      <c r="AA508" s="66">
        <f t="shared" si="264"/>
        <v>1.1904256808839912E-2</v>
      </c>
      <c r="AB508" s="66">
        <f t="shared" si="304"/>
        <v>1.2725641322922282E-2</v>
      </c>
      <c r="AC508" s="67">
        <f t="shared" si="265"/>
        <v>17193781.073098183</v>
      </c>
      <c r="AD508" s="67">
        <f t="shared" si="281"/>
        <v>17730668.571112335</v>
      </c>
      <c r="AE508" s="66">
        <f t="shared" si="268"/>
        <v>3.1999999999999584E-2</v>
      </c>
      <c r="AF508" s="67">
        <f t="shared" si="282"/>
        <v>17730668.571112335</v>
      </c>
      <c r="AG508" s="67">
        <f t="shared" si="305"/>
        <v>1.0000000000000004</v>
      </c>
      <c r="AH508" s="67">
        <f t="shared" si="283"/>
        <v>17730668.571112342</v>
      </c>
      <c r="AI508" s="67">
        <f t="shared" si="266"/>
        <v>60.175151522011944</v>
      </c>
      <c r="AJ508" s="67">
        <f t="shared" si="267"/>
        <v>0</v>
      </c>
      <c r="AK508" s="66">
        <f t="shared" si="269"/>
        <v>3.2000000000000028E-2</v>
      </c>
    </row>
    <row r="509" spans="1:37" ht="12.75" customHeight="1" x14ac:dyDescent="0.25">
      <c r="A509" s="55" t="s">
        <v>597</v>
      </c>
      <c r="B509" s="55" t="s">
        <v>376</v>
      </c>
      <c r="C509" s="55" t="s">
        <v>388</v>
      </c>
      <c r="D509" s="128">
        <v>2023</v>
      </c>
      <c r="E509" s="55" t="s">
        <v>676</v>
      </c>
      <c r="F509" s="57">
        <f>SIM_Parametres!$C$29</f>
        <v>1393302555.147037</v>
      </c>
      <c r="G509" s="129">
        <f>SIM_Districts!D12*(1+SIM_Parametres!$B$6)^(2023-2023)</f>
        <v>458290</v>
      </c>
      <c r="H509" s="129">
        <f>MAX(0,MIN(100,SIM_Districts!F12+(2023-2022)*SIM_Parametres!$B$7))</f>
        <v>8.4700000000000006</v>
      </c>
      <c r="I509" s="129">
        <f>SIM_Districts!G12*(1+SIM_Parametres!$B$8)^(2023-2023)</f>
        <v>40</v>
      </c>
      <c r="J509" s="129">
        <f>SIM_Districts!H12*(1+SIM_Parametres!$B$9)^(2023-2023)</f>
        <v>10.4</v>
      </c>
      <c r="K509" s="129">
        <f>MAX(0,MIN(100,SIM_Districts!I12+(2023-2023)*SIM_Parametres!$B$10))</f>
        <v>98.9</v>
      </c>
      <c r="L509" s="129">
        <f>SIM_Districts!E12</f>
        <v>18</v>
      </c>
      <c r="M509" s="68">
        <f t="shared" si="263"/>
        <v>25460.555555555555</v>
      </c>
      <c r="N509" s="129">
        <f>N438*(1+SIM_Parametres!$B$6)/(1+SIM_Parametres!$B$11)</f>
        <v>73189</v>
      </c>
      <c r="O509" s="72"/>
      <c r="P509" s="130">
        <f>SIM_Parametres!$D$29</f>
        <v>0</v>
      </c>
      <c r="Q509" s="130">
        <f>SIM_Parametres!$B$12</f>
        <v>0.2</v>
      </c>
      <c r="R509" s="59">
        <f t="shared" si="295"/>
        <v>2.528302936028954E-2</v>
      </c>
      <c r="S509" s="59">
        <f t="shared" si="296"/>
        <v>0</v>
      </c>
      <c r="T509" s="59">
        <f t="shared" si="297"/>
        <v>0.50276243093922646</v>
      </c>
      <c r="U509" s="59">
        <f t="shared" si="298"/>
        <v>0.14026621640536652</v>
      </c>
      <c r="V509" s="59">
        <f t="shared" si="299"/>
        <v>9.5544805280436421E-2</v>
      </c>
      <c r="W509" s="59">
        <f t="shared" si="300"/>
        <v>0</v>
      </c>
      <c r="X509" s="59">
        <f t="shared" si="301"/>
        <v>9.9491608812113923E-3</v>
      </c>
      <c r="Y509" s="59">
        <f t="shared" si="302"/>
        <v>3.5837610774132689E-3</v>
      </c>
      <c r="Z509" s="59">
        <f t="shared" si="303"/>
        <v>3.506814418545408E-3</v>
      </c>
      <c r="AA509" s="59">
        <f t="shared" si="264"/>
        <v>1.7016720523153367E-2</v>
      </c>
      <c r="AB509" s="59">
        <f t="shared" si="304"/>
        <v>1.7623673204657075E-2</v>
      </c>
      <c r="AC509" s="60">
        <f t="shared" si="265"/>
        <v>22892348.078097746</v>
      </c>
      <c r="AD509" s="60">
        <f t="shared" si="281"/>
        <v>24555108.907125074</v>
      </c>
      <c r="AE509" s="59">
        <f t="shared" si="268"/>
        <v>3.1999999999999806E-2</v>
      </c>
      <c r="AF509" s="60">
        <f t="shared" si="282"/>
        <v>24555108.907125074</v>
      </c>
      <c r="AG509" s="60">
        <f t="shared" si="305"/>
        <v>1.0000000000000004</v>
      </c>
      <c r="AH509" s="60">
        <f t="shared" si="283"/>
        <v>24555108.907125086</v>
      </c>
      <c r="AI509" s="60">
        <f t="shared" si="266"/>
        <v>53.579848801250485</v>
      </c>
      <c r="AJ509" s="60">
        <f t="shared" si="267"/>
        <v>0</v>
      </c>
      <c r="AK509" s="59">
        <f t="shared" si="269"/>
        <v>3.200000000000025E-2</v>
      </c>
    </row>
    <row r="510" spans="1:37" ht="12.75" customHeight="1" x14ac:dyDescent="0.25">
      <c r="A510" s="62" t="s">
        <v>598</v>
      </c>
      <c r="B510" s="62" t="s">
        <v>376</v>
      </c>
      <c r="C510" s="62" t="s">
        <v>389</v>
      </c>
      <c r="D510" s="124">
        <v>2023</v>
      </c>
      <c r="E510" s="62" t="s">
        <v>676</v>
      </c>
      <c r="F510" s="64">
        <f>SIM_Parametres!$C$29</f>
        <v>1393302555.147037</v>
      </c>
      <c r="G510" s="125">
        <f>SIM_Districts!D13*(1+SIM_Parametres!$B$6)^(2023-2023)</f>
        <v>502859</v>
      </c>
      <c r="H510" s="125">
        <f>MAX(0,MIN(100,SIM_Districts!F13+(2023-2022)*SIM_Parametres!$B$7))</f>
        <v>8.4700000000000006</v>
      </c>
      <c r="I510" s="125">
        <f>SIM_Districts!G13*(1+SIM_Parametres!$B$8)^(2023-2023)</f>
        <v>40</v>
      </c>
      <c r="J510" s="125">
        <f>SIM_Districts!H13*(1+SIM_Parametres!$B$9)^(2023-2023)</f>
        <v>10.4</v>
      </c>
      <c r="K510" s="125">
        <f>MAX(0,MIN(100,SIM_Districts!I13+(2023-2023)*SIM_Parametres!$B$10))</f>
        <v>98.9</v>
      </c>
      <c r="L510" s="125">
        <f>SIM_Districts!E13</f>
        <v>203</v>
      </c>
      <c r="M510" s="61">
        <f t="shared" si="263"/>
        <v>2477.1379310344828</v>
      </c>
      <c r="N510" s="125">
        <f>N439*(1+SIM_Parametres!$B$6)/(1+SIM_Parametres!$B$11)</f>
        <v>73189</v>
      </c>
      <c r="O510" s="132"/>
      <c r="P510" s="126">
        <f>SIM_Parametres!$D$29</f>
        <v>0</v>
      </c>
      <c r="Q510" s="126">
        <f>SIM_Parametres!$B$12</f>
        <v>0.2</v>
      </c>
      <c r="R510" s="66">
        <f t="shared" si="295"/>
        <v>2.774182037811394E-2</v>
      </c>
      <c r="S510" s="66">
        <f t="shared" si="296"/>
        <v>0</v>
      </c>
      <c r="T510" s="66">
        <f t="shared" si="297"/>
        <v>0.50276243093922646</v>
      </c>
      <c r="U510" s="66">
        <f t="shared" si="298"/>
        <v>0.47172605328939676</v>
      </c>
      <c r="V510" s="66">
        <f t="shared" si="299"/>
        <v>9.5544805280436421E-2</v>
      </c>
      <c r="W510" s="66">
        <f t="shared" si="300"/>
        <v>0</v>
      </c>
      <c r="X510" s="66">
        <f t="shared" si="301"/>
        <v>9.9491608812113923E-3</v>
      </c>
      <c r="Y510" s="66">
        <f t="shared" si="302"/>
        <v>1.2052463610301233E-2</v>
      </c>
      <c r="Z510" s="66">
        <f t="shared" si="303"/>
        <v>3.506814418545408E-3</v>
      </c>
      <c r="AA510" s="66">
        <f t="shared" si="264"/>
        <v>1.8915430260492402E-2</v>
      </c>
      <c r="AB510" s="66">
        <f t="shared" si="304"/>
        <v>1.9934905744391617E-2</v>
      </c>
      <c r="AC510" s="67">
        <f t="shared" si="265"/>
        <v>25008729.780911371</v>
      </c>
      <c r="AD510" s="67">
        <f t="shared" si="281"/>
        <v>27775355.110276185</v>
      </c>
      <c r="AE510" s="66">
        <f t="shared" si="268"/>
        <v>3.1999999999999806E-2</v>
      </c>
      <c r="AF510" s="67">
        <f t="shared" si="282"/>
        <v>27775355.110276185</v>
      </c>
      <c r="AG510" s="67">
        <f t="shared" si="305"/>
        <v>1.0000000000000004</v>
      </c>
      <c r="AH510" s="67">
        <f t="shared" si="283"/>
        <v>27775355.110276196</v>
      </c>
      <c r="AI510" s="67">
        <f t="shared" si="266"/>
        <v>55.234877192764166</v>
      </c>
      <c r="AJ510" s="67">
        <f t="shared" si="267"/>
        <v>0</v>
      </c>
      <c r="AK510" s="66">
        <f t="shared" si="269"/>
        <v>3.2000000000000028E-2</v>
      </c>
    </row>
    <row r="511" spans="1:37" ht="12.75" customHeight="1" x14ac:dyDescent="0.25">
      <c r="A511" s="55" t="s">
        <v>599</v>
      </c>
      <c r="B511" s="55" t="s">
        <v>390</v>
      </c>
      <c r="C511" s="55" t="s">
        <v>392</v>
      </c>
      <c r="D511" s="128">
        <v>2023</v>
      </c>
      <c r="E511" s="55" t="s">
        <v>676</v>
      </c>
      <c r="F511" s="57">
        <f>SIM_Parametres!$C$29</f>
        <v>1393302555.147037</v>
      </c>
      <c r="G511" s="129">
        <f>SIM_Districts!D14*(1+SIM_Parametres!$B$6)^(2023-2023)</f>
        <v>868049</v>
      </c>
      <c r="H511" s="129">
        <f>MAX(0,MIN(100,SIM_Districts!F14+(2023-2022)*SIM_Parametres!$B$7))</f>
        <v>36.57</v>
      </c>
      <c r="I511" s="129">
        <f>SIM_Districts!G14*(1+SIM_Parametres!$B$8)^(2023-2023)</f>
        <v>40</v>
      </c>
      <c r="J511" s="129">
        <f>SIM_Districts!H14*(1+SIM_Parametres!$B$9)^(2023-2023)</f>
        <v>17.5</v>
      </c>
      <c r="K511" s="129">
        <f>MAX(0,MIN(100,SIM_Districts!I14+(2023-2023)*SIM_Parametres!$B$10))</f>
        <v>94.2</v>
      </c>
      <c r="L511" s="129">
        <f>SIM_Districts!E14</f>
        <v>1335</v>
      </c>
      <c r="M511" s="68">
        <f t="shared" si="263"/>
        <v>650.22397003745323</v>
      </c>
      <c r="N511" s="129">
        <f>N440*(1+SIM_Parametres!$B$6)/(1+SIM_Parametres!$B$11)</f>
        <v>203502</v>
      </c>
      <c r="O511" s="72"/>
      <c r="P511" s="130">
        <f>SIM_Parametres!$D$29</f>
        <v>0</v>
      </c>
      <c r="Q511" s="130">
        <f>SIM_Parametres!$B$12</f>
        <v>0.2</v>
      </c>
      <c r="R511" s="59">
        <f t="shared" si="295"/>
        <v>4.7888691337733692E-2</v>
      </c>
      <c r="S511" s="59">
        <f t="shared" si="296"/>
        <v>0.4982269503546099</v>
      </c>
      <c r="T511" s="59">
        <f t="shared" si="297"/>
        <v>0.69889502762430933</v>
      </c>
      <c r="U511" s="59">
        <f t="shared" si="298"/>
        <v>0.53677681892865103</v>
      </c>
      <c r="V511" s="59">
        <f t="shared" si="299"/>
        <v>1</v>
      </c>
      <c r="W511" s="59">
        <f t="shared" si="300"/>
        <v>1.1879095328683149E-2</v>
      </c>
      <c r="X511" s="59">
        <f t="shared" si="301"/>
        <v>1.3830426939266385E-2</v>
      </c>
      <c r="Y511" s="59">
        <f t="shared" si="302"/>
        <v>1.3714491773092488E-2</v>
      </c>
      <c r="Z511" s="59">
        <f t="shared" si="303"/>
        <v>3.6703349891733537E-2</v>
      </c>
      <c r="AA511" s="59">
        <f t="shared" si="264"/>
        <v>3.5110535226073943E-2</v>
      </c>
      <c r="AB511" s="59">
        <f t="shared" si="304"/>
        <v>1.317595780467354E-2</v>
      </c>
      <c r="AC511" s="60">
        <f t="shared" si="265"/>
        <v>43060474.68444676</v>
      </c>
      <c r="AD511" s="60">
        <f t="shared" si="281"/>
        <v>18358095.675761189</v>
      </c>
      <c r="AE511" s="59">
        <f t="shared" si="268"/>
        <v>3.1999999999999806E-2</v>
      </c>
      <c r="AF511" s="60">
        <f t="shared" si="282"/>
        <v>18358095.675761189</v>
      </c>
      <c r="AG511" s="60">
        <f t="shared" si="305"/>
        <v>1.0000000000000004</v>
      </c>
      <c r="AH511" s="60">
        <f t="shared" si="283"/>
        <v>18358095.675761197</v>
      </c>
      <c r="AI511" s="60">
        <f t="shared" si="266"/>
        <v>21.148685933353068</v>
      </c>
      <c r="AJ511" s="60">
        <f t="shared" si="267"/>
        <v>0</v>
      </c>
      <c r="AK511" s="59">
        <f t="shared" si="269"/>
        <v>3.200000000000025E-2</v>
      </c>
    </row>
    <row r="512" spans="1:37" ht="12.75" customHeight="1" x14ac:dyDescent="0.25">
      <c r="A512" s="62" t="s">
        <v>601</v>
      </c>
      <c r="B512" s="62" t="s">
        <v>390</v>
      </c>
      <c r="C512" s="62" t="s">
        <v>390</v>
      </c>
      <c r="D512" s="124">
        <v>2023</v>
      </c>
      <c r="E512" s="62" t="s">
        <v>676</v>
      </c>
      <c r="F512" s="64">
        <f>SIM_Parametres!$C$29</f>
        <v>1393302555.147037</v>
      </c>
      <c r="G512" s="125">
        <f>SIM_Districts!D15*(1+SIM_Parametres!$B$6)^(2023-2023)</f>
        <v>777435</v>
      </c>
      <c r="H512" s="125">
        <f>MAX(0,MIN(100,SIM_Districts!F15+(2023-2022)*SIM_Parametres!$B$7))</f>
        <v>36.57</v>
      </c>
      <c r="I512" s="125">
        <f>SIM_Districts!G15*(1+SIM_Parametres!$B$8)^(2023-2023)</f>
        <v>40</v>
      </c>
      <c r="J512" s="125">
        <f>SIM_Districts!H15*(1+SIM_Parametres!$B$9)^(2023-2023)</f>
        <v>17.5</v>
      </c>
      <c r="K512" s="125">
        <f>MAX(0,MIN(100,SIM_Districts!I15+(2023-2023)*SIM_Parametres!$B$10))</f>
        <v>94.2</v>
      </c>
      <c r="L512" s="125">
        <f>SIM_Districts!E15</f>
        <v>1292</v>
      </c>
      <c r="M512" s="61">
        <f t="shared" si="263"/>
        <v>601.72987616099067</v>
      </c>
      <c r="N512" s="125">
        <f>N441*(1+SIM_Parametres!$B$6)/(1+SIM_Parametres!$B$11)</f>
        <v>203502</v>
      </c>
      <c r="O512" s="132"/>
      <c r="P512" s="126">
        <f>SIM_Parametres!$D$29</f>
        <v>0</v>
      </c>
      <c r="Q512" s="126">
        <f>SIM_Parametres!$B$12</f>
        <v>0.2</v>
      </c>
      <c r="R512" s="66">
        <f t="shared" si="295"/>
        <v>4.2889681055045273E-2</v>
      </c>
      <c r="S512" s="66">
        <f t="shared" si="296"/>
        <v>0.4982269503546099</v>
      </c>
      <c r="T512" s="66">
        <f t="shared" si="297"/>
        <v>0.69889502762430933</v>
      </c>
      <c r="U512" s="66">
        <f t="shared" si="298"/>
        <v>0.53597312572887268</v>
      </c>
      <c r="V512" s="66">
        <f t="shared" si="299"/>
        <v>1</v>
      </c>
      <c r="W512" s="66">
        <f t="shared" si="300"/>
        <v>1.1879095328683149E-2</v>
      </c>
      <c r="X512" s="66">
        <f t="shared" si="301"/>
        <v>1.3830426939266385E-2</v>
      </c>
      <c r="Y512" s="66">
        <f t="shared" si="302"/>
        <v>1.3693957645336282E-2</v>
      </c>
      <c r="Z512" s="66">
        <f t="shared" si="303"/>
        <v>3.6703349891733537E-2</v>
      </c>
      <c r="AA512" s="66">
        <f t="shared" si="264"/>
        <v>3.2110102350073083E-2</v>
      </c>
      <c r="AB512" s="66">
        <f t="shared" si="304"/>
        <v>1.3421279470105197E-2</v>
      </c>
      <c r="AC512" s="67">
        <f t="shared" si="265"/>
        <v>39716066.050303422</v>
      </c>
      <c r="AD512" s="67">
        <f t="shared" si="281"/>
        <v>18699902.979040042</v>
      </c>
      <c r="AE512" s="66">
        <f t="shared" si="268"/>
        <v>3.1999999999999806E-2</v>
      </c>
      <c r="AF512" s="67">
        <f t="shared" si="282"/>
        <v>18699902.979040042</v>
      </c>
      <c r="AG512" s="67">
        <f t="shared" si="305"/>
        <v>1.0000000000000004</v>
      </c>
      <c r="AH512" s="67">
        <f t="shared" si="283"/>
        <v>18699902.979040049</v>
      </c>
      <c r="AI512" s="67">
        <f t="shared" si="266"/>
        <v>24.053333049116709</v>
      </c>
      <c r="AJ512" s="67">
        <f t="shared" si="267"/>
        <v>0</v>
      </c>
      <c r="AK512" s="66">
        <f t="shared" si="269"/>
        <v>3.200000000000025E-2</v>
      </c>
    </row>
    <row r="513" spans="1:37" ht="12.75" customHeight="1" x14ac:dyDescent="0.25">
      <c r="A513" s="55" t="s">
        <v>602</v>
      </c>
      <c r="B513" s="55" t="s">
        <v>390</v>
      </c>
      <c r="C513" s="55" t="s">
        <v>393</v>
      </c>
      <c r="D513" s="128">
        <v>2023</v>
      </c>
      <c r="E513" s="55" t="s">
        <v>676</v>
      </c>
      <c r="F513" s="57">
        <f>SIM_Parametres!$C$29</f>
        <v>1393302555.147037</v>
      </c>
      <c r="G513" s="129">
        <f>SIM_Districts!D16*(1+SIM_Parametres!$B$6)^(2023-2023)</f>
        <v>434849</v>
      </c>
      <c r="H513" s="129">
        <f>MAX(0,MIN(100,SIM_Districts!F16+(2023-2022)*SIM_Parametres!$B$7))</f>
        <v>36.57</v>
      </c>
      <c r="I513" s="129">
        <f>SIM_Districts!G16*(1+SIM_Parametres!$B$8)^(2023-2023)</f>
        <v>40</v>
      </c>
      <c r="J513" s="129">
        <f>SIM_Districts!H16*(1+SIM_Parametres!$B$9)^(2023-2023)</f>
        <v>17.5</v>
      </c>
      <c r="K513" s="129">
        <f>MAX(0,MIN(100,SIM_Districts!I16+(2023-2023)*SIM_Parametres!$B$10))</f>
        <v>94.2</v>
      </c>
      <c r="L513" s="129">
        <f>SIM_Districts!E16</f>
        <v>1729</v>
      </c>
      <c r="M513" s="68">
        <f t="shared" si="263"/>
        <v>251.50318102949683</v>
      </c>
      <c r="N513" s="129">
        <f>N442*(1+SIM_Parametres!$B$6)/(1+SIM_Parametres!$B$11)</f>
        <v>203502</v>
      </c>
      <c r="O513" s="72"/>
      <c r="P513" s="130">
        <f>SIM_Parametres!$D$29</f>
        <v>0</v>
      </c>
      <c r="Q513" s="130">
        <f>SIM_Parametres!$B$12</f>
        <v>0.2</v>
      </c>
      <c r="R513" s="59">
        <f t="shared" si="295"/>
        <v>2.3989831840739589E-2</v>
      </c>
      <c r="S513" s="59">
        <f t="shared" si="296"/>
        <v>0.4982269503546099</v>
      </c>
      <c r="T513" s="59">
        <f t="shared" si="297"/>
        <v>0.69889502762430933</v>
      </c>
      <c r="U513" s="59">
        <f t="shared" si="298"/>
        <v>0.55606420327741424</v>
      </c>
      <c r="V513" s="59">
        <f t="shared" si="299"/>
        <v>1</v>
      </c>
      <c r="W513" s="59">
        <f t="shared" si="300"/>
        <v>1.1879095328683149E-2</v>
      </c>
      <c r="X513" s="59">
        <f t="shared" si="301"/>
        <v>1.3830426939266385E-2</v>
      </c>
      <c r="Y513" s="59">
        <f t="shared" si="302"/>
        <v>1.4207278839612113E-2</v>
      </c>
      <c r="Z513" s="59">
        <f t="shared" si="303"/>
        <v>3.6703349891733537E-2</v>
      </c>
      <c r="AA513" s="59">
        <f t="shared" si="264"/>
        <v>2.0795858881203465E-2</v>
      </c>
      <c r="AB513" s="59">
        <f t="shared" si="304"/>
        <v>1.2249280417786152E-2</v>
      </c>
      <c r="AC513" s="60">
        <f t="shared" si="265"/>
        <v>27104734.582518045</v>
      </c>
      <c r="AD513" s="60">
        <f t="shared" si="281"/>
        <v>17066953.704814013</v>
      </c>
      <c r="AE513" s="59">
        <f t="shared" si="268"/>
        <v>3.1999999999999806E-2</v>
      </c>
      <c r="AF513" s="60">
        <f t="shared" si="282"/>
        <v>17066953.704814013</v>
      </c>
      <c r="AG513" s="60">
        <f t="shared" si="305"/>
        <v>1.0000000000000004</v>
      </c>
      <c r="AH513" s="60">
        <f t="shared" si="283"/>
        <v>17066953.704814021</v>
      </c>
      <c r="AI513" s="60">
        <f t="shared" si="266"/>
        <v>39.248000351418582</v>
      </c>
      <c r="AJ513" s="60">
        <f t="shared" si="267"/>
        <v>0</v>
      </c>
      <c r="AK513" s="59">
        <f t="shared" si="269"/>
        <v>3.200000000000025E-2</v>
      </c>
    </row>
    <row r="514" spans="1:37" ht="12.75" customHeight="1" x14ac:dyDescent="0.25">
      <c r="A514" s="62" t="s">
        <v>603</v>
      </c>
      <c r="B514" s="62" t="s">
        <v>394</v>
      </c>
      <c r="C514" s="62" t="s">
        <v>396</v>
      </c>
      <c r="D514" s="124">
        <v>2023</v>
      </c>
      <c r="E514" s="62" t="s">
        <v>676</v>
      </c>
      <c r="F514" s="64">
        <f>SIM_Parametres!$C$29</f>
        <v>1393302555.147037</v>
      </c>
      <c r="G514" s="125">
        <f>SIM_Districts!D17*(1+SIM_Parametres!$B$6)^(2023-2023)</f>
        <v>96362</v>
      </c>
      <c r="H514" s="125">
        <f>MAX(0,MIN(100,SIM_Districts!F17+(2023-2022)*SIM_Parametres!$B$7))</f>
        <v>45.67</v>
      </c>
      <c r="I514" s="125">
        <f>SIM_Districts!G17*(1+SIM_Parametres!$B$8)^(2023-2023)</f>
        <v>40</v>
      </c>
      <c r="J514" s="125">
        <f>SIM_Districts!H17*(1+SIM_Parametres!$B$9)^(2023-2023)</f>
        <v>15.9</v>
      </c>
      <c r="K514" s="125">
        <f>MAX(0,MIN(100,SIM_Districts!I17+(2023-2023)*SIM_Parametres!$B$10))</f>
        <v>91.5</v>
      </c>
      <c r="L514" s="125">
        <f>SIM_Districts!E17</f>
        <v>978</v>
      </c>
      <c r="M514" s="61">
        <f t="shared" si="263"/>
        <v>98.529652351738235</v>
      </c>
      <c r="N514" s="125">
        <f>N443*(1+SIM_Parametres!$B$6)/(1+SIM_Parametres!$B$11)</f>
        <v>95110</v>
      </c>
      <c r="O514" s="132"/>
      <c r="P514" s="126">
        <f>SIM_Parametres!$D$29</f>
        <v>0</v>
      </c>
      <c r="Q514" s="126">
        <f>SIM_Parametres!$B$12</f>
        <v>0.2</v>
      </c>
      <c r="R514" s="66">
        <f t="shared" si="295"/>
        <v>5.3161170333549078E-3</v>
      </c>
      <c r="S514" s="66">
        <f t="shared" si="296"/>
        <v>0.65957446808510634</v>
      </c>
      <c r="T514" s="66">
        <f t="shared" si="297"/>
        <v>0.65469613259668513</v>
      </c>
      <c r="U514" s="66">
        <f t="shared" si="298"/>
        <v>0.53221272247018281</v>
      </c>
      <c r="V514" s="66">
        <f t="shared" si="299"/>
        <v>0.24769050312675686</v>
      </c>
      <c r="W514" s="66">
        <f t="shared" si="300"/>
        <v>1.5726062143310078E-2</v>
      </c>
      <c r="X514" s="66">
        <f t="shared" si="301"/>
        <v>1.2955775433225826E-2</v>
      </c>
      <c r="Y514" s="66">
        <f t="shared" si="302"/>
        <v>1.3597880434592076E-2</v>
      </c>
      <c r="Z514" s="66">
        <f t="shared" si="303"/>
        <v>9.0910712011208778E-3</v>
      </c>
      <c r="AA514" s="66">
        <f t="shared" si="264"/>
        <v>8.6263934382789769E-3</v>
      </c>
      <c r="AB514" s="66">
        <f t="shared" si="304"/>
        <v>1.1797283650655225E-2</v>
      </c>
      <c r="AC514" s="67">
        <f t="shared" si="265"/>
        <v>13540136.74539784</v>
      </c>
      <c r="AD514" s="67">
        <f t="shared" si="281"/>
        <v>16437185.45425229</v>
      </c>
      <c r="AE514" s="66">
        <f t="shared" si="268"/>
        <v>3.1999999999999806E-2</v>
      </c>
      <c r="AF514" s="67">
        <f t="shared" si="282"/>
        <v>16437185.45425229</v>
      </c>
      <c r="AG514" s="67">
        <f t="shared" si="305"/>
        <v>1.0000000000000004</v>
      </c>
      <c r="AH514" s="67">
        <f t="shared" si="283"/>
        <v>16437185.454252297</v>
      </c>
      <c r="AI514" s="67">
        <f t="shared" si="266"/>
        <v>170.57746263311572</v>
      </c>
      <c r="AJ514" s="67">
        <f t="shared" si="267"/>
        <v>0</v>
      </c>
      <c r="AK514" s="66">
        <f t="shared" si="269"/>
        <v>3.200000000000025E-2</v>
      </c>
    </row>
    <row r="515" spans="1:37" ht="12.75" customHeight="1" x14ac:dyDescent="0.25">
      <c r="A515" s="55" t="s">
        <v>605</v>
      </c>
      <c r="B515" s="55" t="s">
        <v>394</v>
      </c>
      <c r="C515" s="55" t="s">
        <v>394</v>
      </c>
      <c r="D515" s="128">
        <v>2023</v>
      </c>
      <c r="E515" s="55" t="s">
        <v>676</v>
      </c>
      <c r="F515" s="57">
        <f>SIM_Parametres!$C$29</f>
        <v>1393302555.147037</v>
      </c>
      <c r="G515" s="129">
        <f>SIM_Districts!D18*(1+SIM_Parametres!$B$6)^(2023-2023)</f>
        <v>235554</v>
      </c>
      <c r="H515" s="129">
        <f>MAX(0,MIN(100,SIM_Districts!F18+(2023-2022)*SIM_Parametres!$B$7))</f>
        <v>45.67</v>
      </c>
      <c r="I515" s="129">
        <f>SIM_Districts!G18*(1+SIM_Parametres!$B$8)^(2023-2023)</f>
        <v>40</v>
      </c>
      <c r="J515" s="129">
        <f>SIM_Districts!H18*(1+SIM_Parametres!$B$9)^(2023-2023)</f>
        <v>15.9</v>
      </c>
      <c r="K515" s="129">
        <f>MAX(0,MIN(100,SIM_Districts!I18+(2023-2023)*SIM_Parametres!$B$10))</f>
        <v>91.5</v>
      </c>
      <c r="L515" s="129">
        <f>SIM_Districts!E18</f>
        <v>1155</v>
      </c>
      <c r="M515" s="68">
        <f t="shared" si="263"/>
        <v>203.94285714285715</v>
      </c>
      <c r="N515" s="129">
        <f>N444*(1+SIM_Parametres!$B$6)/(1+SIM_Parametres!$B$11)</f>
        <v>95110</v>
      </c>
      <c r="O515" s="72"/>
      <c r="P515" s="130">
        <f>SIM_Parametres!$D$29</f>
        <v>0</v>
      </c>
      <c r="Q515" s="130">
        <f>SIM_Parametres!$B$12</f>
        <v>0.2</v>
      </c>
      <c r="R515" s="59">
        <f t="shared" si="295"/>
        <v>1.2995087603774122E-2</v>
      </c>
      <c r="S515" s="59">
        <f t="shared" si="296"/>
        <v>0.65957446808510634</v>
      </c>
      <c r="T515" s="59">
        <f t="shared" si="297"/>
        <v>0.65469613259668513</v>
      </c>
      <c r="U515" s="59">
        <f t="shared" si="298"/>
        <v>0.5368532343373823</v>
      </c>
      <c r="V515" s="59">
        <f t="shared" si="299"/>
        <v>0.24769050312675686</v>
      </c>
      <c r="W515" s="59">
        <f t="shared" si="300"/>
        <v>1.5726062143310078E-2</v>
      </c>
      <c r="X515" s="59">
        <f t="shared" si="301"/>
        <v>1.2955775433225826E-2</v>
      </c>
      <c r="Y515" s="59">
        <f t="shared" si="302"/>
        <v>1.3716444164584495E-2</v>
      </c>
      <c r="Z515" s="59">
        <f t="shared" si="303"/>
        <v>9.0910712011208778E-3</v>
      </c>
      <c r="AA515" s="59">
        <f t="shared" si="264"/>
        <v>1.3239703967030126E-2</v>
      </c>
      <c r="AB515" s="59">
        <f t="shared" si="304"/>
        <v>1.3643077140221491E-2</v>
      </c>
      <c r="AC515" s="60">
        <f t="shared" si="265"/>
        <v>18682326.623314403</v>
      </c>
      <c r="AD515" s="60">
        <f t="shared" si="281"/>
        <v>19008934.239538733</v>
      </c>
      <c r="AE515" s="59">
        <f t="shared" si="268"/>
        <v>3.1999999999999806E-2</v>
      </c>
      <c r="AF515" s="60">
        <f t="shared" si="282"/>
        <v>19008934.239538733</v>
      </c>
      <c r="AG515" s="60">
        <f t="shared" si="305"/>
        <v>1.0000000000000004</v>
      </c>
      <c r="AH515" s="60">
        <f t="shared" si="283"/>
        <v>19008934.23953874</v>
      </c>
      <c r="AI515" s="60">
        <f t="shared" si="266"/>
        <v>80.698838650749892</v>
      </c>
      <c r="AJ515" s="60">
        <f t="shared" si="267"/>
        <v>0</v>
      </c>
      <c r="AK515" s="59">
        <f t="shared" si="269"/>
        <v>3.200000000000025E-2</v>
      </c>
    </row>
    <row r="516" spans="1:37" ht="12.75" customHeight="1" x14ac:dyDescent="0.25">
      <c r="A516" s="62" t="s">
        <v>606</v>
      </c>
      <c r="B516" s="62" t="s">
        <v>394</v>
      </c>
      <c r="C516" s="62" t="s">
        <v>397</v>
      </c>
      <c r="D516" s="124">
        <v>2023</v>
      </c>
      <c r="E516" s="62" t="s">
        <v>676</v>
      </c>
      <c r="F516" s="64">
        <f>SIM_Parametres!$C$29</f>
        <v>1393302555.147037</v>
      </c>
      <c r="G516" s="125">
        <f>SIM_Districts!D19*(1+SIM_Parametres!$B$6)^(2023-2023)</f>
        <v>64359</v>
      </c>
      <c r="H516" s="125">
        <f>MAX(0,MIN(100,SIM_Districts!F19+(2023-2022)*SIM_Parametres!$B$7))</f>
        <v>45.67</v>
      </c>
      <c r="I516" s="125">
        <f>SIM_Districts!G19*(1+SIM_Parametres!$B$8)^(2023-2023)</f>
        <v>40</v>
      </c>
      <c r="J516" s="125">
        <f>SIM_Districts!H19*(1+SIM_Parametres!$B$9)^(2023-2023)</f>
        <v>15.9</v>
      </c>
      <c r="K516" s="125">
        <f>MAX(0,MIN(100,SIM_Districts!I19+(2023-2023)*SIM_Parametres!$B$10))</f>
        <v>91.5</v>
      </c>
      <c r="L516" s="125">
        <f>SIM_Districts!E19</f>
        <v>733</v>
      </c>
      <c r="M516" s="61">
        <f t="shared" ref="M516:M579" si="306">IFERROR(G516/L516,0)</f>
        <v>87.80218281036835</v>
      </c>
      <c r="N516" s="125">
        <f>N445*(1+SIM_Parametres!$B$6)/(1+SIM_Parametres!$B$11)</f>
        <v>95110</v>
      </c>
      <c r="O516" s="132"/>
      <c r="P516" s="126">
        <f>SIM_Parametres!$D$29</f>
        <v>0</v>
      </c>
      <c r="Q516" s="126">
        <f>SIM_Parametres!$B$12</f>
        <v>0.2</v>
      </c>
      <c r="R516" s="66">
        <f t="shared" si="295"/>
        <v>3.5505694791483004E-3</v>
      </c>
      <c r="S516" s="66">
        <f t="shared" si="296"/>
        <v>0.65957446808510634</v>
      </c>
      <c r="T516" s="66">
        <f t="shared" si="297"/>
        <v>0.65469613259668513</v>
      </c>
      <c r="U516" s="66">
        <f t="shared" si="298"/>
        <v>0.52387753369973944</v>
      </c>
      <c r="V516" s="66">
        <f t="shared" si="299"/>
        <v>0.24769050312675686</v>
      </c>
      <c r="W516" s="66">
        <f t="shared" si="300"/>
        <v>1.5726062143310078E-2</v>
      </c>
      <c r="X516" s="66">
        <f t="shared" si="301"/>
        <v>1.2955775433225826E-2</v>
      </c>
      <c r="Y516" s="66">
        <f t="shared" si="302"/>
        <v>1.3384918783141526E-2</v>
      </c>
      <c r="Z516" s="66">
        <f t="shared" si="303"/>
        <v>9.0910712011208778E-3</v>
      </c>
      <c r="AA516" s="66">
        <f t="shared" ref="AA516:AA579" si="307">0.6*R516+0.15*W516+0.15*X516+0.05*Y516+0.05*Z516</f>
        <v>7.5564168231824855E-3</v>
      </c>
      <c r="AB516" s="66">
        <f t="shared" si="304"/>
        <v>1.2735723035200293E-2</v>
      </c>
      <c r="AC516" s="67">
        <f t="shared" ref="AC516:AC579" si="308">F516*(Q516/71+(1-Q516)*AA516)</f>
        <v>12347495.823988624</v>
      </c>
      <c r="AD516" s="67">
        <f t="shared" si="281"/>
        <v>17744715.446589548</v>
      </c>
      <c r="AE516" s="66">
        <f t="shared" si="268"/>
        <v>3.1999999999999806E-2</v>
      </c>
      <c r="AF516" s="67">
        <f t="shared" si="282"/>
        <v>17744715.446589548</v>
      </c>
      <c r="AG516" s="67">
        <f t="shared" si="305"/>
        <v>1.0000000000000004</v>
      </c>
      <c r="AH516" s="67">
        <f t="shared" si="283"/>
        <v>17744715.446589556</v>
      </c>
      <c r="AI516" s="67">
        <f t="shared" ref="AI516:AI579" si="309">IFERROR(AH516/G516,0)</f>
        <v>275.71459231171326</v>
      </c>
      <c r="AJ516" s="67">
        <f t="shared" ref="AJ516:AJ579" si="310">AH516-F516*AB516</f>
        <v>0</v>
      </c>
      <c r="AK516" s="66">
        <f t="shared" si="269"/>
        <v>3.200000000000025E-2</v>
      </c>
    </row>
    <row r="517" spans="1:37" ht="12.75" customHeight="1" x14ac:dyDescent="0.25">
      <c r="A517" s="55" t="s">
        <v>607</v>
      </c>
      <c r="B517" s="55" t="s">
        <v>394</v>
      </c>
      <c r="C517" s="55" t="s">
        <v>398</v>
      </c>
      <c r="D517" s="128">
        <v>2023</v>
      </c>
      <c r="E517" s="55" t="s">
        <v>676</v>
      </c>
      <c r="F517" s="57">
        <f>SIM_Parametres!$C$29</f>
        <v>1393302555.147037</v>
      </c>
      <c r="G517" s="129">
        <f>SIM_Districts!D20*(1+SIM_Parametres!$B$6)^(2023-2023)</f>
        <v>121511</v>
      </c>
      <c r="H517" s="129">
        <f>MAX(0,MIN(100,SIM_Districts!F20+(2023-2022)*SIM_Parametres!$B$7))</f>
        <v>45.67</v>
      </c>
      <c r="I517" s="129">
        <f>SIM_Districts!G20*(1+SIM_Parametres!$B$8)^(2023-2023)</f>
        <v>40</v>
      </c>
      <c r="J517" s="129">
        <f>SIM_Districts!H20*(1+SIM_Parametres!$B$9)^(2023-2023)</f>
        <v>15.9</v>
      </c>
      <c r="K517" s="129">
        <f>MAX(0,MIN(100,SIM_Districts!I20+(2023-2023)*SIM_Parametres!$B$10))</f>
        <v>91.5</v>
      </c>
      <c r="L517" s="129">
        <f>SIM_Districts!E20</f>
        <v>1476</v>
      </c>
      <c r="M517" s="68">
        <f t="shared" si="306"/>
        <v>82.324525745257446</v>
      </c>
      <c r="N517" s="129">
        <f>N446*(1+SIM_Parametres!$B$6)/(1+SIM_Parametres!$B$11)</f>
        <v>95110</v>
      </c>
      <c r="O517" s="72"/>
      <c r="P517" s="130">
        <f>SIM_Parametres!$D$29</f>
        <v>0</v>
      </c>
      <c r="Q517" s="130">
        <f>SIM_Parametres!$B$12</f>
        <v>0.2</v>
      </c>
      <c r="R517" s="59">
        <f t="shared" si="295"/>
        <v>6.7035418198043645E-3</v>
      </c>
      <c r="S517" s="59">
        <f t="shared" si="296"/>
        <v>0.65957446808510634</v>
      </c>
      <c r="T517" s="59">
        <f t="shared" si="297"/>
        <v>0.65469613259668513</v>
      </c>
      <c r="U517" s="59">
        <f t="shared" si="298"/>
        <v>0.54969284466862123</v>
      </c>
      <c r="V517" s="59">
        <f t="shared" si="299"/>
        <v>0.24769050312675686</v>
      </c>
      <c r="W517" s="59">
        <f t="shared" si="300"/>
        <v>1.5726062143310078E-2</v>
      </c>
      <c r="X517" s="59">
        <f t="shared" si="301"/>
        <v>1.2955775433225826E-2</v>
      </c>
      <c r="Y517" s="59">
        <f t="shared" si="302"/>
        <v>1.4044492478237353E-2</v>
      </c>
      <c r="Z517" s="59">
        <f t="shared" si="303"/>
        <v>9.0910712011208778E-3</v>
      </c>
      <c r="AA517" s="59">
        <f t="shared" si="307"/>
        <v>9.4811789123309155E-3</v>
      </c>
      <c r="AB517" s="59">
        <f t="shared" si="304"/>
        <v>1.3484290171842777E-2</v>
      </c>
      <c r="AC517" s="60">
        <f t="shared" si="308"/>
        <v>14492916.573477151</v>
      </c>
      <c r="AD517" s="60">
        <f t="shared" si="281"/>
        <v>18787695.950772621</v>
      </c>
      <c r="AE517" s="59">
        <f t="shared" si="268"/>
        <v>3.1999999999999806E-2</v>
      </c>
      <c r="AF517" s="60">
        <f t="shared" si="282"/>
        <v>18787695.950772621</v>
      </c>
      <c r="AG517" s="60">
        <f t="shared" si="305"/>
        <v>1.0000000000000004</v>
      </c>
      <c r="AH517" s="60">
        <f t="shared" si="283"/>
        <v>18787695.950772628</v>
      </c>
      <c r="AI517" s="60">
        <f t="shared" si="309"/>
        <v>154.61724412417499</v>
      </c>
      <c r="AJ517" s="60">
        <f t="shared" si="310"/>
        <v>0</v>
      </c>
      <c r="AK517" s="59">
        <f t="shared" si="269"/>
        <v>3.200000000000025E-2</v>
      </c>
    </row>
    <row r="518" spans="1:37" ht="12.75" customHeight="1" x14ac:dyDescent="0.25">
      <c r="A518" s="62" t="s">
        <v>608</v>
      </c>
      <c r="B518" s="62" t="s">
        <v>394</v>
      </c>
      <c r="C518" s="62" t="s">
        <v>399</v>
      </c>
      <c r="D518" s="124">
        <v>2023</v>
      </c>
      <c r="E518" s="62" t="s">
        <v>676</v>
      </c>
      <c r="F518" s="64">
        <f>SIM_Parametres!$C$29</f>
        <v>1393302555.147037</v>
      </c>
      <c r="G518" s="125">
        <f>SIM_Districts!D21*(1+SIM_Parametres!$B$6)^(2023-2023)</f>
        <v>98745</v>
      </c>
      <c r="H518" s="125">
        <f>MAX(0,MIN(100,SIM_Districts!F21+(2023-2022)*SIM_Parametres!$B$7))</f>
        <v>45.67</v>
      </c>
      <c r="I518" s="125">
        <f>SIM_Districts!G21*(1+SIM_Parametres!$B$8)^(2023-2023)</f>
        <v>40</v>
      </c>
      <c r="J518" s="125">
        <f>SIM_Districts!H21*(1+SIM_Parametres!$B$9)^(2023-2023)</f>
        <v>15.9</v>
      </c>
      <c r="K518" s="125">
        <f>MAX(0,MIN(100,SIM_Districts!I21+(2023-2023)*SIM_Parametres!$B$10))</f>
        <v>91.5</v>
      </c>
      <c r="L518" s="125">
        <f>SIM_Districts!E21</f>
        <v>406</v>
      </c>
      <c r="M518" s="61">
        <f t="shared" si="306"/>
        <v>243.21428571428572</v>
      </c>
      <c r="N518" s="125">
        <f>N447*(1+SIM_Parametres!$B$6)/(1+SIM_Parametres!$B$11)</f>
        <v>95110</v>
      </c>
      <c r="O518" s="132"/>
      <c r="P518" s="126">
        <f>SIM_Parametres!$D$29</f>
        <v>0</v>
      </c>
      <c r="Q518" s="126">
        <f>SIM_Parametres!$B$12</f>
        <v>0.2</v>
      </c>
      <c r="R518" s="66">
        <f t="shared" si="295"/>
        <v>5.4475828278639955E-3</v>
      </c>
      <c r="S518" s="66">
        <f t="shared" si="296"/>
        <v>0.65957446808510634</v>
      </c>
      <c r="T518" s="66">
        <f t="shared" si="297"/>
        <v>0.65469613259668513</v>
      </c>
      <c r="U518" s="66">
        <f t="shared" si="298"/>
        <v>0.51035214004959606</v>
      </c>
      <c r="V518" s="66">
        <f t="shared" si="299"/>
        <v>0.24769050312675686</v>
      </c>
      <c r="W518" s="66">
        <f t="shared" si="300"/>
        <v>1.5726062143310078E-2</v>
      </c>
      <c r="X518" s="66">
        <f t="shared" si="301"/>
        <v>1.2955775433225826E-2</v>
      </c>
      <c r="Y518" s="66">
        <f t="shared" si="302"/>
        <v>1.3039348904932265E-2</v>
      </c>
      <c r="Z518" s="66">
        <f t="shared" si="303"/>
        <v>9.0910712011208778E-3</v>
      </c>
      <c r="AA518" s="66">
        <f t="shared" si="307"/>
        <v>8.6773463385014394E-3</v>
      </c>
      <c r="AB518" s="66">
        <f t="shared" si="304"/>
        <v>1.1049556656702571E-2</v>
      </c>
      <c r="AC518" s="67">
        <f t="shared" si="308"/>
        <v>13596930.990255527</v>
      </c>
      <c r="AD518" s="67">
        <f t="shared" si="281"/>
        <v>15395375.523025645</v>
      </c>
      <c r="AE518" s="66">
        <f t="shared" si="268"/>
        <v>3.2000000000000028E-2</v>
      </c>
      <c r="AF518" s="67">
        <f t="shared" si="282"/>
        <v>15395375.523025645</v>
      </c>
      <c r="AG518" s="67">
        <f t="shared" si="305"/>
        <v>1.0000000000000004</v>
      </c>
      <c r="AH518" s="67">
        <f t="shared" si="283"/>
        <v>15395375.523025652</v>
      </c>
      <c r="AI518" s="67">
        <f t="shared" si="309"/>
        <v>155.91043114107705</v>
      </c>
      <c r="AJ518" s="67">
        <f t="shared" si="310"/>
        <v>0</v>
      </c>
      <c r="AK518" s="66">
        <f t="shared" si="269"/>
        <v>3.2000000000000473E-2</v>
      </c>
    </row>
    <row r="519" spans="1:37" ht="12.75" customHeight="1" x14ac:dyDescent="0.25">
      <c r="A519" s="55" t="s">
        <v>609</v>
      </c>
      <c r="B519" s="55" t="s">
        <v>394</v>
      </c>
      <c r="C519" s="55" t="s">
        <v>400</v>
      </c>
      <c r="D519" s="128">
        <v>2023</v>
      </c>
      <c r="E519" s="55" t="s">
        <v>676</v>
      </c>
      <c r="F519" s="57">
        <f>SIM_Parametres!$C$29</f>
        <v>1393302555.147037</v>
      </c>
      <c r="G519" s="129">
        <f>SIM_Districts!D22*(1+SIM_Parametres!$B$6)^(2023-2023)</f>
        <v>103771</v>
      </c>
      <c r="H519" s="129">
        <f>MAX(0,MIN(100,SIM_Districts!F22+(2023-2022)*SIM_Parametres!$B$7))</f>
        <v>45.67</v>
      </c>
      <c r="I519" s="129">
        <f>SIM_Districts!G22*(1+SIM_Parametres!$B$8)^(2023-2023)</f>
        <v>40</v>
      </c>
      <c r="J519" s="129">
        <f>SIM_Districts!H22*(1+SIM_Parametres!$B$9)^(2023-2023)</f>
        <v>15.9</v>
      </c>
      <c r="K519" s="129">
        <f>MAX(0,MIN(100,SIM_Districts!I22+(2023-2023)*SIM_Parametres!$B$10))</f>
        <v>91.5</v>
      </c>
      <c r="L519" s="129">
        <f>SIM_Districts!E22</f>
        <v>866</v>
      </c>
      <c r="M519" s="68">
        <f t="shared" si="306"/>
        <v>119.82794457274827</v>
      </c>
      <c r="N519" s="129">
        <f>N448*(1+SIM_Parametres!$B$6)/(1+SIM_Parametres!$B$11)</f>
        <v>95110</v>
      </c>
      <c r="O519" s="72"/>
      <c r="P519" s="130">
        <f>SIM_Parametres!$D$29</f>
        <v>0</v>
      </c>
      <c r="Q519" s="130">
        <f>SIM_Parametres!$B$12</f>
        <v>0.2</v>
      </c>
      <c r="R519" s="59">
        <f t="shared" si="295"/>
        <v>5.7248581460354929E-3</v>
      </c>
      <c r="S519" s="59">
        <f t="shared" si="296"/>
        <v>0.65957446808510634</v>
      </c>
      <c r="T519" s="59">
        <f t="shared" si="297"/>
        <v>0.65469613259668513</v>
      </c>
      <c r="U519" s="59">
        <f t="shared" si="298"/>
        <v>0.52803177519419775</v>
      </c>
      <c r="V519" s="59">
        <f t="shared" si="299"/>
        <v>0.24769050312675686</v>
      </c>
      <c r="W519" s="59">
        <f t="shared" si="300"/>
        <v>1.5726062143310078E-2</v>
      </c>
      <c r="X519" s="59">
        <f t="shared" si="301"/>
        <v>1.2955775433225826E-2</v>
      </c>
      <c r="Y519" s="59">
        <f t="shared" si="302"/>
        <v>1.3491058446387231E-2</v>
      </c>
      <c r="Z519" s="59">
        <f t="shared" si="303"/>
        <v>9.0910712011208778E-3</v>
      </c>
      <c r="AA519" s="59">
        <f t="shared" si="307"/>
        <v>8.8662970064770866E-3</v>
      </c>
      <c r="AB519" s="59">
        <f t="shared" si="304"/>
        <v>1.251980636391284E-2</v>
      </c>
      <c r="AC519" s="60">
        <f t="shared" si="308"/>
        <v>13807543.349045295</v>
      </c>
      <c r="AD519" s="60">
        <f t="shared" si="281"/>
        <v>17443878.196785897</v>
      </c>
      <c r="AE519" s="59">
        <f t="shared" si="268"/>
        <v>3.1999999999999806E-2</v>
      </c>
      <c r="AF519" s="60">
        <f t="shared" si="282"/>
        <v>17443878.196785897</v>
      </c>
      <c r="AG519" s="60">
        <f t="shared" si="305"/>
        <v>1.0000000000000004</v>
      </c>
      <c r="AH519" s="60">
        <f t="shared" si="283"/>
        <v>17443878.196785904</v>
      </c>
      <c r="AI519" s="60">
        <f t="shared" si="309"/>
        <v>168.09974074438816</v>
      </c>
      <c r="AJ519" s="60">
        <f t="shared" si="310"/>
        <v>0</v>
      </c>
      <c r="AK519" s="59">
        <f t="shared" si="269"/>
        <v>3.200000000000025E-2</v>
      </c>
    </row>
    <row r="520" spans="1:37" ht="12.75" customHeight="1" x14ac:dyDescent="0.25">
      <c r="A520" s="62" t="s">
        <v>610</v>
      </c>
      <c r="B520" s="62" t="s">
        <v>394</v>
      </c>
      <c r="C520" s="62" t="s">
        <v>401</v>
      </c>
      <c r="D520" s="124">
        <v>2023</v>
      </c>
      <c r="E520" s="62" t="s">
        <v>676</v>
      </c>
      <c r="F520" s="64">
        <f>SIM_Parametres!$C$29</f>
        <v>1393302555.147037</v>
      </c>
      <c r="G520" s="125">
        <f>SIM_Districts!D23*(1+SIM_Parametres!$B$6)^(2023-2023)</f>
        <v>186616</v>
      </c>
      <c r="H520" s="125">
        <f>MAX(0,MIN(100,SIM_Districts!F23+(2023-2022)*SIM_Parametres!$B$7))</f>
        <v>45.67</v>
      </c>
      <c r="I520" s="125">
        <f>SIM_Districts!G23*(1+SIM_Parametres!$B$8)^(2023-2023)</f>
        <v>40</v>
      </c>
      <c r="J520" s="125">
        <f>SIM_Districts!H23*(1+SIM_Parametres!$B$9)^(2023-2023)</f>
        <v>15.9</v>
      </c>
      <c r="K520" s="125">
        <f>MAX(0,MIN(100,SIM_Districts!I23+(2023-2023)*SIM_Parametres!$B$10))</f>
        <v>91.5</v>
      </c>
      <c r="L520" s="125">
        <f>SIM_Districts!E23</f>
        <v>1459</v>
      </c>
      <c r="M520" s="61">
        <f t="shared" si="306"/>
        <v>127.90678546949965</v>
      </c>
      <c r="N520" s="125">
        <f>N449*(1+SIM_Parametres!$B$6)/(1+SIM_Parametres!$B$11)</f>
        <v>95110</v>
      </c>
      <c r="O520" s="132"/>
      <c r="P520" s="126">
        <f>SIM_Parametres!$D$29</f>
        <v>0</v>
      </c>
      <c r="Q520" s="126">
        <f>SIM_Parametres!$B$12</f>
        <v>0.2</v>
      </c>
      <c r="R520" s="66">
        <f t="shared" si="295"/>
        <v>1.0295266767984885E-2</v>
      </c>
      <c r="S520" s="66">
        <f t="shared" si="296"/>
        <v>0.65957446808510634</v>
      </c>
      <c r="T520" s="66">
        <f t="shared" si="297"/>
        <v>0.65469613259668513</v>
      </c>
      <c r="U520" s="66">
        <f t="shared" si="298"/>
        <v>0.54845929360495993</v>
      </c>
      <c r="V520" s="66">
        <f t="shared" si="299"/>
        <v>0.24769050312675686</v>
      </c>
      <c r="W520" s="66">
        <f t="shared" si="300"/>
        <v>1.5726062143310078E-2</v>
      </c>
      <c r="X520" s="66">
        <f t="shared" si="301"/>
        <v>1.2955775433225826E-2</v>
      </c>
      <c r="Y520" s="66">
        <f t="shared" si="302"/>
        <v>1.4012975606946155E-2</v>
      </c>
      <c r="Z520" s="66">
        <f t="shared" si="303"/>
        <v>9.0910712011208778E-3</v>
      </c>
      <c r="AA520" s="66">
        <f t="shared" si="307"/>
        <v>1.1634638037674666E-2</v>
      </c>
      <c r="AB520" s="66">
        <f t="shared" si="304"/>
        <v>1.3653158852499502E-2</v>
      </c>
      <c r="AC520" s="67">
        <f t="shared" si="308"/>
        <v>16893252.654874071</v>
      </c>
      <c r="AD520" s="67">
        <f t="shared" si="281"/>
        <v>19022981.115015943</v>
      </c>
      <c r="AE520" s="66">
        <f t="shared" si="268"/>
        <v>3.1999999999999806E-2</v>
      </c>
      <c r="AF520" s="67">
        <f t="shared" si="282"/>
        <v>19022981.115015943</v>
      </c>
      <c r="AG520" s="67">
        <f t="shared" si="305"/>
        <v>1.0000000000000004</v>
      </c>
      <c r="AH520" s="67">
        <f t="shared" si="283"/>
        <v>19022981.11501595</v>
      </c>
      <c r="AI520" s="67">
        <f t="shared" si="309"/>
        <v>101.93649587932413</v>
      </c>
      <c r="AJ520" s="67">
        <f t="shared" si="310"/>
        <v>0</v>
      </c>
      <c r="AK520" s="66">
        <f t="shared" si="269"/>
        <v>3.2000000000000028E-2</v>
      </c>
    </row>
    <row r="521" spans="1:37" ht="12.75" customHeight="1" x14ac:dyDescent="0.25">
      <c r="A521" s="55" t="s">
        <v>611</v>
      </c>
      <c r="B521" s="55" t="s">
        <v>402</v>
      </c>
      <c r="C521" s="55" t="s">
        <v>404</v>
      </c>
      <c r="D521" s="128">
        <v>2023</v>
      </c>
      <c r="E521" s="55" t="s">
        <v>676</v>
      </c>
      <c r="F521" s="57">
        <f>SIM_Parametres!$C$29</f>
        <v>1393302555.147037</v>
      </c>
      <c r="G521" s="129">
        <f>SIM_Districts!D24*(1+SIM_Parametres!$B$6)^(2023-2023)</f>
        <v>146452</v>
      </c>
      <c r="H521" s="129">
        <f>MAX(0,MIN(100,SIM_Districts!F24+(2023-2022)*SIM_Parametres!$B$7))</f>
        <v>57.370000000000005</v>
      </c>
      <c r="I521" s="129">
        <f>SIM_Districts!G24*(1+SIM_Parametres!$B$8)^(2023-2023)</f>
        <v>40</v>
      </c>
      <c r="J521" s="129">
        <f>SIM_Districts!H24*(1+SIM_Parametres!$B$9)^(2023-2023)</f>
        <v>28.4</v>
      </c>
      <c r="K521" s="129">
        <f>MAX(0,MIN(100,SIM_Districts!I24+(2023-2023)*SIM_Parametres!$B$10))</f>
        <v>85.4</v>
      </c>
      <c r="L521" s="129">
        <f>SIM_Districts!E24</f>
        <v>1150</v>
      </c>
      <c r="M521" s="68">
        <f t="shared" si="306"/>
        <v>127.3495652173913</v>
      </c>
      <c r="N521" s="129">
        <f>N450*(1+SIM_Parametres!$B$6)/(1+SIM_Parametres!$B$11)</f>
        <v>169739</v>
      </c>
      <c r="O521" s="72"/>
      <c r="P521" s="130">
        <f>SIM_Parametres!$D$29</f>
        <v>0</v>
      </c>
      <c r="Q521" s="130">
        <f>SIM_Parametres!$B$12</f>
        <v>0.2</v>
      </c>
      <c r="R521" s="59">
        <f t="shared" si="295"/>
        <v>8.0794916229311661E-3</v>
      </c>
      <c r="S521" s="59">
        <f t="shared" si="296"/>
        <v>0.86702127659574468</v>
      </c>
      <c r="T521" s="59">
        <f t="shared" si="297"/>
        <v>1</v>
      </c>
      <c r="U521" s="59">
        <f t="shared" si="298"/>
        <v>0.53776328071078594</v>
      </c>
      <c r="V521" s="59">
        <f t="shared" si="299"/>
        <v>0.76566328194948607</v>
      </c>
      <c r="W521" s="59">
        <f t="shared" si="300"/>
        <v>2.06721623335447E-2</v>
      </c>
      <c r="X521" s="59">
        <f t="shared" si="301"/>
        <v>1.9788990324167716E-2</v>
      </c>
      <c r="Y521" s="59">
        <f t="shared" si="302"/>
        <v>1.3739695585027887E-2</v>
      </c>
      <c r="Z521" s="59">
        <f t="shared" si="303"/>
        <v>2.8102407336645013E-2</v>
      </c>
      <c r="AA521" s="59">
        <f t="shared" si="307"/>
        <v>1.3008973018499206E-2</v>
      </c>
      <c r="AB521" s="59">
        <f t="shared" si="304"/>
        <v>1.1367130593459989E-2</v>
      </c>
      <c r="AC521" s="60">
        <f t="shared" si="308"/>
        <v>18425144.207202699</v>
      </c>
      <c r="AD521" s="60">
        <f t="shared" si="281"/>
        <v>15837852.100557858</v>
      </c>
      <c r="AE521" s="59">
        <f t="shared" si="268"/>
        <v>3.1999999999999806E-2</v>
      </c>
      <c r="AF521" s="60">
        <f t="shared" si="282"/>
        <v>15837852.100557858</v>
      </c>
      <c r="AG521" s="60">
        <f t="shared" si="305"/>
        <v>1.0000000000000004</v>
      </c>
      <c r="AH521" s="60">
        <f t="shared" si="283"/>
        <v>15837852.100557866</v>
      </c>
      <c r="AI521" s="60">
        <f t="shared" si="309"/>
        <v>108.14363819243073</v>
      </c>
      <c r="AJ521" s="60">
        <f t="shared" si="310"/>
        <v>0</v>
      </c>
      <c r="AK521" s="59">
        <f t="shared" si="269"/>
        <v>3.200000000000025E-2</v>
      </c>
    </row>
    <row r="522" spans="1:37" ht="12.75" customHeight="1" x14ac:dyDescent="0.25">
      <c r="A522" s="62" t="s">
        <v>613</v>
      </c>
      <c r="B522" s="62" t="s">
        <v>402</v>
      </c>
      <c r="C522" s="62" t="s">
        <v>402</v>
      </c>
      <c r="D522" s="124">
        <v>2023</v>
      </c>
      <c r="E522" s="62" t="s">
        <v>676</v>
      </c>
      <c r="F522" s="64">
        <f>SIM_Parametres!$C$29</f>
        <v>1393302555.147037</v>
      </c>
      <c r="G522" s="125">
        <f>SIM_Districts!D25*(1+SIM_Parametres!$B$6)^(2023-2023)</f>
        <v>300496</v>
      </c>
      <c r="H522" s="125">
        <f>MAX(0,MIN(100,SIM_Districts!F25+(2023-2022)*SIM_Parametres!$B$7))</f>
        <v>57.370000000000005</v>
      </c>
      <c r="I522" s="125">
        <f>SIM_Districts!G25*(1+SIM_Parametres!$B$8)^(2023-2023)</f>
        <v>40</v>
      </c>
      <c r="J522" s="125">
        <f>SIM_Districts!H25*(1+SIM_Parametres!$B$9)^(2023-2023)</f>
        <v>28.4</v>
      </c>
      <c r="K522" s="125">
        <f>MAX(0,MIN(100,SIM_Districts!I25+(2023-2023)*SIM_Parametres!$B$10))</f>
        <v>85.4</v>
      </c>
      <c r="L522" s="125">
        <f>SIM_Districts!E25</f>
        <v>2609</v>
      </c>
      <c r="M522" s="61">
        <f t="shared" si="306"/>
        <v>115.17669605212726</v>
      </c>
      <c r="N522" s="125">
        <f>N451*(1+SIM_Parametres!$B$6)/(1+SIM_Parametres!$B$11)</f>
        <v>169739</v>
      </c>
      <c r="O522" s="132"/>
      <c r="P522" s="126">
        <f>SIM_Parametres!$D$29</f>
        <v>0</v>
      </c>
      <c r="Q522" s="126">
        <f>SIM_Parametres!$B$12</f>
        <v>0.2</v>
      </c>
      <c r="R522" s="66">
        <f t="shared" si="295"/>
        <v>1.657782013713929E-2</v>
      </c>
      <c r="S522" s="66">
        <f t="shared" si="296"/>
        <v>0.86702127659574468</v>
      </c>
      <c r="T522" s="66">
        <f t="shared" si="297"/>
        <v>1</v>
      </c>
      <c r="U522" s="66">
        <f t="shared" si="298"/>
        <v>0.58847583069176324</v>
      </c>
      <c r="V522" s="66">
        <f t="shared" si="299"/>
        <v>0.76566328194948607</v>
      </c>
      <c r="W522" s="66">
        <f t="shared" si="300"/>
        <v>2.06721623335447E-2</v>
      </c>
      <c r="X522" s="66">
        <f t="shared" si="301"/>
        <v>1.9788990324167716E-2</v>
      </c>
      <c r="Y522" s="66">
        <f t="shared" si="302"/>
        <v>1.5035386503452404E-2</v>
      </c>
      <c r="Z522" s="66">
        <f t="shared" si="303"/>
        <v>2.8102407336645013E-2</v>
      </c>
      <c r="AA522" s="66">
        <f t="shared" si="307"/>
        <v>1.817275467294531E-2</v>
      </c>
      <c r="AB522" s="66">
        <f t="shared" si="304"/>
        <v>1.3225526223373772E-2</v>
      </c>
      <c r="AC522" s="67">
        <f t="shared" si="308"/>
        <v>24180912.345891625</v>
      </c>
      <c r="AD522" s="67">
        <f t="shared" si="281"/>
        <v>18427159.480190821</v>
      </c>
      <c r="AE522" s="66">
        <f t="shared" si="268"/>
        <v>3.1999999999999806E-2</v>
      </c>
      <c r="AF522" s="67">
        <f t="shared" si="282"/>
        <v>18427159.480190821</v>
      </c>
      <c r="AG522" s="67">
        <f t="shared" si="305"/>
        <v>1.0000000000000004</v>
      </c>
      <c r="AH522" s="67">
        <f t="shared" si="283"/>
        <v>18427159.480190828</v>
      </c>
      <c r="AI522" s="67">
        <f t="shared" si="309"/>
        <v>61.322478436288101</v>
      </c>
      <c r="AJ522" s="67">
        <f t="shared" si="310"/>
        <v>0</v>
      </c>
      <c r="AK522" s="66">
        <f t="shared" si="269"/>
        <v>3.200000000000025E-2</v>
      </c>
    </row>
    <row r="523" spans="1:37" ht="12.75" customHeight="1" x14ac:dyDescent="0.25">
      <c r="A523" s="55" t="s">
        <v>614</v>
      </c>
      <c r="B523" s="55" t="s">
        <v>402</v>
      </c>
      <c r="C523" s="55" t="s">
        <v>405</v>
      </c>
      <c r="D523" s="128">
        <v>2023</v>
      </c>
      <c r="E523" s="55" t="s">
        <v>676</v>
      </c>
      <c r="F523" s="57">
        <f>SIM_Parametres!$C$29</f>
        <v>1393302555.147037</v>
      </c>
      <c r="G523" s="129">
        <f>SIM_Districts!D26*(1+SIM_Parametres!$B$6)^(2023-2023)</f>
        <v>236484</v>
      </c>
      <c r="H523" s="129">
        <f>MAX(0,MIN(100,SIM_Districts!F26+(2023-2022)*SIM_Parametres!$B$7))</f>
        <v>57.370000000000005</v>
      </c>
      <c r="I523" s="129">
        <f>SIM_Districts!G26*(1+SIM_Parametres!$B$8)^(2023-2023)</f>
        <v>40</v>
      </c>
      <c r="J523" s="129">
        <f>SIM_Districts!H26*(1+SIM_Parametres!$B$9)^(2023-2023)</f>
        <v>28.4</v>
      </c>
      <c r="K523" s="129">
        <f>MAX(0,MIN(100,SIM_Districts!I26+(2023-2023)*SIM_Parametres!$B$10))</f>
        <v>85.4</v>
      </c>
      <c r="L523" s="129">
        <f>SIM_Districts!E26</f>
        <v>4537</v>
      </c>
      <c r="M523" s="68">
        <f t="shared" si="306"/>
        <v>52.123429579016971</v>
      </c>
      <c r="N523" s="129">
        <f>N452*(1+SIM_Parametres!$B$6)/(1+SIM_Parametres!$B$11)</f>
        <v>169739</v>
      </c>
      <c r="O523" s="72"/>
      <c r="P523" s="130">
        <f>SIM_Parametres!$D$29</f>
        <v>0</v>
      </c>
      <c r="Q523" s="130">
        <f>SIM_Parametres!$B$12</f>
        <v>0.2</v>
      </c>
      <c r="R523" s="59">
        <f t="shared" si="295"/>
        <v>1.3046394019591769E-2</v>
      </c>
      <c r="S523" s="59">
        <f t="shared" si="296"/>
        <v>0.86702127659574468</v>
      </c>
      <c r="T523" s="59">
        <f t="shared" si="297"/>
        <v>1</v>
      </c>
      <c r="U523" s="59">
        <f t="shared" si="298"/>
        <v>0.65615433798264977</v>
      </c>
      <c r="V523" s="59">
        <f t="shared" si="299"/>
        <v>0.76566328194948607</v>
      </c>
      <c r="W523" s="59">
        <f t="shared" si="300"/>
        <v>2.06721623335447E-2</v>
      </c>
      <c r="X523" s="59">
        <f t="shared" si="301"/>
        <v>1.9788990324167716E-2</v>
      </c>
      <c r="Y523" s="59">
        <f t="shared" si="302"/>
        <v>1.6764552702001334E-2</v>
      </c>
      <c r="Z523" s="59">
        <f t="shared" si="303"/>
        <v>2.8102407336645013E-2</v>
      </c>
      <c r="AA523" s="59">
        <f t="shared" si="307"/>
        <v>1.6140357312344242E-2</v>
      </c>
      <c r="AB523" s="59">
        <f t="shared" si="304"/>
        <v>1.9379571426411054E-2</v>
      </c>
      <c r="AC523" s="60">
        <f t="shared" si="308"/>
        <v>21915516.797411971</v>
      </c>
      <c r="AD523" s="60">
        <f t="shared" si="281"/>
        <v>27001606.386073031</v>
      </c>
      <c r="AE523" s="59">
        <f t="shared" ref="AE523:AE586" si="311">IFERROR(AD523/AH452-1,0)</f>
        <v>3.1999999999999806E-2</v>
      </c>
      <c r="AF523" s="60">
        <f t="shared" si="282"/>
        <v>27001606.386073031</v>
      </c>
      <c r="AG523" s="60">
        <f t="shared" si="305"/>
        <v>1.0000000000000004</v>
      </c>
      <c r="AH523" s="60">
        <f t="shared" si="283"/>
        <v>27001606.386073042</v>
      </c>
      <c r="AI523" s="60">
        <f t="shared" si="309"/>
        <v>114.17942180474384</v>
      </c>
      <c r="AJ523" s="60">
        <f t="shared" si="310"/>
        <v>0</v>
      </c>
      <c r="AK523" s="59">
        <f t="shared" ref="AK523:AK586" si="312">IFERROR(AH523/AH452-1,0)</f>
        <v>3.200000000000025E-2</v>
      </c>
    </row>
    <row r="524" spans="1:37" ht="12.75" customHeight="1" x14ac:dyDescent="0.25">
      <c r="A524" s="62" t="s">
        <v>615</v>
      </c>
      <c r="B524" s="62" t="s">
        <v>402</v>
      </c>
      <c r="C524" s="62" t="s">
        <v>406</v>
      </c>
      <c r="D524" s="124">
        <v>2023</v>
      </c>
      <c r="E524" s="62" t="s">
        <v>676</v>
      </c>
      <c r="F524" s="64">
        <f>SIM_Parametres!$C$29</f>
        <v>1393302555.147037</v>
      </c>
      <c r="G524" s="125">
        <f>SIM_Districts!D27*(1+SIM_Parametres!$B$6)^(2023-2023)</f>
        <v>136973</v>
      </c>
      <c r="H524" s="125">
        <f>MAX(0,MIN(100,SIM_Districts!F27+(2023-2022)*SIM_Parametres!$B$7))</f>
        <v>57.370000000000005</v>
      </c>
      <c r="I524" s="125">
        <f>SIM_Districts!G27*(1+SIM_Parametres!$B$8)^(2023-2023)</f>
        <v>40</v>
      </c>
      <c r="J524" s="125">
        <f>SIM_Districts!H27*(1+SIM_Parametres!$B$9)^(2023-2023)</f>
        <v>28.4</v>
      </c>
      <c r="K524" s="125">
        <f>MAX(0,MIN(100,SIM_Districts!I27+(2023-2023)*SIM_Parametres!$B$10))</f>
        <v>85.4</v>
      </c>
      <c r="L524" s="125">
        <f>SIM_Districts!E27</f>
        <v>2765</v>
      </c>
      <c r="M524" s="61">
        <f t="shared" si="306"/>
        <v>49.538155515370704</v>
      </c>
      <c r="N524" s="125">
        <f>N453*(1+SIM_Parametres!$B$6)/(1+SIM_Parametres!$B$11)</f>
        <v>169739</v>
      </c>
      <c r="O524" s="132"/>
      <c r="P524" s="126">
        <f>SIM_Parametres!$D$29</f>
        <v>0</v>
      </c>
      <c r="Q524" s="126">
        <f>SIM_Parametres!$B$12</f>
        <v>0.2</v>
      </c>
      <c r="R524" s="66">
        <f t="shared" si="295"/>
        <v>7.5565523589145285E-3</v>
      </c>
      <c r="S524" s="66">
        <f t="shared" si="296"/>
        <v>0.86702127659574468</v>
      </c>
      <c r="T524" s="66">
        <f t="shared" si="297"/>
        <v>1</v>
      </c>
      <c r="U524" s="66">
        <f t="shared" si="298"/>
        <v>0.59480805510502432</v>
      </c>
      <c r="V524" s="66">
        <f t="shared" si="299"/>
        <v>0.76566328194948607</v>
      </c>
      <c r="W524" s="66">
        <f t="shared" si="300"/>
        <v>2.06721623335447E-2</v>
      </c>
      <c r="X524" s="66">
        <f t="shared" si="301"/>
        <v>1.9788990324167716E-2</v>
      </c>
      <c r="Y524" s="66">
        <f t="shared" si="302"/>
        <v>1.5197172997501037E-2</v>
      </c>
      <c r="Z524" s="66">
        <f t="shared" si="303"/>
        <v>2.8102407336645013E-2</v>
      </c>
      <c r="AA524" s="66">
        <f t="shared" si="307"/>
        <v>1.2768083330712884E-2</v>
      </c>
      <c r="AB524" s="66">
        <f t="shared" si="304"/>
        <v>1.2841581014119434E-2</v>
      </c>
      <c r="AC524" s="67">
        <f t="shared" si="308"/>
        <v>18156638.433201693</v>
      </c>
      <c r="AD524" s="67">
        <f t="shared" si="281"/>
        <v>17892207.639100287</v>
      </c>
      <c r="AE524" s="66">
        <f t="shared" si="311"/>
        <v>3.1999999999999806E-2</v>
      </c>
      <c r="AF524" s="67">
        <f t="shared" si="282"/>
        <v>17892207.639100287</v>
      </c>
      <c r="AG524" s="67">
        <f t="shared" si="305"/>
        <v>1.0000000000000004</v>
      </c>
      <c r="AH524" s="67">
        <f t="shared" si="283"/>
        <v>17892207.639100295</v>
      </c>
      <c r="AI524" s="67">
        <f t="shared" si="309"/>
        <v>130.62579953056658</v>
      </c>
      <c r="AJ524" s="67">
        <f t="shared" si="310"/>
        <v>0</v>
      </c>
      <c r="AK524" s="66">
        <f t="shared" si="312"/>
        <v>3.200000000000025E-2</v>
      </c>
    </row>
    <row r="525" spans="1:37" ht="12.75" customHeight="1" x14ac:dyDescent="0.25">
      <c r="A525" s="55" t="s">
        <v>616</v>
      </c>
      <c r="B525" s="55" t="s">
        <v>407</v>
      </c>
      <c r="C525" s="55" t="s">
        <v>409</v>
      </c>
      <c r="D525" s="128">
        <v>2023</v>
      </c>
      <c r="E525" s="55" t="s">
        <v>676</v>
      </c>
      <c r="F525" s="57">
        <f>SIM_Parametres!$C$29</f>
        <v>1393302555.147037</v>
      </c>
      <c r="G525" s="129">
        <f>SIM_Districts!D28*(1+SIM_Parametres!$B$6)^(2023-2023)</f>
        <v>160237</v>
      </c>
      <c r="H525" s="129">
        <f>MAX(0,MIN(100,SIM_Districts!F28+(2023-2022)*SIM_Parametres!$B$7))</f>
        <v>48.77</v>
      </c>
      <c r="I525" s="129">
        <f>SIM_Districts!G28*(1+SIM_Parametres!$B$8)^(2023-2023)</f>
        <v>40</v>
      </c>
      <c r="J525" s="129">
        <f>SIM_Districts!H28*(1+SIM_Parametres!$B$9)^(2023-2023)</f>
        <v>14.6</v>
      </c>
      <c r="K525" s="129">
        <f>MAX(0,MIN(100,SIM_Districts!I28+(2023-2023)*SIM_Parametres!$B$10))</f>
        <v>93.1</v>
      </c>
      <c r="L525" s="129">
        <f>SIM_Districts!E28</f>
        <v>1066</v>
      </c>
      <c r="M525" s="68">
        <f t="shared" si="306"/>
        <v>150.31613508442777</v>
      </c>
      <c r="N525" s="129">
        <f>N454*(1+SIM_Parametres!$B$6)/(1+SIM_Parametres!$B$11)</f>
        <v>190293</v>
      </c>
      <c r="O525" s="72"/>
      <c r="P525" s="130">
        <f>SIM_Parametres!$D$29</f>
        <v>0</v>
      </c>
      <c r="Q525" s="130">
        <f>SIM_Parametres!$B$12</f>
        <v>0.2</v>
      </c>
      <c r="R525" s="59">
        <f t="shared" si="295"/>
        <v>8.8399851090024111E-3</v>
      </c>
      <c r="S525" s="59">
        <f t="shared" si="296"/>
        <v>0.71453900709219853</v>
      </c>
      <c r="T525" s="59">
        <f t="shared" si="297"/>
        <v>0.61878453038674031</v>
      </c>
      <c r="U525" s="59">
        <f t="shared" si="298"/>
        <v>0.53452867131516968</v>
      </c>
      <c r="V525" s="59">
        <f t="shared" si="299"/>
        <v>0.90832112938040932</v>
      </c>
      <c r="W525" s="59">
        <f t="shared" si="300"/>
        <v>1.7036567321919251E-2</v>
      </c>
      <c r="X525" s="59">
        <f t="shared" si="301"/>
        <v>1.2245121084567868E-2</v>
      </c>
      <c r="Y525" s="59">
        <f t="shared" si="302"/>
        <v>1.3657052254725572E-2</v>
      </c>
      <c r="Z525" s="59">
        <f t="shared" si="303"/>
        <v>3.333842822570373E-2</v>
      </c>
      <c r="AA525" s="59">
        <f t="shared" si="307"/>
        <v>1.204601835039598E-2</v>
      </c>
      <c r="AB525" s="59">
        <f t="shared" si="304"/>
        <v>1.2106456160514298E-2</v>
      </c>
      <c r="AC525" s="60">
        <f t="shared" si="308"/>
        <v>17351794.447555505</v>
      </c>
      <c r="AD525" s="60">
        <f t="shared" si="281"/>
        <v>16867956.302220158</v>
      </c>
      <c r="AE525" s="59">
        <f t="shared" si="311"/>
        <v>3.1999999999999806E-2</v>
      </c>
      <c r="AF525" s="60">
        <f t="shared" si="282"/>
        <v>16867956.302220158</v>
      </c>
      <c r="AG525" s="60">
        <f t="shared" si="305"/>
        <v>1.0000000000000004</v>
      </c>
      <c r="AH525" s="60">
        <f t="shared" si="283"/>
        <v>16867956.302220166</v>
      </c>
      <c r="AI525" s="60">
        <f t="shared" si="309"/>
        <v>105.26879748260492</v>
      </c>
      <c r="AJ525" s="60">
        <f t="shared" si="310"/>
        <v>0</v>
      </c>
      <c r="AK525" s="59">
        <f t="shared" si="312"/>
        <v>3.200000000000025E-2</v>
      </c>
    </row>
    <row r="526" spans="1:37" ht="12.75" customHeight="1" x14ac:dyDescent="0.25">
      <c r="A526" s="62" t="s">
        <v>618</v>
      </c>
      <c r="B526" s="62" t="s">
        <v>407</v>
      </c>
      <c r="C526" s="62" t="s">
        <v>410</v>
      </c>
      <c r="D526" s="124">
        <v>2023</v>
      </c>
      <c r="E526" s="62" t="s">
        <v>676</v>
      </c>
      <c r="F526" s="64">
        <f>SIM_Parametres!$C$29</f>
        <v>1393302555.147037</v>
      </c>
      <c r="G526" s="125">
        <f>SIM_Districts!D29*(1+SIM_Parametres!$B$6)^(2023-2023)</f>
        <v>435586</v>
      </c>
      <c r="H526" s="125">
        <f>MAX(0,MIN(100,SIM_Districts!F29+(2023-2022)*SIM_Parametres!$B$7))</f>
        <v>48.77</v>
      </c>
      <c r="I526" s="125">
        <f>SIM_Districts!G29*(1+SIM_Parametres!$B$8)^(2023-2023)</f>
        <v>40</v>
      </c>
      <c r="J526" s="125">
        <f>SIM_Districts!H29*(1+SIM_Parametres!$B$9)^(2023-2023)</f>
        <v>14.6</v>
      </c>
      <c r="K526" s="125">
        <f>MAX(0,MIN(100,SIM_Districts!I29+(2023-2023)*SIM_Parametres!$B$10))</f>
        <v>93.1</v>
      </c>
      <c r="L526" s="125">
        <f>SIM_Districts!E29</f>
        <v>535</v>
      </c>
      <c r="M526" s="61">
        <f t="shared" si="306"/>
        <v>814.17943925233646</v>
      </c>
      <c r="N526" s="125">
        <f>N455*(1+SIM_Parametres!$B$6)/(1+SIM_Parametres!$B$11)</f>
        <v>190293</v>
      </c>
      <c r="O526" s="132"/>
      <c r="P526" s="126">
        <f>SIM_Parametres!$D$29</f>
        <v>0</v>
      </c>
      <c r="Q526" s="126">
        <f>SIM_Parametres!$B$12</f>
        <v>0.2</v>
      </c>
      <c r="R526" s="66">
        <f t="shared" si="295"/>
        <v>2.4030490796070347E-2</v>
      </c>
      <c r="S526" s="66">
        <f t="shared" si="296"/>
        <v>0.71453900709219853</v>
      </c>
      <c r="T526" s="66">
        <f t="shared" si="297"/>
        <v>0.61878453038674031</v>
      </c>
      <c r="U526" s="66">
        <f t="shared" si="298"/>
        <v>0.50674567312414032</v>
      </c>
      <c r="V526" s="66">
        <f t="shared" si="299"/>
        <v>0.90832112938040932</v>
      </c>
      <c r="W526" s="66">
        <f t="shared" si="300"/>
        <v>1.7036567321919251E-2</v>
      </c>
      <c r="X526" s="66">
        <f t="shared" si="301"/>
        <v>1.2245121084567868E-2</v>
      </c>
      <c r="Y526" s="66">
        <f t="shared" si="302"/>
        <v>1.2947204722778849E-2</v>
      </c>
      <c r="Z526" s="66">
        <f t="shared" si="303"/>
        <v>3.333842822570373E-2</v>
      </c>
      <c r="AA526" s="66">
        <f t="shared" si="307"/>
        <v>2.11248293860394E-2</v>
      </c>
      <c r="AB526" s="66">
        <f t="shared" si="304"/>
        <v>1.4237898164624277E-2</v>
      </c>
      <c r="AC526" s="67">
        <f t="shared" si="308"/>
        <v>27471418.93848278</v>
      </c>
      <c r="AD526" s="67">
        <f t="shared" si="281"/>
        <v>19837699.892694313</v>
      </c>
      <c r="AE526" s="66">
        <f t="shared" si="311"/>
        <v>3.1999999999999806E-2</v>
      </c>
      <c r="AF526" s="67">
        <f t="shared" si="282"/>
        <v>19837699.892694313</v>
      </c>
      <c r="AG526" s="67">
        <f t="shared" si="305"/>
        <v>1.0000000000000004</v>
      </c>
      <c r="AH526" s="67">
        <f t="shared" si="283"/>
        <v>19837699.892694321</v>
      </c>
      <c r="AI526" s="67">
        <f t="shared" si="309"/>
        <v>45.542556217817655</v>
      </c>
      <c r="AJ526" s="67">
        <f t="shared" si="310"/>
        <v>0</v>
      </c>
      <c r="AK526" s="66">
        <f t="shared" si="312"/>
        <v>3.200000000000025E-2</v>
      </c>
    </row>
    <row r="527" spans="1:37" ht="12.75" customHeight="1" x14ac:dyDescent="0.25">
      <c r="A527" s="55" t="s">
        <v>619</v>
      </c>
      <c r="B527" s="55" t="s">
        <v>407</v>
      </c>
      <c r="C527" s="55" t="s">
        <v>411</v>
      </c>
      <c r="D527" s="128">
        <v>2023</v>
      </c>
      <c r="E527" s="55" t="s">
        <v>676</v>
      </c>
      <c r="F527" s="57">
        <f>SIM_Parametres!$C$29</f>
        <v>1393302555.147037</v>
      </c>
      <c r="G527" s="129">
        <f>SIM_Districts!D30*(1+SIM_Parametres!$B$6)^(2023-2023)</f>
        <v>244356</v>
      </c>
      <c r="H527" s="129">
        <f>MAX(0,MIN(100,SIM_Districts!F30+(2023-2022)*SIM_Parametres!$B$7))</f>
        <v>48.77</v>
      </c>
      <c r="I527" s="129">
        <f>SIM_Districts!G30*(1+SIM_Parametres!$B$8)^(2023-2023)</f>
        <v>40</v>
      </c>
      <c r="J527" s="129">
        <f>SIM_Districts!H30*(1+SIM_Parametres!$B$9)^(2023-2023)</f>
        <v>14.6</v>
      </c>
      <c r="K527" s="129">
        <f>MAX(0,MIN(100,SIM_Districts!I30+(2023-2023)*SIM_Parametres!$B$10))</f>
        <v>93.1</v>
      </c>
      <c r="L527" s="129">
        <f>SIM_Districts!E30</f>
        <v>1359</v>
      </c>
      <c r="M527" s="68">
        <f t="shared" si="306"/>
        <v>179.80573951434877</v>
      </c>
      <c r="N527" s="129">
        <f>N456*(1+SIM_Parametres!$B$6)/(1+SIM_Parametres!$B$11)</f>
        <v>190293</v>
      </c>
      <c r="O527" s="72"/>
      <c r="P527" s="130">
        <f>SIM_Parametres!$D$29</f>
        <v>0</v>
      </c>
      <c r="Q527" s="130">
        <f>SIM_Parametres!$B$12</f>
        <v>0.2</v>
      </c>
      <c r="R527" s="59">
        <f t="shared" si="295"/>
        <v>1.3480678003803074E-2</v>
      </c>
      <c r="S527" s="59">
        <f t="shared" si="296"/>
        <v>0.71453900709219853</v>
      </c>
      <c r="T527" s="59">
        <f t="shared" si="297"/>
        <v>0.61878453038674031</v>
      </c>
      <c r="U527" s="59">
        <f t="shared" si="298"/>
        <v>0.54426125050867191</v>
      </c>
      <c r="V527" s="59">
        <f t="shared" si="299"/>
        <v>0.90832112938040932</v>
      </c>
      <c r="W527" s="59">
        <f t="shared" si="300"/>
        <v>1.7036567321919251E-2</v>
      </c>
      <c r="X527" s="59">
        <f t="shared" si="301"/>
        <v>1.2245121084567868E-2</v>
      </c>
      <c r="Y527" s="59">
        <f t="shared" si="302"/>
        <v>1.3905716825499443E-2</v>
      </c>
      <c r="Z527" s="59">
        <f t="shared" si="303"/>
        <v>3.333842822570373E-2</v>
      </c>
      <c r="AA527" s="59">
        <f t="shared" si="307"/>
        <v>1.4842867315815071E-2</v>
      </c>
      <c r="AB527" s="59">
        <f t="shared" si="304"/>
        <v>1.3021371549744004E-2</v>
      </c>
      <c r="AC527" s="60">
        <f t="shared" si="308"/>
        <v>20469279.895458519</v>
      </c>
      <c r="AD527" s="60">
        <f t="shared" si="281"/>
        <v>18142710.251777254</v>
      </c>
      <c r="AE527" s="59">
        <f t="shared" si="311"/>
        <v>3.1999999999999806E-2</v>
      </c>
      <c r="AF527" s="60">
        <f t="shared" si="282"/>
        <v>18142710.251777254</v>
      </c>
      <c r="AG527" s="60">
        <f t="shared" si="305"/>
        <v>1.0000000000000004</v>
      </c>
      <c r="AH527" s="60">
        <f t="shared" si="283"/>
        <v>18142710.251777261</v>
      </c>
      <c r="AI527" s="60">
        <f t="shared" si="309"/>
        <v>74.247042232551124</v>
      </c>
      <c r="AJ527" s="60">
        <f t="shared" si="310"/>
        <v>0</v>
      </c>
      <c r="AK527" s="59">
        <f t="shared" si="312"/>
        <v>3.200000000000025E-2</v>
      </c>
    </row>
    <row r="528" spans="1:37" ht="12.75" customHeight="1" x14ac:dyDescent="0.25">
      <c r="A528" s="62" t="s">
        <v>620</v>
      </c>
      <c r="B528" s="62" t="s">
        <v>407</v>
      </c>
      <c r="C528" s="62" t="s">
        <v>412</v>
      </c>
      <c r="D528" s="124">
        <v>2023</v>
      </c>
      <c r="E528" s="62" t="s">
        <v>676</v>
      </c>
      <c r="F528" s="64">
        <f>SIM_Parametres!$C$29</f>
        <v>1393302555.147037</v>
      </c>
      <c r="G528" s="125">
        <f>SIM_Districts!D31*(1+SIM_Parametres!$B$6)^(2023-2023)</f>
        <v>496541</v>
      </c>
      <c r="H528" s="125">
        <f>MAX(0,MIN(100,SIM_Districts!F31+(2023-2022)*SIM_Parametres!$B$7))</f>
        <v>48.77</v>
      </c>
      <c r="I528" s="125">
        <f>SIM_Districts!G31*(1+SIM_Parametres!$B$8)^(2023-2023)</f>
        <v>40</v>
      </c>
      <c r="J528" s="125">
        <f>SIM_Districts!H31*(1+SIM_Parametres!$B$9)^(2023-2023)</f>
        <v>14.6</v>
      </c>
      <c r="K528" s="125">
        <f>MAX(0,MIN(100,SIM_Districts!I31+(2023-2023)*SIM_Parametres!$B$10))</f>
        <v>93.1</v>
      </c>
      <c r="L528" s="125">
        <f>SIM_Districts!E31</f>
        <v>2302</v>
      </c>
      <c r="M528" s="61">
        <f t="shared" si="306"/>
        <v>215.69982623805387</v>
      </c>
      <c r="N528" s="125">
        <f>N457*(1+SIM_Parametres!$B$6)/(1+SIM_Parametres!$B$11)</f>
        <v>190293</v>
      </c>
      <c r="O528" s="132"/>
      <c r="P528" s="126">
        <f>SIM_Parametres!$D$29</f>
        <v>0</v>
      </c>
      <c r="Q528" s="126">
        <f>SIM_Parametres!$B$12</f>
        <v>0.2</v>
      </c>
      <c r="R528" s="66">
        <f t="shared" si="295"/>
        <v>2.7393267759688252E-2</v>
      </c>
      <c r="S528" s="66">
        <f t="shared" si="296"/>
        <v>0.71453900709219853</v>
      </c>
      <c r="T528" s="66">
        <f t="shared" si="297"/>
        <v>0.61878453038674031</v>
      </c>
      <c r="U528" s="66">
        <f t="shared" si="298"/>
        <v>0.5764195329812869</v>
      </c>
      <c r="V528" s="66">
        <f t="shared" si="299"/>
        <v>0.90832112938040932</v>
      </c>
      <c r="W528" s="66">
        <f t="shared" si="300"/>
        <v>1.7036567321919251E-2</v>
      </c>
      <c r="X528" s="66">
        <f t="shared" si="301"/>
        <v>1.2245121084567868E-2</v>
      </c>
      <c r="Y528" s="66">
        <f t="shared" si="302"/>
        <v>1.4727351599683098E-2</v>
      </c>
      <c r="Z528" s="66">
        <f t="shared" si="303"/>
        <v>3.333842822570373E-2</v>
      </c>
      <c r="AA528" s="66">
        <f t="shared" si="307"/>
        <v>2.3231502908055361E-2</v>
      </c>
      <c r="AB528" s="66">
        <f t="shared" si="304"/>
        <v>1.76707211952878E-2</v>
      </c>
      <c r="AC528" s="67">
        <f t="shared" si="308"/>
        <v>29819605.81935114</v>
      </c>
      <c r="AD528" s="67">
        <f t="shared" si="281"/>
        <v>24620660.992685396</v>
      </c>
      <c r="AE528" s="66">
        <f t="shared" si="311"/>
        <v>3.1999999999999806E-2</v>
      </c>
      <c r="AF528" s="67">
        <f t="shared" si="282"/>
        <v>24620660.992685396</v>
      </c>
      <c r="AG528" s="67">
        <f t="shared" si="305"/>
        <v>1.0000000000000004</v>
      </c>
      <c r="AH528" s="67">
        <f t="shared" si="283"/>
        <v>24620660.992685407</v>
      </c>
      <c r="AI528" s="67">
        <f t="shared" si="309"/>
        <v>49.584346494419208</v>
      </c>
      <c r="AJ528" s="67">
        <f t="shared" si="310"/>
        <v>0</v>
      </c>
      <c r="AK528" s="66">
        <f t="shared" si="312"/>
        <v>3.200000000000025E-2</v>
      </c>
    </row>
    <row r="529" spans="1:37" ht="12.75" customHeight="1" x14ac:dyDescent="0.25">
      <c r="A529" s="55" t="s">
        <v>621</v>
      </c>
      <c r="B529" s="55" t="s">
        <v>413</v>
      </c>
      <c r="C529" s="55" t="s">
        <v>413</v>
      </c>
      <c r="D529" s="128">
        <v>2023</v>
      </c>
      <c r="E529" s="55" t="s">
        <v>676</v>
      </c>
      <c r="F529" s="57">
        <f>SIM_Parametres!$C$29</f>
        <v>1393302555.147037</v>
      </c>
      <c r="G529" s="129">
        <f>SIM_Districts!D32*(1+SIM_Parametres!$B$6)^(2023-2023)</f>
        <v>127179</v>
      </c>
      <c r="H529" s="129">
        <f>MAX(0,MIN(100,SIM_Districts!F32+(2023-2022)*SIM_Parametres!$B$7))</f>
        <v>64.87</v>
      </c>
      <c r="I529" s="129">
        <f>SIM_Districts!G32*(1+SIM_Parametres!$B$8)^(2023-2023)</f>
        <v>40</v>
      </c>
      <c r="J529" s="129">
        <f>SIM_Districts!H32*(1+SIM_Parametres!$B$9)^(2023-2023)</f>
        <v>21.3</v>
      </c>
      <c r="K529" s="129">
        <f>MAX(0,MIN(100,SIM_Districts!I32+(2023-2023)*SIM_Parametres!$B$10))</f>
        <v>87.6</v>
      </c>
      <c r="L529" s="129">
        <f>SIM_Districts!E32</f>
        <v>7061</v>
      </c>
      <c r="M529" s="68">
        <f t="shared" si="306"/>
        <v>18.011471462965584</v>
      </c>
      <c r="N529" s="129">
        <f>N458*(1+SIM_Parametres!$B$6)/(1+SIM_Parametres!$B$11)</f>
        <v>59423</v>
      </c>
      <c r="O529" s="72"/>
      <c r="P529" s="130">
        <f>SIM_Parametres!$D$29</f>
        <v>0</v>
      </c>
      <c r="Q529" s="130">
        <f>SIM_Parametres!$B$12</f>
        <v>0.2</v>
      </c>
      <c r="R529" s="59">
        <f t="shared" si="295"/>
        <v>7.016235115346753E-3</v>
      </c>
      <c r="S529" s="59">
        <f t="shared" si="296"/>
        <v>1</v>
      </c>
      <c r="T529" s="59">
        <f t="shared" si="297"/>
        <v>0.80386740331491713</v>
      </c>
      <c r="U529" s="59">
        <f t="shared" si="298"/>
        <v>0.7440692299347168</v>
      </c>
      <c r="V529" s="59">
        <f t="shared" si="299"/>
        <v>0</v>
      </c>
      <c r="W529" s="59">
        <f t="shared" si="300"/>
        <v>2.3842739378566891E-2</v>
      </c>
      <c r="X529" s="59">
        <f t="shared" si="301"/>
        <v>1.590772426611272E-2</v>
      </c>
      <c r="Y529" s="59">
        <f t="shared" si="302"/>
        <v>1.9010752649337739E-2</v>
      </c>
      <c r="Z529" s="59">
        <f t="shared" si="303"/>
        <v>0</v>
      </c>
      <c r="AA529" s="59">
        <f t="shared" si="307"/>
        <v>1.1122848248376881E-2</v>
      </c>
      <c r="AB529" s="59">
        <f t="shared" si="304"/>
        <v>1.77681777473086E-2</v>
      </c>
      <c r="AC529" s="60">
        <f t="shared" si="308"/>
        <v>16322790.237972658</v>
      </c>
      <c r="AD529" s="60">
        <f t="shared" si="281"/>
        <v>24756447.455631796</v>
      </c>
      <c r="AE529" s="59">
        <f t="shared" si="311"/>
        <v>3.1999999999999806E-2</v>
      </c>
      <c r="AF529" s="60">
        <f t="shared" si="282"/>
        <v>24756447.455631796</v>
      </c>
      <c r="AG529" s="60">
        <f t="shared" si="305"/>
        <v>1.0000000000000004</v>
      </c>
      <c r="AH529" s="60">
        <f t="shared" si="283"/>
        <v>24756447.455631807</v>
      </c>
      <c r="AI529" s="60">
        <f t="shared" si="309"/>
        <v>194.65829622525581</v>
      </c>
      <c r="AJ529" s="60">
        <f t="shared" si="310"/>
        <v>0</v>
      </c>
      <c r="AK529" s="59">
        <f t="shared" si="312"/>
        <v>3.200000000000025E-2</v>
      </c>
    </row>
    <row r="530" spans="1:37" ht="12.75" customHeight="1" x14ac:dyDescent="0.25">
      <c r="A530" s="62" t="s">
        <v>623</v>
      </c>
      <c r="B530" s="62" t="s">
        <v>413</v>
      </c>
      <c r="C530" s="62" t="s">
        <v>415</v>
      </c>
      <c r="D530" s="124">
        <v>2023</v>
      </c>
      <c r="E530" s="62" t="s">
        <v>676</v>
      </c>
      <c r="F530" s="64">
        <f>SIM_Parametres!$C$29</f>
        <v>1393302555.147037</v>
      </c>
      <c r="G530" s="125">
        <f>SIM_Districts!D33*(1+SIM_Parametres!$B$6)^(2023-2023)</f>
        <v>35812</v>
      </c>
      <c r="H530" s="125">
        <f>MAX(0,MIN(100,SIM_Districts!F33+(2023-2022)*SIM_Parametres!$B$7))</f>
        <v>64.87</v>
      </c>
      <c r="I530" s="125">
        <f>SIM_Districts!G33*(1+SIM_Parametres!$B$8)^(2023-2023)</f>
        <v>40</v>
      </c>
      <c r="J530" s="125">
        <f>SIM_Districts!H33*(1+SIM_Parametres!$B$9)^(2023-2023)</f>
        <v>21.3</v>
      </c>
      <c r="K530" s="125">
        <f>MAX(0,MIN(100,SIM_Districts!I33+(2023-2023)*SIM_Parametres!$B$10))</f>
        <v>87.6</v>
      </c>
      <c r="L530" s="125">
        <f>SIM_Districts!E33</f>
        <v>1931</v>
      </c>
      <c r="M530" s="61">
        <f t="shared" si="306"/>
        <v>18.545831175556707</v>
      </c>
      <c r="N530" s="125">
        <f>N459*(1+SIM_Parametres!$B$6)/(1+SIM_Parametres!$B$11)</f>
        <v>59423</v>
      </c>
      <c r="O530" s="132"/>
      <c r="P530" s="126">
        <f>SIM_Parametres!$D$29</f>
        <v>0</v>
      </c>
      <c r="Q530" s="126">
        <f>SIM_Parametres!$B$12</f>
        <v>0.2</v>
      </c>
      <c r="R530" s="66">
        <f t="shared" si="295"/>
        <v>1.9756831863027538E-3</v>
      </c>
      <c r="S530" s="66">
        <f t="shared" si="296"/>
        <v>1</v>
      </c>
      <c r="T530" s="66">
        <f t="shared" si="297"/>
        <v>0.80386740331491713</v>
      </c>
      <c r="U530" s="66">
        <f t="shared" si="298"/>
        <v>0.56635625479419383</v>
      </c>
      <c r="V530" s="66">
        <f t="shared" si="299"/>
        <v>0</v>
      </c>
      <c r="W530" s="66">
        <f t="shared" si="300"/>
        <v>2.3842739378566891E-2</v>
      </c>
      <c r="X530" s="66">
        <f t="shared" si="301"/>
        <v>1.590772426611272E-2</v>
      </c>
      <c r="Y530" s="66">
        <f t="shared" si="302"/>
        <v>1.447023776570143E-2</v>
      </c>
      <c r="Z530" s="66">
        <f t="shared" si="303"/>
        <v>0</v>
      </c>
      <c r="AA530" s="66">
        <f t="shared" si="307"/>
        <v>7.8714913467686654E-3</v>
      </c>
      <c r="AB530" s="66">
        <f t="shared" si="304"/>
        <v>1.2869305722883967E-2</v>
      </c>
      <c r="AC530" s="67">
        <f t="shared" si="308"/>
        <v>12698691.135008113</v>
      </c>
      <c r="AD530" s="67">
        <f t="shared" si="281"/>
        <v>17930836.546662617</v>
      </c>
      <c r="AE530" s="66">
        <f t="shared" si="311"/>
        <v>3.1999999999999806E-2</v>
      </c>
      <c r="AF530" s="67">
        <f t="shared" si="282"/>
        <v>17930836.546662617</v>
      </c>
      <c r="AG530" s="67">
        <f t="shared" si="305"/>
        <v>1.0000000000000004</v>
      </c>
      <c r="AH530" s="67">
        <f t="shared" si="283"/>
        <v>17930836.546662625</v>
      </c>
      <c r="AI530" s="67">
        <f t="shared" si="309"/>
        <v>500.69352581991023</v>
      </c>
      <c r="AJ530" s="67">
        <f t="shared" si="310"/>
        <v>0</v>
      </c>
      <c r="AK530" s="66">
        <f t="shared" si="312"/>
        <v>3.200000000000025E-2</v>
      </c>
    </row>
    <row r="531" spans="1:37" ht="12.75" customHeight="1" x14ac:dyDescent="0.25">
      <c r="A531" s="55" t="s">
        <v>624</v>
      </c>
      <c r="B531" s="55" t="s">
        <v>413</v>
      </c>
      <c r="C531" s="55" t="s">
        <v>416</v>
      </c>
      <c r="D531" s="128">
        <v>2023</v>
      </c>
      <c r="E531" s="55" t="s">
        <v>676</v>
      </c>
      <c r="F531" s="57">
        <f>SIM_Parametres!$C$29</f>
        <v>1393302555.147037</v>
      </c>
      <c r="G531" s="129">
        <f>SIM_Districts!D34*(1+SIM_Parametres!$B$6)^(2023-2023)</f>
        <v>82156</v>
      </c>
      <c r="H531" s="129">
        <f>MAX(0,MIN(100,SIM_Districts!F34+(2023-2022)*SIM_Parametres!$B$7))</f>
        <v>64.87</v>
      </c>
      <c r="I531" s="129">
        <f>SIM_Districts!G34*(1+SIM_Parametres!$B$8)^(2023-2023)</f>
        <v>40</v>
      </c>
      <c r="J531" s="129">
        <f>SIM_Districts!H34*(1+SIM_Parametres!$B$9)^(2023-2023)</f>
        <v>21.3</v>
      </c>
      <c r="K531" s="129">
        <f>MAX(0,MIN(100,SIM_Districts!I34+(2023-2023)*SIM_Parametres!$B$10))</f>
        <v>87.6</v>
      </c>
      <c r="L531" s="129">
        <f>SIM_Districts!E34</f>
        <v>7918</v>
      </c>
      <c r="M531" s="68">
        <f t="shared" si="306"/>
        <v>10.375852488002021</v>
      </c>
      <c r="N531" s="129">
        <f>N460*(1+SIM_Parametres!$B$6)/(1+SIM_Parametres!$B$11)</f>
        <v>59423</v>
      </c>
      <c r="O531" s="72"/>
      <c r="P531" s="130">
        <f>SIM_Parametres!$D$29</f>
        <v>0</v>
      </c>
      <c r="Q531" s="130">
        <f>SIM_Parametres!$B$12</f>
        <v>0.2</v>
      </c>
      <c r="R531" s="59">
        <f t="shared" si="295"/>
        <v>4.5323977396930929E-3</v>
      </c>
      <c r="S531" s="59">
        <f t="shared" si="296"/>
        <v>1</v>
      </c>
      <c r="T531" s="59">
        <f t="shared" si="297"/>
        <v>0.80386740331491713</v>
      </c>
      <c r="U531" s="59">
        <f t="shared" si="298"/>
        <v>0.77386406994971746</v>
      </c>
      <c r="V531" s="59">
        <f t="shared" si="299"/>
        <v>0</v>
      </c>
      <c r="W531" s="59">
        <f t="shared" si="300"/>
        <v>2.3842739378566891E-2</v>
      </c>
      <c r="X531" s="59">
        <f t="shared" si="301"/>
        <v>1.590772426611272E-2</v>
      </c>
      <c r="Y531" s="59">
        <f t="shared" si="302"/>
        <v>1.9772002155383654E-2</v>
      </c>
      <c r="Z531" s="59">
        <f t="shared" si="303"/>
        <v>0</v>
      </c>
      <c r="AA531" s="59">
        <f t="shared" si="307"/>
        <v>9.6706082982869809E-3</v>
      </c>
      <c r="AB531" s="59">
        <f t="shared" si="304"/>
        <v>1.29188741415842E-2</v>
      </c>
      <c r="AC531" s="60">
        <f t="shared" si="308"/>
        <v>14704062.531455167</v>
      </c>
      <c r="AD531" s="60">
        <f t="shared" si="281"/>
        <v>17999900.351092249</v>
      </c>
      <c r="AE531" s="59">
        <f t="shared" si="311"/>
        <v>3.1999999999999806E-2</v>
      </c>
      <c r="AF531" s="60">
        <f t="shared" si="282"/>
        <v>17999900.351092249</v>
      </c>
      <c r="AG531" s="60">
        <f t="shared" si="305"/>
        <v>1.0000000000000004</v>
      </c>
      <c r="AH531" s="60">
        <f t="shared" si="283"/>
        <v>17999900.351092257</v>
      </c>
      <c r="AI531" s="60">
        <f t="shared" si="309"/>
        <v>219.09416659881515</v>
      </c>
      <c r="AJ531" s="60">
        <f t="shared" si="310"/>
        <v>0</v>
      </c>
      <c r="AK531" s="59">
        <f t="shared" si="312"/>
        <v>3.200000000000025E-2</v>
      </c>
    </row>
    <row r="532" spans="1:37" ht="12.75" customHeight="1" x14ac:dyDescent="0.25">
      <c r="A532" s="62" t="s">
        <v>625</v>
      </c>
      <c r="B532" s="62" t="s">
        <v>417</v>
      </c>
      <c r="C532" s="62" t="s">
        <v>417</v>
      </c>
      <c r="D532" s="124">
        <v>2023</v>
      </c>
      <c r="E532" s="62" t="s">
        <v>676</v>
      </c>
      <c r="F532" s="64">
        <f>SIM_Parametres!$C$29</f>
        <v>1393302555.147037</v>
      </c>
      <c r="G532" s="125">
        <f>SIM_Districts!D35*(1+SIM_Parametres!$B$6)^(2023-2023)</f>
        <v>339691</v>
      </c>
      <c r="H532" s="125">
        <f>MAX(0,MIN(100,SIM_Districts!F35+(2023-2022)*SIM_Parametres!$B$7))</f>
        <v>61.67</v>
      </c>
      <c r="I532" s="125">
        <f>SIM_Districts!G35*(1+SIM_Parametres!$B$8)^(2023-2023)</f>
        <v>40</v>
      </c>
      <c r="J532" s="125">
        <f>SIM_Districts!H35*(1+SIM_Parametres!$B$9)^(2023-2023)</f>
        <v>17.899999999999999</v>
      </c>
      <c r="K532" s="125">
        <f>MAX(0,MIN(100,SIM_Districts!I35+(2023-2023)*SIM_Parametres!$B$10))</f>
        <v>88.5</v>
      </c>
      <c r="L532" s="125">
        <f>SIM_Districts!E35</f>
        <v>3571</v>
      </c>
      <c r="M532" s="61">
        <f t="shared" si="306"/>
        <v>95.124894987398491</v>
      </c>
      <c r="N532" s="125">
        <f>N461*(1+SIM_Parametres!$B$6)/(1+SIM_Parametres!$B$11)</f>
        <v>155501</v>
      </c>
      <c r="O532" s="132"/>
      <c r="P532" s="126">
        <f>SIM_Parametres!$D$29</f>
        <v>0</v>
      </c>
      <c r="Q532" s="126">
        <f>SIM_Parametres!$B$12</f>
        <v>0.2</v>
      </c>
      <c r="R532" s="66">
        <f t="shared" si="295"/>
        <v>1.8740137307002365E-2</v>
      </c>
      <c r="S532" s="66">
        <f t="shared" si="296"/>
        <v>0.94326241134751765</v>
      </c>
      <c r="T532" s="66">
        <f t="shared" si="297"/>
        <v>0.70994475138121538</v>
      </c>
      <c r="U532" s="66">
        <f t="shared" si="298"/>
        <v>0.62208351647816396</v>
      </c>
      <c r="V532" s="66">
        <f t="shared" si="299"/>
        <v>0.66684249613059499</v>
      </c>
      <c r="W532" s="66">
        <f t="shared" si="300"/>
        <v>2.2489959839357421E-2</v>
      </c>
      <c r="X532" s="66">
        <f t="shared" si="301"/>
        <v>1.4049089815776525E-2</v>
      </c>
      <c r="Y532" s="66">
        <f t="shared" si="302"/>
        <v>1.5894053111206074E-2</v>
      </c>
      <c r="Z532" s="66">
        <f t="shared" si="303"/>
        <v>2.4475353458158197E-2</v>
      </c>
      <c r="AA532" s="66">
        <f t="shared" si="307"/>
        <v>1.8743410160939725E-2</v>
      </c>
      <c r="AB532" s="66">
        <f t="shared" si="304"/>
        <v>1.475038520542328E-2</v>
      </c>
      <c r="AC532" s="67">
        <f t="shared" si="308"/>
        <v>24816988.945516661</v>
      </c>
      <c r="AD532" s="67">
        <f t="shared" si="281"/>
        <v>20551749.396119308</v>
      </c>
      <c r="AE532" s="66">
        <f t="shared" si="311"/>
        <v>3.1999999999999806E-2</v>
      </c>
      <c r="AF532" s="67">
        <f t="shared" si="282"/>
        <v>20551749.396119308</v>
      </c>
      <c r="AG532" s="67">
        <f t="shared" si="305"/>
        <v>1.0000000000000004</v>
      </c>
      <c r="AH532" s="67">
        <f t="shared" si="283"/>
        <v>20551749.396119315</v>
      </c>
      <c r="AI532" s="67">
        <f t="shared" si="309"/>
        <v>60.501306764439782</v>
      </c>
      <c r="AJ532" s="67">
        <f t="shared" si="310"/>
        <v>0</v>
      </c>
      <c r="AK532" s="66">
        <f t="shared" si="312"/>
        <v>3.2000000000000028E-2</v>
      </c>
    </row>
    <row r="533" spans="1:37" ht="12.75" customHeight="1" x14ac:dyDescent="0.25">
      <c r="A533" s="55" t="s">
        <v>627</v>
      </c>
      <c r="B533" s="55" t="s">
        <v>417</v>
      </c>
      <c r="C533" s="55" t="s">
        <v>419</v>
      </c>
      <c r="D533" s="128">
        <v>2023</v>
      </c>
      <c r="E533" s="55" t="s">
        <v>676</v>
      </c>
      <c r="F533" s="57">
        <f>SIM_Parametres!$C$29</f>
        <v>1393302555.147037</v>
      </c>
      <c r="G533" s="129">
        <f>SIM_Districts!D36*(1+SIM_Parametres!$B$6)^(2023-2023)</f>
        <v>190684</v>
      </c>
      <c r="H533" s="129">
        <f>MAX(0,MIN(100,SIM_Districts!F36+(2023-2022)*SIM_Parametres!$B$7))</f>
        <v>61.67</v>
      </c>
      <c r="I533" s="129">
        <f>SIM_Districts!G36*(1+SIM_Parametres!$B$8)^(2023-2023)</f>
        <v>40</v>
      </c>
      <c r="J533" s="129">
        <f>SIM_Districts!H36*(1+SIM_Parametres!$B$9)^(2023-2023)</f>
        <v>17.899999999999999</v>
      </c>
      <c r="K533" s="129">
        <f>MAX(0,MIN(100,SIM_Districts!I36+(2023-2023)*SIM_Parametres!$B$10))</f>
        <v>88.5</v>
      </c>
      <c r="L533" s="129">
        <f>SIM_Districts!E36</f>
        <v>4702</v>
      </c>
      <c r="M533" s="68">
        <f t="shared" si="306"/>
        <v>40.553806890684818</v>
      </c>
      <c r="N533" s="129">
        <f>N462*(1+SIM_Parametres!$B$6)/(1+SIM_Parametres!$B$11)</f>
        <v>155501</v>
      </c>
      <c r="O533" s="72"/>
      <c r="P533" s="130">
        <f>SIM_Parametres!$D$29</f>
        <v>0</v>
      </c>
      <c r="Q533" s="130">
        <f>SIM_Parametres!$B$12</f>
        <v>0.2</v>
      </c>
      <c r="R533" s="59">
        <f t="shared" ref="R533:R564" si="313">IFERROR(G533/SUM($G$501:$G$571),1/71)</f>
        <v>1.0519690961045301E-2</v>
      </c>
      <c r="S533" s="59">
        <f t="shared" ref="S533:S564" si="314">IF(MAX($H$501:$H$571)=MIN($H$501:$H$571),1,(H533-MIN($H$501:$H$571))/(MAX($H$501:$H$571)-MIN($H$501:$H$571)))</f>
        <v>0.94326241134751765</v>
      </c>
      <c r="T533" s="59">
        <f t="shared" ref="T533:T564" si="315">(IF(MAX($I$501:$I$571)=MIN($I$501:$I$571),1,(I533-MIN($I$501:$I$571))/(MAX($I$501:$I$571)-MIN($I$501:$I$571)))+IF(MAX($J$501:$J$571)=MIN($J$501:$J$571),1,(J533-MIN($J$501:$J$571))/(MAX($J$501:$J$571)-MIN($J$501:$J$571))))/2</f>
        <v>0.70994475138121538</v>
      </c>
      <c r="U533" s="59">
        <f t="shared" ref="U533:U564" si="316">(IF(MAX($L$501:$L$571)=MIN($L$501:$L$571),1,(L533-MIN($L$501:$L$571))/(MAX($L$501:$L$571)-MIN($L$501:$L$571)))+IF(MAX($M$501:$M$571)=MIN($M$501:$M$571),1,(MAX($M$501:$M$571)-M533)/(MAX($M$501:$M$571)-MIN($M$501:$M$571))))/2</f>
        <v>0.66203363691805861</v>
      </c>
      <c r="V533" s="59">
        <f t="shared" ref="V533:V564" si="317">IF(MAX($N$501:$N$571)=MIN($N$501:$N$571),1,(N533-MIN($N$501:$N$571))/(MAX($N$501:$N$571)-MIN($N$501:$N$571)))</f>
        <v>0.66684249613059499</v>
      </c>
      <c r="W533" s="59">
        <f t="shared" ref="W533:W564" si="318">IFERROR(S533/SUM($S$501:$S$571),1/71)</f>
        <v>2.2489959839357421E-2</v>
      </c>
      <c r="X533" s="59">
        <f t="shared" ref="X533:X564" si="319">IFERROR(T533/SUM($T$501:$T$571),1/71)</f>
        <v>1.4049089815776525E-2</v>
      </c>
      <c r="Y533" s="59">
        <f t="shared" ref="Y533:Y564" si="320">IFERROR(U533/SUM($U$501:$U$571),1/71)</f>
        <v>1.6914767081679927E-2</v>
      </c>
      <c r="Z533" s="59">
        <f t="shared" ref="Z533:Z564" si="321">IFERROR(V533/SUM($V$501:$V$571),1/71)</f>
        <v>2.4475353458158197E-2</v>
      </c>
      <c r="AA533" s="59">
        <f t="shared" si="307"/>
        <v>1.3862178051889178E-2</v>
      </c>
      <c r="AB533" s="59">
        <f t="shared" ref="AB533:AB564" si="322">IFERROR(AH462/SUM($AH$430:$AH$500),1/71)</f>
        <v>1.3806064822049371E-2</v>
      </c>
      <c r="AC533" s="60">
        <f t="shared" si="308"/>
        <v>19376162.409671947</v>
      </c>
      <c r="AD533" s="60">
        <f t="shared" si="281"/>
        <v>19236025.393087011</v>
      </c>
      <c r="AE533" s="59">
        <f t="shared" si="311"/>
        <v>3.1999999999999806E-2</v>
      </c>
      <c r="AF533" s="60">
        <f t="shared" si="282"/>
        <v>19236025.393087011</v>
      </c>
      <c r="AG533" s="60">
        <f t="shared" ref="AG533:AG564" si="323">IFERROR(F533/SUM($AF$501:$AF$571),1)</f>
        <v>1.0000000000000004</v>
      </c>
      <c r="AH533" s="60">
        <f t="shared" si="283"/>
        <v>19236025.393087018</v>
      </c>
      <c r="AI533" s="60">
        <f t="shared" si="309"/>
        <v>100.87907424370697</v>
      </c>
      <c r="AJ533" s="60">
        <f t="shared" si="310"/>
        <v>0</v>
      </c>
      <c r="AK533" s="59">
        <f t="shared" si="312"/>
        <v>3.200000000000025E-2</v>
      </c>
    </row>
    <row r="534" spans="1:37" ht="12.75" customHeight="1" x14ac:dyDescent="0.25">
      <c r="A534" s="62" t="s">
        <v>628</v>
      </c>
      <c r="B534" s="62" t="s">
        <v>417</v>
      </c>
      <c r="C534" s="62" t="s">
        <v>420</v>
      </c>
      <c r="D534" s="124">
        <v>2023</v>
      </c>
      <c r="E534" s="62" t="s">
        <v>676</v>
      </c>
      <c r="F534" s="64">
        <f>SIM_Parametres!$C$29</f>
        <v>1393302555.147037</v>
      </c>
      <c r="G534" s="125">
        <f>SIM_Districts!D37*(1+SIM_Parametres!$B$6)^(2023-2023)</f>
        <v>384423</v>
      </c>
      <c r="H534" s="125">
        <f>MAX(0,MIN(100,SIM_Districts!F37+(2023-2022)*SIM_Parametres!$B$7))</f>
        <v>61.67</v>
      </c>
      <c r="I534" s="125">
        <f>SIM_Districts!G37*(1+SIM_Parametres!$B$8)^(2023-2023)</f>
        <v>40</v>
      </c>
      <c r="J534" s="125">
        <f>SIM_Districts!H37*(1+SIM_Parametres!$B$9)^(2023-2023)</f>
        <v>17.899999999999999</v>
      </c>
      <c r="K534" s="125">
        <f>MAX(0,MIN(100,SIM_Districts!I37+(2023-2023)*SIM_Parametres!$B$10))</f>
        <v>88.5</v>
      </c>
      <c r="L534" s="125">
        <f>SIM_Districts!E37</f>
        <v>5498</v>
      </c>
      <c r="M534" s="61">
        <f t="shared" si="306"/>
        <v>69.92051655147327</v>
      </c>
      <c r="N534" s="125">
        <f>N463*(1+SIM_Parametres!$B$6)/(1+SIM_Parametres!$B$11)</f>
        <v>155501</v>
      </c>
      <c r="O534" s="132"/>
      <c r="P534" s="126">
        <f>SIM_Parametres!$D$29</f>
        <v>0</v>
      </c>
      <c r="Q534" s="126">
        <f>SIM_Parametres!$B$12</f>
        <v>0.2</v>
      </c>
      <c r="R534" s="66">
        <f t="shared" si="313"/>
        <v>2.1207920739642117E-2</v>
      </c>
      <c r="S534" s="66">
        <f t="shared" si="314"/>
        <v>0.94326241134751765</v>
      </c>
      <c r="T534" s="66">
        <f t="shared" si="315"/>
        <v>0.70994475138121538</v>
      </c>
      <c r="U534" s="66">
        <f t="shared" si="316"/>
        <v>0.68919209164884077</v>
      </c>
      <c r="V534" s="66">
        <f t="shared" si="317"/>
        <v>0.66684249613059499</v>
      </c>
      <c r="W534" s="66">
        <f t="shared" si="318"/>
        <v>2.2489959839357421E-2</v>
      </c>
      <c r="X534" s="66">
        <f t="shared" si="319"/>
        <v>1.4049089815776525E-2</v>
      </c>
      <c r="Y534" s="66">
        <f t="shared" si="320"/>
        <v>1.7608657709666835E-2</v>
      </c>
      <c r="Z534" s="66">
        <f t="shared" si="321"/>
        <v>2.4475353458158197E-2</v>
      </c>
      <c r="AA534" s="66">
        <f t="shared" si="307"/>
        <v>2.0309810450446619E-2</v>
      </c>
      <c r="AB534" s="66">
        <f t="shared" si="322"/>
        <v>1.8667130425431448E-2</v>
      </c>
      <c r="AC534" s="67">
        <f t="shared" si="308"/>
        <v>26562964.566119067</v>
      </c>
      <c r="AD534" s="67">
        <f t="shared" si="281"/>
        <v>26008960.519016631</v>
      </c>
      <c r="AE534" s="66">
        <f t="shared" si="311"/>
        <v>3.1999999999999806E-2</v>
      </c>
      <c r="AF534" s="67">
        <f t="shared" si="282"/>
        <v>26008960.519016631</v>
      </c>
      <c r="AG534" s="67">
        <f t="shared" si="323"/>
        <v>1.0000000000000004</v>
      </c>
      <c r="AH534" s="67">
        <f t="shared" si="283"/>
        <v>26008960.519016642</v>
      </c>
      <c r="AI534" s="67">
        <f t="shared" si="309"/>
        <v>67.657139450596461</v>
      </c>
      <c r="AJ534" s="67">
        <f t="shared" si="310"/>
        <v>0</v>
      </c>
      <c r="AK534" s="66">
        <f t="shared" si="312"/>
        <v>3.200000000000025E-2</v>
      </c>
    </row>
    <row r="535" spans="1:37" ht="12.75" customHeight="1" x14ac:dyDescent="0.25">
      <c r="A535" s="55" t="s">
        <v>629</v>
      </c>
      <c r="B535" s="55" t="s">
        <v>421</v>
      </c>
      <c r="C535" s="55" t="s">
        <v>423</v>
      </c>
      <c r="D535" s="128">
        <v>2023</v>
      </c>
      <c r="E535" s="55" t="s">
        <v>676</v>
      </c>
      <c r="F535" s="57">
        <f>SIM_Parametres!$C$29</f>
        <v>1393302555.147037</v>
      </c>
      <c r="G535" s="129">
        <f>SIM_Districts!D38*(1+SIM_Parametres!$B$6)^(2023-2023)</f>
        <v>81713</v>
      </c>
      <c r="H535" s="129">
        <f>MAX(0,MIN(100,SIM_Districts!F38+(2023-2022)*SIM_Parametres!$B$7))</f>
        <v>46.17</v>
      </c>
      <c r="I535" s="129">
        <f>SIM_Districts!G38*(1+SIM_Parametres!$B$8)^(2023-2023)</f>
        <v>40</v>
      </c>
      <c r="J535" s="129">
        <f>SIM_Districts!H38*(1+SIM_Parametres!$B$9)^(2023-2023)</f>
        <v>18</v>
      </c>
      <c r="K535" s="129">
        <f>MAX(0,MIN(100,SIM_Districts!I38+(2023-2023)*SIM_Parametres!$B$10))</f>
        <v>93.8</v>
      </c>
      <c r="L535" s="129">
        <f>SIM_Districts!E38</f>
        <v>822</v>
      </c>
      <c r="M535" s="68">
        <f t="shared" si="306"/>
        <v>99.407542579075425</v>
      </c>
      <c r="N535" s="129">
        <f>N464*(1+SIM_Parametres!$B$6)/(1+SIM_Parametres!$B$11)</f>
        <v>97480</v>
      </c>
      <c r="O535" s="72"/>
      <c r="P535" s="130">
        <f>SIM_Parametres!$D$29</f>
        <v>0</v>
      </c>
      <c r="Q535" s="130">
        <f>SIM_Parametres!$B$12</f>
        <v>0.2</v>
      </c>
      <c r="R535" s="59">
        <f t="shared" si="313"/>
        <v>4.5079582319433962E-3</v>
      </c>
      <c r="S535" s="59">
        <f t="shared" si="314"/>
        <v>0.66843971631205668</v>
      </c>
      <c r="T535" s="59">
        <f t="shared" si="315"/>
        <v>0.71270718232044206</v>
      </c>
      <c r="U535" s="59">
        <f t="shared" si="316"/>
        <v>0.52679639914705134</v>
      </c>
      <c r="V535" s="59">
        <f t="shared" si="317"/>
        <v>0.26413981218637</v>
      </c>
      <c r="W535" s="59">
        <f t="shared" si="318"/>
        <v>1.5937433946311558E-2</v>
      </c>
      <c r="X535" s="59">
        <f t="shared" si="319"/>
        <v>1.4103755534904065E-2</v>
      </c>
      <c r="Y535" s="59">
        <f t="shared" si="320"/>
        <v>1.3459494947298206E-2</v>
      </c>
      <c r="Z535" s="59">
        <f t="shared" si="321"/>
        <v>9.6948159470131197E-3</v>
      </c>
      <c r="AA535" s="59">
        <f t="shared" si="307"/>
        <v>8.3686689060639488E-3</v>
      </c>
      <c r="AB535" s="59">
        <f t="shared" si="322"/>
        <v>1.1122649070718166E-2</v>
      </c>
      <c r="AC535" s="60">
        <f t="shared" si="308"/>
        <v>13252866.145990422</v>
      </c>
      <c r="AD535" s="60">
        <f t="shared" si="281"/>
        <v>15497215.370235438</v>
      </c>
      <c r="AE535" s="59">
        <f t="shared" si="311"/>
        <v>3.1999999999999806E-2</v>
      </c>
      <c r="AF535" s="60">
        <f t="shared" si="282"/>
        <v>15497215.370235438</v>
      </c>
      <c r="AG535" s="60">
        <f t="shared" si="323"/>
        <v>1.0000000000000004</v>
      </c>
      <c r="AH535" s="60">
        <f t="shared" si="283"/>
        <v>15497215.370235445</v>
      </c>
      <c r="AI535" s="60">
        <f t="shared" si="309"/>
        <v>189.65422111824856</v>
      </c>
      <c r="AJ535" s="60">
        <f t="shared" si="310"/>
        <v>0</v>
      </c>
      <c r="AK535" s="59">
        <f t="shared" si="312"/>
        <v>3.200000000000025E-2</v>
      </c>
    </row>
    <row r="536" spans="1:37" ht="12.75" customHeight="1" x14ac:dyDescent="0.25">
      <c r="A536" s="62" t="s">
        <v>631</v>
      </c>
      <c r="B536" s="62" t="s">
        <v>421</v>
      </c>
      <c r="C536" s="62" t="s">
        <v>424</v>
      </c>
      <c r="D536" s="124">
        <v>2023</v>
      </c>
      <c r="E536" s="62" t="s">
        <v>676</v>
      </c>
      <c r="F536" s="64">
        <f>SIM_Parametres!$C$29</f>
        <v>1393302555.147037</v>
      </c>
      <c r="G536" s="125">
        <f>SIM_Districts!D39*(1+SIM_Parametres!$B$6)^(2023-2023)</f>
        <v>169768</v>
      </c>
      <c r="H536" s="125">
        <f>MAX(0,MIN(100,SIM_Districts!F39+(2023-2022)*SIM_Parametres!$B$7))</f>
        <v>46.17</v>
      </c>
      <c r="I536" s="125">
        <f>SIM_Districts!G39*(1+SIM_Parametres!$B$8)^(2023-2023)</f>
        <v>40</v>
      </c>
      <c r="J536" s="125">
        <f>SIM_Districts!H39*(1+SIM_Parametres!$B$9)^(2023-2023)</f>
        <v>18</v>
      </c>
      <c r="K536" s="125">
        <f>MAX(0,MIN(100,SIM_Districts!I39+(2023-2023)*SIM_Parametres!$B$10))</f>
        <v>93.8</v>
      </c>
      <c r="L536" s="125">
        <f>SIM_Districts!E39</f>
        <v>6832</v>
      </c>
      <c r="M536" s="61">
        <f t="shared" si="306"/>
        <v>24.848946135831383</v>
      </c>
      <c r="N536" s="125">
        <f>N465*(1+SIM_Parametres!$B$6)/(1+SIM_Parametres!$B$11)</f>
        <v>97480</v>
      </c>
      <c r="O536" s="132"/>
      <c r="P536" s="126">
        <f>SIM_Parametres!$D$29</f>
        <v>0</v>
      </c>
      <c r="Q536" s="126">
        <f>SIM_Parametres!$B$12</f>
        <v>0.2</v>
      </c>
      <c r="R536" s="66">
        <f t="shared" si="313"/>
        <v>9.3657931188497121E-3</v>
      </c>
      <c r="S536" s="66">
        <f t="shared" si="314"/>
        <v>0.66843971631205668</v>
      </c>
      <c r="T536" s="66">
        <f t="shared" si="315"/>
        <v>0.71270718232044206</v>
      </c>
      <c r="U536" s="66">
        <f t="shared" si="316"/>
        <v>0.73603986945859257</v>
      </c>
      <c r="V536" s="66">
        <f t="shared" si="317"/>
        <v>0.26413981218637</v>
      </c>
      <c r="W536" s="66">
        <f t="shared" si="318"/>
        <v>1.5937433946311558E-2</v>
      </c>
      <c r="X536" s="66">
        <f t="shared" si="319"/>
        <v>1.4103755534904065E-2</v>
      </c>
      <c r="Y536" s="66">
        <f t="shared" si="320"/>
        <v>1.8805604821954314E-2</v>
      </c>
      <c r="Z536" s="66">
        <f t="shared" si="321"/>
        <v>9.6948159470131197E-3</v>
      </c>
      <c r="AA536" s="66">
        <f t="shared" si="307"/>
        <v>1.1550675331940541E-2</v>
      </c>
      <c r="AB536" s="66">
        <f t="shared" si="322"/>
        <v>1.7022971181425449E-2</v>
      </c>
      <c r="AC536" s="67">
        <f t="shared" si="308"/>
        <v>16799664.292924937</v>
      </c>
      <c r="AD536" s="67">
        <f t="shared" si="281"/>
        <v>23718149.243274454</v>
      </c>
      <c r="AE536" s="66">
        <f t="shared" si="311"/>
        <v>3.1999999999999806E-2</v>
      </c>
      <c r="AF536" s="67">
        <f t="shared" si="282"/>
        <v>23718149.243274454</v>
      </c>
      <c r="AG536" s="67">
        <f t="shared" si="323"/>
        <v>1.0000000000000004</v>
      </c>
      <c r="AH536" s="67">
        <f t="shared" si="283"/>
        <v>23718149.243274465</v>
      </c>
      <c r="AI536" s="67">
        <f t="shared" si="309"/>
        <v>139.70918690963236</v>
      </c>
      <c r="AJ536" s="67">
        <f t="shared" si="310"/>
        <v>0</v>
      </c>
      <c r="AK536" s="66">
        <f t="shared" si="312"/>
        <v>3.200000000000025E-2</v>
      </c>
    </row>
    <row r="537" spans="1:37" ht="12.75" customHeight="1" x14ac:dyDescent="0.25">
      <c r="A537" s="55" t="s">
        <v>632</v>
      </c>
      <c r="B537" s="55" t="s">
        <v>421</v>
      </c>
      <c r="C537" s="55" t="s">
        <v>425</v>
      </c>
      <c r="D537" s="128">
        <v>2023</v>
      </c>
      <c r="E537" s="55" t="s">
        <v>676</v>
      </c>
      <c r="F537" s="57">
        <f>SIM_Parametres!$C$29</f>
        <v>1393302555.147037</v>
      </c>
      <c r="G537" s="129">
        <f>SIM_Districts!D40*(1+SIM_Parametres!$B$6)^(2023-2023)</f>
        <v>106738</v>
      </c>
      <c r="H537" s="129">
        <f>MAX(0,MIN(100,SIM_Districts!F40+(2023-2022)*SIM_Parametres!$B$7))</f>
        <v>46.17</v>
      </c>
      <c r="I537" s="129">
        <f>SIM_Districts!G40*(1+SIM_Parametres!$B$8)^(2023-2023)</f>
        <v>40</v>
      </c>
      <c r="J537" s="129">
        <f>SIM_Districts!H40*(1+SIM_Parametres!$B$9)^(2023-2023)</f>
        <v>18</v>
      </c>
      <c r="K537" s="129">
        <f>MAX(0,MIN(100,SIM_Districts!I40+(2023-2023)*SIM_Parametres!$B$10))</f>
        <v>93.8</v>
      </c>
      <c r="L537" s="129">
        <f>SIM_Districts!E40</f>
        <v>1601</v>
      </c>
      <c r="M537" s="68">
        <f t="shared" si="306"/>
        <v>66.669581511555279</v>
      </c>
      <c r="N537" s="129">
        <f>N466*(1+SIM_Parametres!$B$6)/(1+SIM_Parametres!$B$11)</f>
        <v>97480</v>
      </c>
      <c r="O537" s="72"/>
      <c r="P537" s="130">
        <f>SIM_Parametres!$D$29</f>
        <v>0</v>
      </c>
      <c r="Q537" s="130">
        <f>SIM_Parametres!$B$12</f>
        <v>0.2</v>
      </c>
      <c r="R537" s="59">
        <f t="shared" si="313"/>
        <v>5.8885421629505004E-3</v>
      </c>
      <c r="S537" s="59">
        <f t="shared" si="314"/>
        <v>0.66843971631205668</v>
      </c>
      <c r="T537" s="59">
        <f t="shared" si="315"/>
        <v>0.71270718232044206</v>
      </c>
      <c r="U537" s="59">
        <f t="shared" si="316"/>
        <v>0.5542443044598161</v>
      </c>
      <c r="V537" s="59">
        <f t="shared" si="317"/>
        <v>0.26413981218637</v>
      </c>
      <c r="W537" s="59">
        <f t="shared" si="318"/>
        <v>1.5937433946311558E-2</v>
      </c>
      <c r="X537" s="59">
        <f t="shared" si="319"/>
        <v>1.4103755534904065E-2</v>
      </c>
      <c r="Y537" s="59">
        <f t="shared" si="320"/>
        <v>1.4160780953560279E-2</v>
      </c>
      <c r="Z537" s="59">
        <f t="shared" si="321"/>
        <v>9.6948159470131197E-3</v>
      </c>
      <c r="AA537" s="59">
        <f t="shared" si="307"/>
        <v>9.2320835649813138E-3</v>
      </c>
      <c r="AB537" s="59">
        <f t="shared" si="322"/>
        <v>1.785891315781072E-2</v>
      </c>
      <c r="AC537" s="60">
        <f t="shared" si="308"/>
        <v>14215264.426327199</v>
      </c>
      <c r="AD537" s="60">
        <f t="shared" ref="AD537:AD600" si="324">F537*((1-P537)*AB537+P537*(Q537/71+(1-Q537)*AA537))</f>
        <v>24882869.334926717</v>
      </c>
      <c r="AE537" s="59">
        <f t="shared" si="311"/>
        <v>3.1999999999999806E-2</v>
      </c>
      <c r="AF537" s="60">
        <f t="shared" ref="AF537:AF600" si="325">AD537</f>
        <v>24882869.334926717</v>
      </c>
      <c r="AG537" s="60">
        <f t="shared" si="323"/>
        <v>1.0000000000000004</v>
      </c>
      <c r="AH537" s="60">
        <f t="shared" ref="AH537:AH600" si="326">AF537*AG537</f>
        <v>24882869.334926728</v>
      </c>
      <c r="AI537" s="60">
        <f t="shared" si="309"/>
        <v>233.12100034595673</v>
      </c>
      <c r="AJ537" s="60">
        <f t="shared" si="310"/>
        <v>0</v>
      </c>
      <c r="AK537" s="59">
        <f t="shared" si="312"/>
        <v>3.200000000000025E-2</v>
      </c>
    </row>
    <row r="538" spans="1:37" ht="12.75" customHeight="1" x14ac:dyDescent="0.25">
      <c r="A538" s="62" t="s">
        <v>633</v>
      </c>
      <c r="B538" s="62" t="s">
        <v>421</v>
      </c>
      <c r="C538" s="62" t="s">
        <v>426</v>
      </c>
      <c r="D538" s="124">
        <v>2023</v>
      </c>
      <c r="E538" s="62" t="s">
        <v>676</v>
      </c>
      <c r="F538" s="64">
        <f>SIM_Parametres!$C$29</f>
        <v>1393302555.147037</v>
      </c>
      <c r="G538" s="125">
        <f>SIM_Districts!D41*(1+SIM_Parametres!$B$6)^(2023-2023)</f>
        <v>226947</v>
      </c>
      <c r="H538" s="125">
        <f>MAX(0,MIN(100,SIM_Districts!F41+(2023-2022)*SIM_Parametres!$B$7))</f>
        <v>46.17</v>
      </c>
      <c r="I538" s="125">
        <f>SIM_Districts!G41*(1+SIM_Parametres!$B$8)^(2023-2023)</f>
        <v>40</v>
      </c>
      <c r="J538" s="125">
        <f>SIM_Districts!H41*(1+SIM_Parametres!$B$9)^(2023-2023)</f>
        <v>18</v>
      </c>
      <c r="K538" s="125">
        <f>MAX(0,MIN(100,SIM_Districts!I41+(2023-2023)*SIM_Parametres!$B$10))</f>
        <v>93.8</v>
      </c>
      <c r="L538" s="125">
        <f>SIM_Districts!E41</f>
        <v>2260</v>
      </c>
      <c r="M538" s="61">
        <f t="shared" si="306"/>
        <v>100.41902654867256</v>
      </c>
      <c r="N538" s="125">
        <f>N467*(1+SIM_Parametres!$B$6)/(1+SIM_Parametres!$B$11)</f>
        <v>97480</v>
      </c>
      <c r="O538" s="132"/>
      <c r="P538" s="126">
        <f>SIM_Parametres!$D$29</f>
        <v>0</v>
      </c>
      <c r="Q538" s="126">
        <f>SIM_Parametres!$B$12</f>
        <v>0.2</v>
      </c>
      <c r="R538" s="66">
        <f t="shared" si="313"/>
        <v>1.252025500061016E-2</v>
      </c>
      <c r="S538" s="66">
        <f t="shared" si="314"/>
        <v>0.66843971631205668</v>
      </c>
      <c r="T538" s="66">
        <f t="shared" si="315"/>
        <v>0.71270718232044206</v>
      </c>
      <c r="U538" s="66">
        <f t="shared" si="316"/>
        <v>0.57659503553202673</v>
      </c>
      <c r="V538" s="66">
        <f t="shared" si="317"/>
        <v>0.26413981218637</v>
      </c>
      <c r="W538" s="66">
        <f t="shared" si="318"/>
        <v>1.5937433946311558E-2</v>
      </c>
      <c r="X538" s="66">
        <f t="shared" si="319"/>
        <v>1.4103755534904065E-2</v>
      </c>
      <c r="Y538" s="66">
        <f t="shared" si="320"/>
        <v>1.4731835638865494E-2</v>
      </c>
      <c r="Z538" s="66">
        <f t="shared" si="321"/>
        <v>9.6948159470131197E-3</v>
      </c>
      <c r="AA538" s="66">
        <f t="shared" si="307"/>
        <v>1.3239664001842372E-2</v>
      </c>
      <c r="AB538" s="66">
        <f t="shared" si="322"/>
        <v>1.3885878377583642E-2</v>
      </c>
      <c r="AC538" s="67">
        <f t="shared" si="308"/>
        <v>18682282.07643583</v>
      </c>
      <c r="AD538" s="67">
        <f t="shared" si="324"/>
        <v>19347229.823948283</v>
      </c>
      <c r="AE538" s="66">
        <f t="shared" si="311"/>
        <v>3.1999999999999806E-2</v>
      </c>
      <c r="AF538" s="67">
        <f t="shared" si="325"/>
        <v>19347229.823948283</v>
      </c>
      <c r="AG538" s="67">
        <f t="shared" si="323"/>
        <v>1.0000000000000004</v>
      </c>
      <c r="AH538" s="67">
        <f t="shared" si="326"/>
        <v>19347229.82394829</v>
      </c>
      <c r="AI538" s="67">
        <f t="shared" si="309"/>
        <v>85.24999151320921</v>
      </c>
      <c r="AJ538" s="67">
        <f t="shared" si="310"/>
        <v>0</v>
      </c>
      <c r="AK538" s="66">
        <f t="shared" si="312"/>
        <v>3.200000000000025E-2</v>
      </c>
    </row>
    <row r="539" spans="1:37" ht="12.75" customHeight="1" x14ac:dyDescent="0.25">
      <c r="A539" s="55" t="s">
        <v>634</v>
      </c>
      <c r="B539" s="55" t="s">
        <v>421</v>
      </c>
      <c r="C539" s="55" t="s">
        <v>427</v>
      </c>
      <c r="D539" s="128">
        <v>2023</v>
      </c>
      <c r="E539" s="55" t="s">
        <v>676</v>
      </c>
      <c r="F539" s="57">
        <f>SIM_Parametres!$C$29</f>
        <v>1393302555.147037</v>
      </c>
      <c r="G539" s="129">
        <f>SIM_Districts!D42*(1+SIM_Parametres!$B$6)^(2023-2023)</f>
        <v>97436</v>
      </c>
      <c r="H539" s="129">
        <f>MAX(0,MIN(100,SIM_Districts!F42+(2023-2022)*SIM_Parametres!$B$7))</f>
        <v>46.17</v>
      </c>
      <c r="I539" s="129">
        <f>SIM_Districts!G42*(1+SIM_Parametres!$B$8)^(2023-2023)</f>
        <v>40</v>
      </c>
      <c r="J539" s="129">
        <f>SIM_Districts!H42*(1+SIM_Parametres!$B$9)^(2023-2023)</f>
        <v>18</v>
      </c>
      <c r="K539" s="129">
        <f>MAX(0,MIN(100,SIM_Districts!I42+(2023-2023)*SIM_Parametres!$B$10))</f>
        <v>93.8</v>
      </c>
      <c r="L539" s="129">
        <f>SIM_Districts!E42</f>
        <v>2889</v>
      </c>
      <c r="M539" s="68">
        <f t="shared" si="306"/>
        <v>33.726548978885425</v>
      </c>
      <c r="N539" s="129">
        <f>N468*(1+SIM_Parametres!$B$6)/(1+SIM_Parametres!$B$11)</f>
        <v>97480</v>
      </c>
      <c r="O539" s="72"/>
      <c r="P539" s="130">
        <f>SIM_Parametres!$D$29</f>
        <v>0</v>
      </c>
      <c r="Q539" s="130">
        <f>SIM_Parametres!$B$12</f>
        <v>0.2</v>
      </c>
      <c r="R539" s="59">
        <f t="shared" si="313"/>
        <v>5.3753676683959322E-3</v>
      </c>
      <c r="S539" s="59">
        <f t="shared" si="314"/>
        <v>0.66843971631205668</v>
      </c>
      <c r="T539" s="59">
        <f t="shared" si="315"/>
        <v>0.71270718232044206</v>
      </c>
      <c r="U539" s="59">
        <f t="shared" si="316"/>
        <v>0.59932709011759788</v>
      </c>
      <c r="V539" s="59">
        <f t="shared" si="317"/>
        <v>0.26413981218637</v>
      </c>
      <c r="W539" s="59">
        <f t="shared" si="318"/>
        <v>1.5937433946311558E-2</v>
      </c>
      <c r="X539" s="59">
        <f t="shared" si="319"/>
        <v>1.4103755534904065E-2</v>
      </c>
      <c r="Y539" s="59">
        <f t="shared" si="320"/>
        <v>1.5312633029150606E-2</v>
      </c>
      <c r="Z539" s="59">
        <f t="shared" si="321"/>
        <v>9.6948159470131197E-3</v>
      </c>
      <c r="AA539" s="59">
        <f t="shared" si="307"/>
        <v>8.9817714720280897E-3</v>
      </c>
      <c r="AB539" s="59">
        <f t="shared" si="322"/>
        <v>1.2318172118352576E-2</v>
      </c>
      <c r="AC539" s="60">
        <f t="shared" si="308"/>
        <v>13936256.043370454</v>
      </c>
      <c r="AD539" s="60">
        <f t="shared" si="324"/>
        <v>17162940.687241636</v>
      </c>
      <c r="AE539" s="59">
        <f t="shared" si="311"/>
        <v>3.1999999999999806E-2</v>
      </c>
      <c r="AF539" s="60">
        <f t="shared" si="325"/>
        <v>17162940.687241636</v>
      </c>
      <c r="AG539" s="60">
        <f t="shared" si="323"/>
        <v>1.0000000000000004</v>
      </c>
      <c r="AH539" s="60">
        <f t="shared" si="326"/>
        <v>17162940.687241644</v>
      </c>
      <c r="AI539" s="60">
        <f t="shared" si="309"/>
        <v>176.14578479454866</v>
      </c>
      <c r="AJ539" s="60">
        <f t="shared" si="310"/>
        <v>0</v>
      </c>
      <c r="AK539" s="59">
        <f t="shared" si="312"/>
        <v>3.200000000000025E-2</v>
      </c>
    </row>
    <row r="540" spans="1:37" ht="12.75" customHeight="1" x14ac:dyDescent="0.25">
      <c r="A540" s="62" t="s">
        <v>635</v>
      </c>
      <c r="B540" s="62" t="s">
        <v>421</v>
      </c>
      <c r="C540" s="62" t="s">
        <v>428</v>
      </c>
      <c r="D540" s="124">
        <v>2023</v>
      </c>
      <c r="E540" s="62" t="s">
        <v>676</v>
      </c>
      <c r="F540" s="64">
        <f>SIM_Parametres!$C$29</f>
        <v>1393302555.147037</v>
      </c>
      <c r="G540" s="125">
        <f>SIM_Districts!D43*(1+SIM_Parametres!$B$6)^(2023-2023)</f>
        <v>141782</v>
      </c>
      <c r="H540" s="125">
        <f>MAX(0,MIN(100,SIM_Districts!F43+(2023-2022)*SIM_Parametres!$B$7))</f>
        <v>46.17</v>
      </c>
      <c r="I540" s="125">
        <f>SIM_Districts!G43*(1+SIM_Parametres!$B$8)^(2023-2023)</f>
        <v>40</v>
      </c>
      <c r="J540" s="125">
        <f>SIM_Districts!H43*(1+SIM_Parametres!$B$9)^(2023-2023)</f>
        <v>18</v>
      </c>
      <c r="K540" s="125">
        <f>MAX(0,MIN(100,SIM_Districts!I43+(2023-2023)*SIM_Parametres!$B$10))</f>
        <v>93.8</v>
      </c>
      <c r="L540" s="125">
        <f>SIM_Districts!E43</f>
        <v>8907</v>
      </c>
      <c r="M540" s="61">
        <f t="shared" si="306"/>
        <v>15.918041989446502</v>
      </c>
      <c r="N540" s="125">
        <f>N469*(1+SIM_Parametres!$B$6)/(1+SIM_Parametres!$B$11)</f>
        <v>97480</v>
      </c>
      <c r="O540" s="132"/>
      <c r="P540" s="126">
        <f>SIM_Parametres!$D$29</f>
        <v>0</v>
      </c>
      <c r="Q540" s="126">
        <f>SIM_Parametres!$B$12</f>
        <v>0.2</v>
      </c>
      <c r="R540" s="66">
        <f t="shared" si="313"/>
        <v>7.8218561800619084E-3</v>
      </c>
      <c r="S540" s="66">
        <f t="shared" si="314"/>
        <v>0.66843971631205668</v>
      </c>
      <c r="T540" s="66">
        <f t="shared" si="315"/>
        <v>0.71270718232044206</v>
      </c>
      <c r="U540" s="66">
        <f t="shared" si="316"/>
        <v>0.80804507507275991</v>
      </c>
      <c r="V540" s="66">
        <f t="shared" si="317"/>
        <v>0.26413981218637</v>
      </c>
      <c r="W540" s="66">
        <f t="shared" si="318"/>
        <v>1.5937433946311558E-2</v>
      </c>
      <c r="X540" s="66">
        <f t="shared" si="319"/>
        <v>1.4103755534904065E-2</v>
      </c>
      <c r="Y540" s="66">
        <f t="shared" si="320"/>
        <v>2.0645316905621235E-2</v>
      </c>
      <c r="Z540" s="66">
        <f t="shared" si="321"/>
        <v>9.6948159470131197E-3</v>
      </c>
      <c r="AA540" s="66">
        <f t="shared" si="307"/>
        <v>1.0716298772851206E-2</v>
      </c>
      <c r="AB540" s="66">
        <f t="shared" si="322"/>
        <v>1.3706927984648905E-2</v>
      </c>
      <c r="AC540" s="67">
        <f t="shared" si="308"/>
        <v>15869633.099537767</v>
      </c>
      <c r="AD540" s="67">
        <f t="shared" si="324"/>
        <v>19097897.784227747</v>
      </c>
      <c r="AE540" s="66">
        <f t="shared" si="311"/>
        <v>3.2000000000000028E-2</v>
      </c>
      <c r="AF540" s="67">
        <f t="shared" si="325"/>
        <v>19097897.784227747</v>
      </c>
      <c r="AG540" s="67">
        <f t="shared" si="323"/>
        <v>1.0000000000000004</v>
      </c>
      <c r="AH540" s="67">
        <f t="shared" si="326"/>
        <v>19097897.784227755</v>
      </c>
      <c r="AI540" s="67">
        <f t="shared" si="309"/>
        <v>134.69902938474388</v>
      </c>
      <c r="AJ540" s="67">
        <f t="shared" si="310"/>
        <v>0</v>
      </c>
      <c r="AK540" s="66">
        <f t="shared" si="312"/>
        <v>3.200000000000025E-2</v>
      </c>
    </row>
    <row r="541" spans="1:37" ht="12.75" customHeight="1" x14ac:dyDescent="0.25">
      <c r="A541" s="55" t="s">
        <v>636</v>
      </c>
      <c r="B541" s="55" t="s">
        <v>421</v>
      </c>
      <c r="C541" s="55" t="s">
        <v>421</v>
      </c>
      <c r="D541" s="128">
        <v>2023</v>
      </c>
      <c r="E541" s="55" t="s">
        <v>676</v>
      </c>
      <c r="F541" s="57">
        <f>SIM_Parametres!$C$29</f>
        <v>1393302555.147037</v>
      </c>
      <c r="G541" s="129">
        <f>SIM_Districts!D44*(1+SIM_Parametres!$B$6)^(2023-2023)</f>
        <v>209180</v>
      </c>
      <c r="H541" s="129">
        <f>MAX(0,MIN(100,SIM_Districts!F44+(2023-2022)*SIM_Parametres!$B$7))</f>
        <v>46.17</v>
      </c>
      <c r="I541" s="129">
        <f>SIM_Districts!G44*(1+SIM_Parametres!$B$8)^(2023-2023)</f>
        <v>40</v>
      </c>
      <c r="J541" s="129">
        <f>SIM_Districts!H44*(1+SIM_Parametres!$B$9)^(2023-2023)</f>
        <v>18</v>
      </c>
      <c r="K541" s="129">
        <f>MAX(0,MIN(100,SIM_Districts!I44+(2023-2023)*SIM_Parametres!$B$10))</f>
        <v>93.8</v>
      </c>
      <c r="L541" s="129">
        <f>SIM_Districts!E44</f>
        <v>759</v>
      </c>
      <c r="M541" s="68">
        <f t="shared" si="306"/>
        <v>275.59947299077731</v>
      </c>
      <c r="N541" s="129">
        <f>N470*(1+SIM_Parametres!$B$6)/(1+SIM_Parametres!$B$11)</f>
        <v>97480</v>
      </c>
      <c r="O541" s="72"/>
      <c r="P541" s="130">
        <f>SIM_Parametres!$D$29</f>
        <v>0</v>
      </c>
      <c r="Q541" s="130">
        <f>SIM_Parametres!$B$12</f>
        <v>0.2</v>
      </c>
      <c r="R541" s="59">
        <f t="shared" si="313"/>
        <v>1.1540081785736905E-2</v>
      </c>
      <c r="S541" s="59">
        <f t="shared" si="314"/>
        <v>0.66843971631205668</v>
      </c>
      <c r="T541" s="59">
        <f t="shared" si="315"/>
        <v>0.71270718232044206</v>
      </c>
      <c r="U541" s="59">
        <f t="shared" si="316"/>
        <v>0.52212219334654875</v>
      </c>
      <c r="V541" s="59">
        <f t="shared" si="317"/>
        <v>0.26413981218637</v>
      </c>
      <c r="W541" s="59">
        <f t="shared" si="318"/>
        <v>1.5937433946311558E-2</v>
      </c>
      <c r="X541" s="59">
        <f t="shared" si="319"/>
        <v>1.4103755534904065E-2</v>
      </c>
      <c r="Y541" s="59">
        <f t="shared" si="320"/>
        <v>1.3340070347099039E-2</v>
      </c>
      <c r="Z541" s="59">
        <f t="shared" si="321"/>
        <v>9.6948159470131197E-3</v>
      </c>
      <c r="AA541" s="59">
        <f t="shared" si="307"/>
        <v>1.2581971808330095E-2</v>
      </c>
      <c r="AB541" s="59">
        <f t="shared" si="322"/>
        <v>1.6193750346558854E-2</v>
      </c>
      <c r="AC541" s="60">
        <f t="shared" si="308"/>
        <v>17949190.705459099</v>
      </c>
      <c r="AD541" s="60">
        <f t="shared" si="324"/>
        <v>22562793.735273667</v>
      </c>
      <c r="AE541" s="59">
        <f t="shared" si="311"/>
        <v>3.1999999999999806E-2</v>
      </c>
      <c r="AF541" s="60">
        <f t="shared" si="325"/>
        <v>22562793.735273667</v>
      </c>
      <c r="AG541" s="60">
        <f t="shared" si="323"/>
        <v>1.0000000000000004</v>
      </c>
      <c r="AH541" s="60">
        <f t="shared" si="326"/>
        <v>22562793.735273678</v>
      </c>
      <c r="AI541" s="60">
        <f t="shared" si="309"/>
        <v>107.86305447592351</v>
      </c>
      <c r="AJ541" s="60">
        <f t="shared" si="310"/>
        <v>0</v>
      </c>
      <c r="AK541" s="59">
        <f t="shared" si="312"/>
        <v>3.200000000000025E-2</v>
      </c>
    </row>
    <row r="542" spans="1:37" ht="12.75" customHeight="1" x14ac:dyDescent="0.25">
      <c r="A542" s="62" t="s">
        <v>637</v>
      </c>
      <c r="B542" s="62" t="s">
        <v>421</v>
      </c>
      <c r="C542" s="62" t="s">
        <v>429</v>
      </c>
      <c r="D542" s="124">
        <v>2023</v>
      </c>
      <c r="E542" s="62" t="s">
        <v>676</v>
      </c>
      <c r="F542" s="64">
        <f>SIM_Parametres!$C$29</f>
        <v>1393302555.147037</v>
      </c>
      <c r="G542" s="125">
        <f>SIM_Districts!D45*(1+SIM_Parametres!$B$6)^(2023-2023)</f>
        <v>92344</v>
      </c>
      <c r="H542" s="125">
        <f>MAX(0,MIN(100,SIM_Districts!F45+(2023-2022)*SIM_Parametres!$B$7))</f>
        <v>46.17</v>
      </c>
      <c r="I542" s="125">
        <f>SIM_Districts!G45*(1+SIM_Parametres!$B$8)^(2023-2023)</f>
        <v>40</v>
      </c>
      <c r="J542" s="125">
        <f>SIM_Districts!H45*(1+SIM_Parametres!$B$9)^(2023-2023)</f>
        <v>18</v>
      </c>
      <c r="K542" s="125">
        <f>MAX(0,MIN(100,SIM_Districts!I45+(2023-2023)*SIM_Parametres!$B$10))</f>
        <v>93.8</v>
      </c>
      <c r="L542" s="125">
        <f>SIM_Districts!E45</f>
        <v>1185</v>
      </c>
      <c r="M542" s="61">
        <f t="shared" si="306"/>
        <v>77.927426160337546</v>
      </c>
      <c r="N542" s="125">
        <f>N471*(1+SIM_Parametres!$B$6)/(1+SIM_Parametres!$B$11)</f>
        <v>97480</v>
      </c>
      <c r="O542" s="132"/>
      <c r="P542" s="126">
        <f>SIM_Parametres!$D$29</f>
        <v>0</v>
      </c>
      <c r="Q542" s="126">
        <f>SIM_Parametres!$B$12</f>
        <v>0.2</v>
      </c>
      <c r="R542" s="66">
        <f t="shared" si="313"/>
        <v>5.0944512497470536E-3</v>
      </c>
      <c r="S542" s="66">
        <f t="shared" si="314"/>
        <v>0.66843971631205668</v>
      </c>
      <c r="T542" s="66">
        <f t="shared" si="315"/>
        <v>0.71270718232044206</v>
      </c>
      <c r="U542" s="66">
        <f t="shared" si="316"/>
        <v>0.53967466644845508</v>
      </c>
      <c r="V542" s="66">
        <f t="shared" si="317"/>
        <v>0.26413981218637</v>
      </c>
      <c r="W542" s="66">
        <f t="shared" si="318"/>
        <v>1.5937433946311558E-2</v>
      </c>
      <c r="X542" s="66">
        <f t="shared" si="319"/>
        <v>1.4103755534904065E-2</v>
      </c>
      <c r="Y542" s="66">
        <f t="shared" si="320"/>
        <v>1.378853093530771E-2</v>
      </c>
      <c r="Z542" s="66">
        <f t="shared" si="321"/>
        <v>9.6948159470131197E-3</v>
      </c>
      <c r="AA542" s="66">
        <f t="shared" si="307"/>
        <v>8.7370165161466153E-3</v>
      </c>
      <c r="AB542" s="66">
        <f t="shared" si="322"/>
        <v>1.292643542579271E-2</v>
      </c>
      <c r="AC542" s="67">
        <f t="shared" si="308"/>
        <v>13663441.879038809</v>
      </c>
      <c r="AD542" s="67">
        <f t="shared" si="324"/>
        <v>18010435.50770016</v>
      </c>
      <c r="AE542" s="66">
        <f t="shared" si="311"/>
        <v>3.1999999999999806E-2</v>
      </c>
      <c r="AF542" s="67">
        <f t="shared" si="325"/>
        <v>18010435.50770016</v>
      </c>
      <c r="AG542" s="67">
        <f t="shared" si="323"/>
        <v>1.0000000000000004</v>
      </c>
      <c r="AH542" s="67">
        <f t="shared" si="326"/>
        <v>18010435.507700168</v>
      </c>
      <c r="AI542" s="67">
        <f t="shared" si="309"/>
        <v>195.03633704084908</v>
      </c>
      <c r="AJ542" s="67">
        <f t="shared" si="310"/>
        <v>0</v>
      </c>
      <c r="AK542" s="66">
        <f t="shared" si="312"/>
        <v>3.200000000000025E-2</v>
      </c>
    </row>
    <row r="543" spans="1:37" ht="12.75" customHeight="1" x14ac:dyDescent="0.25">
      <c r="A543" s="55" t="s">
        <v>638</v>
      </c>
      <c r="B543" s="55" t="s">
        <v>430</v>
      </c>
      <c r="C543" s="55" t="s">
        <v>432</v>
      </c>
      <c r="D543" s="128">
        <v>2023</v>
      </c>
      <c r="E543" s="55" t="s">
        <v>676</v>
      </c>
      <c r="F543" s="57">
        <f>SIM_Parametres!$C$29</f>
        <v>1393302555.147037</v>
      </c>
      <c r="G543" s="129">
        <f>SIM_Districts!D46*(1+SIM_Parametres!$B$6)^(2023-2023)</f>
        <v>352743</v>
      </c>
      <c r="H543" s="129">
        <f>MAX(0,MIN(100,SIM_Districts!F46+(2023-2022)*SIM_Parametres!$B$7))</f>
        <v>43.870000000000005</v>
      </c>
      <c r="I543" s="129">
        <f>SIM_Districts!G46*(1+SIM_Parametres!$B$8)^(2023-2023)</f>
        <v>40</v>
      </c>
      <c r="J543" s="129">
        <f>SIM_Districts!H46*(1+SIM_Parametres!$B$9)^(2023-2023)</f>
        <v>25.3</v>
      </c>
      <c r="K543" s="129">
        <f>MAX(0,MIN(100,SIM_Districts!I46+(2023-2023)*SIM_Parametres!$B$10))</f>
        <v>81.7</v>
      </c>
      <c r="L543" s="129">
        <f>SIM_Districts!E46</f>
        <v>8704</v>
      </c>
      <c r="M543" s="68">
        <f t="shared" si="306"/>
        <v>40.526539522058826</v>
      </c>
      <c r="N543" s="129">
        <f>N472*(1+SIM_Parametres!$B$6)/(1+SIM_Parametres!$B$11)</f>
        <v>133963</v>
      </c>
      <c r="O543" s="72"/>
      <c r="P543" s="130">
        <f>SIM_Parametres!$D$29</f>
        <v>0</v>
      </c>
      <c r="Q543" s="130">
        <f>SIM_Parametres!$B$12</f>
        <v>0.2</v>
      </c>
      <c r="R543" s="59">
        <f t="shared" si="313"/>
        <v>1.9460192510499057E-2</v>
      </c>
      <c r="S543" s="59">
        <f t="shared" si="314"/>
        <v>0.62765957446808518</v>
      </c>
      <c r="T543" s="59">
        <f t="shared" si="315"/>
        <v>0.91436464088397795</v>
      </c>
      <c r="U543" s="59">
        <f t="shared" si="316"/>
        <v>0.80066503267175948</v>
      </c>
      <c r="V543" s="59">
        <f t="shared" si="317"/>
        <v>0.51735506215340199</v>
      </c>
      <c r="W543" s="59">
        <f t="shared" si="318"/>
        <v>1.4965123652504754E-2</v>
      </c>
      <c r="X543" s="59">
        <f t="shared" si="319"/>
        <v>1.8094353031214129E-2</v>
      </c>
      <c r="Y543" s="59">
        <f t="shared" si="320"/>
        <v>2.0456758966409916E-2</v>
      </c>
      <c r="Z543" s="59">
        <f t="shared" si="321"/>
        <v>1.8988663864475865E-2</v>
      </c>
      <c r="AA543" s="59">
        <f t="shared" si="307"/>
        <v>1.8607308150401559E-2</v>
      </c>
      <c r="AB543" s="59">
        <f t="shared" si="322"/>
        <v>1.6362619027215579E-2</v>
      </c>
      <c r="AC543" s="60">
        <f t="shared" si="308"/>
        <v>24665283.92228188</v>
      </c>
      <c r="AD543" s="60">
        <f t="shared" si="324"/>
        <v>22798078.899516992</v>
      </c>
      <c r="AE543" s="59">
        <f t="shared" si="311"/>
        <v>3.1999999999999806E-2</v>
      </c>
      <c r="AF543" s="60">
        <f t="shared" si="325"/>
        <v>22798078.899516992</v>
      </c>
      <c r="AG543" s="60">
        <f t="shared" si="323"/>
        <v>1.0000000000000004</v>
      </c>
      <c r="AH543" s="60">
        <f t="shared" si="326"/>
        <v>22798078.899517003</v>
      </c>
      <c r="AI543" s="60">
        <f t="shared" si="309"/>
        <v>64.630847102612961</v>
      </c>
      <c r="AJ543" s="60">
        <f t="shared" si="310"/>
        <v>0</v>
      </c>
      <c r="AK543" s="59">
        <f t="shared" si="312"/>
        <v>3.2000000000000473E-2</v>
      </c>
    </row>
    <row r="544" spans="1:37" ht="12.75" customHeight="1" x14ac:dyDescent="0.25">
      <c r="A544" s="62" t="s">
        <v>640</v>
      </c>
      <c r="B544" s="62" t="s">
        <v>430</v>
      </c>
      <c r="C544" s="62" t="s">
        <v>430</v>
      </c>
      <c r="D544" s="124">
        <v>2023</v>
      </c>
      <c r="E544" s="62" t="s">
        <v>676</v>
      </c>
      <c r="F544" s="64">
        <f>SIM_Parametres!$C$29</f>
        <v>1393302555.147037</v>
      </c>
      <c r="G544" s="125">
        <f>SIM_Districts!D47*(1+SIM_Parametres!$B$6)^(2023-2023)</f>
        <v>286154</v>
      </c>
      <c r="H544" s="125">
        <f>MAX(0,MIN(100,SIM_Districts!F47+(2023-2022)*SIM_Parametres!$B$7))</f>
        <v>43.870000000000005</v>
      </c>
      <c r="I544" s="125">
        <f>SIM_Districts!G47*(1+SIM_Parametres!$B$8)^(2023-2023)</f>
        <v>40</v>
      </c>
      <c r="J544" s="125">
        <f>SIM_Districts!H47*(1+SIM_Parametres!$B$9)^(2023-2023)</f>
        <v>25.3</v>
      </c>
      <c r="K544" s="125">
        <f>MAX(0,MIN(100,SIM_Districts!I47+(2023-2023)*SIM_Parametres!$B$10))</f>
        <v>81.7</v>
      </c>
      <c r="L544" s="125">
        <f>SIM_Districts!E47</f>
        <v>3957</v>
      </c>
      <c r="M544" s="61">
        <f t="shared" si="306"/>
        <v>72.315895880717719</v>
      </c>
      <c r="N544" s="125">
        <f>N473*(1+SIM_Parametres!$B$6)/(1+SIM_Parametres!$B$11)</f>
        <v>133963</v>
      </c>
      <c r="O544" s="132"/>
      <c r="P544" s="126">
        <f>SIM_Parametres!$D$29</f>
        <v>0</v>
      </c>
      <c r="Q544" s="126">
        <f>SIM_Parametres!$B$12</f>
        <v>0.2</v>
      </c>
      <c r="R544" s="66">
        <f t="shared" si="313"/>
        <v>1.578659796976651E-2</v>
      </c>
      <c r="S544" s="66">
        <f t="shared" si="314"/>
        <v>0.62765957446808518</v>
      </c>
      <c r="T544" s="66">
        <f t="shared" si="315"/>
        <v>0.91436464088397795</v>
      </c>
      <c r="U544" s="66">
        <f t="shared" si="316"/>
        <v>0.63577730793030041</v>
      </c>
      <c r="V544" s="66">
        <f t="shared" si="317"/>
        <v>0.51735506215340199</v>
      </c>
      <c r="W544" s="66">
        <f t="shared" si="318"/>
        <v>1.4965123652504754E-2</v>
      </c>
      <c r="X544" s="66">
        <f t="shared" si="319"/>
        <v>1.8094353031214129E-2</v>
      </c>
      <c r="Y544" s="66">
        <f t="shared" si="320"/>
        <v>1.6243925504331402E-2</v>
      </c>
      <c r="Z544" s="66">
        <f t="shared" si="321"/>
        <v>1.8988663864475865E-2</v>
      </c>
      <c r="AA544" s="66">
        <f t="shared" si="307"/>
        <v>1.61925097528581E-2</v>
      </c>
      <c r="AB544" s="66">
        <f t="shared" si="322"/>
        <v>1.4458855692050732E-2</v>
      </c>
      <c r="AC544" s="67">
        <f t="shared" si="308"/>
        <v>21973648.100312062</v>
      </c>
      <c r="AD544" s="67">
        <f t="shared" si="324"/>
        <v>20145560.580236565</v>
      </c>
      <c r="AE544" s="66">
        <f t="shared" si="311"/>
        <v>3.1999999999999806E-2</v>
      </c>
      <c r="AF544" s="67">
        <f t="shared" si="325"/>
        <v>20145560.580236565</v>
      </c>
      <c r="AG544" s="67">
        <f t="shared" si="323"/>
        <v>1.0000000000000004</v>
      </c>
      <c r="AH544" s="67">
        <f t="shared" si="326"/>
        <v>20145560.580236573</v>
      </c>
      <c r="AI544" s="67">
        <f t="shared" si="309"/>
        <v>70.401114715281182</v>
      </c>
      <c r="AJ544" s="67">
        <f t="shared" si="310"/>
        <v>0</v>
      </c>
      <c r="AK544" s="66">
        <f t="shared" si="312"/>
        <v>3.200000000000025E-2</v>
      </c>
    </row>
    <row r="545" spans="1:37" ht="12.75" customHeight="1" x14ac:dyDescent="0.25">
      <c r="A545" s="55" t="s">
        <v>641</v>
      </c>
      <c r="B545" s="55" t="s">
        <v>430</v>
      </c>
      <c r="C545" s="55" t="s">
        <v>433</v>
      </c>
      <c r="D545" s="128">
        <v>2023</v>
      </c>
      <c r="E545" s="55" t="s">
        <v>676</v>
      </c>
      <c r="F545" s="57">
        <f>SIM_Parametres!$C$29</f>
        <v>1393302555.147037</v>
      </c>
      <c r="G545" s="129">
        <f>SIM_Districts!D48*(1+SIM_Parametres!$B$6)^(2023-2023)</f>
        <v>75857</v>
      </c>
      <c r="H545" s="129">
        <f>MAX(0,MIN(100,SIM_Districts!F48+(2023-2022)*SIM_Parametres!$B$7))</f>
        <v>43.870000000000005</v>
      </c>
      <c r="I545" s="129">
        <f>SIM_Districts!G48*(1+SIM_Parametres!$B$8)^(2023-2023)</f>
        <v>40</v>
      </c>
      <c r="J545" s="129">
        <f>SIM_Districts!H48*(1+SIM_Parametres!$B$9)^(2023-2023)</f>
        <v>25.3</v>
      </c>
      <c r="K545" s="129">
        <f>MAX(0,MIN(100,SIM_Districts!I48+(2023-2023)*SIM_Parametres!$B$10))</f>
        <v>81.7</v>
      </c>
      <c r="L545" s="129">
        <f>SIM_Districts!E48</f>
        <v>14444</v>
      </c>
      <c r="M545" s="68">
        <f t="shared" si="306"/>
        <v>5.2518000553863198</v>
      </c>
      <c r="N545" s="129">
        <f>N474*(1+SIM_Parametres!$B$6)/(1+SIM_Parametres!$B$11)</f>
        <v>133963</v>
      </c>
      <c r="O545" s="72"/>
      <c r="P545" s="130">
        <f>SIM_Parametres!$D$29</f>
        <v>0</v>
      </c>
      <c r="Q545" s="130">
        <f>SIM_Parametres!$B$12</f>
        <v>0.2</v>
      </c>
      <c r="R545" s="59">
        <f t="shared" si="313"/>
        <v>4.1848933168593767E-3</v>
      </c>
      <c r="S545" s="59">
        <f t="shared" si="314"/>
        <v>0.62765957446808518</v>
      </c>
      <c r="T545" s="59">
        <f t="shared" si="315"/>
        <v>0.91436464088397795</v>
      </c>
      <c r="U545" s="59">
        <f t="shared" si="316"/>
        <v>1</v>
      </c>
      <c r="V545" s="59">
        <f t="shared" si="317"/>
        <v>0.51735506215340199</v>
      </c>
      <c r="W545" s="59">
        <f t="shared" si="318"/>
        <v>1.4965123652504754E-2</v>
      </c>
      <c r="X545" s="59">
        <f t="shared" si="319"/>
        <v>1.8094353031214129E-2</v>
      </c>
      <c r="Y545" s="59">
        <f t="shared" si="320"/>
        <v>2.5549709468574187E-2</v>
      </c>
      <c r="Z545" s="59">
        <f t="shared" si="321"/>
        <v>1.8988663864475865E-2</v>
      </c>
      <c r="AA545" s="59">
        <f t="shared" si="307"/>
        <v>9.6967761593259594E-3</v>
      </c>
      <c r="AB545" s="59">
        <f t="shared" si="322"/>
        <v>1.3574185439655063E-2</v>
      </c>
      <c r="AC545" s="60">
        <f t="shared" si="308"/>
        <v>14733230.32957384</v>
      </c>
      <c r="AD545" s="60">
        <f t="shared" si="324"/>
        <v>18912947.257111106</v>
      </c>
      <c r="AE545" s="59">
        <f t="shared" si="311"/>
        <v>3.1999999999999806E-2</v>
      </c>
      <c r="AF545" s="60">
        <f t="shared" si="325"/>
        <v>18912947.257111106</v>
      </c>
      <c r="AG545" s="60">
        <f t="shared" si="323"/>
        <v>1.0000000000000004</v>
      </c>
      <c r="AH545" s="60">
        <f t="shared" si="326"/>
        <v>18912947.257111114</v>
      </c>
      <c r="AI545" s="60">
        <f t="shared" si="309"/>
        <v>249.32369138129789</v>
      </c>
      <c r="AJ545" s="60">
        <f t="shared" si="310"/>
        <v>0</v>
      </c>
      <c r="AK545" s="59">
        <f t="shared" si="312"/>
        <v>3.200000000000025E-2</v>
      </c>
    </row>
    <row r="546" spans="1:37" ht="12.75" customHeight="1" x14ac:dyDescent="0.25">
      <c r="A546" s="62" t="s">
        <v>642</v>
      </c>
      <c r="B546" s="62" t="s">
        <v>430</v>
      </c>
      <c r="C546" s="62" t="s">
        <v>434</v>
      </c>
      <c r="D546" s="124">
        <v>2023</v>
      </c>
      <c r="E546" s="62" t="s">
        <v>676</v>
      </c>
      <c r="F546" s="64">
        <f>SIM_Parametres!$C$29</f>
        <v>1393302555.147037</v>
      </c>
      <c r="G546" s="125">
        <f>SIM_Districts!D49*(1+SIM_Parametres!$B$6)^(2023-2023)</f>
        <v>116876</v>
      </c>
      <c r="H546" s="125">
        <f>MAX(0,MIN(100,SIM_Districts!F49+(2023-2022)*SIM_Parametres!$B$7))</f>
        <v>43.870000000000005</v>
      </c>
      <c r="I546" s="125">
        <f>SIM_Districts!G49*(1+SIM_Parametres!$B$8)^(2023-2023)</f>
        <v>40</v>
      </c>
      <c r="J546" s="125">
        <f>SIM_Districts!H49*(1+SIM_Parametres!$B$9)^(2023-2023)</f>
        <v>25.3</v>
      </c>
      <c r="K546" s="125">
        <f>MAX(0,MIN(100,SIM_Districts!I49+(2023-2023)*SIM_Parametres!$B$10))</f>
        <v>81.7</v>
      </c>
      <c r="L546" s="125">
        <f>SIM_Districts!E49</f>
        <v>1898</v>
      </c>
      <c r="M546" s="61">
        <f t="shared" si="306"/>
        <v>61.578503688092731</v>
      </c>
      <c r="N546" s="125">
        <f>N475*(1+SIM_Parametres!$B$6)/(1+SIM_Parametres!$B$11)</f>
        <v>133963</v>
      </c>
      <c r="O546" s="132"/>
      <c r="P546" s="126">
        <f>SIM_Parametres!$D$29</f>
        <v>0</v>
      </c>
      <c r="Q546" s="126">
        <f>SIM_Parametres!$B$12</f>
        <v>0.2</v>
      </c>
      <c r="R546" s="66">
        <f t="shared" si="313"/>
        <v>6.4478372635519005E-3</v>
      </c>
      <c r="S546" s="66">
        <f t="shared" si="314"/>
        <v>0.62765957446808518</v>
      </c>
      <c r="T546" s="66">
        <f t="shared" si="315"/>
        <v>0.91436464088397795</v>
      </c>
      <c r="U546" s="66">
        <f t="shared" si="316"/>
        <v>0.5646045152795196</v>
      </c>
      <c r="V546" s="66">
        <f t="shared" si="317"/>
        <v>0.51735506215340199</v>
      </c>
      <c r="W546" s="66">
        <f t="shared" si="318"/>
        <v>1.4965123652504754E-2</v>
      </c>
      <c r="X546" s="66">
        <f t="shared" si="319"/>
        <v>1.8094353031214129E-2</v>
      </c>
      <c r="Y546" s="66">
        <f t="shared" si="320"/>
        <v>1.4425481330036882E-2</v>
      </c>
      <c r="Z546" s="66">
        <f t="shared" si="321"/>
        <v>1.8988663864475865E-2</v>
      </c>
      <c r="AA546" s="66">
        <f t="shared" si="307"/>
        <v>1.0498331120414612E-2</v>
      </c>
      <c r="AB546" s="66">
        <f t="shared" si="322"/>
        <v>1.2930636139241886E-2</v>
      </c>
      <c r="AC546" s="67">
        <f t="shared" si="308"/>
        <v>15626677.189874321</v>
      </c>
      <c r="AD546" s="67">
        <f t="shared" si="324"/>
        <v>18016288.372482337</v>
      </c>
      <c r="AE546" s="66">
        <f t="shared" si="311"/>
        <v>3.1999999999999806E-2</v>
      </c>
      <c r="AF546" s="67">
        <f t="shared" si="325"/>
        <v>18016288.372482337</v>
      </c>
      <c r="AG546" s="67">
        <f t="shared" si="323"/>
        <v>1.0000000000000004</v>
      </c>
      <c r="AH546" s="67">
        <f t="shared" si="326"/>
        <v>18016288.372482345</v>
      </c>
      <c r="AI546" s="67">
        <f t="shared" si="309"/>
        <v>154.14874202130758</v>
      </c>
      <c r="AJ546" s="67">
        <f t="shared" si="310"/>
        <v>0</v>
      </c>
      <c r="AK546" s="66">
        <f t="shared" si="312"/>
        <v>3.200000000000025E-2</v>
      </c>
    </row>
    <row r="547" spans="1:37" ht="12.75" customHeight="1" x14ac:dyDescent="0.25">
      <c r="A547" s="55" t="s">
        <v>643</v>
      </c>
      <c r="B547" s="55" t="s">
        <v>435</v>
      </c>
      <c r="C547" s="55" t="s">
        <v>437</v>
      </c>
      <c r="D547" s="128">
        <v>2023</v>
      </c>
      <c r="E547" s="55" t="s">
        <v>676</v>
      </c>
      <c r="F547" s="57">
        <f>SIM_Parametres!$C$29</f>
        <v>1393302555.147037</v>
      </c>
      <c r="G547" s="129">
        <f>SIM_Districts!D50*(1+SIM_Parametres!$B$6)^(2023-2023)</f>
        <v>98350</v>
      </c>
      <c r="H547" s="129">
        <f>MAX(0,MIN(100,SIM_Districts!F50+(2023-2022)*SIM_Parametres!$B$7))</f>
        <v>36.47</v>
      </c>
      <c r="I547" s="129">
        <f>SIM_Districts!G50*(1+SIM_Parametres!$B$8)^(2023-2023)</f>
        <v>40</v>
      </c>
      <c r="J547" s="129">
        <f>SIM_Districts!H50*(1+SIM_Parametres!$B$9)^(2023-2023)</f>
        <v>22.9</v>
      </c>
      <c r="K547" s="129">
        <f>MAX(0,MIN(100,SIM_Districts!I50+(2023-2023)*SIM_Parametres!$B$10))</f>
        <v>85.9</v>
      </c>
      <c r="L547" s="129">
        <f>SIM_Districts!E50</f>
        <v>2448</v>
      </c>
      <c r="M547" s="68">
        <f t="shared" si="306"/>
        <v>40.175653594771241</v>
      </c>
      <c r="N547" s="129">
        <f>N476*(1+SIM_Parametres!$B$6)/(1+SIM_Parametres!$B$11)</f>
        <v>89545</v>
      </c>
      <c r="O547" s="72"/>
      <c r="P547" s="130">
        <f>SIM_Parametres!$D$29</f>
        <v>0</v>
      </c>
      <c r="Q547" s="130">
        <f>SIM_Parametres!$B$12</f>
        <v>0.2</v>
      </c>
      <c r="R547" s="59">
        <f t="shared" si="313"/>
        <v>5.4257913931887586E-3</v>
      </c>
      <c r="S547" s="59">
        <f t="shared" si="314"/>
        <v>0.4964539007092198</v>
      </c>
      <c r="T547" s="59">
        <f t="shared" si="315"/>
        <v>0.84806629834254144</v>
      </c>
      <c r="U547" s="59">
        <f t="shared" si="316"/>
        <v>0.58395945065622235</v>
      </c>
      <c r="V547" s="59">
        <f t="shared" si="317"/>
        <v>0.20906585970196906</v>
      </c>
      <c r="W547" s="59">
        <f t="shared" si="318"/>
        <v>1.1836820968082853E-2</v>
      </c>
      <c r="X547" s="59">
        <f t="shared" si="319"/>
        <v>1.6782375772153284E-2</v>
      </c>
      <c r="Y547" s="59">
        <f t="shared" si="320"/>
        <v>1.4919994305694665E-2</v>
      </c>
      <c r="Z547" s="59">
        <f t="shared" si="321"/>
        <v>7.6734173990574452E-3</v>
      </c>
      <c r="AA547" s="59">
        <f t="shared" si="307"/>
        <v>8.6780249321862825E-3</v>
      </c>
      <c r="AB547" s="59">
        <f t="shared" si="322"/>
        <v>1.2822257732253241E-2</v>
      </c>
      <c r="AC547" s="60">
        <f t="shared" si="308"/>
        <v>13597687.379307525</v>
      </c>
      <c r="AD547" s="60">
        <f t="shared" si="324"/>
        <v>17865284.461102292</v>
      </c>
      <c r="AE547" s="59">
        <f t="shared" si="311"/>
        <v>3.1999999999999806E-2</v>
      </c>
      <c r="AF547" s="60">
        <f t="shared" si="325"/>
        <v>17865284.461102292</v>
      </c>
      <c r="AG547" s="60">
        <f t="shared" si="323"/>
        <v>1.0000000000000004</v>
      </c>
      <c r="AH547" s="60">
        <f t="shared" si="326"/>
        <v>17865284.461102299</v>
      </c>
      <c r="AI547" s="60">
        <f t="shared" si="309"/>
        <v>181.65007077887441</v>
      </c>
      <c r="AJ547" s="60">
        <f t="shared" si="310"/>
        <v>0</v>
      </c>
      <c r="AK547" s="59">
        <f t="shared" si="312"/>
        <v>3.200000000000025E-2</v>
      </c>
    </row>
    <row r="548" spans="1:37" ht="12.75" customHeight="1" x14ac:dyDescent="0.25">
      <c r="A548" s="62" t="s">
        <v>645</v>
      </c>
      <c r="B548" s="62" t="s">
        <v>435</v>
      </c>
      <c r="C548" s="62" t="s">
        <v>438</v>
      </c>
      <c r="D548" s="124">
        <v>2023</v>
      </c>
      <c r="E548" s="62" t="s">
        <v>676</v>
      </c>
      <c r="F548" s="64">
        <f>SIM_Parametres!$C$29</f>
        <v>1393302555.147037</v>
      </c>
      <c r="G548" s="125">
        <f>SIM_Districts!D51*(1+SIM_Parametres!$B$6)^(2023-2023)</f>
        <v>185476</v>
      </c>
      <c r="H548" s="125">
        <f>MAX(0,MIN(100,SIM_Districts!F51+(2023-2022)*SIM_Parametres!$B$7))</f>
        <v>36.47</v>
      </c>
      <c r="I548" s="125">
        <f>SIM_Districts!G51*(1+SIM_Parametres!$B$8)^(2023-2023)</f>
        <v>40</v>
      </c>
      <c r="J548" s="125">
        <f>SIM_Districts!H51*(1+SIM_Parametres!$B$9)^(2023-2023)</f>
        <v>22.9</v>
      </c>
      <c r="K548" s="125">
        <f>MAX(0,MIN(100,SIM_Districts!I51+(2023-2023)*SIM_Parametres!$B$10))</f>
        <v>85.9</v>
      </c>
      <c r="L548" s="125">
        <f>SIM_Districts!E51</f>
        <v>6989</v>
      </c>
      <c r="M548" s="61">
        <f t="shared" si="306"/>
        <v>26.538274431249107</v>
      </c>
      <c r="N548" s="125">
        <f>N477*(1+SIM_Parametres!$B$6)/(1+SIM_Parametres!$B$11)</f>
        <v>89545</v>
      </c>
      <c r="O548" s="132"/>
      <c r="P548" s="126">
        <f>SIM_Parametres!$D$29</f>
        <v>0</v>
      </c>
      <c r="Q548" s="126">
        <f>SIM_Parametres!$B$12</f>
        <v>0.2</v>
      </c>
      <c r="R548" s="66">
        <f t="shared" si="313"/>
        <v>1.0232375032466479E-2</v>
      </c>
      <c r="S548" s="66">
        <f t="shared" si="314"/>
        <v>0.4964539007092198</v>
      </c>
      <c r="T548" s="66">
        <f t="shared" si="315"/>
        <v>0.84806629834254144</v>
      </c>
      <c r="U548" s="66">
        <f t="shared" si="316"/>
        <v>0.74145452539080825</v>
      </c>
      <c r="V548" s="66">
        <f t="shared" si="317"/>
        <v>0.20906585970196906</v>
      </c>
      <c r="W548" s="66">
        <f t="shared" si="318"/>
        <v>1.1836820968082853E-2</v>
      </c>
      <c r="X548" s="66">
        <f t="shared" si="319"/>
        <v>1.6782375772153284E-2</v>
      </c>
      <c r="Y548" s="66">
        <f t="shared" si="320"/>
        <v>1.8943947707894714E-2</v>
      </c>
      <c r="Z548" s="66">
        <f t="shared" si="321"/>
        <v>7.6734173990574452E-3</v>
      </c>
      <c r="AA548" s="66">
        <f t="shared" si="307"/>
        <v>1.1763172785862917E-2</v>
      </c>
      <c r="AB548" s="66">
        <f t="shared" si="322"/>
        <v>1.2647508052767676E-2</v>
      </c>
      <c r="AC548" s="67">
        <f t="shared" si="308"/>
        <v>17036522.889334768</v>
      </c>
      <c r="AD548" s="67">
        <f t="shared" si="324"/>
        <v>17621805.28616393</v>
      </c>
      <c r="AE548" s="66">
        <f t="shared" si="311"/>
        <v>3.1999999999999806E-2</v>
      </c>
      <c r="AF548" s="67">
        <f t="shared" si="325"/>
        <v>17621805.28616393</v>
      </c>
      <c r="AG548" s="67">
        <f t="shared" si="323"/>
        <v>1.0000000000000004</v>
      </c>
      <c r="AH548" s="67">
        <f t="shared" si="326"/>
        <v>17621805.286163937</v>
      </c>
      <c r="AI548" s="67">
        <f t="shared" si="309"/>
        <v>95.008547122883485</v>
      </c>
      <c r="AJ548" s="67">
        <f t="shared" si="310"/>
        <v>0</v>
      </c>
      <c r="AK548" s="66">
        <f t="shared" si="312"/>
        <v>3.200000000000025E-2</v>
      </c>
    </row>
    <row r="549" spans="1:37" ht="12.75" customHeight="1" x14ac:dyDescent="0.25">
      <c r="A549" s="55" t="s">
        <v>646</v>
      </c>
      <c r="B549" s="55" t="s">
        <v>435</v>
      </c>
      <c r="C549" s="55" t="s">
        <v>439</v>
      </c>
      <c r="D549" s="128">
        <v>2023</v>
      </c>
      <c r="E549" s="55" t="s">
        <v>676</v>
      </c>
      <c r="F549" s="57">
        <f>SIM_Parametres!$C$29</f>
        <v>1393302555.147037</v>
      </c>
      <c r="G549" s="129">
        <f>SIM_Districts!D52*(1+SIM_Parametres!$B$6)^(2023-2023)</f>
        <v>304991</v>
      </c>
      <c r="H549" s="129">
        <f>MAX(0,MIN(100,SIM_Districts!F52+(2023-2022)*SIM_Parametres!$B$7))</f>
        <v>36.47</v>
      </c>
      <c r="I549" s="129">
        <f>SIM_Districts!G52*(1+SIM_Parametres!$B$8)^(2023-2023)</f>
        <v>40</v>
      </c>
      <c r="J549" s="129">
        <f>SIM_Districts!H52*(1+SIM_Parametres!$B$9)^(2023-2023)</f>
        <v>22.9</v>
      </c>
      <c r="K549" s="129">
        <f>MAX(0,MIN(100,SIM_Districts!I52+(2023-2023)*SIM_Parametres!$B$10))</f>
        <v>85.9</v>
      </c>
      <c r="L549" s="129">
        <f>SIM_Districts!E52</f>
        <v>5859</v>
      </c>
      <c r="M549" s="68">
        <f t="shared" si="306"/>
        <v>52.055128861580478</v>
      </c>
      <c r="N549" s="129">
        <f>N478*(1+SIM_Parametres!$B$6)/(1+SIM_Parametres!$B$11)</f>
        <v>89545</v>
      </c>
      <c r="O549" s="72"/>
      <c r="P549" s="130">
        <f>SIM_Parametres!$D$29</f>
        <v>0</v>
      </c>
      <c r="Q549" s="130">
        <f>SIM_Parametres!$B$12</f>
        <v>0.2</v>
      </c>
      <c r="R549" s="59">
        <f t="shared" si="313"/>
        <v>1.6825801146924581E-2</v>
      </c>
      <c r="S549" s="59">
        <f t="shared" si="314"/>
        <v>0.4964539007092198</v>
      </c>
      <c r="T549" s="59">
        <f t="shared" si="315"/>
        <v>0.84806629834254144</v>
      </c>
      <c r="U549" s="59">
        <f t="shared" si="316"/>
        <v>0.70194995546768002</v>
      </c>
      <c r="V549" s="59">
        <f t="shared" si="317"/>
        <v>0.20906585970196906</v>
      </c>
      <c r="W549" s="59">
        <f t="shared" si="318"/>
        <v>1.1836820968082853E-2</v>
      </c>
      <c r="X549" s="59">
        <f t="shared" si="319"/>
        <v>1.6782375772153284E-2</v>
      </c>
      <c r="Y549" s="59">
        <f t="shared" si="320"/>
        <v>1.7934617423677815E-2</v>
      </c>
      <c r="Z549" s="59">
        <f t="shared" si="321"/>
        <v>7.6734173990574452E-3</v>
      </c>
      <c r="AA549" s="59">
        <f t="shared" si="307"/>
        <v>1.5668761940326934E-2</v>
      </c>
      <c r="AB549" s="59">
        <f t="shared" si="322"/>
        <v>1.5369570367831265E-2</v>
      </c>
      <c r="AC549" s="60">
        <f t="shared" si="308"/>
        <v>21389856.767950185</v>
      </c>
      <c r="AD549" s="60">
        <f t="shared" si="324"/>
        <v>21414461.665011488</v>
      </c>
      <c r="AE549" s="59">
        <f t="shared" si="311"/>
        <v>3.1999999999999806E-2</v>
      </c>
      <c r="AF549" s="60">
        <f t="shared" si="325"/>
        <v>21414461.665011488</v>
      </c>
      <c r="AG549" s="60">
        <f t="shared" si="323"/>
        <v>1.0000000000000004</v>
      </c>
      <c r="AH549" s="60">
        <f t="shared" si="326"/>
        <v>21414461.665011499</v>
      </c>
      <c r="AI549" s="60">
        <f t="shared" si="309"/>
        <v>70.213421592806014</v>
      </c>
      <c r="AJ549" s="60">
        <f t="shared" si="310"/>
        <v>0</v>
      </c>
      <c r="AK549" s="59">
        <f t="shared" si="312"/>
        <v>3.2000000000000473E-2</v>
      </c>
    </row>
    <row r="550" spans="1:37" ht="12.75" customHeight="1" x14ac:dyDescent="0.25">
      <c r="A550" s="62" t="s">
        <v>647</v>
      </c>
      <c r="B550" s="62" t="s">
        <v>435</v>
      </c>
      <c r="C550" s="62" t="s">
        <v>440</v>
      </c>
      <c r="D550" s="124">
        <v>2023</v>
      </c>
      <c r="E550" s="62" t="s">
        <v>676</v>
      </c>
      <c r="F550" s="64">
        <f>SIM_Parametres!$C$29</f>
        <v>1393302555.147037</v>
      </c>
      <c r="G550" s="125">
        <f>SIM_Districts!D53*(1+SIM_Parametres!$B$6)^(2023-2023)</f>
        <v>221389</v>
      </c>
      <c r="H550" s="125">
        <f>MAX(0,MIN(100,SIM_Districts!F53+(2023-2022)*SIM_Parametres!$B$7))</f>
        <v>36.47</v>
      </c>
      <c r="I550" s="125">
        <f>SIM_Districts!G53*(1+SIM_Parametres!$B$8)^(2023-2023)</f>
        <v>40</v>
      </c>
      <c r="J550" s="125">
        <f>SIM_Districts!H53*(1+SIM_Parametres!$B$9)^(2023-2023)</f>
        <v>22.9</v>
      </c>
      <c r="K550" s="125">
        <f>MAX(0,MIN(100,SIM_Districts!I53+(2023-2023)*SIM_Parametres!$B$10))</f>
        <v>85.9</v>
      </c>
      <c r="L550" s="125">
        <f>SIM_Districts!E53</f>
        <v>3143</v>
      </c>
      <c r="M550" s="61">
        <f t="shared" si="306"/>
        <v>70.438752783964361</v>
      </c>
      <c r="N550" s="125">
        <f>N479*(1+SIM_Parametres!$B$6)/(1+SIM_Parametres!$B$11)</f>
        <v>89545</v>
      </c>
      <c r="O550" s="132"/>
      <c r="P550" s="126">
        <f>SIM_Parametres!$D$29</f>
        <v>0</v>
      </c>
      <c r="Q550" s="126">
        <f>SIM_Parametres!$B$12</f>
        <v>0.2</v>
      </c>
      <c r="R550" s="66">
        <f t="shared" si="313"/>
        <v>1.2213630205863408E-2</v>
      </c>
      <c r="S550" s="66">
        <f t="shared" si="314"/>
        <v>0.4964539007092198</v>
      </c>
      <c r="T550" s="66">
        <f t="shared" si="315"/>
        <v>0.84806629834254144</v>
      </c>
      <c r="U550" s="66">
        <f t="shared" si="316"/>
        <v>0.6076065442079609</v>
      </c>
      <c r="V550" s="66">
        <f t="shared" si="317"/>
        <v>0.20906585970196906</v>
      </c>
      <c r="W550" s="66">
        <f t="shared" si="318"/>
        <v>1.1836820968082853E-2</v>
      </c>
      <c r="X550" s="66">
        <f t="shared" si="319"/>
        <v>1.6782375772153284E-2</v>
      </c>
      <c r="Y550" s="66">
        <f t="shared" si="320"/>
        <v>1.5524170675717779E-2</v>
      </c>
      <c r="Z550" s="66">
        <f t="shared" si="321"/>
        <v>7.6734173990574452E-3</v>
      </c>
      <c r="AA550" s="66">
        <f t="shared" si="307"/>
        <v>1.2780937038292228E-2</v>
      </c>
      <c r="AB550" s="66">
        <f t="shared" si="322"/>
        <v>1.3896800232551491E-2</v>
      </c>
      <c r="AC550" s="67">
        <f t="shared" si="308"/>
        <v>18170965.716092426</v>
      </c>
      <c r="AD550" s="67">
        <f t="shared" si="324"/>
        <v>19362447.272381932</v>
      </c>
      <c r="AE550" s="66">
        <f t="shared" si="311"/>
        <v>3.1999999999999806E-2</v>
      </c>
      <c r="AF550" s="67">
        <f t="shared" si="325"/>
        <v>19362447.272381932</v>
      </c>
      <c r="AG550" s="67">
        <f t="shared" si="323"/>
        <v>1.0000000000000004</v>
      </c>
      <c r="AH550" s="67">
        <f t="shared" si="326"/>
        <v>19362447.272381939</v>
      </c>
      <c r="AI550" s="67">
        <f t="shared" si="309"/>
        <v>87.458940021328701</v>
      </c>
      <c r="AJ550" s="67">
        <f t="shared" si="310"/>
        <v>0</v>
      </c>
      <c r="AK550" s="66">
        <f t="shared" si="312"/>
        <v>3.200000000000025E-2</v>
      </c>
    </row>
    <row r="551" spans="1:37" ht="12.75" customHeight="1" x14ac:dyDescent="0.25">
      <c r="A551" s="55" t="s">
        <v>648</v>
      </c>
      <c r="B551" s="55" t="s">
        <v>435</v>
      </c>
      <c r="C551" s="55" t="s">
        <v>435</v>
      </c>
      <c r="D551" s="128">
        <v>2023</v>
      </c>
      <c r="E551" s="55" t="s">
        <v>676</v>
      </c>
      <c r="F551" s="57">
        <f>SIM_Parametres!$C$29</f>
        <v>1393302555.147037</v>
      </c>
      <c r="G551" s="129">
        <f>SIM_Districts!D54*(1+SIM_Parametres!$B$6)^(2023-2023)</f>
        <v>392235</v>
      </c>
      <c r="H551" s="129">
        <f>MAX(0,MIN(100,SIM_Districts!F54+(2023-2022)*SIM_Parametres!$B$7))</f>
        <v>36.47</v>
      </c>
      <c r="I551" s="129">
        <f>SIM_Districts!G54*(1+SIM_Parametres!$B$8)^(2023-2023)</f>
        <v>40</v>
      </c>
      <c r="J551" s="129">
        <f>SIM_Districts!H54*(1+SIM_Parametres!$B$9)^(2023-2023)</f>
        <v>22.9</v>
      </c>
      <c r="K551" s="129">
        <f>MAX(0,MIN(100,SIM_Districts!I54+(2023-2023)*SIM_Parametres!$B$10))</f>
        <v>85.9</v>
      </c>
      <c r="L551" s="129">
        <f>SIM_Districts!E54</f>
        <v>802</v>
      </c>
      <c r="M551" s="68">
        <f t="shared" si="306"/>
        <v>489.07107231920202</v>
      </c>
      <c r="N551" s="129">
        <f>N480*(1+SIM_Parametres!$B$6)/(1+SIM_Parametres!$B$11)</f>
        <v>89545</v>
      </c>
      <c r="O551" s="72"/>
      <c r="P551" s="130">
        <f>SIM_Parametres!$D$29</f>
        <v>0</v>
      </c>
      <c r="Q551" s="130">
        <f>SIM_Parametres!$B$12</f>
        <v>0.2</v>
      </c>
      <c r="R551" s="59">
        <f t="shared" si="313"/>
        <v>2.1638894632510348E-2</v>
      </c>
      <c r="S551" s="59">
        <f t="shared" si="314"/>
        <v>0.4964539007092198</v>
      </c>
      <c r="T551" s="59">
        <f t="shared" si="315"/>
        <v>0.84806629834254144</v>
      </c>
      <c r="U551" s="59">
        <f t="shared" si="316"/>
        <v>0.52059263207206885</v>
      </c>
      <c r="V551" s="59">
        <f t="shared" si="317"/>
        <v>0.20906585970196906</v>
      </c>
      <c r="W551" s="59">
        <f t="shared" si="318"/>
        <v>1.1836820968082853E-2</v>
      </c>
      <c r="X551" s="59">
        <f t="shared" si="319"/>
        <v>1.6782375772153284E-2</v>
      </c>
      <c r="Y551" s="59">
        <f t="shared" si="320"/>
        <v>1.3300990500921697E-2</v>
      </c>
      <c r="Z551" s="59">
        <f t="shared" si="321"/>
        <v>7.6734173990574452E-3</v>
      </c>
      <c r="AA551" s="59">
        <f t="shared" si="307"/>
        <v>1.8324936685540586E-2</v>
      </c>
      <c r="AB551" s="59">
        <f t="shared" si="322"/>
        <v>1.3760697116798306E-2</v>
      </c>
      <c r="AC551" s="60">
        <f t="shared" si="308"/>
        <v>24350540.815488752</v>
      </c>
      <c r="AD551" s="60">
        <f t="shared" si="324"/>
        <v>19172814.453439545</v>
      </c>
      <c r="AE551" s="59">
        <f t="shared" si="311"/>
        <v>3.1999999999999806E-2</v>
      </c>
      <c r="AF551" s="60">
        <f t="shared" si="325"/>
        <v>19172814.453439545</v>
      </c>
      <c r="AG551" s="60">
        <f t="shared" si="323"/>
        <v>1.0000000000000004</v>
      </c>
      <c r="AH551" s="60">
        <f t="shared" si="326"/>
        <v>19172814.453439552</v>
      </c>
      <c r="AI551" s="60">
        <f t="shared" si="309"/>
        <v>48.880937329507951</v>
      </c>
      <c r="AJ551" s="60">
        <f t="shared" si="310"/>
        <v>0</v>
      </c>
      <c r="AK551" s="59">
        <f t="shared" si="312"/>
        <v>3.200000000000025E-2</v>
      </c>
    </row>
    <row r="552" spans="1:37" ht="12.75" customHeight="1" x14ac:dyDescent="0.25">
      <c r="A552" s="62" t="s">
        <v>649</v>
      </c>
      <c r="B552" s="62" t="s">
        <v>441</v>
      </c>
      <c r="C552" s="62" t="s">
        <v>443</v>
      </c>
      <c r="D552" s="124">
        <v>2023</v>
      </c>
      <c r="E552" s="62" t="s">
        <v>676</v>
      </c>
      <c r="F552" s="64">
        <f>SIM_Parametres!$C$29</f>
        <v>1393302555.147037</v>
      </c>
      <c r="G552" s="125">
        <f>SIM_Districts!D55*(1+SIM_Parametres!$B$6)^(2023-2023)</f>
        <v>288918</v>
      </c>
      <c r="H552" s="125">
        <f>MAX(0,MIN(100,SIM_Districts!F55+(2023-2022)*SIM_Parametres!$B$7))</f>
        <v>63.570000000000007</v>
      </c>
      <c r="I552" s="125">
        <f>SIM_Districts!G55*(1+SIM_Parametres!$B$8)^(2023-2023)</f>
        <v>40</v>
      </c>
      <c r="J552" s="125">
        <f>SIM_Districts!H55*(1+SIM_Parametres!$B$9)^(2023-2023)</f>
        <v>24.5</v>
      </c>
      <c r="K552" s="125">
        <f>MAX(0,MIN(100,SIM_Districts!I55+(2023-2023)*SIM_Parametres!$B$10))</f>
        <v>81.599999999999994</v>
      </c>
      <c r="L552" s="125">
        <f>SIM_Districts!E55</f>
        <v>2865</v>
      </c>
      <c r="M552" s="61">
        <f t="shared" si="306"/>
        <v>100.84397905759162</v>
      </c>
      <c r="N552" s="125">
        <f>N481*(1+SIM_Parametres!$B$6)/(1+SIM_Parametres!$B$11)</f>
        <v>178218</v>
      </c>
      <c r="O552" s="132"/>
      <c r="P552" s="126">
        <f>SIM_Parametres!$D$29</f>
        <v>0</v>
      </c>
      <c r="Q552" s="126">
        <f>SIM_Parametres!$B$12</f>
        <v>0.2</v>
      </c>
      <c r="R552" s="66">
        <f t="shared" si="313"/>
        <v>1.5939082844304116E-2</v>
      </c>
      <c r="S552" s="66">
        <f t="shared" si="314"/>
        <v>0.97695035460992918</v>
      </c>
      <c r="T552" s="66">
        <f t="shared" si="315"/>
        <v>0.89226519337016574</v>
      </c>
      <c r="U552" s="66">
        <f t="shared" si="316"/>
        <v>0.59754648703547386</v>
      </c>
      <c r="V552" s="66">
        <f t="shared" si="317"/>
        <v>0.82451294081719062</v>
      </c>
      <c r="W552" s="66">
        <f t="shared" si="318"/>
        <v>2.3293172690763048E-2</v>
      </c>
      <c r="X552" s="66">
        <f t="shared" si="319"/>
        <v>1.7657027278193845E-2</v>
      </c>
      <c r="Y552" s="66">
        <f t="shared" si="320"/>
        <v>1.526713913772349E-2</v>
      </c>
      <c r="Z552" s="66">
        <f t="shared" si="321"/>
        <v>3.0262386957075536E-2</v>
      </c>
      <c r="AA552" s="66">
        <f t="shared" si="307"/>
        <v>1.7982456006665957E-2</v>
      </c>
      <c r="AB552" s="66">
        <f t="shared" si="322"/>
        <v>1.2724801180232444E-2</v>
      </c>
      <c r="AC552" s="67">
        <f t="shared" si="308"/>
        <v>23968797.451517146</v>
      </c>
      <c r="AD552" s="67">
        <f t="shared" si="324"/>
        <v>17729497.998155896</v>
      </c>
      <c r="AE552" s="66">
        <f t="shared" si="311"/>
        <v>3.1999999999999806E-2</v>
      </c>
      <c r="AF552" s="67">
        <f t="shared" si="325"/>
        <v>17729497.998155896</v>
      </c>
      <c r="AG552" s="67">
        <f t="shared" si="323"/>
        <v>1.0000000000000004</v>
      </c>
      <c r="AH552" s="67">
        <f t="shared" si="326"/>
        <v>17729497.998155903</v>
      </c>
      <c r="AI552" s="67">
        <f t="shared" si="309"/>
        <v>61.365155504869556</v>
      </c>
      <c r="AJ552" s="67">
        <f t="shared" si="310"/>
        <v>0</v>
      </c>
      <c r="AK552" s="66">
        <f t="shared" si="312"/>
        <v>3.2000000000000028E-2</v>
      </c>
    </row>
    <row r="553" spans="1:37" ht="12.75" customHeight="1" x14ac:dyDescent="0.25">
      <c r="A553" s="55" t="s">
        <v>651</v>
      </c>
      <c r="B553" s="55" t="s">
        <v>441</v>
      </c>
      <c r="C553" s="55" t="s">
        <v>441</v>
      </c>
      <c r="D553" s="128">
        <v>2023</v>
      </c>
      <c r="E553" s="55" t="s">
        <v>676</v>
      </c>
      <c r="F553" s="57">
        <f>SIM_Parametres!$C$29</f>
        <v>1393302555.147037</v>
      </c>
      <c r="G553" s="129">
        <f>SIM_Districts!D56*(1+SIM_Parametres!$B$6)^(2023-2023)</f>
        <v>300348</v>
      </c>
      <c r="H553" s="129">
        <f>MAX(0,MIN(100,SIM_Districts!F56+(2023-2022)*SIM_Parametres!$B$7))</f>
        <v>63.570000000000007</v>
      </c>
      <c r="I553" s="129">
        <f>SIM_Districts!G56*(1+SIM_Parametres!$B$8)^(2023-2023)</f>
        <v>40</v>
      </c>
      <c r="J553" s="129">
        <f>SIM_Districts!H56*(1+SIM_Parametres!$B$9)^(2023-2023)</f>
        <v>24.5</v>
      </c>
      <c r="K553" s="129">
        <f>MAX(0,MIN(100,SIM_Districts!I56+(2023-2023)*SIM_Parametres!$B$10))</f>
        <v>81.599999999999994</v>
      </c>
      <c r="L553" s="129">
        <f>SIM_Districts!E56</f>
        <v>2749</v>
      </c>
      <c r="M553" s="68">
        <f t="shared" si="306"/>
        <v>109.25718443070207</v>
      </c>
      <c r="N553" s="129">
        <f>N482*(1+SIM_Parametres!$B$6)/(1+SIM_Parametres!$B$11)</f>
        <v>178218</v>
      </c>
      <c r="O553" s="72"/>
      <c r="P553" s="130">
        <f>SIM_Parametres!$D$29</f>
        <v>0</v>
      </c>
      <c r="Q553" s="130">
        <f>SIM_Parametres!$B$12</f>
        <v>0.2</v>
      </c>
      <c r="R553" s="59">
        <f t="shared" si="313"/>
        <v>1.6569655245159708E-2</v>
      </c>
      <c r="S553" s="59">
        <f t="shared" si="314"/>
        <v>0.97695035460992918</v>
      </c>
      <c r="T553" s="59">
        <f t="shared" si="315"/>
        <v>0.89226519337016574</v>
      </c>
      <c r="U553" s="59">
        <f t="shared" si="316"/>
        <v>0.59340921006518588</v>
      </c>
      <c r="V553" s="59">
        <f t="shared" si="317"/>
        <v>0.82451294081719062</v>
      </c>
      <c r="W553" s="59">
        <f t="shared" si="318"/>
        <v>2.3293172690763048E-2</v>
      </c>
      <c r="X553" s="59">
        <f t="shared" si="319"/>
        <v>1.7657027278193845E-2</v>
      </c>
      <c r="Y553" s="59">
        <f t="shared" si="320"/>
        <v>1.516143291314161E-2</v>
      </c>
      <c r="Z553" s="59">
        <f t="shared" si="321"/>
        <v>3.0262386957075536E-2</v>
      </c>
      <c r="AA553" s="59">
        <f t="shared" si="307"/>
        <v>1.8355514135950213E-2</v>
      </c>
      <c r="AB553" s="59">
        <f t="shared" si="322"/>
        <v>1.449666211309328E-2</v>
      </c>
      <c r="AC553" s="60">
        <f t="shared" si="308"/>
        <v>24384623.727317248</v>
      </c>
      <c r="AD553" s="60">
        <f t="shared" si="324"/>
        <v>20198236.363276113</v>
      </c>
      <c r="AE553" s="59">
        <f t="shared" si="311"/>
        <v>3.1999999999999806E-2</v>
      </c>
      <c r="AF553" s="60">
        <f t="shared" si="325"/>
        <v>20198236.363276113</v>
      </c>
      <c r="AG553" s="60">
        <f t="shared" si="323"/>
        <v>1.0000000000000004</v>
      </c>
      <c r="AH553" s="60">
        <f t="shared" si="326"/>
        <v>20198236.36327612</v>
      </c>
      <c r="AI553" s="60">
        <f t="shared" si="309"/>
        <v>67.249445187835846</v>
      </c>
      <c r="AJ553" s="60">
        <f t="shared" si="310"/>
        <v>0</v>
      </c>
      <c r="AK553" s="59">
        <f t="shared" si="312"/>
        <v>3.200000000000025E-2</v>
      </c>
    </row>
    <row r="554" spans="1:37" ht="12.75" customHeight="1" x14ac:dyDescent="0.25">
      <c r="A554" s="62" t="s">
        <v>652</v>
      </c>
      <c r="B554" s="62" t="s">
        <v>444</v>
      </c>
      <c r="C554" s="62" t="s">
        <v>446</v>
      </c>
      <c r="D554" s="124">
        <v>2023</v>
      </c>
      <c r="E554" s="62" t="s">
        <v>676</v>
      </c>
      <c r="F554" s="64">
        <f>SIM_Parametres!$C$29</f>
        <v>1393302555.147037</v>
      </c>
      <c r="G554" s="125">
        <f>SIM_Districts!D57*(1+SIM_Parametres!$B$6)^(2023-2023)</f>
        <v>151417</v>
      </c>
      <c r="H554" s="125">
        <f>MAX(0,MIN(100,SIM_Districts!F57+(2023-2022)*SIM_Parametres!$B$7))</f>
        <v>61.97</v>
      </c>
      <c r="I554" s="125">
        <f>SIM_Districts!G57*(1+SIM_Parametres!$B$8)^(2023-2023)</f>
        <v>40</v>
      </c>
      <c r="J554" s="125">
        <f>SIM_Districts!H57*(1+SIM_Parametres!$B$9)^(2023-2023)</f>
        <v>23.5</v>
      </c>
      <c r="K554" s="125">
        <f>MAX(0,MIN(100,SIM_Districts!I57+(2023-2023)*SIM_Parametres!$B$10))</f>
        <v>85.6</v>
      </c>
      <c r="L554" s="125">
        <f>SIM_Districts!E57</f>
        <v>1360</v>
      </c>
      <c r="M554" s="61">
        <f t="shared" si="306"/>
        <v>111.33602941176471</v>
      </c>
      <c r="N554" s="125">
        <f>N483*(1+SIM_Parametres!$B$6)/(1+SIM_Parametres!$B$11)</f>
        <v>71159</v>
      </c>
      <c r="O554" s="132"/>
      <c r="P554" s="126">
        <f>SIM_Parametres!$D$29</f>
        <v>0</v>
      </c>
      <c r="Q554" s="126">
        <f>SIM_Parametres!$B$12</f>
        <v>0.2</v>
      </c>
      <c r="R554" s="66">
        <f t="shared" si="313"/>
        <v>8.353401681570536E-3</v>
      </c>
      <c r="S554" s="66">
        <f t="shared" si="314"/>
        <v>0.9485815602836879</v>
      </c>
      <c r="T554" s="66">
        <f t="shared" si="315"/>
        <v>0.86464088397790051</v>
      </c>
      <c r="U554" s="66">
        <f t="shared" si="316"/>
        <v>0.54526424876049673</v>
      </c>
      <c r="V554" s="66">
        <f t="shared" si="317"/>
        <v>8.1455312710388056E-2</v>
      </c>
      <c r="W554" s="66">
        <f t="shared" si="318"/>
        <v>2.2616782921158311E-2</v>
      </c>
      <c r="X554" s="66">
        <f t="shared" si="319"/>
        <v>1.7110370086918493E-2</v>
      </c>
      <c r="Y554" s="66">
        <f t="shared" si="320"/>
        <v>1.3931343139431054E-2</v>
      </c>
      <c r="Z554" s="66">
        <f t="shared" si="321"/>
        <v>2.9896828429499429E-3</v>
      </c>
      <c r="AA554" s="66">
        <f t="shared" si="307"/>
        <v>1.1817165259272892E-2</v>
      </c>
      <c r="AB554" s="66">
        <f t="shared" si="322"/>
        <v>1.4601679949322582E-2</v>
      </c>
      <c r="AC554" s="67">
        <f t="shared" si="308"/>
        <v>17096705.170263428</v>
      </c>
      <c r="AD554" s="67">
        <f t="shared" si="324"/>
        <v>20344557.982830413</v>
      </c>
      <c r="AE554" s="66">
        <f t="shared" si="311"/>
        <v>3.1999999999999806E-2</v>
      </c>
      <c r="AF554" s="67">
        <f t="shared" si="325"/>
        <v>20344557.982830413</v>
      </c>
      <c r="AG554" s="67">
        <f t="shared" si="323"/>
        <v>1.0000000000000004</v>
      </c>
      <c r="AH554" s="67">
        <f t="shared" si="326"/>
        <v>20344557.98283042</v>
      </c>
      <c r="AI554" s="67">
        <f t="shared" si="309"/>
        <v>134.36112182139667</v>
      </c>
      <c r="AJ554" s="67">
        <f t="shared" si="310"/>
        <v>0</v>
      </c>
      <c r="AK554" s="66">
        <f t="shared" si="312"/>
        <v>3.200000000000025E-2</v>
      </c>
    </row>
    <row r="555" spans="1:37" ht="12.75" customHeight="1" x14ac:dyDescent="0.25">
      <c r="A555" s="55" t="s">
        <v>654</v>
      </c>
      <c r="B555" s="55" t="s">
        <v>444</v>
      </c>
      <c r="C555" s="55" t="s">
        <v>447</v>
      </c>
      <c r="D555" s="128">
        <v>2023</v>
      </c>
      <c r="E555" s="55" t="s">
        <v>676</v>
      </c>
      <c r="F555" s="57">
        <f>SIM_Parametres!$C$29</f>
        <v>1393302555.147037</v>
      </c>
      <c r="G555" s="129">
        <f>SIM_Districts!D58*(1+SIM_Parametres!$B$6)^(2023-2023)</f>
        <v>74253</v>
      </c>
      <c r="H555" s="129">
        <f>MAX(0,MIN(100,SIM_Districts!F58+(2023-2022)*SIM_Parametres!$B$7))</f>
        <v>61.97</v>
      </c>
      <c r="I555" s="129">
        <f>SIM_Districts!G58*(1+SIM_Parametres!$B$8)^(2023-2023)</f>
        <v>40</v>
      </c>
      <c r="J555" s="129">
        <f>SIM_Districts!H58*(1+SIM_Parametres!$B$9)^(2023-2023)</f>
        <v>23.5</v>
      </c>
      <c r="K555" s="129">
        <f>MAX(0,MIN(100,SIM_Districts!I58+(2023-2023)*SIM_Parametres!$B$10))</f>
        <v>85.6</v>
      </c>
      <c r="L555" s="129">
        <f>SIM_Districts!E58</f>
        <v>6089</v>
      </c>
      <c r="M555" s="68">
        <f t="shared" si="306"/>
        <v>12.194613236984727</v>
      </c>
      <c r="N555" s="129">
        <f>N484*(1+SIM_Parametres!$B$6)/(1+SIM_Parametres!$B$11)</f>
        <v>71159</v>
      </c>
      <c r="O555" s="72"/>
      <c r="P555" s="130">
        <f>SIM_Parametres!$D$29</f>
        <v>0</v>
      </c>
      <c r="Q555" s="130">
        <f>SIM_Parametres!$B$12</f>
        <v>0.2</v>
      </c>
      <c r="R555" s="59">
        <f t="shared" si="313"/>
        <v>4.0964035416211986E-3</v>
      </c>
      <c r="S555" s="59">
        <f t="shared" si="314"/>
        <v>0.9485815602836879</v>
      </c>
      <c r="T555" s="59">
        <f t="shared" si="315"/>
        <v>0.86464088397790051</v>
      </c>
      <c r="U555" s="59">
        <f t="shared" si="316"/>
        <v>0.71048099676349064</v>
      </c>
      <c r="V555" s="59">
        <f t="shared" si="317"/>
        <v>8.1455312710388056E-2</v>
      </c>
      <c r="W555" s="59">
        <f t="shared" si="318"/>
        <v>2.2616782921158311E-2</v>
      </c>
      <c r="X555" s="59">
        <f t="shared" si="319"/>
        <v>1.7110370086918493E-2</v>
      </c>
      <c r="Y555" s="59">
        <f t="shared" si="320"/>
        <v>1.8152583050250182E-2</v>
      </c>
      <c r="Z555" s="59">
        <f t="shared" si="321"/>
        <v>2.9896828429499429E-3</v>
      </c>
      <c r="AA555" s="59">
        <f t="shared" si="307"/>
        <v>9.4740283708442466E-3</v>
      </c>
      <c r="AB555" s="59">
        <f t="shared" si="322"/>
        <v>1.2162745720733205E-2</v>
      </c>
      <c r="AC555" s="60">
        <f t="shared" si="308"/>
        <v>14484946.279297901</v>
      </c>
      <c r="AD555" s="60">
        <f t="shared" si="324"/>
        <v>16946384.690301266</v>
      </c>
      <c r="AE555" s="59">
        <f t="shared" si="311"/>
        <v>3.1999999999999806E-2</v>
      </c>
      <c r="AF555" s="60">
        <f t="shared" si="325"/>
        <v>16946384.690301266</v>
      </c>
      <c r="AG555" s="60">
        <f t="shared" si="323"/>
        <v>1.0000000000000004</v>
      </c>
      <c r="AH555" s="60">
        <f t="shared" si="326"/>
        <v>16946384.690301273</v>
      </c>
      <c r="AI555" s="60">
        <f t="shared" si="309"/>
        <v>228.22491603438613</v>
      </c>
      <c r="AJ555" s="60">
        <f t="shared" si="310"/>
        <v>0</v>
      </c>
      <c r="AK555" s="59">
        <f t="shared" si="312"/>
        <v>3.200000000000025E-2</v>
      </c>
    </row>
    <row r="556" spans="1:37" ht="12.75" customHeight="1" x14ac:dyDescent="0.25">
      <c r="A556" s="62" t="s">
        <v>655</v>
      </c>
      <c r="B556" s="62" t="s">
        <v>444</v>
      </c>
      <c r="C556" s="62" t="s">
        <v>448</v>
      </c>
      <c r="D556" s="124">
        <v>2023</v>
      </c>
      <c r="E556" s="62" t="s">
        <v>676</v>
      </c>
      <c r="F556" s="64">
        <f>SIM_Parametres!$C$29</f>
        <v>1393302555.147037</v>
      </c>
      <c r="G556" s="125">
        <f>SIM_Districts!D59*(1+SIM_Parametres!$B$6)^(2023-2023)</f>
        <v>130805</v>
      </c>
      <c r="H556" s="125">
        <f>MAX(0,MIN(100,SIM_Districts!F59+(2023-2022)*SIM_Parametres!$B$7))</f>
        <v>61.97</v>
      </c>
      <c r="I556" s="125">
        <f>SIM_Districts!G59*(1+SIM_Parametres!$B$8)^(2023-2023)</f>
        <v>40</v>
      </c>
      <c r="J556" s="125">
        <f>SIM_Districts!H59*(1+SIM_Parametres!$B$9)^(2023-2023)</f>
        <v>23.5</v>
      </c>
      <c r="K556" s="125">
        <f>MAX(0,MIN(100,SIM_Districts!I59+(2023-2023)*SIM_Parametres!$B$10))</f>
        <v>85.6</v>
      </c>
      <c r="L556" s="125">
        <f>SIM_Districts!E59</f>
        <v>9596</v>
      </c>
      <c r="M556" s="61">
        <f t="shared" si="306"/>
        <v>13.63120050020842</v>
      </c>
      <c r="N556" s="125">
        <f>N485*(1+SIM_Parametres!$B$6)/(1+SIM_Parametres!$B$11)</f>
        <v>71159</v>
      </c>
      <c r="O556" s="132"/>
      <c r="P556" s="126">
        <f>SIM_Parametres!$D$29</f>
        <v>0</v>
      </c>
      <c r="Q556" s="126">
        <f>SIM_Parametres!$B$12</f>
        <v>0.2</v>
      </c>
      <c r="R556" s="66">
        <f t="shared" si="313"/>
        <v>7.2162749688465238E-3</v>
      </c>
      <c r="S556" s="66">
        <f t="shared" si="314"/>
        <v>0.9485815602836879</v>
      </c>
      <c r="T556" s="66">
        <f t="shared" si="315"/>
        <v>0.86464088397790051</v>
      </c>
      <c r="U556" s="66">
        <f t="shared" si="316"/>
        <v>0.83194467542502504</v>
      </c>
      <c r="V556" s="66">
        <f t="shared" si="317"/>
        <v>8.1455312710388056E-2</v>
      </c>
      <c r="W556" s="66">
        <f t="shared" si="318"/>
        <v>2.2616782921158311E-2</v>
      </c>
      <c r="X556" s="66">
        <f t="shared" si="319"/>
        <v>1.7110370086918493E-2</v>
      </c>
      <c r="Y556" s="66">
        <f t="shared" si="320"/>
        <v>2.1255944751036641E-2</v>
      </c>
      <c r="Z556" s="66">
        <f t="shared" si="321"/>
        <v>2.9896828429499429E-3</v>
      </c>
      <c r="AA556" s="66">
        <f t="shared" si="307"/>
        <v>1.1501119312218764E-2</v>
      </c>
      <c r="AB556" s="66">
        <f t="shared" si="322"/>
        <v>1.2786971739280194E-2</v>
      </c>
      <c r="AC556" s="67">
        <f t="shared" si="308"/>
        <v>16744427.069803923</v>
      </c>
      <c r="AD556" s="67">
        <f t="shared" si="324"/>
        <v>17816120.396932047</v>
      </c>
      <c r="AE556" s="66">
        <f t="shared" si="311"/>
        <v>3.1999999999999806E-2</v>
      </c>
      <c r="AF556" s="67">
        <f t="shared" si="325"/>
        <v>17816120.396932047</v>
      </c>
      <c r="AG556" s="67">
        <f t="shared" si="323"/>
        <v>1.0000000000000004</v>
      </c>
      <c r="AH556" s="67">
        <f t="shared" si="326"/>
        <v>17816120.396932054</v>
      </c>
      <c r="AI556" s="67">
        <f t="shared" si="309"/>
        <v>136.20366497406104</v>
      </c>
      <c r="AJ556" s="67">
        <f t="shared" si="310"/>
        <v>0</v>
      </c>
      <c r="AK556" s="66">
        <f t="shared" si="312"/>
        <v>3.200000000000025E-2</v>
      </c>
    </row>
    <row r="557" spans="1:37" ht="12.75" customHeight="1" x14ac:dyDescent="0.25">
      <c r="A557" s="55" t="s">
        <v>656</v>
      </c>
      <c r="B557" s="55" t="s">
        <v>444</v>
      </c>
      <c r="C557" s="55" t="s">
        <v>449</v>
      </c>
      <c r="D557" s="128">
        <v>2023</v>
      </c>
      <c r="E557" s="55" t="s">
        <v>676</v>
      </c>
      <c r="F557" s="57">
        <f>SIM_Parametres!$C$29</f>
        <v>1393302555.147037</v>
      </c>
      <c r="G557" s="129">
        <f>SIM_Districts!D60*(1+SIM_Parametres!$B$6)^(2023-2023)</f>
        <v>96530</v>
      </c>
      <c r="H557" s="129">
        <f>MAX(0,MIN(100,SIM_Districts!F60+(2023-2022)*SIM_Parametres!$B$7))</f>
        <v>61.97</v>
      </c>
      <c r="I557" s="129">
        <f>SIM_Districts!G60*(1+SIM_Parametres!$B$8)^(2023-2023)</f>
        <v>40</v>
      </c>
      <c r="J557" s="129">
        <f>SIM_Districts!H60*(1+SIM_Parametres!$B$9)^(2023-2023)</f>
        <v>23.5</v>
      </c>
      <c r="K557" s="129">
        <f>MAX(0,MIN(100,SIM_Districts!I60+(2023-2023)*SIM_Parametres!$B$10))</f>
        <v>85.6</v>
      </c>
      <c r="L557" s="129">
        <f>SIM_Districts!E60</f>
        <v>5363</v>
      </c>
      <c r="M557" s="68">
        <f t="shared" si="306"/>
        <v>17.999254148797316</v>
      </c>
      <c r="N557" s="129">
        <f>N486*(1+SIM_Parametres!$B$6)/(1+SIM_Parametres!$B$11)</f>
        <v>71159</v>
      </c>
      <c r="O557" s="72"/>
      <c r="P557" s="130">
        <f>SIM_Parametres!$D$29</f>
        <v>0</v>
      </c>
      <c r="Q557" s="130">
        <f>SIM_Parametres!$B$12</f>
        <v>0.2</v>
      </c>
      <c r="R557" s="59">
        <f t="shared" si="313"/>
        <v>5.3253852891155147E-3</v>
      </c>
      <c r="S557" s="59">
        <f t="shared" si="314"/>
        <v>0.9485815602836879</v>
      </c>
      <c r="T557" s="59">
        <f t="shared" si="315"/>
        <v>0.86464088397790051</v>
      </c>
      <c r="U557" s="59">
        <f t="shared" si="316"/>
        <v>0.68524994865574662</v>
      </c>
      <c r="V557" s="59">
        <f t="shared" si="317"/>
        <v>8.1455312710388056E-2</v>
      </c>
      <c r="W557" s="59">
        <f t="shared" si="318"/>
        <v>2.2616782921158311E-2</v>
      </c>
      <c r="X557" s="59">
        <f t="shared" si="319"/>
        <v>1.7110370086918493E-2</v>
      </c>
      <c r="Y557" s="59">
        <f t="shared" si="320"/>
        <v>1.7507937101509705E-2</v>
      </c>
      <c r="Z557" s="59">
        <f t="shared" si="321"/>
        <v>2.9896828429499429E-3</v>
      </c>
      <c r="AA557" s="59">
        <f t="shared" si="307"/>
        <v>1.017918512190381E-2</v>
      </c>
      <c r="AB557" s="59">
        <f t="shared" si="322"/>
        <v>1.3375911764854136E-2</v>
      </c>
      <c r="AC557" s="60">
        <f t="shared" si="308"/>
        <v>15270943.641722281</v>
      </c>
      <c r="AD557" s="60">
        <f t="shared" si="324"/>
        <v>18636692.039392579</v>
      </c>
      <c r="AE557" s="59">
        <f t="shared" si="311"/>
        <v>3.1999999999999806E-2</v>
      </c>
      <c r="AF557" s="60">
        <f t="shared" si="325"/>
        <v>18636692.039392579</v>
      </c>
      <c r="AG557" s="60">
        <f t="shared" si="323"/>
        <v>1.0000000000000004</v>
      </c>
      <c r="AH557" s="60">
        <f t="shared" si="326"/>
        <v>18636692.039392587</v>
      </c>
      <c r="AI557" s="60">
        <f t="shared" si="309"/>
        <v>193.06632175896183</v>
      </c>
      <c r="AJ557" s="60">
        <f t="shared" si="310"/>
        <v>0</v>
      </c>
      <c r="AK557" s="59">
        <f t="shared" si="312"/>
        <v>3.200000000000025E-2</v>
      </c>
    </row>
    <row r="558" spans="1:37" ht="12.75" customHeight="1" x14ac:dyDescent="0.25">
      <c r="A558" s="62" t="s">
        <v>657</v>
      </c>
      <c r="B558" s="62" t="s">
        <v>444</v>
      </c>
      <c r="C558" s="62" t="s">
        <v>450</v>
      </c>
      <c r="D558" s="124">
        <v>2023</v>
      </c>
      <c r="E558" s="62" t="s">
        <v>676</v>
      </c>
      <c r="F558" s="64">
        <f>SIM_Parametres!$C$29</f>
        <v>1393302555.147037</v>
      </c>
      <c r="G558" s="125">
        <f>SIM_Districts!D61*(1+SIM_Parametres!$B$6)^(2023-2023)</f>
        <v>122660</v>
      </c>
      <c r="H558" s="125">
        <f>MAX(0,MIN(100,SIM_Districts!F61+(2023-2022)*SIM_Parametres!$B$7))</f>
        <v>61.97</v>
      </c>
      <c r="I558" s="125">
        <f>SIM_Districts!G61*(1+SIM_Parametres!$B$8)^(2023-2023)</f>
        <v>40</v>
      </c>
      <c r="J558" s="125">
        <f>SIM_Districts!H61*(1+SIM_Parametres!$B$9)^(2023-2023)</f>
        <v>23.5</v>
      </c>
      <c r="K558" s="125">
        <f>MAX(0,MIN(100,SIM_Districts!I61+(2023-2023)*SIM_Parametres!$B$10))</f>
        <v>85.6</v>
      </c>
      <c r="L558" s="125">
        <f>SIM_Districts!E61</f>
        <v>2477</v>
      </c>
      <c r="M558" s="61">
        <f t="shared" si="306"/>
        <v>49.519580137262821</v>
      </c>
      <c r="N558" s="125">
        <f>N487*(1+SIM_Parametres!$B$6)/(1+SIM_Parametres!$B$11)</f>
        <v>71159</v>
      </c>
      <c r="O558" s="132"/>
      <c r="P558" s="126">
        <f>SIM_Parametres!$D$29</f>
        <v>0</v>
      </c>
      <c r="Q558" s="126">
        <f>SIM_Parametres!$B$12</f>
        <v>0.2</v>
      </c>
      <c r="R558" s="66">
        <f t="shared" si="313"/>
        <v>6.7669300690242316E-3</v>
      </c>
      <c r="S558" s="66">
        <f t="shared" si="314"/>
        <v>0.9485815602836879</v>
      </c>
      <c r="T558" s="66">
        <f t="shared" si="315"/>
        <v>0.86464088397790051</v>
      </c>
      <c r="U558" s="66">
        <f t="shared" si="316"/>
        <v>0.58483187330804909</v>
      </c>
      <c r="V558" s="66">
        <f t="shared" si="317"/>
        <v>8.1455312710388056E-2</v>
      </c>
      <c r="W558" s="66">
        <f t="shared" si="318"/>
        <v>2.2616782921158311E-2</v>
      </c>
      <c r="X558" s="66">
        <f t="shared" si="319"/>
        <v>1.7110370086918493E-2</v>
      </c>
      <c r="Y558" s="66">
        <f t="shared" si="320"/>
        <v>1.4942284450982642E-2</v>
      </c>
      <c r="Z558" s="66">
        <f t="shared" si="321"/>
        <v>2.9896828429499429E-3</v>
      </c>
      <c r="AA558" s="66">
        <f t="shared" si="307"/>
        <v>1.0915829357322689E-2</v>
      </c>
      <c r="AB558" s="66">
        <f t="shared" si="322"/>
        <v>1.3002888410567643E-2</v>
      </c>
      <c r="AC558" s="67">
        <f t="shared" si="308"/>
        <v>16092038.278077047</v>
      </c>
      <c r="AD558" s="67">
        <f t="shared" si="324"/>
        <v>18116957.646735691</v>
      </c>
      <c r="AE558" s="66">
        <f t="shared" si="311"/>
        <v>3.1999999999999806E-2</v>
      </c>
      <c r="AF558" s="67">
        <f t="shared" si="325"/>
        <v>18116957.646735691</v>
      </c>
      <c r="AG558" s="67">
        <f t="shared" si="323"/>
        <v>1.0000000000000004</v>
      </c>
      <c r="AH558" s="67">
        <f t="shared" si="326"/>
        <v>18116957.646735698</v>
      </c>
      <c r="AI558" s="67">
        <f t="shared" si="309"/>
        <v>147.7006167188627</v>
      </c>
      <c r="AJ558" s="67">
        <f t="shared" si="310"/>
        <v>0</v>
      </c>
      <c r="AK558" s="66">
        <f t="shared" si="312"/>
        <v>3.2000000000000028E-2</v>
      </c>
    </row>
    <row r="559" spans="1:37" ht="12.75" customHeight="1" x14ac:dyDescent="0.25">
      <c r="A559" s="55" t="s">
        <v>658</v>
      </c>
      <c r="B559" s="55" t="s">
        <v>444</v>
      </c>
      <c r="C559" s="55" t="s">
        <v>451</v>
      </c>
      <c r="D559" s="128">
        <v>2023</v>
      </c>
      <c r="E559" s="55" t="s">
        <v>676</v>
      </c>
      <c r="F559" s="57">
        <f>SIM_Parametres!$C$29</f>
        <v>1393302555.147037</v>
      </c>
      <c r="G559" s="129">
        <f>SIM_Districts!D62*(1+SIM_Parametres!$B$6)^(2023-2023)</f>
        <v>411487</v>
      </c>
      <c r="H559" s="129">
        <f>MAX(0,MIN(100,SIM_Districts!F62+(2023-2022)*SIM_Parametres!$B$7))</f>
        <v>61.97</v>
      </c>
      <c r="I559" s="129">
        <f>SIM_Districts!G62*(1+SIM_Parametres!$B$8)^(2023-2023)</f>
        <v>40</v>
      </c>
      <c r="J559" s="129">
        <f>SIM_Districts!H62*(1+SIM_Parametres!$B$9)^(2023-2023)</f>
        <v>23.5</v>
      </c>
      <c r="K559" s="129">
        <f>MAX(0,MIN(100,SIM_Districts!I62+(2023-2023)*SIM_Parametres!$B$10))</f>
        <v>85.6</v>
      </c>
      <c r="L559" s="129">
        <f>SIM_Districts!E62</f>
        <v>11599</v>
      </c>
      <c r="M559" s="68">
        <f t="shared" si="306"/>
        <v>35.476075523752044</v>
      </c>
      <c r="N559" s="129">
        <f>N488*(1+SIM_Parametres!$B$6)/(1+SIM_Parametres!$B$11)</f>
        <v>71159</v>
      </c>
      <c r="O559" s="72"/>
      <c r="P559" s="130">
        <f>SIM_Parametres!$D$29</f>
        <v>0</v>
      </c>
      <c r="Q559" s="130">
        <f>SIM_Parametres!$B$12</f>
        <v>0.2</v>
      </c>
      <c r="R559" s="59">
        <f t="shared" si="313"/>
        <v>2.2700992608124686E-2</v>
      </c>
      <c r="S559" s="59">
        <f t="shared" si="314"/>
        <v>0.9485815602836879</v>
      </c>
      <c r="T559" s="59">
        <f t="shared" si="315"/>
        <v>0.86464088397790051</v>
      </c>
      <c r="U559" s="59">
        <f t="shared" si="316"/>
        <v>0.901020512243767</v>
      </c>
      <c r="V559" s="59">
        <f t="shared" si="317"/>
        <v>8.1455312710388056E-2</v>
      </c>
      <c r="W559" s="59">
        <f t="shared" si="318"/>
        <v>2.2616782921158311E-2</v>
      </c>
      <c r="X559" s="59">
        <f t="shared" si="319"/>
        <v>1.7110370086918493E-2</v>
      </c>
      <c r="Y559" s="59">
        <f t="shared" si="320"/>
        <v>2.302081231305414E-2</v>
      </c>
      <c r="Z559" s="59">
        <f t="shared" si="321"/>
        <v>2.9896828429499429E-3</v>
      </c>
      <c r="AA559" s="59">
        <f t="shared" si="307"/>
        <v>2.0880193273886537E-2</v>
      </c>
      <c r="AB559" s="59">
        <f t="shared" si="322"/>
        <v>1.440592670259116E-2</v>
      </c>
      <c r="AC559" s="60">
        <f t="shared" si="308"/>
        <v>27198737.242367726</v>
      </c>
      <c r="AD559" s="60">
        <f t="shared" si="324"/>
        <v>20071814.483981192</v>
      </c>
      <c r="AE559" s="59">
        <f t="shared" si="311"/>
        <v>3.1999999999999806E-2</v>
      </c>
      <c r="AF559" s="60">
        <f t="shared" si="325"/>
        <v>20071814.483981192</v>
      </c>
      <c r="AG559" s="60">
        <f t="shared" si="323"/>
        <v>1.0000000000000004</v>
      </c>
      <c r="AH559" s="60">
        <f t="shared" si="326"/>
        <v>20071814.4839812</v>
      </c>
      <c r="AI559" s="60">
        <f t="shared" si="309"/>
        <v>48.778732946560154</v>
      </c>
      <c r="AJ559" s="60">
        <f t="shared" si="310"/>
        <v>0</v>
      </c>
      <c r="AK559" s="59">
        <f t="shared" si="312"/>
        <v>3.200000000000025E-2</v>
      </c>
    </row>
    <row r="560" spans="1:37" ht="12.75" customHeight="1" x14ac:dyDescent="0.25">
      <c r="A560" s="62" t="s">
        <v>659</v>
      </c>
      <c r="B560" s="62" t="s">
        <v>452</v>
      </c>
      <c r="C560" s="62" t="s">
        <v>454</v>
      </c>
      <c r="D560" s="124">
        <v>2023</v>
      </c>
      <c r="E560" s="62" t="s">
        <v>676</v>
      </c>
      <c r="F560" s="64">
        <f>SIM_Parametres!$C$29</f>
        <v>1393302555.147037</v>
      </c>
      <c r="G560" s="125">
        <f>SIM_Districts!D63*(1+SIM_Parametres!$B$6)^(2023-2023)</f>
        <v>122068</v>
      </c>
      <c r="H560" s="125">
        <f>MAX(0,MIN(100,SIM_Districts!F63+(2023-2022)*SIM_Parametres!$B$7))</f>
        <v>29.07</v>
      </c>
      <c r="I560" s="125">
        <f>SIM_Districts!G63*(1+SIM_Parametres!$B$8)^(2023-2023)</f>
        <v>40</v>
      </c>
      <c r="J560" s="125">
        <f>SIM_Districts!H63*(1+SIM_Parametres!$B$9)^(2023-2023)</f>
        <v>15.9</v>
      </c>
      <c r="K560" s="125">
        <f>MAX(0,MIN(100,SIM_Districts!I63+(2023-2023)*SIM_Parametres!$B$10))</f>
        <v>97.3</v>
      </c>
      <c r="L560" s="125">
        <f>SIM_Districts!E63</f>
        <v>393</v>
      </c>
      <c r="M560" s="61">
        <f t="shared" si="306"/>
        <v>310.60559796437661</v>
      </c>
      <c r="N560" s="125">
        <f>N489*(1+SIM_Parametres!$B$6)/(1+SIM_Parametres!$B$11)</f>
        <v>153373</v>
      </c>
      <c r="O560" s="132"/>
      <c r="P560" s="126">
        <f>SIM_Parametres!$D$29</f>
        <v>0</v>
      </c>
      <c r="Q560" s="126">
        <f>SIM_Parametres!$B$12</f>
        <v>0.2</v>
      </c>
      <c r="R560" s="66">
        <f t="shared" si="313"/>
        <v>6.7342705011059012E-3</v>
      </c>
      <c r="S560" s="66">
        <f t="shared" si="314"/>
        <v>0.36524822695035458</v>
      </c>
      <c r="T560" s="66">
        <f t="shared" si="315"/>
        <v>0.65469613259668513</v>
      </c>
      <c r="U560" s="66">
        <f t="shared" si="316"/>
        <v>0.50894870824452298</v>
      </c>
      <c r="V560" s="66">
        <f t="shared" si="317"/>
        <v>0.65207282116061327</v>
      </c>
      <c r="W560" s="66">
        <f t="shared" si="318"/>
        <v>8.708518283660956E-3</v>
      </c>
      <c r="X560" s="66">
        <f t="shared" si="319"/>
        <v>1.2955775433225826E-2</v>
      </c>
      <c r="Y560" s="66">
        <f t="shared" si="320"/>
        <v>1.300349163005369E-2</v>
      </c>
      <c r="Z560" s="66">
        <f t="shared" si="321"/>
        <v>2.3933256909947777E-2</v>
      </c>
      <c r="AA560" s="66">
        <f t="shared" si="307"/>
        <v>9.1370437851966309E-3</v>
      </c>
      <c r="AB560" s="66">
        <f t="shared" si="322"/>
        <v>1.422529602427676E-2</v>
      </c>
      <c r="AC560" s="67">
        <f t="shared" si="308"/>
        <v>14109329.091915511</v>
      </c>
      <c r="AD560" s="67">
        <f t="shared" si="324"/>
        <v>19820141.298347797</v>
      </c>
      <c r="AE560" s="66">
        <f t="shared" si="311"/>
        <v>3.1999999999999806E-2</v>
      </c>
      <c r="AF560" s="67">
        <f t="shared" si="325"/>
        <v>19820141.298347797</v>
      </c>
      <c r="AG560" s="67">
        <f t="shared" si="323"/>
        <v>1.0000000000000004</v>
      </c>
      <c r="AH560" s="67">
        <f t="shared" si="326"/>
        <v>19820141.298347805</v>
      </c>
      <c r="AI560" s="67">
        <f t="shared" si="309"/>
        <v>162.36967344715899</v>
      </c>
      <c r="AJ560" s="67">
        <f t="shared" si="310"/>
        <v>0</v>
      </c>
      <c r="AK560" s="66">
        <f t="shared" si="312"/>
        <v>3.200000000000025E-2</v>
      </c>
    </row>
    <row r="561" spans="1:37" ht="12.75" customHeight="1" x14ac:dyDescent="0.25">
      <c r="A561" s="55" t="s">
        <v>661</v>
      </c>
      <c r="B561" s="55" t="s">
        <v>452</v>
      </c>
      <c r="C561" s="55" t="s">
        <v>455</v>
      </c>
      <c r="D561" s="128">
        <v>2023</v>
      </c>
      <c r="E561" s="55" t="s">
        <v>676</v>
      </c>
      <c r="F561" s="57">
        <f>SIM_Parametres!$C$29</f>
        <v>1393302555.147037</v>
      </c>
      <c r="G561" s="129">
        <f>SIM_Districts!D64*(1+SIM_Parametres!$B$6)^(2023-2023)</f>
        <v>211568</v>
      </c>
      <c r="H561" s="129">
        <f>MAX(0,MIN(100,SIM_Districts!F64+(2023-2022)*SIM_Parametres!$B$7))</f>
        <v>29.07</v>
      </c>
      <c r="I561" s="129">
        <f>SIM_Districts!G64*(1+SIM_Parametres!$B$8)^(2023-2023)</f>
        <v>40</v>
      </c>
      <c r="J561" s="129">
        <f>SIM_Districts!H64*(1+SIM_Parametres!$B$9)^(2023-2023)</f>
        <v>15.9</v>
      </c>
      <c r="K561" s="129">
        <f>MAX(0,MIN(100,SIM_Districts!I64+(2023-2023)*SIM_Parametres!$B$10))</f>
        <v>97.3</v>
      </c>
      <c r="L561" s="129">
        <f>SIM_Districts!E64</f>
        <v>537</v>
      </c>
      <c r="M561" s="68">
        <f t="shared" si="306"/>
        <v>393.98137802607079</v>
      </c>
      <c r="N561" s="129">
        <f>N490*(1+SIM_Parametres!$B$6)/(1+SIM_Parametres!$B$11)</f>
        <v>153373</v>
      </c>
      <c r="O561" s="72"/>
      <c r="P561" s="130">
        <f>SIM_Parametres!$D$29</f>
        <v>0</v>
      </c>
      <c r="Q561" s="130">
        <f>SIM_Parametres!$B$12</f>
        <v>0.2</v>
      </c>
      <c r="R561" s="59">
        <f t="shared" si="313"/>
        <v>1.1671823421191248E-2</v>
      </c>
      <c r="S561" s="59">
        <f t="shared" si="314"/>
        <v>0.36524822695035458</v>
      </c>
      <c r="T561" s="59">
        <f t="shared" si="315"/>
        <v>0.65469613259668513</v>
      </c>
      <c r="U561" s="59">
        <f t="shared" si="316"/>
        <v>0.51275775815315694</v>
      </c>
      <c r="V561" s="59">
        <f t="shared" si="317"/>
        <v>0.65207282116061327</v>
      </c>
      <c r="W561" s="59">
        <f t="shared" si="318"/>
        <v>8.708518283660956E-3</v>
      </c>
      <c r="X561" s="59">
        <f t="shared" si="319"/>
        <v>1.2955775433225826E-2</v>
      </c>
      <c r="Y561" s="59">
        <f t="shared" si="320"/>
        <v>1.3100811748570588E-2</v>
      </c>
      <c r="Z561" s="59">
        <f t="shared" si="321"/>
        <v>2.3933256909947777E-2</v>
      </c>
      <c r="AA561" s="59">
        <f t="shared" si="307"/>
        <v>1.2104441543173684E-2</v>
      </c>
      <c r="AB561" s="59">
        <f t="shared" si="322"/>
        <v>1.4479859259296592E-2</v>
      </c>
      <c r="AC561" s="60">
        <f t="shared" si="308"/>
        <v>17416915.394577123</v>
      </c>
      <c r="AD561" s="60">
        <f t="shared" si="324"/>
        <v>20174824.904147424</v>
      </c>
      <c r="AE561" s="59">
        <f t="shared" si="311"/>
        <v>3.1999999999999806E-2</v>
      </c>
      <c r="AF561" s="60">
        <f t="shared" si="325"/>
        <v>20174824.904147424</v>
      </c>
      <c r="AG561" s="60">
        <f t="shared" si="323"/>
        <v>1.0000000000000004</v>
      </c>
      <c r="AH561" s="60">
        <f t="shared" si="326"/>
        <v>20174824.904147431</v>
      </c>
      <c r="AI561" s="60">
        <f t="shared" si="309"/>
        <v>95.358584020964571</v>
      </c>
      <c r="AJ561" s="60">
        <f t="shared" si="310"/>
        <v>0</v>
      </c>
      <c r="AK561" s="59">
        <f t="shared" si="312"/>
        <v>3.2000000000000028E-2</v>
      </c>
    </row>
    <row r="562" spans="1:37" ht="12.75" customHeight="1" x14ac:dyDescent="0.25">
      <c r="A562" s="62" t="s">
        <v>662</v>
      </c>
      <c r="B562" s="62" t="s">
        <v>452</v>
      </c>
      <c r="C562" s="62" t="s">
        <v>456</v>
      </c>
      <c r="D562" s="124">
        <v>2023</v>
      </c>
      <c r="E562" s="62" t="s">
        <v>676</v>
      </c>
      <c r="F562" s="64">
        <f>SIM_Parametres!$C$29</f>
        <v>1393302555.147037</v>
      </c>
      <c r="G562" s="125">
        <f>SIM_Districts!D65*(1+SIM_Parametres!$B$6)^(2023-2023)</f>
        <v>550870</v>
      </c>
      <c r="H562" s="125">
        <f>MAX(0,MIN(100,SIM_Districts!F65+(2023-2022)*SIM_Parametres!$B$7))</f>
        <v>29.07</v>
      </c>
      <c r="I562" s="125">
        <f>SIM_Districts!G65*(1+SIM_Parametres!$B$8)^(2023-2023)</f>
        <v>40</v>
      </c>
      <c r="J562" s="125">
        <f>SIM_Districts!H65*(1+SIM_Parametres!$B$9)^(2023-2023)</f>
        <v>15.9</v>
      </c>
      <c r="K562" s="125">
        <f>MAX(0,MIN(100,SIM_Districts!I65+(2023-2023)*SIM_Parametres!$B$10))</f>
        <v>97.3</v>
      </c>
      <c r="L562" s="125">
        <f>SIM_Districts!E65</f>
        <v>487</v>
      </c>
      <c r="M562" s="61">
        <f t="shared" si="306"/>
        <v>1131.1498973305954</v>
      </c>
      <c r="N562" s="125">
        <f>N491*(1+SIM_Parametres!$B$6)/(1+SIM_Parametres!$B$11)</f>
        <v>153373</v>
      </c>
      <c r="O562" s="132"/>
      <c r="P562" s="126">
        <f>SIM_Parametres!$D$29</f>
        <v>0</v>
      </c>
      <c r="Q562" s="126">
        <f>SIM_Parametres!$B$12</f>
        <v>0.2</v>
      </c>
      <c r="R562" s="66">
        <f t="shared" si="313"/>
        <v>3.0390500302652685E-2</v>
      </c>
      <c r="S562" s="66">
        <f t="shared" si="314"/>
        <v>0.36524822695035458</v>
      </c>
      <c r="T562" s="66">
        <f t="shared" si="315"/>
        <v>0.65469613259668513</v>
      </c>
      <c r="U562" s="66">
        <f t="shared" si="316"/>
        <v>0.50060006219339392</v>
      </c>
      <c r="V562" s="66">
        <f t="shared" si="317"/>
        <v>0.65207282116061327</v>
      </c>
      <c r="W562" s="66">
        <f t="shared" si="318"/>
        <v>8.708518283660956E-3</v>
      </c>
      <c r="X562" s="66">
        <f t="shared" si="319"/>
        <v>1.2955775433225826E-2</v>
      </c>
      <c r="Y562" s="66">
        <f t="shared" si="320"/>
        <v>1.2790186148991384E-2</v>
      </c>
      <c r="Z562" s="66">
        <f t="shared" si="321"/>
        <v>2.3933256909947777E-2</v>
      </c>
      <c r="AA562" s="66">
        <f t="shared" si="307"/>
        <v>2.3320116392071585E-2</v>
      </c>
      <c r="AB562" s="66">
        <f t="shared" si="322"/>
        <v>1.3112947102935956E-2</v>
      </c>
      <c r="AC562" s="67">
        <f t="shared" si="308"/>
        <v>29918378.134311371</v>
      </c>
      <c r="AD562" s="67">
        <f t="shared" si="324"/>
        <v>18270302.704028606</v>
      </c>
      <c r="AE562" s="66">
        <f t="shared" si="311"/>
        <v>3.1999999999999806E-2</v>
      </c>
      <c r="AF562" s="67">
        <f t="shared" si="325"/>
        <v>18270302.704028606</v>
      </c>
      <c r="AG562" s="67">
        <f t="shared" si="323"/>
        <v>1.0000000000000004</v>
      </c>
      <c r="AH562" s="67">
        <f t="shared" si="326"/>
        <v>18270302.704028614</v>
      </c>
      <c r="AI562" s="67">
        <f t="shared" si="309"/>
        <v>33.16626918152852</v>
      </c>
      <c r="AJ562" s="67">
        <f t="shared" si="310"/>
        <v>0</v>
      </c>
      <c r="AK562" s="66">
        <f t="shared" si="312"/>
        <v>3.200000000000025E-2</v>
      </c>
    </row>
    <row r="563" spans="1:37" ht="12.75" customHeight="1" x14ac:dyDescent="0.25">
      <c r="A563" s="55" t="s">
        <v>663</v>
      </c>
      <c r="B563" s="55" t="s">
        <v>452</v>
      </c>
      <c r="C563" s="55" t="s">
        <v>457</v>
      </c>
      <c r="D563" s="128">
        <v>2023</v>
      </c>
      <c r="E563" s="55" t="s">
        <v>676</v>
      </c>
      <c r="F563" s="57">
        <f>SIM_Parametres!$C$29</f>
        <v>1393302555.147037</v>
      </c>
      <c r="G563" s="129">
        <f>SIM_Districts!D66*(1+SIM_Parametres!$B$6)^(2023-2023)</f>
        <v>110415</v>
      </c>
      <c r="H563" s="129">
        <f>MAX(0,MIN(100,SIM_Districts!F66+(2023-2022)*SIM_Parametres!$B$7))</f>
        <v>29.07</v>
      </c>
      <c r="I563" s="129">
        <f>SIM_Districts!G66*(1+SIM_Parametres!$B$8)^(2023-2023)</f>
        <v>40</v>
      </c>
      <c r="J563" s="129">
        <f>SIM_Districts!H66*(1+SIM_Parametres!$B$9)^(2023-2023)</f>
        <v>15.9</v>
      </c>
      <c r="K563" s="129">
        <f>MAX(0,MIN(100,SIM_Districts!I66+(2023-2023)*SIM_Parametres!$B$10))</f>
        <v>97.3</v>
      </c>
      <c r="L563" s="129">
        <f>SIM_Districts!E66</f>
        <v>230</v>
      </c>
      <c r="M563" s="68">
        <f t="shared" si="306"/>
        <v>480.06521739130437</v>
      </c>
      <c r="N563" s="129">
        <f>N492*(1+SIM_Parametres!$B$6)/(1+SIM_Parametres!$B$11)</f>
        <v>153373</v>
      </c>
      <c r="O563" s="72"/>
      <c r="P563" s="130">
        <f>SIM_Parametres!$D$29</f>
        <v>0</v>
      </c>
      <c r="Q563" s="130">
        <f>SIM_Parametres!$B$12</f>
        <v>0.2</v>
      </c>
      <c r="R563" s="59">
        <f t="shared" si="313"/>
        <v>6.0913955940918845E-3</v>
      </c>
      <c r="S563" s="59">
        <f t="shared" si="314"/>
        <v>0.36524822695035458</v>
      </c>
      <c r="T563" s="59">
        <f t="shared" si="315"/>
        <v>0.65469613259668513</v>
      </c>
      <c r="U563" s="59">
        <f t="shared" si="316"/>
        <v>0.50090567337352976</v>
      </c>
      <c r="V563" s="59">
        <f t="shared" si="317"/>
        <v>0.65207282116061327</v>
      </c>
      <c r="W563" s="59">
        <f t="shared" si="318"/>
        <v>8.708518283660956E-3</v>
      </c>
      <c r="X563" s="59">
        <f t="shared" si="319"/>
        <v>1.2955775433225826E-2</v>
      </c>
      <c r="Y563" s="59">
        <f t="shared" si="320"/>
        <v>1.2797994425854203E-2</v>
      </c>
      <c r="Z563" s="59">
        <f t="shared" si="321"/>
        <v>2.3933256909947777E-2</v>
      </c>
      <c r="AA563" s="59">
        <f t="shared" si="307"/>
        <v>8.7410439807782472E-3</v>
      </c>
      <c r="AB563" s="59">
        <f t="shared" si="322"/>
        <v>1.2876026864402645E-2</v>
      </c>
      <c r="AC563" s="60">
        <f t="shared" si="308"/>
        <v>13667931.060448421</v>
      </c>
      <c r="AD563" s="60">
        <f t="shared" si="324"/>
        <v>17940201.130314097</v>
      </c>
      <c r="AE563" s="59">
        <f t="shared" si="311"/>
        <v>3.1999999999999806E-2</v>
      </c>
      <c r="AF563" s="60">
        <f t="shared" si="325"/>
        <v>17940201.130314097</v>
      </c>
      <c r="AG563" s="60">
        <f t="shared" si="323"/>
        <v>1.0000000000000004</v>
      </c>
      <c r="AH563" s="60">
        <f t="shared" si="326"/>
        <v>17940201.130314104</v>
      </c>
      <c r="AI563" s="60">
        <f t="shared" si="309"/>
        <v>162.47974578013952</v>
      </c>
      <c r="AJ563" s="60">
        <f t="shared" si="310"/>
        <v>0</v>
      </c>
      <c r="AK563" s="59">
        <f t="shared" si="312"/>
        <v>3.200000000000025E-2</v>
      </c>
    </row>
    <row r="564" spans="1:37" ht="12.75" customHeight="1" x14ac:dyDescent="0.25">
      <c r="A564" s="62" t="s">
        <v>664</v>
      </c>
      <c r="B564" s="62" t="s">
        <v>452</v>
      </c>
      <c r="C564" s="62" t="s">
        <v>458</v>
      </c>
      <c r="D564" s="124">
        <v>2023</v>
      </c>
      <c r="E564" s="62" t="s">
        <v>676</v>
      </c>
      <c r="F564" s="64">
        <f>SIM_Parametres!$C$29</f>
        <v>1393302555.147037</v>
      </c>
      <c r="G564" s="125">
        <f>SIM_Districts!D67*(1+SIM_Parametres!$B$6)^(2023-2023)</f>
        <v>182948</v>
      </c>
      <c r="H564" s="125">
        <f>MAX(0,MIN(100,SIM_Districts!F67+(2023-2022)*SIM_Parametres!$B$7))</f>
        <v>29.07</v>
      </c>
      <c r="I564" s="125">
        <f>SIM_Districts!G67*(1+SIM_Parametres!$B$8)^(2023-2023)</f>
        <v>40</v>
      </c>
      <c r="J564" s="125">
        <f>SIM_Districts!H67*(1+SIM_Parametres!$B$9)^(2023-2023)</f>
        <v>15.9</v>
      </c>
      <c r="K564" s="125">
        <f>MAX(0,MIN(100,SIM_Districts!I67+(2023-2023)*SIM_Parametres!$B$10))</f>
        <v>97.3</v>
      </c>
      <c r="L564" s="125">
        <f>SIM_Districts!E67</f>
        <v>557</v>
      </c>
      <c r="M564" s="61">
        <f t="shared" si="306"/>
        <v>328.45242369838422</v>
      </c>
      <c r="N564" s="125">
        <f>N493*(1+SIM_Parametres!$B$6)/(1+SIM_Parametres!$B$11)</f>
        <v>153373</v>
      </c>
      <c r="O564" s="132"/>
      <c r="P564" s="126">
        <f>SIM_Parametres!$D$29</f>
        <v>0</v>
      </c>
      <c r="Q564" s="126">
        <f>SIM_Parametres!$B$12</f>
        <v>0.2</v>
      </c>
      <c r="R564" s="66">
        <f t="shared" si="313"/>
        <v>1.0092909850544963E-2</v>
      </c>
      <c r="S564" s="66">
        <f t="shared" si="314"/>
        <v>0.36524822695035458</v>
      </c>
      <c r="T564" s="66">
        <f t="shared" si="315"/>
        <v>0.65469613259668513</v>
      </c>
      <c r="U564" s="66">
        <f t="shared" si="316"/>
        <v>0.51437733390901985</v>
      </c>
      <c r="V564" s="66">
        <f t="shared" si="317"/>
        <v>0.65207282116061327</v>
      </c>
      <c r="W564" s="66">
        <f t="shared" si="318"/>
        <v>8.708518283660956E-3</v>
      </c>
      <c r="X564" s="66">
        <f t="shared" si="319"/>
        <v>1.2955775433225826E-2</v>
      </c>
      <c r="Y564" s="66">
        <f t="shared" si="320"/>
        <v>1.3142191438595231E-2</v>
      </c>
      <c r="Z564" s="66">
        <f t="shared" si="321"/>
        <v>2.3933256909947777E-2</v>
      </c>
      <c r="AA564" s="66">
        <f t="shared" si="307"/>
        <v>1.1159162385287144E-2</v>
      </c>
      <c r="AB564" s="66">
        <f t="shared" si="322"/>
        <v>1.224507970433698E-2</v>
      </c>
      <c r="AC564" s="67">
        <f t="shared" si="308"/>
        <v>16363267.50176868</v>
      </c>
      <c r="AD564" s="67">
        <f t="shared" si="324"/>
        <v>17061100.84003184</v>
      </c>
      <c r="AE564" s="66">
        <f t="shared" si="311"/>
        <v>3.1999999999999806E-2</v>
      </c>
      <c r="AF564" s="67">
        <f t="shared" si="325"/>
        <v>17061100.84003184</v>
      </c>
      <c r="AG564" s="67">
        <f t="shared" si="323"/>
        <v>1.0000000000000004</v>
      </c>
      <c r="AH564" s="67">
        <f t="shared" si="326"/>
        <v>17061100.840031847</v>
      </c>
      <c r="AI564" s="67">
        <f t="shared" si="309"/>
        <v>93.25655836648582</v>
      </c>
      <c r="AJ564" s="67">
        <f t="shared" si="310"/>
        <v>0</v>
      </c>
      <c r="AK564" s="66">
        <f t="shared" si="312"/>
        <v>3.200000000000025E-2</v>
      </c>
    </row>
    <row r="565" spans="1:37" ht="12.75" customHeight="1" x14ac:dyDescent="0.25">
      <c r="A565" s="55" t="s">
        <v>665</v>
      </c>
      <c r="B565" s="55" t="s">
        <v>452</v>
      </c>
      <c r="C565" s="55" t="s">
        <v>459</v>
      </c>
      <c r="D565" s="128">
        <v>2023</v>
      </c>
      <c r="E565" s="55" t="s">
        <v>676</v>
      </c>
      <c r="F565" s="57">
        <f>SIM_Parametres!$C$29</f>
        <v>1393302555.147037</v>
      </c>
      <c r="G565" s="129">
        <f>SIM_Districts!D68*(1+SIM_Parametres!$B$6)^(2023-2023)</f>
        <v>232380</v>
      </c>
      <c r="H565" s="129">
        <f>MAX(0,MIN(100,SIM_Districts!F68+(2023-2022)*SIM_Parametres!$B$7))</f>
        <v>29.07</v>
      </c>
      <c r="I565" s="129">
        <f>SIM_Districts!G68*(1+SIM_Parametres!$B$8)^(2023-2023)</f>
        <v>40</v>
      </c>
      <c r="J565" s="129">
        <f>SIM_Districts!H68*(1+SIM_Parametres!$B$9)^(2023-2023)</f>
        <v>15.9</v>
      </c>
      <c r="K565" s="129">
        <f>MAX(0,MIN(100,SIM_Districts!I68+(2023-2023)*SIM_Parametres!$B$10))</f>
        <v>97.3</v>
      </c>
      <c r="L565" s="129">
        <f>SIM_Districts!E68</f>
        <v>793</v>
      </c>
      <c r="M565" s="68">
        <f t="shared" si="306"/>
        <v>293.03909205548553</v>
      </c>
      <c r="N565" s="129">
        <f>N494*(1+SIM_Parametres!$B$6)/(1+SIM_Parametres!$B$11)</f>
        <v>153373</v>
      </c>
      <c r="O565" s="72"/>
      <c r="P565" s="130">
        <f>SIM_Parametres!$D$29</f>
        <v>0</v>
      </c>
      <c r="Q565" s="130">
        <f>SIM_Parametres!$B$12</f>
        <v>0.2</v>
      </c>
      <c r="R565" s="59">
        <f t="shared" ref="R565:R571" si="327">IFERROR(G565/SUM($G$501:$G$571),1/71)</f>
        <v>1.2819983771725508E-2</v>
      </c>
      <c r="S565" s="59">
        <f t="shared" ref="S565:S571" si="328">IF(MAX($H$501:$H$571)=MIN($H$501:$H$571),1,(H565-MIN($H$501:$H$571))/(MAX($H$501:$H$571)-MIN($H$501:$H$571)))</f>
        <v>0.36524822695035458</v>
      </c>
      <c r="T565" s="59">
        <f t="shared" ref="T565:T571" si="329">(IF(MAX($I$501:$I$571)=MIN($I$501:$I$571),1,(I565-MIN($I$501:$I$571))/(MAX($I$501:$I$571)-MIN($I$501:$I$571)))+IF(MAX($J$501:$J$571)=MIN($J$501:$J$571),1,(J565-MIN($J$501:$J$571))/(MAX($J$501:$J$571)-MIN($J$501:$J$571))))/2</f>
        <v>0.65469613259668513</v>
      </c>
      <c r="U565" s="59">
        <f t="shared" ref="U565:U571" si="330">(IF(MAX($L$501:$L$571)=MIN($L$501:$L$571),1,(L565-MIN($L$501:$L$571))/(MAX($L$501:$L$571)-MIN($L$501:$L$571)))+IF(MAX($M$501:$M$571)=MIN($M$501:$M$571),1,(MAX($M$501:$M$571)-M565)/(MAX($M$501:$M$571)-MIN($M$501:$M$571))))/2</f>
        <v>0.52305332187907927</v>
      </c>
      <c r="V565" s="59">
        <f t="shared" ref="V565:V571" si="331">IF(MAX($N$501:$N$571)=MIN($N$501:$N$571),1,(N565-MIN($N$501:$N$571))/(MAX($N$501:$N$571)-MIN($N$501:$N$571)))</f>
        <v>0.65207282116061327</v>
      </c>
      <c r="W565" s="59">
        <f t="shared" ref="W565:W571" si="332">IFERROR(S565/SUM($S$501:$S$571),1/71)</f>
        <v>8.708518283660956E-3</v>
      </c>
      <c r="X565" s="59">
        <f t="shared" ref="X565:X571" si="333">IFERROR(T565/SUM($T$501:$T$571),1/71)</f>
        <v>1.2955775433225826E-2</v>
      </c>
      <c r="Y565" s="59">
        <f t="shared" ref="Y565:Y571" si="334">IFERROR(U565/SUM($U$501:$U$571),1/71)</f>
        <v>1.3363860410583094E-2</v>
      </c>
      <c r="Z565" s="59">
        <f t="shared" ref="Z565:Z571" si="335">IFERROR(V565/SUM($V$501:$V$571),1/71)</f>
        <v>2.3933256909947777E-2</v>
      </c>
      <c r="AA565" s="59">
        <f t="shared" si="307"/>
        <v>1.2806490186594865E-2</v>
      </c>
      <c r="AB565" s="59">
        <f t="shared" ref="AB565:AB571" si="336">IFERROR(AH494/SUM($AH$430:$AH$500),1/71)</f>
        <v>1.2935676995380892E-2</v>
      </c>
      <c r="AC565" s="60">
        <f t="shared" si="308"/>
        <v>18199448.329550117</v>
      </c>
      <c r="AD565" s="60">
        <f t="shared" si="324"/>
        <v>18023311.810220946</v>
      </c>
      <c r="AE565" s="59">
        <f t="shared" si="311"/>
        <v>3.2000000000000028E-2</v>
      </c>
      <c r="AF565" s="60">
        <f t="shared" si="325"/>
        <v>18023311.810220946</v>
      </c>
      <c r="AG565" s="60">
        <f t="shared" ref="AG565:AG571" si="337">IFERROR(F565/SUM($AF$501:$AF$571),1)</f>
        <v>1.0000000000000004</v>
      </c>
      <c r="AH565" s="60">
        <f t="shared" si="326"/>
        <v>18023311.810220953</v>
      </c>
      <c r="AI565" s="60">
        <f t="shared" si="309"/>
        <v>77.559651476981472</v>
      </c>
      <c r="AJ565" s="60">
        <f t="shared" si="310"/>
        <v>0</v>
      </c>
      <c r="AK565" s="59">
        <f t="shared" si="312"/>
        <v>3.2000000000000473E-2</v>
      </c>
    </row>
    <row r="566" spans="1:37" ht="12.75" customHeight="1" x14ac:dyDescent="0.25">
      <c r="A566" s="62" t="s">
        <v>666</v>
      </c>
      <c r="B566" s="62" t="s">
        <v>452</v>
      </c>
      <c r="C566" s="62" t="s">
        <v>452</v>
      </c>
      <c r="D566" s="124">
        <v>2023</v>
      </c>
      <c r="E566" s="62" t="s">
        <v>676</v>
      </c>
      <c r="F566" s="64">
        <f>SIM_Parametres!$C$29</f>
        <v>1393302555.147037</v>
      </c>
      <c r="G566" s="125">
        <f>SIM_Districts!D69*(1+SIM_Parametres!$B$6)^(2023-2023)</f>
        <v>619593</v>
      </c>
      <c r="H566" s="125">
        <f>MAX(0,MIN(100,SIM_Districts!F69+(2023-2022)*SIM_Parametres!$B$7))</f>
        <v>29.07</v>
      </c>
      <c r="I566" s="125">
        <f>SIM_Districts!G69*(1+SIM_Parametres!$B$8)^(2023-2023)</f>
        <v>40</v>
      </c>
      <c r="J566" s="125">
        <f>SIM_Districts!H69*(1+SIM_Parametres!$B$9)^(2023-2023)</f>
        <v>15.9</v>
      </c>
      <c r="K566" s="125">
        <f>MAX(0,MIN(100,SIM_Districts!I69+(2023-2023)*SIM_Parametres!$B$10))</f>
        <v>97.3</v>
      </c>
      <c r="L566" s="125">
        <f>SIM_Districts!E69</f>
        <v>503</v>
      </c>
      <c r="M566" s="61">
        <f t="shared" si="306"/>
        <v>1231.7952286282307</v>
      </c>
      <c r="N566" s="125">
        <f>N495*(1+SIM_Parametres!$B$6)/(1+SIM_Parametres!$B$11)</f>
        <v>153373</v>
      </c>
      <c r="O566" s="132"/>
      <c r="P566" s="126">
        <f>SIM_Parametres!$D$29</f>
        <v>0</v>
      </c>
      <c r="Q566" s="126">
        <f>SIM_Parametres!$B$12</f>
        <v>0.2</v>
      </c>
      <c r="R566" s="66">
        <f t="shared" si="327"/>
        <v>3.4181823758820569E-2</v>
      </c>
      <c r="S566" s="66">
        <f t="shared" si="328"/>
        <v>0.36524822695035458</v>
      </c>
      <c r="T566" s="66">
        <f t="shared" si="329"/>
        <v>0.65469613259668513</v>
      </c>
      <c r="U566" s="66">
        <f t="shared" si="330"/>
        <v>0.49973089584614416</v>
      </c>
      <c r="V566" s="66">
        <f t="shared" si="331"/>
        <v>0.65207282116061327</v>
      </c>
      <c r="W566" s="66">
        <f t="shared" si="332"/>
        <v>8.708518283660956E-3</v>
      </c>
      <c r="X566" s="66">
        <f t="shared" si="333"/>
        <v>1.2955775433225826E-2</v>
      </c>
      <c r="Y566" s="66">
        <f t="shared" si="334"/>
        <v>1.2767979201339291E-2</v>
      </c>
      <c r="Z566" s="66">
        <f t="shared" si="335"/>
        <v>2.3933256909947777E-2</v>
      </c>
      <c r="AA566" s="66">
        <f t="shared" si="307"/>
        <v>2.5593800118389711E-2</v>
      </c>
      <c r="AB566" s="66">
        <f t="shared" si="336"/>
        <v>1.6176107350072334E-2</v>
      </c>
      <c r="AC566" s="67">
        <f t="shared" si="308"/>
        <v>32452721.610691592</v>
      </c>
      <c r="AD566" s="67">
        <f t="shared" si="324"/>
        <v>22538211.70318855</v>
      </c>
      <c r="AE566" s="66">
        <f t="shared" si="311"/>
        <v>3.2000000000000028E-2</v>
      </c>
      <c r="AF566" s="67">
        <f t="shared" si="325"/>
        <v>22538211.70318855</v>
      </c>
      <c r="AG566" s="67">
        <f t="shared" si="337"/>
        <v>1.0000000000000004</v>
      </c>
      <c r="AH566" s="67">
        <f t="shared" si="326"/>
        <v>22538211.703188561</v>
      </c>
      <c r="AI566" s="67">
        <f t="shared" si="309"/>
        <v>36.375833334444643</v>
      </c>
      <c r="AJ566" s="67">
        <f t="shared" si="310"/>
        <v>0</v>
      </c>
      <c r="AK566" s="66">
        <f t="shared" si="312"/>
        <v>3.2000000000000473E-2</v>
      </c>
    </row>
    <row r="567" spans="1:37" ht="12.75" customHeight="1" x14ac:dyDescent="0.25">
      <c r="A567" s="55" t="s">
        <v>667</v>
      </c>
      <c r="B567" s="55" t="s">
        <v>452</v>
      </c>
      <c r="C567" s="55" t="s">
        <v>460</v>
      </c>
      <c r="D567" s="128">
        <v>2023</v>
      </c>
      <c r="E567" s="55" t="s">
        <v>676</v>
      </c>
      <c r="F567" s="57">
        <f>SIM_Parametres!$C$29</f>
        <v>1393302555.147037</v>
      </c>
      <c r="G567" s="129">
        <f>SIM_Districts!D70*(1+SIM_Parametres!$B$6)^(2023-2023)</f>
        <v>433835</v>
      </c>
      <c r="H567" s="129">
        <f>MAX(0,MIN(100,SIM_Districts!F70+(2023-2022)*SIM_Parametres!$B$7))</f>
        <v>29.07</v>
      </c>
      <c r="I567" s="129">
        <f>SIM_Districts!G70*(1+SIM_Parametres!$B$8)^(2023-2023)</f>
        <v>40</v>
      </c>
      <c r="J567" s="129">
        <f>SIM_Districts!H70*(1+SIM_Parametres!$B$9)^(2023-2023)</f>
        <v>15.9</v>
      </c>
      <c r="K567" s="129">
        <f>MAX(0,MIN(100,SIM_Districts!I70+(2023-2023)*SIM_Parametres!$B$10))</f>
        <v>97.3</v>
      </c>
      <c r="L567" s="129">
        <f>SIM_Districts!E70</f>
        <v>1739</v>
      </c>
      <c r="M567" s="68">
        <f t="shared" si="306"/>
        <v>249.47383553766534</v>
      </c>
      <c r="N567" s="129">
        <f>N496*(1+SIM_Parametres!$B$6)/(1+SIM_Parametres!$B$11)</f>
        <v>153373</v>
      </c>
      <c r="O567" s="72"/>
      <c r="P567" s="130">
        <f>SIM_Parametres!$D$29</f>
        <v>0</v>
      </c>
      <c r="Q567" s="130">
        <f>SIM_Parametres!$B$12</f>
        <v>0.2</v>
      </c>
      <c r="R567" s="59">
        <f t="shared" si="327"/>
        <v>2.393389129704164E-2</v>
      </c>
      <c r="S567" s="59">
        <f t="shared" si="328"/>
        <v>0.36524822695035458</v>
      </c>
      <c r="T567" s="59">
        <f t="shared" si="329"/>
        <v>0.65469613259668513</v>
      </c>
      <c r="U567" s="59">
        <f t="shared" si="330"/>
        <v>0.55643930835847466</v>
      </c>
      <c r="V567" s="59">
        <f t="shared" si="331"/>
        <v>0.65207282116061327</v>
      </c>
      <c r="W567" s="59">
        <f t="shared" si="332"/>
        <v>8.708518283660956E-3</v>
      </c>
      <c r="X567" s="59">
        <f t="shared" si="333"/>
        <v>1.2955775433225826E-2</v>
      </c>
      <c r="Y567" s="59">
        <f t="shared" si="334"/>
        <v>1.4216862665453392E-2</v>
      </c>
      <c r="Z567" s="59">
        <f t="shared" si="335"/>
        <v>2.3933256909947777E-2</v>
      </c>
      <c r="AA567" s="59">
        <f t="shared" si="307"/>
        <v>1.9517484814528058E-2</v>
      </c>
      <c r="AB567" s="59">
        <f t="shared" si="336"/>
        <v>1.4236217879244603E-2</v>
      </c>
      <c r="AC567" s="60">
        <f t="shared" si="308"/>
        <v>25679805.099692006</v>
      </c>
      <c r="AD567" s="60">
        <f t="shared" si="324"/>
        <v>19835358.746781439</v>
      </c>
      <c r="AE567" s="59">
        <f t="shared" si="311"/>
        <v>3.1999999999999806E-2</v>
      </c>
      <c r="AF567" s="60">
        <f t="shared" si="325"/>
        <v>19835358.746781439</v>
      </c>
      <c r="AG567" s="60">
        <f t="shared" si="337"/>
        <v>1.0000000000000004</v>
      </c>
      <c r="AH567" s="60">
        <f t="shared" si="326"/>
        <v>19835358.746781446</v>
      </c>
      <c r="AI567" s="60">
        <f t="shared" si="309"/>
        <v>45.720973980387583</v>
      </c>
      <c r="AJ567" s="60">
        <f t="shared" si="310"/>
        <v>0</v>
      </c>
      <c r="AK567" s="59">
        <f t="shared" si="312"/>
        <v>3.200000000000025E-2</v>
      </c>
    </row>
    <row r="568" spans="1:37" ht="12.75" customHeight="1" x14ac:dyDescent="0.25">
      <c r="A568" s="62" t="s">
        <v>668</v>
      </c>
      <c r="B568" s="62" t="s">
        <v>461</v>
      </c>
      <c r="C568" s="62" t="s">
        <v>463</v>
      </c>
      <c r="D568" s="124">
        <v>2023</v>
      </c>
      <c r="E568" s="62" t="s">
        <v>676</v>
      </c>
      <c r="F568" s="64">
        <f>SIM_Parametres!$C$29</f>
        <v>1393302555.147037</v>
      </c>
      <c r="G568" s="125">
        <f>SIM_Districts!D71*(1+SIM_Parametres!$B$6)^(2023-2023)</f>
        <v>159678</v>
      </c>
      <c r="H568" s="125">
        <f>MAX(0,MIN(100,SIM_Districts!F71+(2023-2022)*SIM_Parametres!$B$7))</f>
        <v>47.47</v>
      </c>
      <c r="I568" s="125">
        <f>SIM_Districts!G71*(1+SIM_Parametres!$B$8)^(2023-2023)</f>
        <v>40</v>
      </c>
      <c r="J568" s="125">
        <f>SIM_Districts!H71*(1+SIM_Parametres!$B$9)^(2023-2023)</f>
        <v>10.3</v>
      </c>
      <c r="K568" s="125">
        <f>MAX(0,MIN(100,SIM_Districts!I71+(2023-2023)*SIM_Parametres!$B$10))</f>
        <v>96.3</v>
      </c>
      <c r="L568" s="125">
        <f>SIM_Districts!E71</f>
        <v>2537</v>
      </c>
      <c r="M568" s="61">
        <f t="shared" si="306"/>
        <v>62.939692550256211</v>
      </c>
      <c r="N568" s="125">
        <f>N497*(1+SIM_Parametres!$B$6)/(1+SIM_Parametres!$B$11)</f>
        <v>69419</v>
      </c>
      <c r="O568" s="132"/>
      <c r="P568" s="126">
        <f>SIM_Parametres!$D$29</f>
        <v>0</v>
      </c>
      <c r="Q568" s="126">
        <f>SIM_Parametres!$B$12</f>
        <v>0.2</v>
      </c>
      <c r="R568" s="66">
        <f t="shared" si="327"/>
        <v>8.8091460913227726E-3</v>
      </c>
      <c r="S568" s="66">
        <f t="shared" si="328"/>
        <v>0.6914893617021276</v>
      </c>
      <c r="T568" s="66">
        <f t="shared" si="329"/>
        <v>0.5</v>
      </c>
      <c r="U568" s="66">
        <f t="shared" si="330"/>
        <v>0.58672050041788637</v>
      </c>
      <c r="V568" s="66">
        <f t="shared" si="331"/>
        <v>6.9378604793203735E-2</v>
      </c>
      <c r="W568" s="66">
        <f t="shared" si="332"/>
        <v>1.6487000634115404E-2</v>
      </c>
      <c r="X568" s="66">
        <f t="shared" si="333"/>
        <v>9.8944951620838582E-3</v>
      </c>
      <c r="Y568" s="66">
        <f t="shared" si="334"/>
        <v>1.4990538324933458E-2</v>
      </c>
      <c r="Z568" s="66">
        <f t="shared" si="335"/>
        <v>2.5464272067252584E-3</v>
      </c>
      <c r="AA568" s="66">
        <f t="shared" si="307"/>
        <v>1.0119560300806487E-2</v>
      </c>
      <c r="AB568" s="66">
        <f t="shared" si="336"/>
        <v>1.7832028591736011E-2</v>
      </c>
      <c r="AC568" s="67">
        <f t="shared" si="308"/>
        <v>15204483.30925421</v>
      </c>
      <c r="AD568" s="67">
        <f t="shared" si="324"/>
        <v>24845411.000320803</v>
      </c>
      <c r="AE568" s="66">
        <f t="shared" si="311"/>
        <v>3.1999999999999806E-2</v>
      </c>
      <c r="AF568" s="67">
        <f t="shared" si="325"/>
        <v>24845411.000320803</v>
      </c>
      <c r="AG568" s="67">
        <f t="shared" si="337"/>
        <v>1.0000000000000004</v>
      </c>
      <c r="AH568" s="67">
        <f t="shared" si="326"/>
        <v>24845411.000320815</v>
      </c>
      <c r="AI568" s="67">
        <f t="shared" si="309"/>
        <v>155.59695762923391</v>
      </c>
      <c r="AJ568" s="67">
        <f t="shared" si="310"/>
        <v>0</v>
      </c>
      <c r="AK568" s="66">
        <f t="shared" si="312"/>
        <v>3.200000000000025E-2</v>
      </c>
    </row>
    <row r="569" spans="1:37" ht="12.75" customHeight="1" x14ac:dyDescent="0.25">
      <c r="A569" s="55" t="s">
        <v>670</v>
      </c>
      <c r="B569" s="55" t="s">
        <v>461</v>
      </c>
      <c r="C569" s="55" t="s">
        <v>464</v>
      </c>
      <c r="D569" s="128">
        <v>2023</v>
      </c>
      <c r="E569" s="55" t="s">
        <v>676</v>
      </c>
      <c r="F569" s="57">
        <f>SIM_Parametres!$C$29</f>
        <v>1393302555.147037</v>
      </c>
      <c r="G569" s="129">
        <f>SIM_Districts!D72*(1+SIM_Parametres!$B$6)^(2023-2023)</f>
        <v>97519</v>
      </c>
      <c r="H569" s="129">
        <f>MAX(0,MIN(100,SIM_Districts!F72+(2023-2022)*SIM_Parametres!$B$7))</f>
        <v>47.47</v>
      </c>
      <c r="I569" s="129">
        <f>SIM_Districts!G72*(1+SIM_Parametres!$B$8)^(2023-2023)</f>
        <v>40</v>
      </c>
      <c r="J569" s="129">
        <f>SIM_Districts!H72*(1+SIM_Parametres!$B$9)^(2023-2023)</f>
        <v>10.3</v>
      </c>
      <c r="K569" s="129">
        <f>MAX(0,MIN(100,SIM_Districts!I72+(2023-2023)*SIM_Parametres!$B$10))</f>
        <v>96.3</v>
      </c>
      <c r="L569" s="129">
        <f>SIM_Districts!E72</f>
        <v>1893</v>
      </c>
      <c r="M569" s="68">
        <f t="shared" si="306"/>
        <v>51.515583729529844</v>
      </c>
      <c r="N569" s="129">
        <f>N498*(1+SIM_Parametres!$B$6)/(1+SIM_Parametres!$B$11)</f>
        <v>69419</v>
      </c>
      <c r="O569" s="72"/>
      <c r="P569" s="130">
        <f>SIM_Parametres!$D$29</f>
        <v>0</v>
      </c>
      <c r="Q569" s="130">
        <f>SIM_Parametres!$B$12</f>
        <v>0.2</v>
      </c>
      <c r="R569" s="59">
        <f t="shared" si="327"/>
        <v>5.3799466280871839E-3</v>
      </c>
      <c r="S569" s="59">
        <f t="shared" si="328"/>
        <v>0.6914893617021276</v>
      </c>
      <c r="T569" s="59">
        <f t="shared" si="329"/>
        <v>0.5</v>
      </c>
      <c r="U569" s="59">
        <f t="shared" si="330"/>
        <v>0.56457363162952034</v>
      </c>
      <c r="V569" s="59">
        <f t="shared" si="331"/>
        <v>6.9378604793203735E-2</v>
      </c>
      <c r="W569" s="59">
        <f t="shared" si="332"/>
        <v>1.6487000634115404E-2</v>
      </c>
      <c r="X569" s="59">
        <f t="shared" si="333"/>
        <v>9.8944951620838582E-3</v>
      </c>
      <c r="Y569" s="59">
        <f t="shared" si="334"/>
        <v>1.4424692261752073E-2</v>
      </c>
      <c r="Z569" s="59">
        <f t="shared" si="335"/>
        <v>2.5464272067252584E-3</v>
      </c>
      <c r="AA569" s="59">
        <f t="shared" si="307"/>
        <v>8.0337483197060657E-3</v>
      </c>
      <c r="AB569" s="59">
        <f t="shared" si="336"/>
        <v>1.2086292735958274E-2</v>
      </c>
      <c r="AC569" s="60">
        <f t="shared" si="308"/>
        <v>12879549.578995395</v>
      </c>
      <c r="AD569" s="60">
        <f t="shared" si="324"/>
        <v>16839862.551265735</v>
      </c>
      <c r="AE569" s="59">
        <f t="shared" si="311"/>
        <v>3.1999999999999806E-2</v>
      </c>
      <c r="AF569" s="60">
        <f t="shared" si="325"/>
        <v>16839862.551265735</v>
      </c>
      <c r="AG569" s="60">
        <f t="shared" si="337"/>
        <v>1.0000000000000004</v>
      </c>
      <c r="AH569" s="60">
        <f t="shared" si="326"/>
        <v>16839862.551265743</v>
      </c>
      <c r="AI569" s="60">
        <f t="shared" si="309"/>
        <v>172.68288796301997</v>
      </c>
      <c r="AJ569" s="60">
        <f t="shared" si="310"/>
        <v>0</v>
      </c>
      <c r="AK569" s="59">
        <f t="shared" si="312"/>
        <v>3.200000000000025E-2</v>
      </c>
    </row>
    <row r="570" spans="1:37" ht="12.75" customHeight="1" x14ac:dyDescent="0.25">
      <c r="A570" s="62" t="s">
        <v>671</v>
      </c>
      <c r="B570" s="62" t="s">
        <v>461</v>
      </c>
      <c r="C570" s="62" t="s">
        <v>465</v>
      </c>
      <c r="D570" s="124">
        <v>2023</v>
      </c>
      <c r="E570" s="62" t="s">
        <v>676</v>
      </c>
      <c r="F570" s="64">
        <f>SIM_Parametres!$C$29</f>
        <v>1393302555.147037</v>
      </c>
      <c r="G570" s="125">
        <f>SIM_Districts!D73*(1+SIM_Parametres!$B$6)^(2023-2023)</f>
        <v>58723</v>
      </c>
      <c r="H570" s="125">
        <f>MAX(0,MIN(100,SIM_Districts!F73+(2023-2022)*SIM_Parametres!$B$7))</f>
        <v>47.47</v>
      </c>
      <c r="I570" s="125">
        <f>SIM_Districts!G73*(1+SIM_Parametres!$B$8)^(2023-2023)</f>
        <v>40</v>
      </c>
      <c r="J570" s="125">
        <f>SIM_Districts!H73*(1+SIM_Parametres!$B$9)^(2023-2023)</f>
        <v>10.3</v>
      </c>
      <c r="K570" s="125">
        <f>MAX(0,MIN(100,SIM_Districts!I73+(2023-2023)*SIM_Parametres!$B$10))</f>
        <v>96.3</v>
      </c>
      <c r="L570" s="125">
        <f>SIM_Districts!E73</f>
        <v>877</v>
      </c>
      <c r="M570" s="61">
        <f t="shared" si="306"/>
        <v>66.958950969213234</v>
      </c>
      <c r="N570" s="125">
        <f>N499*(1+SIM_Parametres!$B$6)/(1+SIM_Parametres!$B$11)</f>
        <v>69419</v>
      </c>
      <c r="O570" s="132"/>
      <c r="P570" s="126">
        <f>SIM_Parametres!$D$29</f>
        <v>0</v>
      </c>
      <c r="Q570" s="126">
        <f>SIM_Parametres!$B$12</f>
        <v>0.2</v>
      </c>
      <c r="R570" s="66">
        <f t="shared" si="327"/>
        <v>3.2396415656555516E-3</v>
      </c>
      <c r="S570" s="66">
        <f t="shared" si="328"/>
        <v>0.6914893617021276</v>
      </c>
      <c r="T570" s="66">
        <f t="shared" si="329"/>
        <v>0.5</v>
      </c>
      <c r="U570" s="66">
        <f t="shared" si="330"/>
        <v>0.52916053895252113</v>
      </c>
      <c r="V570" s="66">
        <f t="shared" si="331"/>
        <v>6.9378604793203735E-2</v>
      </c>
      <c r="W570" s="66">
        <f t="shared" si="332"/>
        <v>1.6487000634115404E-2</v>
      </c>
      <c r="X570" s="66">
        <f t="shared" si="333"/>
        <v>9.8944951620838582E-3</v>
      </c>
      <c r="Y570" s="66">
        <f t="shared" si="334"/>
        <v>1.3519898032471049E-2</v>
      </c>
      <c r="Z570" s="66">
        <f t="shared" si="335"/>
        <v>2.5464272067252584E-3</v>
      </c>
      <c r="AA570" s="66">
        <f t="shared" si="307"/>
        <v>6.7043255707830368E-3</v>
      </c>
      <c r="AB570" s="66">
        <f t="shared" si="336"/>
        <v>1.3454885177698574E-2</v>
      </c>
      <c r="AC570" s="67">
        <f t="shared" si="308"/>
        <v>11397719.088639352</v>
      </c>
      <c r="AD570" s="67">
        <f t="shared" si="324"/>
        <v>18746725.89729742</v>
      </c>
      <c r="AE570" s="66">
        <f t="shared" si="311"/>
        <v>3.1999999999999806E-2</v>
      </c>
      <c r="AF570" s="67">
        <f t="shared" si="325"/>
        <v>18746725.89729742</v>
      </c>
      <c r="AG570" s="67">
        <f t="shared" si="337"/>
        <v>1.0000000000000004</v>
      </c>
      <c r="AH570" s="67">
        <f t="shared" si="326"/>
        <v>18746725.897297427</v>
      </c>
      <c r="AI570" s="67">
        <f t="shared" si="309"/>
        <v>319.23992127952295</v>
      </c>
      <c r="AJ570" s="67">
        <f t="shared" si="310"/>
        <v>0</v>
      </c>
      <c r="AK570" s="66">
        <f t="shared" si="312"/>
        <v>3.200000000000025E-2</v>
      </c>
    </row>
    <row r="571" spans="1:37" ht="12.75" customHeight="1" x14ac:dyDescent="0.25">
      <c r="A571" s="55" t="s">
        <v>672</v>
      </c>
      <c r="B571" s="55" t="s">
        <v>461</v>
      </c>
      <c r="C571" s="55" t="s">
        <v>461</v>
      </c>
      <c r="D571" s="128">
        <v>2023</v>
      </c>
      <c r="E571" s="55" t="s">
        <v>676</v>
      </c>
      <c r="F571" s="57">
        <f>SIM_Parametres!$C$29</f>
        <v>1393302555.147037</v>
      </c>
      <c r="G571" s="129">
        <f>SIM_Districts!D74*(1+SIM_Parametres!$B$6)^(2023-2023)</f>
        <v>301647</v>
      </c>
      <c r="H571" s="129">
        <f>MAX(0,MIN(100,SIM_Districts!F74+(2023-2022)*SIM_Parametres!$B$7))</f>
        <v>47.47</v>
      </c>
      <c r="I571" s="129">
        <f>SIM_Districts!G74*(1+SIM_Parametres!$B$8)^(2023-2023)</f>
        <v>40</v>
      </c>
      <c r="J571" s="129">
        <f>SIM_Districts!H74*(1+SIM_Parametres!$B$9)^(2023-2023)</f>
        <v>10.3</v>
      </c>
      <c r="K571" s="129">
        <f>MAX(0,MIN(100,SIM_Districts!I74+(2023-2023)*SIM_Parametres!$B$10))</f>
        <v>96.3</v>
      </c>
      <c r="L571" s="129">
        <f>SIM_Districts!E74</f>
        <v>1136</v>
      </c>
      <c r="M571" s="68">
        <f t="shared" si="306"/>
        <v>265.53433098591552</v>
      </c>
      <c r="N571" s="129">
        <f>N500*(1+SIM_Parametres!$B$6)/(1+SIM_Parametres!$B$11)</f>
        <v>69419</v>
      </c>
      <c r="O571" s="72"/>
      <c r="P571" s="130">
        <f>SIM_Parametres!$D$29</f>
        <v>0</v>
      </c>
      <c r="Q571" s="130">
        <f>SIM_Parametres!$B$12</f>
        <v>0.2</v>
      </c>
      <c r="R571" s="59">
        <f t="shared" si="327"/>
        <v>1.6641318722737261E-2</v>
      </c>
      <c r="S571" s="59">
        <f t="shared" si="328"/>
        <v>0.6914893617021276</v>
      </c>
      <c r="T571" s="59">
        <f t="shared" si="329"/>
        <v>0.5</v>
      </c>
      <c r="U571" s="59">
        <f t="shared" si="330"/>
        <v>0.53532398626606015</v>
      </c>
      <c r="V571" s="59">
        <f t="shared" si="331"/>
        <v>6.9378604793203735E-2</v>
      </c>
      <c r="W571" s="59">
        <f t="shared" si="332"/>
        <v>1.6487000634115404E-2</v>
      </c>
      <c r="X571" s="59">
        <f t="shared" si="333"/>
        <v>9.8944951620838582E-3</v>
      </c>
      <c r="Y571" s="59">
        <f t="shared" si="334"/>
        <v>1.3677372320656836E-2</v>
      </c>
      <c r="Z571" s="59">
        <f t="shared" si="335"/>
        <v>2.5464272067252584E-3</v>
      </c>
      <c r="AA571" s="59">
        <f t="shared" si="307"/>
        <v>1.4753205579441351E-2</v>
      </c>
      <c r="AB571" s="59">
        <f t="shared" si="336"/>
        <v>1.6014799953624113E-2</v>
      </c>
      <c r="AC571" s="60">
        <f t="shared" si="308"/>
        <v>20369339.154347781</v>
      </c>
      <c r="AD571" s="60">
        <f t="shared" si="324"/>
        <v>22313461.695553128</v>
      </c>
      <c r="AE571" s="59">
        <f t="shared" si="311"/>
        <v>3.1999999999999806E-2</v>
      </c>
      <c r="AF571" s="60">
        <f t="shared" si="325"/>
        <v>22313461.695553128</v>
      </c>
      <c r="AG571" s="60">
        <f t="shared" si="337"/>
        <v>1.0000000000000004</v>
      </c>
      <c r="AH571" s="60">
        <f t="shared" si="326"/>
        <v>22313461.695553139</v>
      </c>
      <c r="AI571" s="60">
        <f t="shared" si="309"/>
        <v>73.972098829271104</v>
      </c>
      <c r="AJ571" s="60">
        <f t="shared" si="310"/>
        <v>0</v>
      </c>
      <c r="AK571" s="59">
        <f t="shared" si="312"/>
        <v>3.200000000000025E-2</v>
      </c>
    </row>
    <row r="572" spans="1:37" ht="12.75" customHeight="1" x14ac:dyDescent="0.25">
      <c r="A572" s="62" t="s">
        <v>587</v>
      </c>
      <c r="B572" s="62" t="s">
        <v>376</v>
      </c>
      <c r="C572" s="62" t="s">
        <v>379</v>
      </c>
      <c r="D572" s="124">
        <v>2024</v>
      </c>
      <c r="E572" s="62" t="s">
        <v>676</v>
      </c>
      <c r="F572" s="64">
        <f>SIM_Parametres!$C$30</f>
        <v>1437888236.9117422</v>
      </c>
      <c r="G572" s="125">
        <f>SIM_Districts!D4*(1+SIM_Parametres!$B$6)^(2024-2023)</f>
        <v>467581.89</v>
      </c>
      <c r="H572" s="125">
        <f>MAX(0,MIN(100,SIM_Districts!F4+(2024-2022)*SIM_Parametres!$B$7))</f>
        <v>7.6400000000000006</v>
      </c>
      <c r="I572" s="125">
        <f>SIM_Districts!G4*(1+SIM_Parametres!$B$8)^(2024-2023)</f>
        <v>37.599999999999994</v>
      </c>
      <c r="J572" s="125">
        <f>SIM_Districts!H4*(1+SIM_Parametres!$B$9)^(2024-2023)</f>
        <v>9.3600000000000012</v>
      </c>
      <c r="K572" s="125">
        <f>MAX(0,MIN(100,SIM_Districts!I4+(2024-2023)*SIM_Parametres!$B$10))</f>
        <v>100</v>
      </c>
      <c r="L572" s="125">
        <f>SIM_Districts!E4</f>
        <v>13</v>
      </c>
      <c r="M572" s="61">
        <f t="shared" si="306"/>
        <v>35967.837692307694</v>
      </c>
      <c r="N572" s="125">
        <f>N501*(1+SIM_Parametres!$B$6)/(1+SIM_Parametres!$B$11)</f>
        <v>73189</v>
      </c>
      <c r="O572" s="132"/>
      <c r="P572" s="126">
        <f>SIM_Parametres!$D$30</f>
        <v>0</v>
      </c>
      <c r="Q572" s="126">
        <f>SIM_Parametres!$B$12</f>
        <v>0.2</v>
      </c>
      <c r="R572" s="66">
        <f t="shared" ref="R572:R603" si="338">IFERROR(G572/SUM($G$572:$G$642),1/71)</f>
        <v>2.5044316606264862E-2</v>
      </c>
      <c r="S572" s="66">
        <f t="shared" ref="S572:S603" si="339">IF(MAX($H$572:$H$642)=MIN($H$572:$H$642),1,(H572-MIN($H$572:$H$642))/(MAX($H$572:$H$642)-MIN($H$572:$H$642)))</f>
        <v>0</v>
      </c>
      <c r="T572" s="66">
        <f t="shared" ref="T572:T603" si="340">(IF(MAX($I$572:$I$642)=MIN($I$572:$I$642),1,(I572-MIN($I$572:$I$642))/(MAX($I$572:$I$642)-MIN($I$572:$I$642)))+IF(MAX($J$572:$J$642)=MIN($J$572:$J$642),1,(J572-MIN($J$572:$J$642))/(MAX($J$572:$J$642)-MIN($J$572:$J$642))))/2</f>
        <v>0.50276243093922657</v>
      </c>
      <c r="U572" s="66">
        <f t="shared" ref="U572:U603" si="341">(IF(MAX($L$572:$L$642)=MIN($L$572:$L$642),1,(L572-MIN($L$572:$L$642))/(MAX($L$572:$L$642)-MIN($L$572:$L$642)))+IF(MAX($M$572:$M$642)=MIN($M$572:$M$642),1,(MAX($M$572:$M$642)-M572)/(MAX($M$572:$M$642)-MIN($M$572:$M$642))))/2</f>
        <v>6.3061112543856225E-3</v>
      </c>
      <c r="V572" s="66">
        <f t="shared" ref="V572:V603" si="342">IF(MAX($N$572:$N$642)=MIN($N$572:$N$642),1,(N572-MIN($N$572:$N$642))/(MAX($N$572:$N$642)-MIN($N$572:$N$642)))</f>
        <v>9.5544805280436421E-2</v>
      </c>
      <c r="W572" s="66">
        <f t="shared" ref="W572:W603" si="343">IFERROR(S572/SUM($S$572:$S$642),1/71)</f>
        <v>0</v>
      </c>
      <c r="X572" s="66">
        <f t="shared" ref="X572:X603" si="344">IFERROR(T572/SUM($T$572:$T$642),1/71)</f>
        <v>9.9491608812113941E-3</v>
      </c>
      <c r="Y572" s="66">
        <f t="shared" ref="Y572:Y603" si="345">IFERROR(U572/SUM($U$572:$U$642),1/71)</f>
        <v>1.6111931042605857E-4</v>
      </c>
      <c r="Z572" s="66">
        <f t="shared" ref="Z572:Z603" si="346">IFERROR(V572/SUM($V$572:$V$642),1/71)</f>
        <v>3.506814418545408E-3</v>
      </c>
      <c r="AA572" s="66">
        <f t="shared" si="307"/>
        <v>1.6702360782389195E-2</v>
      </c>
      <c r="AB572" s="66">
        <f t="shared" ref="AB572:AB603" si="347">IFERROR(AH501/SUM($AH$501:$AH$571),1/71)</f>
        <v>1.5515755195862469E-2</v>
      </c>
      <c r="AC572" s="67">
        <f t="shared" si="308"/>
        <v>23263291.877874129</v>
      </c>
      <c r="AD572" s="67">
        <f t="shared" si="324"/>
        <v>22309921.88293289</v>
      </c>
      <c r="AE572" s="66">
        <f t="shared" si="311"/>
        <v>3.200000000000025E-2</v>
      </c>
      <c r="AF572" s="67">
        <f t="shared" si="325"/>
        <v>22309921.88293289</v>
      </c>
      <c r="AG572" s="67">
        <f t="shared" ref="AG572:AG603" si="348">IFERROR(F572/SUM($AF$572:$AF$642),1)</f>
        <v>0.99999999999999967</v>
      </c>
      <c r="AH572" s="67">
        <f t="shared" si="326"/>
        <v>22309921.882932883</v>
      </c>
      <c r="AI572" s="67">
        <f t="shared" si="309"/>
        <v>47.713400283601409</v>
      </c>
      <c r="AJ572" s="67">
        <f t="shared" si="310"/>
        <v>0</v>
      </c>
      <c r="AK572" s="66">
        <f t="shared" si="312"/>
        <v>3.2000000000000028E-2</v>
      </c>
    </row>
    <row r="573" spans="1:37" ht="12.75" customHeight="1" x14ac:dyDescent="0.25">
      <c r="A573" s="55" t="s">
        <v>590</v>
      </c>
      <c r="B573" s="55" t="s">
        <v>376</v>
      </c>
      <c r="C573" s="55" t="s">
        <v>381</v>
      </c>
      <c r="D573" s="128">
        <v>2024</v>
      </c>
      <c r="E573" s="55" t="s">
        <v>676</v>
      </c>
      <c r="F573" s="57">
        <f>SIM_Parametres!$C$30</f>
        <v>1437888236.9117422</v>
      </c>
      <c r="G573" s="129">
        <f>SIM_Districts!D5*(1+SIM_Parametres!$B$6)^(2024-2023)</f>
        <v>245078.2</v>
      </c>
      <c r="H573" s="129">
        <f>MAX(0,MIN(100,SIM_Districts!F5+(2024-2022)*SIM_Parametres!$B$7))</f>
        <v>7.6400000000000006</v>
      </c>
      <c r="I573" s="129">
        <f>SIM_Districts!G5*(1+SIM_Parametres!$B$8)^(2024-2023)</f>
        <v>37.599999999999994</v>
      </c>
      <c r="J573" s="129">
        <f>SIM_Districts!H5*(1+SIM_Parametres!$B$9)^(2024-2023)</f>
        <v>9.3600000000000012</v>
      </c>
      <c r="K573" s="129">
        <f>MAX(0,MIN(100,SIM_Districts!I5+(2024-2023)*SIM_Parametres!$B$10))</f>
        <v>100</v>
      </c>
      <c r="L573" s="129">
        <f>SIM_Districts!E5</f>
        <v>10</v>
      </c>
      <c r="M573" s="68">
        <f t="shared" si="306"/>
        <v>24507.82</v>
      </c>
      <c r="N573" s="129">
        <f>N502*(1+SIM_Parametres!$B$6)/(1+SIM_Parametres!$B$11)</f>
        <v>73189</v>
      </c>
      <c r="O573" s="72"/>
      <c r="P573" s="130">
        <f>SIM_Parametres!$D$30</f>
        <v>0</v>
      </c>
      <c r="Q573" s="130">
        <f>SIM_Parametres!$B$12</f>
        <v>0.2</v>
      </c>
      <c r="R573" s="59">
        <f t="shared" si="338"/>
        <v>1.3126718902850366E-2</v>
      </c>
      <c r="S573" s="59">
        <f t="shared" si="339"/>
        <v>0</v>
      </c>
      <c r="T573" s="59">
        <f t="shared" si="340"/>
        <v>0.50276243093922657</v>
      </c>
      <c r="U573" s="59">
        <f t="shared" si="341"/>
        <v>0.16355896203869918</v>
      </c>
      <c r="V573" s="59">
        <f t="shared" si="342"/>
        <v>9.5544805280436421E-2</v>
      </c>
      <c r="W573" s="59">
        <f t="shared" si="343"/>
        <v>0</v>
      </c>
      <c r="X573" s="59">
        <f t="shared" si="344"/>
        <v>9.9491608812113941E-3</v>
      </c>
      <c r="Y573" s="59">
        <f t="shared" si="345"/>
        <v>4.1788839610703184E-3</v>
      </c>
      <c r="Z573" s="59">
        <f t="shared" si="346"/>
        <v>3.506814418545408E-3</v>
      </c>
      <c r="AA573" s="59">
        <f t="shared" si="307"/>
        <v>9.7526903928727149E-3</v>
      </c>
      <c r="AB573" s="59">
        <f t="shared" si="347"/>
        <v>1.4020301207957161E-2</v>
      </c>
      <c r="AC573" s="60">
        <f t="shared" si="308"/>
        <v>15269012.435074454</v>
      </c>
      <c r="AD573" s="60">
        <f t="shared" si="324"/>
        <v>20159626.184881091</v>
      </c>
      <c r="AE573" s="59">
        <f t="shared" si="311"/>
        <v>3.200000000000025E-2</v>
      </c>
      <c r="AF573" s="60">
        <f t="shared" si="325"/>
        <v>20159626.184881091</v>
      </c>
      <c r="AG573" s="60">
        <f t="shared" si="348"/>
        <v>0.99999999999999967</v>
      </c>
      <c r="AH573" s="60">
        <f t="shared" si="326"/>
        <v>20159626.184881084</v>
      </c>
      <c r="AI573" s="60">
        <f t="shared" si="309"/>
        <v>82.257933120453316</v>
      </c>
      <c r="AJ573" s="60">
        <f t="shared" si="310"/>
        <v>0</v>
      </c>
      <c r="AK573" s="59">
        <f t="shared" si="312"/>
        <v>3.2000000000000028E-2</v>
      </c>
    </row>
    <row r="574" spans="1:37" ht="12.75" customHeight="1" x14ac:dyDescent="0.25">
      <c r="A574" s="62" t="s">
        <v>591</v>
      </c>
      <c r="B574" s="62" t="s">
        <v>376</v>
      </c>
      <c r="C574" s="62" t="s">
        <v>382</v>
      </c>
      <c r="D574" s="124">
        <v>2024</v>
      </c>
      <c r="E574" s="62" t="s">
        <v>676</v>
      </c>
      <c r="F574" s="64">
        <f>SIM_Parametres!$C$30</f>
        <v>1437888236.9117422</v>
      </c>
      <c r="G574" s="125">
        <f>SIM_Districts!D6*(1+SIM_Parametres!$B$6)^(2024-2023)</f>
        <v>186786.38</v>
      </c>
      <c r="H574" s="125">
        <f>MAX(0,MIN(100,SIM_Districts!F6+(2024-2022)*SIM_Parametres!$B$7))</f>
        <v>7.6400000000000006</v>
      </c>
      <c r="I574" s="125">
        <f>SIM_Districts!G6*(1+SIM_Parametres!$B$8)^(2024-2023)</f>
        <v>37.599999999999994</v>
      </c>
      <c r="J574" s="125">
        <f>SIM_Districts!H6*(1+SIM_Parametres!$B$9)^(2024-2023)</f>
        <v>9.3600000000000012</v>
      </c>
      <c r="K574" s="125">
        <f>MAX(0,MIN(100,SIM_Districts!I6+(2024-2023)*SIM_Parametres!$B$10))</f>
        <v>100</v>
      </c>
      <c r="L574" s="125">
        <f>SIM_Districts!E6</f>
        <v>169</v>
      </c>
      <c r="M574" s="61">
        <f t="shared" si="306"/>
        <v>1105.2448520710059</v>
      </c>
      <c r="N574" s="125">
        <f>N503*(1+SIM_Parametres!$B$6)/(1+SIM_Parametres!$B$11)</f>
        <v>73189</v>
      </c>
      <c r="O574" s="132"/>
      <c r="P574" s="126">
        <f>SIM_Parametres!$D$30</f>
        <v>0</v>
      </c>
      <c r="Q574" s="126">
        <f>SIM_Parametres!$B$12</f>
        <v>0.2</v>
      </c>
      <c r="R574" s="66">
        <f t="shared" si="338"/>
        <v>1.0004530411684889E-2</v>
      </c>
      <c r="S574" s="66">
        <f t="shared" si="339"/>
        <v>0</v>
      </c>
      <c r="T574" s="66">
        <f t="shared" si="340"/>
        <v>0.50276243093922657</v>
      </c>
      <c r="U574" s="66">
        <f t="shared" si="341"/>
        <v>0.49040605765544515</v>
      </c>
      <c r="V574" s="66">
        <f t="shared" si="342"/>
        <v>9.5544805280436421E-2</v>
      </c>
      <c r="W574" s="66">
        <f t="shared" si="343"/>
        <v>0</v>
      </c>
      <c r="X574" s="66">
        <f t="shared" si="344"/>
        <v>9.9491608812113941E-3</v>
      </c>
      <c r="Y574" s="66">
        <f t="shared" si="345"/>
        <v>1.2529732294725465E-2</v>
      </c>
      <c r="Z574" s="66">
        <f t="shared" si="346"/>
        <v>3.506814418545408E-3</v>
      </c>
      <c r="AA574" s="66">
        <f t="shared" si="307"/>
        <v>8.2969197148561862E-3</v>
      </c>
      <c r="AB574" s="66">
        <f t="shared" si="347"/>
        <v>1.2123259014310999E-2</v>
      </c>
      <c r="AC574" s="67">
        <f t="shared" si="308"/>
        <v>13594424.008225657</v>
      </c>
      <c r="AD574" s="67">
        <f t="shared" si="324"/>
        <v>17431891.529712029</v>
      </c>
      <c r="AE574" s="66">
        <f t="shared" si="311"/>
        <v>3.2000000000000473E-2</v>
      </c>
      <c r="AF574" s="67">
        <f t="shared" si="325"/>
        <v>17431891.529712029</v>
      </c>
      <c r="AG574" s="67">
        <f t="shared" si="348"/>
        <v>0.99999999999999967</v>
      </c>
      <c r="AH574" s="67">
        <f t="shared" si="326"/>
        <v>17431891.529712021</v>
      </c>
      <c r="AI574" s="67">
        <f t="shared" si="309"/>
        <v>93.325281691909339</v>
      </c>
      <c r="AJ574" s="67">
        <f t="shared" si="310"/>
        <v>0</v>
      </c>
      <c r="AK574" s="66">
        <f t="shared" si="312"/>
        <v>3.2000000000000028E-2</v>
      </c>
    </row>
    <row r="575" spans="1:37" ht="12.75" customHeight="1" x14ac:dyDescent="0.25">
      <c r="A575" s="55" t="s">
        <v>592</v>
      </c>
      <c r="B575" s="55" t="s">
        <v>376</v>
      </c>
      <c r="C575" s="55" t="s">
        <v>383</v>
      </c>
      <c r="D575" s="128">
        <v>2024</v>
      </c>
      <c r="E575" s="55" t="s">
        <v>676</v>
      </c>
      <c r="F575" s="57">
        <f>SIM_Parametres!$C$30</f>
        <v>1437888236.9117422</v>
      </c>
      <c r="G575" s="129">
        <f>SIM_Districts!D7*(1+SIM_Parametres!$B$6)^(2024-2023)</f>
        <v>473453.92</v>
      </c>
      <c r="H575" s="129">
        <f>MAX(0,MIN(100,SIM_Districts!F7+(2024-2022)*SIM_Parametres!$B$7))</f>
        <v>7.6400000000000006</v>
      </c>
      <c r="I575" s="129">
        <f>SIM_Districts!G7*(1+SIM_Parametres!$B$8)^(2024-2023)</f>
        <v>37.599999999999994</v>
      </c>
      <c r="J575" s="129">
        <f>SIM_Districts!H7*(1+SIM_Parametres!$B$9)^(2024-2023)</f>
        <v>9.3600000000000012</v>
      </c>
      <c r="K575" s="129">
        <f>MAX(0,MIN(100,SIM_Districts!I7+(2024-2023)*SIM_Parametres!$B$10))</f>
        <v>100</v>
      </c>
      <c r="L575" s="129">
        <f>SIM_Districts!E7</f>
        <v>13</v>
      </c>
      <c r="M575" s="68">
        <f t="shared" si="306"/>
        <v>36419.532307692309</v>
      </c>
      <c r="N575" s="129">
        <f>N504*(1+SIM_Parametres!$B$6)/(1+SIM_Parametres!$B$11)</f>
        <v>73189</v>
      </c>
      <c r="O575" s="72"/>
      <c r="P575" s="130">
        <f>SIM_Parametres!$D$30</f>
        <v>0</v>
      </c>
      <c r="Q575" s="130">
        <f>SIM_Parametres!$B$12</f>
        <v>0.2</v>
      </c>
      <c r="R575" s="59">
        <f t="shared" si="338"/>
        <v>2.5358830452045938E-2</v>
      </c>
      <c r="S575" s="59">
        <f t="shared" si="339"/>
        <v>0</v>
      </c>
      <c r="T575" s="59">
        <f t="shared" si="340"/>
        <v>0.50276243093922657</v>
      </c>
      <c r="U575" s="59">
        <f t="shared" si="341"/>
        <v>1.0392129693778578E-4</v>
      </c>
      <c r="V575" s="59">
        <f t="shared" si="342"/>
        <v>9.5544805280436421E-2</v>
      </c>
      <c r="W575" s="59">
        <f t="shared" si="343"/>
        <v>0</v>
      </c>
      <c r="X575" s="59">
        <f t="shared" si="344"/>
        <v>9.9491608812113941E-3</v>
      </c>
      <c r="Y575" s="59">
        <f t="shared" si="345"/>
        <v>2.6551589443578546E-6</v>
      </c>
      <c r="Z575" s="59">
        <f t="shared" si="346"/>
        <v>3.506814418545408E-3</v>
      </c>
      <c r="AA575" s="59">
        <f t="shared" si="307"/>
        <v>1.6883145882283759E-2</v>
      </c>
      <c r="AB575" s="59">
        <f t="shared" si="347"/>
        <v>1.6212233485735229E-2</v>
      </c>
      <c r="AC575" s="60">
        <f t="shared" si="308"/>
        <v>23471250.892711975</v>
      </c>
      <c r="AD575" s="60">
        <f t="shared" si="324"/>
        <v>23311379.823205337</v>
      </c>
      <c r="AE575" s="59">
        <f t="shared" si="311"/>
        <v>3.200000000000025E-2</v>
      </c>
      <c r="AF575" s="60">
        <f t="shared" si="325"/>
        <v>23311379.823205337</v>
      </c>
      <c r="AG575" s="60">
        <f t="shared" si="348"/>
        <v>0.99999999999999967</v>
      </c>
      <c r="AH575" s="60">
        <f t="shared" si="326"/>
        <v>23311379.823205329</v>
      </c>
      <c r="AI575" s="60">
        <f t="shared" si="309"/>
        <v>49.236850384944177</v>
      </c>
      <c r="AJ575" s="60">
        <f t="shared" si="310"/>
        <v>0</v>
      </c>
      <c r="AK575" s="59">
        <f t="shared" si="312"/>
        <v>3.2000000000000028E-2</v>
      </c>
    </row>
    <row r="576" spans="1:37" ht="12.75" customHeight="1" x14ac:dyDescent="0.25">
      <c r="A576" s="62" t="s">
        <v>593</v>
      </c>
      <c r="B576" s="62" t="s">
        <v>376</v>
      </c>
      <c r="C576" s="62" t="s">
        <v>384</v>
      </c>
      <c r="D576" s="124">
        <v>2024</v>
      </c>
      <c r="E576" s="62" t="s">
        <v>676</v>
      </c>
      <c r="F576" s="64">
        <f>SIM_Parametres!$C$30</f>
        <v>1437888236.9117422</v>
      </c>
      <c r="G576" s="125">
        <f>SIM_Districts!D8*(1+SIM_Parametres!$B$6)^(2024-2023)</f>
        <v>335757.34</v>
      </c>
      <c r="H576" s="125">
        <f>MAX(0,MIN(100,SIM_Districts!F8+(2024-2022)*SIM_Parametres!$B$7))</f>
        <v>7.6400000000000006</v>
      </c>
      <c r="I576" s="125">
        <f>SIM_Districts!G8*(1+SIM_Parametres!$B$8)^(2024-2023)</f>
        <v>37.599999999999994</v>
      </c>
      <c r="J576" s="125">
        <f>SIM_Districts!H8*(1+SIM_Parametres!$B$9)^(2024-2023)</f>
        <v>9.3600000000000012</v>
      </c>
      <c r="K576" s="125">
        <f>MAX(0,MIN(100,SIM_Districts!I8+(2024-2023)*SIM_Parametres!$B$10))</f>
        <v>100</v>
      </c>
      <c r="L576" s="125">
        <f>SIM_Districts!E8</f>
        <v>34</v>
      </c>
      <c r="M576" s="61">
        <f t="shared" si="306"/>
        <v>9875.2158823529426</v>
      </c>
      <c r="N576" s="125">
        <f>N505*(1+SIM_Parametres!$B$6)/(1+SIM_Parametres!$B$11)</f>
        <v>73189</v>
      </c>
      <c r="O576" s="132"/>
      <c r="P576" s="126">
        <f>SIM_Parametres!$D$30</f>
        <v>0</v>
      </c>
      <c r="Q576" s="126">
        <f>SIM_Parametres!$B$12</f>
        <v>0.2</v>
      </c>
      <c r="R576" s="66">
        <f t="shared" si="338"/>
        <v>1.7983615930542814E-2</v>
      </c>
      <c r="S576" s="66">
        <f t="shared" si="339"/>
        <v>0</v>
      </c>
      <c r="T576" s="66">
        <f t="shared" si="340"/>
        <v>0.50276243093922657</v>
      </c>
      <c r="U576" s="66">
        <f t="shared" si="341"/>
        <v>0.36530968637307898</v>
      </c>
      <c r="V576" s="66">
        <f t="shared" si="342"/>
        <v>9.5544805280436421E-2</v>
      </c>
      <c r="W576" s="66">
        <f t="shared" si="343"/>
        <v>0</v>
      </c>
      <c r="X576" s="66">
        <f t="shared" si="344"/>
        <v>9.9491608812113941E-3</v>
      </c>
      <c r="Y576" s="66">
        <f t="shared" si="345"/>
        <v>9.3335563528881213E-3</v>
      </c>
      <c r="Z576" s="66">
        <f t="shared" si="346"/>
        <v>3.506814418545408E-3</v>
      </c>
      <c r="AA576" s="66">
        <f t="shared" si="307"/>
        <v>1.2924562229079074E-2</v>
      </c>
      <c r="AB576" s="66">
        <f t="shared" si="347"/>
        <v>1.1514995706870861E-2</v>
      </c>
      <c r="AC576" s="67">
        <f t="shared" si="308"/>
        <v>18917650.196892671</v>
      </c>
      <c r="AD576" s="67">
        <f t="shared" si="324"/>
        <v>16557276.874998823</v>
      </c>
      <c r="AE576" s="66">
        <f t="shared" si="311"/>
        <v>3.2000000000000473E-2</v>
      </c>
      <c r="AF576" s="67">
        <f t="shared" si="325"/>
        <v>16557276.874998823</v>
      </c>
      <c r="AG576" s="67">
        <f t="shared" si="348"/>
        <v>0.99999999999999967</v>
      </c>
      <c r="AH576" s="67">
        <f t="shared" si="326"/>
        <v>16557276.874998817</v>
      </c>
      <c r="AI576" s="67">
        <f t="shared" si="309"/>
        <v>49.313223874715042</v>
      </c>
      <c r="AJ576" s="67">
        <f t="shared" si="310"/>
        <v>0</v>
      </c>
      <c r="AK576" s="66">
        <f t="shared" si="312"/>
        <v>3.2000000000000028E-2</v>
      </c>
    </row>
    <row r="577" spans="1:37" ht="12.75" customHeight="1" x14ac:dyDescent="0.25">
      <c r="A577" s="55" t="s">
        <v>594</v>
      </c>
      <c r="B577" s="55" t="s">
        <v>376</v>
      </c>
      <c r="C577" s="55" t="s">
        <v>385</v>
      </c>
      <c r="D577" s="128">
        <v>2024</v>
      </c>
      <c r="E577" s="55" t="s">
        <v>676</v>
      </c>
      <c r="F577" s="57">
        <f>SIM_Parametres!$C$30</f>
        <v>1437888236.9117422</v>
      </c>
      <c r="G577" s="129">
        <f>SIM_Districts!D9*(1+SIM_Parametres!$B$6)^(2024-2023)</f>
        <v>492615.01</v>
      </c>
      <c r="H577" s="129">
        <f>MAX(0,MIN(100,SIM_Districts!F9+(2024-2022)*SIM_Parametres!$B$7))</f>
        <v>7.6400000000000006</v>
      </c>
      <c r="I577" s="129">
        <f>SIM_Districts!G9*(1+SIM_Parametres!$B$8)^(2024-2023)</f>
        <v>37.599999999999994</v>
      </c>
      <c r="J577" s="129">
        <f>SIM_Districts!H9*(1+SIM_Parametres!$B$9)^(2024-2023)</f>
        <v>9.3600000000000012</v>
      </c>
      <c r="K577" s="129">
        <f>MAX(0,MIN(100,SIM_Districts!I9+(2024-2023)*SIM_Parametres!$B$10))</f>
        <v>100</v>
      </c>
      <c r="L577" s="129">
        <f>SIM_Districts!E9</f>
        <v>28</v>
      </c>
      <c r="M577" s="68">
        <f t="shared" si="306"/>
        <v>17593.393214285716</v>
      </c>
      <c r="N577" s="129">
        <f>N506*(1+SIM_Parametres!$B$6)/(1+SIM_Parametres!$B$11)</f>
        <v>73189</v>
      </c>
      <c r="O577" s="72"/>
      <c r="P577" s="130">
        <f>SIM_Parametres!$D$30</f>
        <v>0</v>
      </c>
      <c r="Q577" s="130">
        <f>SIM_Parametres!$B$12</f>
        <v>0.2</v>
      </c>
      <c r="R577" s="59">
        <f t="shared" si="338"/>
        <v>2.6385124272966024E-2</v>
      </c>
      <c r="S577" s="59">
        <f t="shared" si="339"/>
        <v>0</v>
      </c>
      <c r="T577" s="59">
        <f t="shared" si="340"/>
        <v>0.50276243093922657</v>
      </c>
      <c r="U577" s="59">
        <f t="shared" si="341"/>
        <v>0.25912404305391834</v>
      </c>
      <c r="V577" s="59">
        <f t="shared" si="342"/>
        <v>9.5544805280436421E-2</v>
      </c>
      <c r="W577" s="59">
        <f t="shared" si="343"/>
        <v>0</v>
      </c>
      <c r="X577" s="59">
        <f t="shared" si="344"/>
        <v>9.9491608812113941E-3</v>
      </c>
      <c r="Y577" s="59">
        <f t="shared" si="345"/>
        <v>6.6205440163499222E-3</v>
      </c>
      <c r="Z577" s="59">
        <f t="shared" si="346"/>
        <v>3.506814418545408E-3</v>
      </c>
      <c r="AA577" s="59">
        <f t="shared" si="307"/>
        <v>1.7829816617706086E-2</v>
      </c>
      <c r="AB577" s="59">
        <f t="shared" si="347"/>
        <v>1.1432661723267085E-2</v>
      </c>
      <c r="AC577" s="60">
        <f t="shared" si="308"/>
        <v>24560216.264465857</v>
      </c>
      <c r="AD577" s="60">
        <f t="shared" si="324"/>
        <v>16438889.808476869</v>
      </c>
      <c r="AE577" s="59">
        <f t="shared" si="311"/>
        <v>3.2000000000000473E-2</v>
      </c>
      <c r="AF577" s="60">
        <f t="shared" si="325"/>
        <v>16438889.808476869</v>
      </c>
      <c r="AG577" s="60">
        <f t="shared" si="348"/>
        <v>0.99999999999999967</v>
      </c>
      <c r="AH577" s="60">
        <f t="shared" si="326"/>
        <v>16438889.808476863</v>
      </c>
      <c r="AI577" s="60">
        <f t="shared" si="309"/>
        <v>33.370663651675706</v>
      </c>
      <c r="AJ577" s="60">
        <f t="shared" si="310"/>
        <v>0</v>
      </c>
      <c r="AK577" s="59">
        <f t="shared" si="312"/>
        <v>3.2000000000000028E-2</v>
      </c>
    </row>
    <row r="578" spans="1:37" ht="12.75" customHeight="1" x14ac:dyDescent="0.25">
      <c r="A578" s="62" t="s">
        <v>595</v>
      </c>
      <c r="B578" s="62" t="s">
        <v>376</v>
      </c>
      <c r="C578" s="62" t="s">
        <v>386</v>
      </c>
      <c r="D578" s="124">
        <v>2024</v>
      </c>
      <c r="E578" s="62" t="s">
        <v>676</v>
      </c>
      <c r="F578" s="64">
        <f>SIM_Parametres!$C$30</f>
        <v>1437888236.9117422</v>
      </c>
      <c r="G578" s="125">
        <f>SIM_Districts!D10*(1+SIM_Parametres!$B$6)^(2024-2023)</f>
        <v>629812.04</v>
      </c>
      <c r="H578" s="125">
        <f>MAX(0,MIN(100,SIM_Districts!F10+(2024-2022)*SIM_Parametres!$B$7))</f>
        <v>7.6400000000000006</v>
      </c>
      <c r="I578" s="125">
        <f>SIM_Districts!G10*(1+SIM_Parametres!$B$8)^(2024-2023)</f>
        <v>37.599999999999994</v>
      </c>
      <c r="J578" s="125">
        <f>SIM_Districts!H10*(1+SIM_Parametres!$B$9)^(2024-2023)</f>
        <v>9.3600000000000012</v>
      </c>
      <c r="K578" s="125">
        <f>MAX(0,MIN(100,SIM_Districts!I10+(2024-2023)*SIM_Parametres!$B$10))</f>
        <v>100</v>
      </c>
      <c r="L578" s="125">
        <f>SIM_Districts!E10</f>
        <v>22</v>
      </c>
      <c r="M578" s="61">
        <f t="shared" si="306"/>
        <v>28627.820000000003</v>
      </c>
      <c r="N578" s="125">
        <f>N507*(1+SIM_Parametres!$B$6)/(1+SIM_Parametres!$B$11)</f>
        <v>73189</v>
      </c>
      <c r="O578" s="132"/>
      <c r="P578" s="126">
        <f>SIM_Parametres!$D$30</f>
        <v>0</v>
      </c>
      <c r="Q578" s="126">
        <f>SIM_Parametres!$B$12</f>
        <v>0.2</v>
      </c>
      <c r="R578" s="66">
        <f t="shared" si="338"/>
        <v>3.3733582222779307E-2</v>
      </c>
      <c r="S578" s="66">
        <f t="shared" si="339"/>
        <v>0</v>
      </c>
      <c r="T578" s="66">
        <f t="shared" si="340"/>
        <v>0.50276243093922657</v>
      </c>
      <c r="U578" s="66">
        <f t="shared" si="341"/>
        <v>0.10740318997556658</v>
      </c>
      <c r="V578" s="66">
        <f t="shared" si="342"/>
        <v>9.5544805280436421E-2</v>
      </c>
      <c r="W578" s="66">
        <f t="shared" si="343"/>
        <v>0</v>
      </c>
      <c r="X578" s="66">
        <f t="shared" si="344"/>
        <v>9.9491608812113941E-3</v>
      </c>
      <c r="Y578" s="66">
        <f t="shared" si="345"/>
        <v>2.7441202998738055E-3</v>
      </c>
      <c r="Z578" s="66">
        <f t="shared" si="346"/>
        <v>3.506814418545408E-3</v>
      </c>
      <c r="AA578" s="66">
        <f t="shared" si="307"/>
        <v>2.204507020177025E-2</v>
      </c>
      <c r="AB578" s="66">
        <f t="shared" si="347"/>
        <v>1.844533275531517E-2</v>
      </c>
      <c r="AC578" s="67">
        <f t="shared" si="308"/>
        <v>29409067.099766593</v>
      </c>
      <c r="AD578" s="67">
        <f t="shared" si="324"/>
        <v>26522326.994790539</v>
      </c>
      <c r="AE578" s="66">
        <f t="shared" si="311"/>
        <v>3.2000000000000473E-2</v>
      </c>
      <c r="AF578" s="67">
        <f t="shared" si="325"/>
        <v>26522326.994790539</v>
      </c>
      <c r="AG578" s="67">
        <f t="shared" si="348"/>
        <v>0.99999999999999967</v>
      </c>
      <c r="AH578" s="67">
        <f t="shared" si="326"/>
        <v>26522326.994790532</v>
      </c>
      <c r="AI578" s="67">
        <f t="shared" si="309"/>
        <v>42.11149566907379</v>
      </c>
      <c r="AJ578" s="67">
        <f t="shared" si="310"/>
        <v>0</v>
      </c>
      <c r="AK578" s="66">
        <f t="shared" si="312"/>
        <v>3.2000000000000028E-2</v>
      </c>
    </row>
    <row r="579" spans="1:37" ht="12.75" customHeight="1" x14ac:dyDescent="0.25">
      <c r="A579" s="55" t="s">
        <v>596</v>
      </c>
      <c r="B579" s="55" t="s">
        <v>376</v>
      </c>
      <c r="C579" s="55" t="s">
        <v>387</v>
      </c>
      <c r="D579" s="128">
        <v>2024</v>
      </c>
      <c r="E579" s="55" t="s">
        <v>676</v>
      </c>
      <c r="F579" s="57">
        <f>SIM_Parametres!$C$30</f>
        <v>1437888236.9117422</v>
      </c>
      <c r="G579" s="129">
        <f>SIM_Districts!D11*(1+SIM_Parametres!$B$6)^(2024-2023)</f>
        <v>303490.53000000003</v>
      </c>
      <c r="H579" s="129">
        <f>MAX(0,MIN(100,SIM_Districts!F11+(2024-2022)*SIM_Parametres!$B$7))</f>
        <v>7.6400000000000006</v>
      </c>
      <c r="I579" s="129">
        <f>SIM_Districts!G11*(1+SIM_Parametres!$B$8)^(2024-2023)</f>
        <v>37.599999999999994</v>
      </c>
      <c r="J579" s="129">
        <f>SIM_Districts!H11*(1+SIM_Parametres!$B$9)^(2024-2023)</f>
        <v>9.3600000000000012</v>
      </c>
      <c r="K579" s="129">
        <f>MAX(0,MIN(100,SIM_Districts!I11+(2024-2023)*SIM_Parametres!$B$10))</f>
        <v>100</v>
      </c>
      <c r="L579" s="129">
        <f>SIM_Districts!E11</f>
        <v>34</v>
      </c>
      <c r="M579" s="68">
        <f t="shared" si="306"/>
        <v>8926.1920588235298</v>
      </c>
      <c r="N579" s="129">
        <f>N508*(1+SIM_Parametres!$B$6)/(1+SIM_Parametres!$B$11)</f>
        <v>73189</v>
      </c>
      <c r="O579" s="72"/>
      <c r="P579" s="130">
        <f>SIM_Parametres!$D$30</f>
        <v>0</v>
      </c>
      <c r="Q579" s="130">
        <f>SIM_Parametres!$B$12</f>
        <v>0.2</v>
      </c>
      <c r="R579" s="59">
        <f t="shared" si="338"/>
        <v>1.6255362072134839E-2</v>
      </c>
      <c r="S579" s="59">
        <f t="shared" si="339"/>
        <v>0</v>
      </c>
      <c r="T579" s="59">
        <f t="shared" si="340"/>
        <v>0.50276243093922657</v>
      </c>
      <c r="U579" s="59">
        <f t="shared" si="341"/>
        <v>0.37834067197086158</v>
      </c>
      <c r="V579" s="59">
        <f t="shared" si="342"/>
        <v>9.5544805280436421E-2</v>
      </c>
      <c r="W579" s="59">
        <f t="shared" si="343"/>
        <v>0</v>
      </c>
      <c r="X579" s="59">
        <f t="shared" si="344"/>
        <v>9.9491608812113941E-3</v>
      </c>
      <c r="Y579" s="59">
        <f t="shared" si="345"/>
        <v>9.6664942490006407E-3</v>
      </c>
      <c r="Z579" s="59">
        <f t="shared" si="346"/>
        <v>3.506814418545408E-3</v>
      </c>
      <c r="AA579" s="59">
        <f t="shared" si="307"/>
        <v>1.1904256808839914E-2</v>
      </c>
      <c r="AB579" s="59">
        <f t="shared" si="347"/>
        <v>1.2725641322922291E-2</v>
      </c>
      <c r="AC579" s="60">
        <f t="shared" si="308"/>
        <v>17743982.067437328</v>
      </c>
      <c r="AD579" s="60">
        <f t="shared" si="324"/>
        <v>18298049.965387944</v>
      </c>
      <c r="AE579" s="59">
        <f t="shared" si="311"/>
        <v>3.2000000000000473E-2</v>
      </c>
      <c r="AF579" s="60">
        <f t="shared" si="325"/>
        <v>18298049.965387944</v>
      </c>
      <c r="AG579" s="60">
        <f t="shared" si="348"/>
        <v>0.99999999999999967</v>
      </c>
      <c r="AH579" s="60">
        <f t="shared" si="326"/>
        <v>18298049.965387937</v>
      </c>
      <c r="AI579" s="60">
        <f t="shared" si="309"/>
        <v>60.291996476423613</v>
      </c>
      <c r="AJ579" s="60">
        <f t="shared" si="310"/>
        <v>0</v>
      </c>
      <c r="AK579" s="59">
        <f t="shared" si="312"/>
        <v>3.2000000000000028E-2</v>
      </c>
    </row>
    <row r="580" spans="1:37" ht="12.75" customHeight="1" x14ac:dyDescent="0.25">
      <c r="A580" s="62" t="s">
        <v>597</v>
      </c>
      <c r="B580" s="62" t="s">
        <v>376</v>
      </c>
      <c r="C580" s="62" t="s">
        <v>388</v>
      </c>
      <c r="D580" s="124">
        <v>2024</v>
      </c>
      <c r="E580" s="62" t="s">
        <v>676</v>
      </c>
      <c r="F580" s="64">
        <f>SIM_Parametres!$C$30</f>
        <v>1437888236.9117422</v>
      </c>
      <c r="G580" s="125">
        <f>SIM_Districts!D12*(1+SIM_Parametres!$B$6)^(2024-2023)</f>
        <v>472038.7</v>
      </c>
      <c r="H580" s="125">
        <f>MAX(0,MIN(100,SIM_Districts!F12+(2024-2022)*SIM_Parametres!$B$7))</f>
        <v>7.6400000000000006</v>
      </c>
      <c r="I580" s="125">
        <f>SIM_Districts!G12*(1+SIM_Parametres!$B$8)^(2024-2023)</f>
        <v>37.599999999999994</v>
      </c>
      <c r="J580" s="125">
        <f>SIM_Districts!H12*(1+SIM_Parametres!$B$9)^(2024-2023)</f>
        <v>9.3600000000000012</v>
      </c>
      <c r="K580" s="125">
        <f>MAX(0,MIN(100,SIM_Districts!I12+(2024-2023)*SIM_Parametres!$B$10))</f>
        <v>100</v>
      </c>
      <c r="L580" s="125">
        <f>SIM_Districts!E12</f>
        <v>18</v>
      </c>
      <c r="M580" s="61">
        <f t="shared" ref="M580:M643" si="349">IFERROR(G580/L580,0)</f>
        <v>26224.372222222224</v>
      </c>
      <c r="N580" s="125">
        <f>N509*(1+SIM_Parametres!$B$6)/(1+SIM_Parametres!$B$11)</f>
        <v>73189</v>
      </c>
      <c r="O580" s="132"/>
      <c r="P580" s="126">
        <f>SIM_Parametres!$D$30</f>
        <v>0</v>
      </c>
      <c r="Q580" s="126">
        <f>SIM_Parametres!$B$12</f>
        <v>0.2</v>
      </c>
      <c r="R580" s="66">
        <f t="shared" si="338"/>
        <v>2.5283029360289547E-2</v>
      </c>
      <c r="S580" s="66">
        <f t="shared" si="339"/>
        <v>0</v>
      </c>
      <c r="T580" s="66">
        <f t="shared" si="340"/>
        <v>0.50276243093922657</v>
      </c>
      <c r="U580" s="66">
        <f t="shared" si="341"/>
        <v>0.14026621640536646</v>
      </c>
      <c r="V580" s="66">
        <f t="shared" si="342"/>
        <v>9.5544805280436421E-2</v>
      </c>
      <c r="W580" s="66">
        <f t="shared" si="343"/>
        <v>0</v>
      </c>
      <c r="X580" s="66">
        <f t="shared" si="344"/>
        <v>9.9491608812113941E-3</v>
      </c>
      <c r="Y580" s="66">
        <f t="shared" si="345"/>
        <v>3.5837610774132672E-3</v>
      </c>
      <c r="Z580" s="66">
        <f t="shared" si="346"/>
        <v>3.506814418545408E-3</v>
      </c>
      <c r="AA580" s="66">
        <f t="shared" ref="AA580:AA643" si="350">0.6*R580+0.15*W580+0.15*X580+0.05*Y580+0.05*Z580</f>
        <v>1.7016720523153367E-2</v>
      </c>
      <c r="AB580" s="66">
        <f t="shared" si="347"/>
        <v>1.7623673204657089E-2</v>
      </c>
      <c r="AC580" s="67">
        <f t="shared" ref="AC580:AC643" si="351">F580*(Q580/71+(1-Q580)*AA580)</f>
        <v>23624903.216596872</v>
      </c>
      <c r="AD580" s="67">
        <f t="shared" si="324"/>
        <v>25340872.392153095</v>
      </c>
      <c r="AE580" s="66">
        <f t="shared" si="311"/>
        <v>3.200000000000025E-2</v>
      </c>
      <c r="AF580" s="67">
        <f t="shared" si="325"/>
        <v>25340872.392153095</v>
      </c>
      <c r="AG580" s="67">
        <f t="shared" si="348"/>
        <v>0.99999999999999967</v>
      </c>
      <c r="AH580" s="67">
        <f t="shared" si="326"/>
        <v>25340872.392153088</v>
      </c>
      <c r="AI580" s="67">
        <f t="shared" ref="AI580:AI643" si="352">IFERROR(AH580/G580,0)</f>
        <v>53.683887342612138</v>
      </c>
      <c r="AJ580" s="67">
        <f t="shared" ref="AJ580:AJ643" si="353">AH580-F580*AB580</f>
        <v>0</v>
      </c>
      <c r="AK580" s="66">
        <f t="shared" si="312"/>
        <v>3.2000000000000028E-2</v>
      </c>
    </row>
    <row r="581" spans="1:37" ht="12.75" customHeight="1" x14ac:dyDescent="0.25">
      <c r="A581" s="55" t="s">
        <v>598</v>
      </c>
      <c r="B581" s="55" t="s">
        <v>376</v>
      </c>
      <c r="C581" s="55" t="s">
        <v>389</v>
      </c>
      <c r="D581" s="128">
        <v>2024</v>
      </c>
      <c r="E581" s="55" t="s">
        <v>676</v>
      </c>
      <c r="F581" s="57">
        <f>SIM_Parametres!$C$30</f>
        <v>1437888236.9117422</v>
      </c>
      <c r="G581" s="129">
        <f>SIM_Districts!D13*(1+SIM_Parametres!$B$6)^(2024-2023)</f>
        <v>517944.77</v>
      </c>
      <c r="H581" s="129">
        <f>MAX(0,MIN(100,SIM_Districts!F13+(2024-2022)*SIM_Parametres!$B$7))</f>
        <v>7.6400000000000006</v>
      </c>
      <c r="I581" s="129">
        <f>SIM_Districts!G13*(1+SIM_Parametres!$B$8)^(2024-2023)</f>
        <v>37.599999999999994</v>
      </c>
      <c r="J581" s="129">
        <f>SIM_Districts!H13*(1+SIM_Parametres!$B$9)^(2024-2023)</f>
        <v>9.3600000000000012</v>
      </c>
      <c r="K581" s="129">
        <f>MAX(0,MIN(100,SIM_Districts!I13+(2024-2023)*SIM_Parametres!$B$10))</f>
        <v>100</v>
      </c>
      <c r="L581" s="129">
        <f>SIM_Districts!E13</f>
        <v>203</v>
      </c>
      <c r="M581" s="68">
        <f t="shared" si="349"/>
        <v>2551.4520689655174</v>
      </c>
      <c r="N581" s="129">
        <f>N510*(1+SIM_Parametres!$B$6)/(1+SIM_Parametres!$B$11)</f>
        <v>73189</v>
      </c>
      <c r="O581" s="72"/>
      <c r="P581" s="130">
        <f>SIM_Parametres!$D$30</f>
        <v>0</v>
      </c>
      <c r="Q581" s="130">
        <f>SIM_Parametres!$B$12</f>
        <v>0.2</v>
      </c>
      <c r="R581" s="59">
        <f t="shared" si="338"/>
        <v>2.7741820378113947E-2</v>
      </c>
      <c r="S581" s="59">
        <f t="shared" si="339"/>
        <v>0</v>
      </c>
      <c r="T581" s="59">
        <f t="shared" si="340"/>
        <v>0.50276243093922657</v>
      </c>
      <c r="U581" s="59">
        <f t="shared" si="341"/>
        <v>0.47172605328939682</v>
      </c>
      <c r="V581" s="59">
        <f t="shared" si="342"/>
        <v>9.5544805280436421E-2</v>
      </c>
      <c r="W581" s="59">
        <f t="shared" si="343"/>
        <v>0</v>
      </c>
      <c r="X581" s="59">
        <f t="shared" si="344"/>
        <v>9.9491608812113941E-3</v>
      </c>
      <c r="Y581" s="59">
        <f t="shared" si="345"/>
        <v>1.2052463610301233E-2</v>
      </c>
      <c r="Z581" s="59">
        <f t="shared" si="346"/>
        <v>3.506814418545408E-3</v>
      </c>
      <c r="AA581" s="59">
        <f t="shared" si="350"/>
        <v>1.8915430260492406E-2</v>
      </c>
      <c r="AB581" s="59">
        <f t="shared" si="347"/>
        <v>1.9934905744391631E-2</v>
      </c>
      <c r="AC581" s="60">
        <f t="shared" si="351"/>
        <v>25809009.133900542</v>
      </c>
      <c r="AD581" s="60">
        <f t="shared" si="324"/>
        <v>28664166.473805044</v>
      </c>
      <c r="AE581" s="59">
        <f t="shared" si="311"/>
        <v>3.200000000000025E-2</v>
      </c>
      <c r="AF581" s="60">
        <f t="shared" si="325"/>
        <v>28664166.473805044</v>
      </c>
      <c r="AG581" s="60">
        <f t="shared" si="348"/>
        <v>0.99999999999999967</v>
      </c>
      <c r="AH581" s="60">
        <f t="shared" si="326"/>
        <v>28664166.473805033</v>
      </c>
      <c r="AI581" s="60">
        <f t="shared" si="352"/>
        <v>55.342129381487972</v>
      </c>
      <c r="AJ581" s="60">
        <f t="shared" si="353"/>
        <v>0</v>
      </c>
      <c r="AK581" s="59">
        <f t="shared" si="312"/>
        <v>3.2000000000000028E-2</v>
      </c>
    </row>
    <row r="582" spans="1:37" ht="12.75" customHeight="1" x14ac:dyDescent="0.25">
      <c r="A582" s="62" t="s">
        <v>599</v>
      </c>
      <c r="B582" s="62" t="s">
        <v>390</v>
      </c>
      <c r="C582" s="62" t="s">
        <v>392</v>
      </c>
      <c r="D582" s="124">
        <v>2024</v>
      </c>
      <c r="E582" s="62" t="s">
        <v>676</v>
      </c>
      <c r="F582" s="64">
        <f>SIM_Parametres!$C$30</f>
        <v>1437888236.9117422</v>
      </c>
      <c r="G582" s="125">
        <f>SIM_Districts!D14*(1+SIM_Parametres!$B$6)^(2024-2023)</f>
        <v>894090.47</v>
      </c>
      <c r="H582" s="125">
        <f>MAX(0,MIN(100,SIM_Districts!F14+(2024-2022)*SIM_Parametres!$B$7))</f>
        <v>35.74</v>
      </c>
      <c r="I582" s="125">
        <f>SIM_Districts!G14*(1+SIM_Parametres!$B$8)^(2024-2023)</f>
        <v>37.599999999999994</v>
      </c>
      <c r="J582" s="125">
        <f>SIM_Districts!H14*(1+SIM_Parametres!$B$9)^(2024-2023)</f>
        <v>15.75</v>
      </c>
      <c r="K582" s="125">
        <f>MAX(0,MIN(100,SIM_Districts!I14+(2024-2023)*SIM_Parametres!$B$10))</f>
        <v>96.2</v>
      </c>
      <c r="L582" s="125">
        <f>SIM_Districts!E14</f>
        <v>1335</v>
      </c>
      <c r="M582" s="61">
        <f t="shared" si="349"/>
        <v>669.73068913857674</v>
      </c>
      <c r="N582" s="125">
        <f>N511*(1+SIM_Parametres!$B$6)/(1+SIM_Parametres!$B$11)</f>
        <v>203502</v>
      </c>
      <c r="O582" s="132"/>
      <c r="P582" s="126">
        <f>SIM_Parametres!$D$30</f>
        <v>0</v>
      </c>
      <c r="Q582" s="126">
        <f>SIM_Parametres!$B$12</f>
        <v>0.2</v>
      </c>
      <c r="R582" s="66">
        <f t="shared" si="338"/>
        <v>4.7888691337733699E-2</v>
      </c>
      <c r="S582" s="66">
        <f t="shared" si="339"/>
        <v>0.4982269503546099</v>
      </c>
      <c r="T582" s="66">
        <f t="shared" si="340"/>
        <v>0.69889502762430933</v>
      </c>
      <c r="U582" s="66">
        <f t="shared" si="341"/>
        <v>0.53677681892865114</v>
      </c>
      <c r="V582" s="66">
        <f t="shared" si="342"/>
        <v>1</v>
      </c>
      <c r="W582" s="66">
        <f t="shared" si="343"/>
        <v>1.1879095328683149E-2</v>
      </c>
      <c r="X582" s="66">
        <f t="shared" si="344"/>
        <v>1.3830426939266385E-2</v>
      </c>
      <c r="Y582" s="66">
        <f t="shared" si="345"/>
        <v>1.3714491773092488E-2</v>
      </c>
      <c r="Z582" s="66">
        <f t="shared" si="346"/>
        <v>3.6703349891733537E-2</v>
      </c>
      <c r="AA582" s="66">
        <f t="shared" si="350"/>
        <v>3.5110535226073949E-2</v>
      </c>
      <c r="AB582" s="66">
        <f t="shared" si="347"/>
        <v>1.317595780467355E-2</v>
      </c>
      <c r="AC582" s="67">
        <f t="shared" si="351"/>
        <v>44438409.874349058</v>
      </c>
      <c r="AD582" s="67">
        <f t="shared" si="324"/>
        <v>18945554.73738556</v>
      </c>
      <c r="AE582" s="66">
        <f t="shared" si="311"/>
        <v>3.200000000000025E-2</v>
      </c>
      <c r="AF582" s="67">
        <f t="shared" si="325"/>
        <v>18945554.73738556</v>
      </c>
      <c r="AG582" s="67">
        <f t="shared" si="348"/>
        <v>0.99999999999999967</v>
      </c>
      <c r="AH582" s="67">
        <f t="shared" si="326"/>
        <v>18945554.737385552</v>
      </c>
      <c r="AI582" s="67">
        <f t="shared" si="352"/>
        <v>21.189751342932393</v>
      </c>
      <c r="AJ582" s="67">
        <f t="shared" si="353"/>
        <v>0</v>
      </c>
      <c r="AK582" s="66">
        <f t="shared" si="312"/>
        <v>3.1999999999999806E-2</v>
      </c>
    </row>
    <row r="583" spans="1:37" ht="12.75" customHeight="1" x14ac:dyDescent="0.25">
      <c r="A583" s="55" t="s">
        <v>601</v>
      </c>
      <c r="B583" s="55" t="s">
        <v>390</v>
      </c>
      <c r="C583" s="55" t="s">
        <v>390</v>
      </c>
      <c r="D583" s="128">
        <v>2024</v>
      </c>
      <c r="E583" s="55" t="s">
        <v>676</v>
      </c>
      <c r="F583" s="57">
        <f>SIM_Parametres!$C$30</f>
        <v>1437888236.9117422</v>
      </c>
      <c r="G583" s="129">
        <f>SIM_Districts!D15*(1+SIM_Parametres!$B$6)^(2024-2023)</f>
        <v>800758.05</v>
      </c>
      <c r="H583" s="129">
        <f>MAX(0,MIN(100,SIM_Districts!F15+(2024-2022)*SIM_Parametres!$B$7))</f>
        <v>35.74</v>
      </c>
      <c r="I583" s="129">
        <f>SIM_Districts!G15*(1+SIM_Parametres!$B$8)^(2024-2023)</f>
        <v>37.599999999999994</v>
      </c>
      <c r="J583" s="129">
        <f>SIM_Districts!H15*(1+SIM_Parametres!$B$9)^(2024-2023)</f>
        <v>15.75</v>
      </c>
      <c r="K583" s="129">
        <f>MAX(0,MIN(100,SIM_Districts!I15+(2024-2023)*SIM_Parametres!$B$10))</f>
        <v>96.2</v>
      </c>
      <c r="L583" s="129">
        <f>SIM_Districts!E15</f>
        <v>1292</v>
      </c>
      <c r="M583" s="68">
        <f t="shared" si="349"/>
        <v>619.78177244582048</v>
      </c>
      <c r="N583" s="129">
        <f>N512*(1+SIM_Parametres!$B$6)/(1+SIM_Parametres!$B$11)</f>
        <v>203502</v>
      </c>
      <c r="O583" s="72"/>
      <c r="P583" s="130">
        <f>SIM_Parametres!$D$30</f>
        <v>0</v>
      </c>
      <c r="Q583" s="130">
        <f>SIM_Parametres!$B$12</f>
        <v>0.2</v>
      </c>
      <c r="R583" s="59">
        <f t="shared" si="338"/>
        <v>4.2889681055045287E-2</v>
      </c>
      <c r="S583" s="59">
        <f t="shared" si="339"/>
        <v>0.4982269503546099</v>
      </c>
      <c r="T583" s="59">
        <f t="shared" si="340"/>
        <v>0.69889502762430933</v>
      </c>
      <c r="U583" s="59">
        <f t="shared" si="341"/>
        <v>0.53597312572887268</v>
      </c>
      <c r="V583" s="59">
        <f t="shared" si="342"/>
        <v>1</v>
      </c>
      <c r="W583" s="59">
        <f t="shared" si="343"/>
        <v>1.1879095328683149E-2</v>
      </c>
      <c r="X583" s="59">
        <f t="shared" si="344"/>
        <v>1.3830426939266385E-2</v>
      </c>
      <c r="Y583" s="59">
        <f t="shared" si="345"/>
        <v>1.3693957645336279E-2</v>
      </c>
      <c r="Z583" s="59">
        <f t="shared" si="346"/>
        <v>3.6703349891733537E-2</v>
      </c>
      <c r="AA583" s="59">
        <f t="shared" si="350"/>
        <v>3.2110102350073097E-2</v>
      </c>
      <c r="AB583" s="59">
        <f t="shared" si="347"/>
        <v>1.3421279470105206E-2</v>
      </c>
      <c r="AC583" s="60">
        <f t="shared" si="351"/>
        <v>40986980.163913146</v>
      </c>
      <c r="AD583" s="60">
        <f t="shared" si="324"/>
        <v>19298299.874369338</v>
      </c>
      <c r="AE583" s="59">
        <f t="shared" si="311"/>
        <v>3.2000000000000473E-2</v>
      </c>
      <c r="AF583" s="60">
        <f t="shared" si="325"/>
        <v>19298299.874369338</v>
      </c>
      <c r="AG583" s="60">
        <f t="shared" si="348"/>
        <v>0.99999999999999967</v>
      </c>
      <c r="AH583" s="60">
        <f t="shared" si="326"/>
        <v>19298299.874369331</v>
      </c>
      <c r="AI583" s="60">
        <f t="shared" si="352"/>
        <v>24.100038550182955</v>
      </c>
      <c r="AJ583" s="60">
        <f t="shared" si="353"/>
        <v>0</v>
      </c>
      <c r="AK583" s="59">
        <f t="shared" si="312"/>
        <v>3.2000000000000028E-2</v>
      </c>
    </row>
    <row r="584" spans="1:37" ht="12.75" customHeight="1" x14ac:dyDescent="0.25">
      <c r="A584" s="62" t="s">
        <v>602</v>
      </c>
      <c r="B584" s="62" t="s">
        <v>390</v>
      </c>
      <c r="C584" s="62" t="s">
        <v>393</v>
      </c>
      <c r="D584" s="124">
        <v>2024</v>
      </c>
      <c r="E584" s="62" t="s">
        <v>676</v>
      </c>
      <c r="F584" s="64">
        <f>SIM_Parametres!$C$30</f>
        <v>1437888236.9117422</v>
      </c>
      <c r="G584" s="125">
        <f>SIM_Districts!D16*(1+SIM_Parametres!$B$6)^(2024-2023)</f>
        <v>447894.47000000003</v>
      </c>
      <c r="H584" s="125">
        <f>MAX(0,MIN(100,SIM_Districts!F16+(2024-2022)*SIM_Parametres!$B$7))</f>
        <v>35.74</v>
      </c>
      <c r="I584" s="125">
        <f>SIM_Districts!G16*(1+SIM_Parametres!$B$8)^(2024-2023)</f>
        <v>37.599999999999994</v>
      </c>
      <c r="J584" s="125">
        <f>SIM_Districts!H16*(1+SIM_Parametres!$B$9)^(2024-2023)</f>
        <v>15.75</v>
      </c>
      <c r="K584" s="125">
        <f>MAX(0,MIN(100,SIM_Districts!I16+(2024-2023)*SIM_Parametres!$B$10))</f>
        <v>96.2</v>
      </c>
      <c r="L584" s="125">
        <f>SIM_Districts!E16</f>
        <v>1729</v>
      </c>
      <c r="M584" s="61">
        <f t="shared" si="349"/>
        <v>259.04827646038171</v>
      </c>
      <c r="N584" s="125">
        <f>N513*(1+SIM_Parametres!$B$6)/(1+SIM_Parametres!$B$11)</f>
        <v>203502</v>
      </c>
      <c r="O584" s="132"/>
      <c r="P584" s="126">
        <f>SIM_Parametres!$D$30</f>
        <v>0</v>
      </c>
      <c r="Q584" s="126">
        <f>SIM_Parametres!$B$12</f>
        <v>0.2</v>
      </c>
      <c r="R584" s="66">
        <f t="shared" si="338"/>
        <v>2.3989831840739596E-2</v>
      </c>
      <c r="S584" s="66">
        <f t="shared" si="339"/>
        <v>0.4982269503546099</v>
      </c>
      <c r="T584" s="66">
        <f t="shared" si="340"/>
        <v>0.69889502762430933</v>
      </c>
      <c r="U584" s="66">
        <f t="shared" si="341"/>
        <v>0.55606420327741424</v>
      </c>
      <c r="V584" s="66">
        <f t="shared" si="342"/>
        <v>1</v>
      </c>
      <c r="W584" s="66">
        <f t="shared" si="343"/>
        <v>1.1879095328683149E-2</v>
      </c>
      <c r="X584" s="66">
        <f t="shared" si="344"/>
        <v>1.3830426939266385E-2</v>
      </c>
      <c r="Y584" s="66">
        <f t="shared" si="345"/>
        <v>1.4207278839612111E-2</v>
      </c>
      <c r="Z584" s="66">
        <f t="shared" si="346"/>
        <v>3.6703349891733537E-2</v>
      </c>
      <c r="AA584" s="66">
        <f t="shared" si="350"/>
        <v>2.0795858881203472E-2</v>
      </c>
      <c r="AB584" s="66">
        <f t="shared" si="347"/>
        <v>1.2249280417786163E-2</v>
      </c>
      <c r="AC584" s="67">
        <f t="shared" si="351"/>
        <v>27972086.089158632</v>
      </c>
      <c r="AD584" s="67">
        <f t="shared" si="324"/>
        <v>17613096.223368075</v>
      </c>
      <c r="AE584" s="66">
        <f t="shared" si="311"/>
        <v>3.200000000000025E-2</v>
      </c>
      <c r="AF584" s="67">
        <f t="shared" si="325"/>
        <v>17613096.223368075</v>
      </c>
      <c r="AG584" s="67">
        <f t="shared" si="348"/>
        <v>0.99999999999999967</v>
      </c>
      <c r="AH584" s="67">
        <f t="shared" si="326"/>
        <v>17613096.223368067</v>
      </c>
      <c r="AI584" s="67">
        <f t="shared" si="352"/>
        <v>39.324210060838809</v>
      </c>
      <c r="AJ584" s="67">
        <f t="shared" si="353"/>
        <v>0</v>
      </c>
      <c r="AK584" s="66">
        <f t="shared" si="312"/>
        <v>3.1999999999999806E-2</v>
      </c>
    </row>
    <row r="585" spans="1:37" ht="12.75" customHeight="1" x14ac:dyDescent="0.25">
      <c r="A585" s="55" t="s">
        <v>603</v>
      </c>
      <c r="B585" s="55" t="s">
        <v>394</v>
      </c>
      <c r="C585" s="55" t="s">
        <v>396</v>
      </c>
      <c r="D585" s="128">
        <v>2024</v>
      </c>
      <c r="E585" s="55" t="s">
        <v>676</v>
      </c>
      <c r="F585" s="57">
        <f>SIM_Parametres!$C$30</f>
        <v>1437888236.9117422</v>
      </c>
      <c r="G585" s="129">
        <f>SIM_Districts!D17*(1+SIM_Parametres!$B$6)^(2024-2023)</f>
        <v>99252.86</v>
      </c>
      <c r="H585" s="129">
        <f>MAX(0,MIN(100,SIM_Districts!F17+(2024-2022)*SIM_Parametres!$B$7))</f>
        <v>44.84</v>
      </c>
      <c r="I585" s="129">
        <f>SIM_Districts!G17*(1+SIM_Parametres!$B$8)^(2024-2023)</f>
        <v>37.599999999999994</v>
      </c>
      <c r="J585" s="129">
        <f>SIM_Districts!H17*(1+SIM_Parametres!$B$9)^(2024-2023)</f>
        <v>14.31</v>
      </c>
      <c r="K585" s="129">
        <f>MAX(0,MIN(100,SIM_Districts!I17+(2024-2023)*SIM_Parametres!$B$10))</f>
        <v>93.5</v>
      </c>
      <c r="L585" s="129">
        <f>SIM_Districts!E17</f>
        <v>978</v>
      </c>
      <c r="M585" s="68">
        <f t="shared" si="349"/>
        <v>101.48554192229039</v>
      </c>
      <c r="N585" s="129">
        <f>N514*(1+SIM_Parametres!$B$6)/(1+SIM_Parametres!$B$11)</f>
        <v>95110</v>
      </c>
      <c r="O585" s="72"/>
      <c r="P585" s="130">
        <f>SIM_Parametres!$D$30</f>
        <v>0</v>
      </c>
      <c r="Q585" s="130">
        <f>SIM_Parametres!$B$12</f>
        <v>0.2</v>
      </c>
      <c r="R585" s="59">
        <f t="shared" si="338"/>
        <v>5.3161170333549087E-3</v>
      </c>
      <c r="S585" s="59">
        <f t="shared" si="339"/>
        <v>0.65957446808510634</v>
      </c>
      <c r="T585" s="59">
        <f t="shared" si="340"/>
        <v>0.65469613259668513</v>
      </c>
      <c r="U585" s="59">
        <f t="shared" si="341"/>
        <v>0.53221272247018292</v>
      </c>
      <c r="V585" s="59">
        <f t="shared" si="342"/>
        <v>0.24769050312675686</v>
      </c>
      <c r="W585" s="59">
        <f t="shared" si="343"/>
        <v>1.5726062143310078E-2</v>
      </c>
      <c r="X585" s="59">
        <f t="shared" si="344"/>
        <v>1.2955775433225826E-2</v>
      </c>
      <c r="Y585" s="59">
        <f t="shared" si="345"/>
        <v>1.3597880434592077E-2</v>
      </c>
      <c r="Z585" s="59">
        <f t="shared" si="346"/>
        <v>9.0910712011208778E-3</v>
      </c>
      <c r="AA585" s="59">
        <f t="shared" si="350"/>
        <v>8.6263934382789786E-3</v>
      </c>
      <c r="AB585" s="59">
        <f t="shared" si="347"/>
        <v>1.1797283650655235E-2</v>
      </c>
      <c r="AC585" s="60">
        <f t="shared" si="351"/>
        <v>13973421.121250572</v>
      </c>
      <c r="AD585" s="60">
        <f t="shared" si="324"/>
        <v>16963175.388788376</v>
      </c>
      <c r="AE585" s="59">
        <f t="shared" si="311"/>
        <v>3.200000000000025E-2</v>
      </c>
      <c r="AF585" s="60">
        <f t="shared" si="325"/>
        <v>16963175.388788376</v>
      </c>
      <c r="AG585" s="60">
        <f t="shared" si="348"/>
        <v>0.99999999999999967</v>
      </c>
      <c r="AH585" s="60">
        <f t="shared" si="326"/>
        <v>16963175.388788369</v>
      </c>
      <c r="AI585" s="60">
        <f t="shared" si="352"/>
        <v>170.9086810071606</v>
      </c>
      <c r="AJ585" s="60">
        <f t="shared" si="353"/>
        <v>0</v>
      </c>
      <c r="AK585" s="59">
        <f t="shared" si="312"/>
        <v>3.1999999999999806E-2</v>
      </c>
    </row>
    <row r="586" spans="1:37" ht="12.75" customHeight="1" x14ac:dyDescent="0.25">
      <c r="A586" s="62" t="s">
        <v>605</v>
      </c>
      <c r="B586" s="62" t="s">
        <v>394</v>
      </c>
      <c r="C586" s="62" t="s">
        <v>394</v>
      </c>
      <c r="D586" s="124">
        <v>2024</v>
      </c>
      <c r="E586" s="62" t="s">
        <v>676</v>
      </c>
      <c r="F586" s="64">
        <f>SIM_Parametres!$C$30</f>
        <v>1437888236.9117422</v>
      </c>
      <c r="G586" s="125">
        <f>SIM_Districts!D18*(1+SIM_Parametres!$B$6)^(2024-2023)</f>
        <v>242620.62</v>
      </c>
      <c r="H586" s="125">
        <f>MAX(0,MIN(100,SIM_Districts!F18+(2024-2022)*SIM_Parametres!$B$7))</f>
        <v>44.84</v>
      </c>
      <c r="I586" s="125">
        <f>SIM_Districts!G18*(1+SIM_Parametres!$B$8)^(2024-2023)</f>
        <v>37.599999999999994</v>
      </c>
      <c r="J586" s="125">
        <f>SIM_Districts!H18*(1+SIM_Parametres!$B$9)^(2024-2023)</f>
        <v>14.31</v>
      </c>
      <c r="K586" s="125">
        <f>MAX(0,MIN(100,SIM_Districts!I18+(2024-2023)*SIM_Parametres!$B$10))</f>
        <v>93.5</v>
      </c>
      <c r="L586" s="125">
        <f>SIM_Districts!E18</f>
        <v>1155</v>
      </c>
      <c r="M586" s="61">
        <f t="shared" si="349"/>
        <v>210.06114285714284</v>
      </c>
      <c r="N586" s="125">
        <f>N515*(1+SIM_Parametres!$B$6)/(1+SIM_Parametres!$B$11)</f>
        <v>95110</v>
      </c>
      <c r="O586" s="132"/>
      <c r="P586" s="126">
        <f>SIM_Parametres!$D$30</f>
        <v>0</v>
      </c>
      <c r="Q586" s="126">
        <f>SIM_Parametres!$B$12</f>
        <v>0.2</v>
      </c>
      <c r="R586" s="66">
        <f t="shared" si="338"/>
        <v>1.2995087603774123E-2</v>
      </c>
      <c r="S586" s="66">
        <f t="shared" si="339"/>
        <v>0.65957446808510634</v>
      </c>
      <c r="T586" s="66">
        <f t="shared" si="340"/>
        <v>0.65469613259668513</v>
      </c>
      <c r="U586" s="66">
        <f t="shared" si="341"/>
        <v>0.53685323433738241</v>
      </c>
      <c r="V586" s="66">
        <f t="shared" si="342"/>
        <v>0.24769050312675686</v>
      </c>
      <c r="W586" s="66">
        <f t="shared" si="343"/>
        <v>1.5726062143310078E-2</v>
      </c>
      <c r="X586" s="66">
        <f t="shared" si="344"/>
        <v>1.2955775433225826E-2</v>
      </c>
      <c r="Y586" s="66">
        <f t="shared" si="345"/>
        <v>1.3716444164584495E-2</v>
      </c>
      <c r="Z586" s="66">
        <f t="shared" si="346"/>
        <v>9.0910712011208778E-3</v>
      </c>
      <c r="AA586" s="66">
        <f t="shared" si="350"/>
        <v>1.3239703967030126E-2</v>
      </c>
      <c r="AB586" s="66">
        <f t="shared" si="347"/>
        <v>1.3643077140221499E-2</v>
      </c>
      <c r="AC586" s="67">
        <f t="shared" si="351"/>
        <v>19280161.075260464</v>
      </c>
      <c r="AD586" s="67">
        <f t="shared" si="324"/>
        <v>19617220.135203987</v>
      </c>
      <c r="AE586" s="66">
        <f t="shared" si="311"/>
        <v>3.2000000000000473E-2</v>
      </c>
      <c r="AF586" s="67">
        <f t="shared" si="325"/>
        <v>19617220.135203987</v>
      </c>
      <c r="AG586" s="67">
        <f t="shared" si="348"/>
        <v>0.99999999999999967</v>
      </c>
      <c r="AH586" s="67">
        <f t="shared" si="326"/>
        <v>19617220.13520398</v>
      </c>
      <c r="AI586" s="67">
        <f t="shared" si="352"/>
        <v>80.855535424829014</v>
      </c>
      <c r="AJ586" s="67">
        <f t="shared" si="353"/>
        <v>0</v>
      </c>
      <c r="AK586" s="66">
        <f t="shared" si="312"/>
        <v>3.2000000000000028E-2</v>
      </c>
    </row>
    <row r="587" spans="1:37" ht="12.75" customHeight="1" x14ac:dyDescent="0.25">
      <c r="A587" s="55" t="s">
        <v>606</v>
      </c>
      <c r="B587" s="55" t="s">
        <v>394</v>
      </c>
      <c r="C587" s="55" t="s">
        <v>397</v>
      </c>
      <c r="D587" s="128">
        <v>2024</v>
      </c>
      <c r="E587" s="55" t="s">
        <v>676</v>
      </c>
      <c r="F587" s="57">
        <f>SIM_Parametres!$C$30</f>
        <v>1437888236.9117422</v>
      </c>
      <c r="G587" s="129">
        <f>SIM_Districts!D19*(1+SIM_Parametres!$B$6)^(2024-2023)</f>
        <v>66289.77</v>
      </c>
      <c r="H587" s="129">
        <f>MAX(0,MIN(100,SIM_Districts!F19+(2024-2022)*SIM_Parametres!$B$7))</f>
        <v>44.84</v>
      </c>
      <c r="I587" s="129">
        <f>SIM_Districts!G19*(1+SIM_Parametres!$B$8)^(2024-2023)</f>
        <v>37.599999999999994</v>
      </c>
      <c r="J587" s="129">
        <f>SIM_Districts!H19*(1+SIM_Parametres!$B$9)^(2024-2023)</f>
        <v>14.31</v>
      </c>
      <c r="K587" s="129">
        <f>MAX(0,MIN(100,SIM_Districts!I19+(2024-2023)*SIM_Parametres!$B$10))</f>
        <v>93.5</v>
      </c>
      <c r="L587" s="129">
        <f>SIM_Districts!E19</f>
        <v>733</v>
      </c>
      <c r="M587" s="68">
        <f t="shared" si="349"/>
        <v>90.436248294679402</v>
      </c>
      <c r="N587" s="129">
        <f>N516*(1+SIM_Parametres!$B$6)/(1+SIM_Parametres!$B$11)</f>
        <v>95110</v>
      </c>
      <c r="O587" s="72"/>
      <c r="P587" s="130">
        <f>SIM_Parametres!$D$30</f>
        <v>0</v>
      </c>
      <c r="Q587" s="130">
        <f>SIM_Parametres!$B$12</f>
        <v>0.2</v>
      </c>
      <c r="R587" s="59">
        <f t="shared" si="338"/>
        <v>3.5505694791483013E-3</v>
      </c>
      <c r="S587" s="59">
        <f t="shared" si="339"/>
        <v>0.65957446808510634</v>
      </c>
      <c r="T587" s="59">
        <f t="shared" si="340"/>
        <v>0.65469613259668513</v>
      </c>
      <c r="U587" s="59">
        <f t="shared" si="341"/>
        <v>0.52387753369973944</v>
      </c>
      <c r="V587" s="59">
        <f t="shared" si="342"/>
        <v>0.24769050312675686</v>
      </c>
      <c r="W587" s="59">
        <f t="shared" si="343"/>
        <v>1.5726062143310078E-2</v>
      </c>
      <c r="X587" s="59">
        <f t="shared" si="344"/>
        <v>1.2955775433225826E-2</v>
      </c>
      <c r="Y587" s="59">
        <f t="shared" si="345"/>
        <v>1.3384918783141523E-2</v>
      </c>
      <c r="Z587" s="59">
        <f t="shared" si="346"/>
        <v>9.0910712011208778E-3</v>
      </c>
      <c r="AA587" s="59">
        <f t="shared" si="350"/>
        <v>7.5564168231824873E-3</v>
      </c>
      <c r="AB587" s="59">
        <f t="shared" si="347"/>
        <v>1.2735723035200304E-2</v>
      </c>
      <c r="AC587" s="60">
        <f t="shared" si="351"/>
        <v>12742615.690356262</v>
      </c>
      <c r="AD587" s="60">
        <f t="shared" si="324"/>
        <v>18312546.340880428</v>
      </c>
      <c r="AE587" s="59">
        <f t="shared" ref="AE587:AE650" si="354">IFERROR(AD587/AH516-1,0)</f>
        <v>3.200000000000025E-2</v>
      </c>
      <c r="AF587" s="60">
        <f t="shared" si="325"/>
        <v>18312546.340880428</v>
      </c>
      <c r="AG587" s="60">
        <f t="shared" si="348"/>
        <v>0.99999999999999967</v>
      </c>
      <c r="AH587" s="60">
        <f t="shared" si="326"/>
        <v>18312546.34088042</v>
      </c>
      <c r="AI587" s="60">
        <f t="shared" si="352"/>
        <v>276.24996045212436</v>
      </c>
      <c r="AJ587" s="60">
        <f t="shared" si="353"/>
        <v>0</v>
      </c>
      <c r="AK587" s="59">
        <f t="shared" ref="AK587:AK650" si="355">IFERROR(AH587/AH516-1,0)</f>
        <v>3.2000000000000028E-2</v>
      </c>
    </row>
    <row r="588" spans="1:37" ht="12.75" customHeight="1" x14ac:dyDescent="0.25">
      <c r="A588" s="62" t="s">
        <v>607</v>
      </c>
      <c r="B588" s="62" t="s">
        <v>394</v>
      </c>
      <c r="C588" s="62" t="s">
        <v>398</v>
      </c>
      <c r="D588" s="124">
        <v>2024</v>
      </c>
      <c r="E588" s="62" t="s">
        <v>676</v>
      </c>
      <c r="F588" s="64">
        <f>SIM_Parametres!$C$30</f>
        <v>1437888236.9117422</v>
      </c>
      <c r="G588" s="125">
        <f>SIM_Districts!D20*(1+SIM_Parametres!$B$6)^(2024-2023)</f>
        <v>125156.33</v>
      </c>
      <c r="H588" s="125">
        <f>MAX(0,MIN(100,SIM_Districts!F20+(2024-2022)*SIM_Parametres!$B$7))</f>
        <v>44.84</v>
      </c>
      <c r="I588" s="125">
        <f>SIM_Districts!G20*(1+SIM_Parametres!$B$8)^(2024-2023)</f>
        <v>37.599999999999994</v>
      </c>
      <c r="J588" s="125">
        <f>SIM_Districts!H20*(1+SIM_Parametres!$B$9)^(2024-2023)</f>
        <v>14.31</v>
      </c>
      <c r="K588" s="125">
        <f>MAX(0,MIN(100,SIM_Districts!I20+(2024-2023)*SIM_Parametres!$B$10))</f>
        <v>93.5</v>
      </c>
      <c r="L588" s="125">
        <f>SIM_Districts!E20</f>
        <v>1476</v>
      </c>
      <c r="M588" s="61">
        <f t="shared" si="349"/>
        <v>84.794261517615183</v>
      </c>
      <c r="N588" s="125">
        <f>N517*(1+SIM_Parametres!$B$6)/(1+SIM_Parametres!$B$11)</f>
        <v>95110</v>
      </c>
      <c r="O588" s="132"/>
      <c r="P588" s="126">
        <f>SIM_Parametres!$D$30</f>
        <v>0</v>
      </c>
      <c r="Q588" s="126">
        <f>SIM_Parametres!$B$12</f>
        <v>0.2</v>
      </c>
      <c r="R588" s="66">
        <f t="shared" si="338"/>
        <v>6.7035418198043662E-3</v>
      </c>
      <c r="S588" s="66">
        <f t="shared" si="339"/>
        <v>0.65957446808510634</v>
      </c>
      <c r="T588" s="66">
        <f t="shared" si="340"/>
        <v>0.65469613259668513</v>
      </c>
      <c r="U588" s="66">
        <f t="shared" si="341"/>
        <v>0.54969284466862123</v>
      </c>
      <c r="V588" s="66">
        <f t="shared" si="342"/>
        <v>0.24769050312675686</v>
      </c>
      <c r="W588" s="66">
        <f t="shared" si="343"/>
        <v>1.5726062143310078E-2</v>
      </c>
      <c r="X588" s="66">
        <f t="shared" si="344"/>
        <v>1.2955775433225826E-2</v>
      </c>
      <c r="Y588" s="66">
        <f t="shared" si="345"/>
        <v>1.4044492478237349E-2</v>
      </c>
      <c r="Z588" s="66">
        <f t="shared" si="346"/>
        <v>9.0910712011208778E-3</v>
      </c>
      <c r="AA588" s="66">
        <f t="shared" si="350"/>
        <v>9.4811789123309155E-3</v>
      </c>
      <c r="AB588" s="66">
        <f t="shared" si="347"/>
        <v>1.3484290171842788E-2</v>
      </c>
      <c r="AC588" s="67">
        <f t="shared" si="351"/>
        <v>14956689.90382842</v>
      </c>
      <c r="AD588" s="67">
        <f t="shared" si="324"/>
        <v>19388902.221197359</v>
      </c>
      <c r="AE588" s="66">
        <f t="shared" si="354"/>
        <v>3.2000000000000473E-2</v>
      </c>
      <c r="AF588" s="67">
        <f t="shared" si="325"/>
        <v>19388902.221197359</v>
      </c>
      <c r="AG588" s="67">
        <f t="shared" si="348"/>
        <v>0.99999999999999967</v>
      </c>
      <c r="AH588" s="67">
        <f t="shared" si="326"/>
        <v>19388902.221197352</v>
      </c>
      <c r="AI588" s="67">
        <f t="shared" si="352"/>
        <v>154.91747178266854</v>
      </c>
      <c r="AJ588" s="67">
        <f t="shared" si="353"/>
        <v>0</v>
      </c>
      <c r="AK588" s="66">
        <f t="shared" si="355"/>
        <v>3.2000000000000028E-2</v>
      </c>
    </row>
    <row r="589" spans="1:37" ht="12.75" customHeight="1" x14ac:dyDescent="0.25">
      <c r="A589" s="55" t="s">
        <v>608</v>
      </c>
      <c r="B589" s="55" t="s">
        <v>394</v>
      </c>
      <c r="C589" s="55" t="s">
        <v>399</v>
      </c>
      <c r="D589" s="128">
        <v>2024</v>
      </c>
      <c r="E589" s="55" t="s">
        <v>676</v>
      </c>
      <c r="F589" s="57">
        <f>SIM_Parametres!$C$30</f>
        <v>1437888236.9117422</v>
      </c>
      <c r="G589" s="129">
        <f>SIM_Districts!D21*(1+SIM_Parametres!$B$6)^(2024-2023)</f>
        <v>101707.35</v>
      </c>
      <c r="H589" s="129">
        <f>MAX(0,MIN(100,SIM_Districts!F21+(2024-2022)*SIM_Parametres!$B$7))</f>
        <v>44.84</v>
      </c>
      <c r="I589" s="129">
        <f>SIM_Districts!G21*(1+SIM_Parametres!$B$8)^(2024-2023)</f>
        <v>37.599999999999994</v>
      </c>
      <c r="J589" s="129">
        <f>SIM_Districts!H21*(1+SIM_Parametres!$B$9)^(2024-2023)</f>
        <v>14.31</v>
      </c>
      <c r="K589" s="129">
        <f>MAX(0,MIN(100,SIM_Districts!I21+(2024-2023)*SIM_Parametres!$B$10))</f>
        <v>93.5</v>
      </c>
      <c r="L589" s="129">
        <f>SIM_Districts!E21</f>
        <v>406</v>
      </c>
      <c r="M589" s="68">
        <f t="shared" si="349"/>
        <v>250.5107142857143</v>
      </c>
      <c r="N589" s="129">
        <f>N518*(1+SIM_Parametres!$B$6)/(1+SIM_Parametres!$B$11)</f>
        <v>95110</v>
      </c>
      <c r="O589" s="72"/>
      <c r="P589" s="130">
        <f>SIM_Parametres!$D$30</f>
        <v>0</v>
      </c>
      <c r="Q589" s="130">
        <f>SIM_Parametres!$B$12</f>
        <v>0.2</v>
      </c>
      <c r="R589" s="59">
        <f t="shared" si="338"/>
        <v>5.4475828278639973E-3</v>
      </c>
      <c r="S589" s="59">
        <f t="shared" si="339"/>
        <v>0.65957446808510634</v>
      </c>
      <c r="T589" s="59">
        <f t="shared" si="340"/>
        <v>0.65469613259668513</v>
      </c>
      <c r="U589" s="59">
        <f t="shared" si="341"/>
        <v>0.51035214004959606</v>
      </c>
      <c r="V589" s="59">
        <f t="shared" si="342"/>
        <v>0.24769050312675686</v>
      </c>
      <c r="W589" s="59">
        <f t="shared" si="343"/>
        <v>1.5726062143310078E-2</v>
      </c>
      <c r="X589" s="59">
        <f t="shared" si="344"/>
        <v>1.2955775433225826E-2</v>
      </c>
      <c r="Y589" s="59">
        <f t="shared" si="345"/>
        <v>1.3039348904932262E-2</v>
      </c>
      <c r="Z589" s="59">
        <f t="shared" si="346"/>
        <v>9.0910712011208778E-3</v>
      </c>
      <c r="AA589" s="59">
        <f t="shared" si="350"/>
        <v>8.6773463385014411E-3</v>
      </c>
      <c r="AB589" s="59">
        <f t="shared" si="347"/>
        <v>1.1049556656702582E-2</v>
      </c>
      <c r="AC589" s="60">
        <f t="shared" si="351"/>
        <v>14032032.781943707</v>
      </c>
      <c r="AD589" s="60">
        <f t="shared" si="324"/>
        <v>15888027.53976248</v>
      </c>
      <c r="AE589" s="59">
        <f t="shared" si="354"/>
        <v>3.2000000000000473E-2</v>
      </c>
      <c r="AF589" s="60">
        <f t="shared" si="325"/>
        <v>15888027.53976248</v>
      </c>
      <c r="AG589" s="60">
        <f t="shared" si="348"/>
        <v>0.99999999999999967</v>
      </c>
      <c r="AH589" s="60">
        <f t="shared" si="326"/>
        <v>15888027.539762475</v>
      </c>
      <c r="AI589" s="60">
        <f t="shared" si="352"/>
        <v>156.21316984232186</v>
      </c>
      <c r="AJ589" s="60">
        <f t="shared" si="353"/>
        <v>0</v>
      </c>
      <c r="AK589" s="59">
        <f t="shared" si="355"/>
        <v>3.2000000000000028E-2</v>
      </c>
    </row>
    <row r="590" spans="1:37" ht="12.75" customHeight="1" x14ac:dyDescent="0.25">
      <c r="A590" s="62" t="s">
        <v>609</v>
      </c>
      <c r="B590" s="62" t="s">
        <v>394</v>
      </c>
      <c r="C590" s="62" t="s">
        <v>400</v>
      </c>
      <c r="D590" s="124">
        <v>2024</v>
      </c>
      <c r="E590" s="62" t="s">
        <v>676</v>
      </c>
      <c r="F590" s="64">
        <f>SIM_Parametres!$C$30</f>
        <v>1437888236.9117422</v>
      </c>
      <c r="G590" s="125">
        <f>SIM_Districts!D22*(1+SIM_Parametres!$B$6)^(2024-2023)</f>
        <v>106884.13</v>
      </c>
      <c r="H590" s="125">
        <f>MAX(0,MIN(100,SIM_Districts!F22+(2024-2022)*SIM_Parametres!$B$7))</f>
        <v>44.84</v>
      </c>
      <c r="I590" s="125">
        <f>SIM_Districts!G22*(1+SIM_Parametres!$B$8)^(2024-2023)</f>
        <v>37.599999999999994</v>
      </c>
      <c r="J590" s="125">
        <f>SIM_Districts!H22*(1+SIM_Parametres!$B$9)^(2024-2023)</f>
        <v>14.31</v>
      </c>
      <c r="K590" s="125">
        <f>MAX(0,MIN(100,SIM_Districts!I22+(2024-2023)*SIM_Parametres!$B$10))</f>
        <v>93.5</v>
      </c>
      <c r="L590" s="125">
        <f>SIM_Districts!E22</f>
        <v>866</v>
      </c>
      <c r="M590" s="61">
        <f t="shared" si="349"/>
        <v>123.42278290993072</v>
      </c>
      <c r="N590" s="125">
        <f>N519*(1+SIM_Parametres!$B$6)/(1+SIM_Parametres!$B$11)</f>
        <v>95110</v>
      </c>
      <c r="O590" s="132"/>
      <c r="P590" s="126">
        <f>SIM_Parametres!$D$30</f>
        <v>0</v>
      </c>
      <c r="Q590" s="126">
        <f>SIM_Parametres!$B$12</f>
        <v>0.2</v>
      </c>
      <c r="R590" s="66">
        <f t="shared" si="338"/>
        <v>5.7248581460354938E-3</v>
      </c>
      <c r="S590" s="66">
        <f t="shared" si="339"/>
        <v>0.65957446808510634</v>
      </c>
      <c r="T590" s="66">
        <f t="shared" si="340"/>
        <v>0.65469613259668513</v>
      </c>
      <c r="U590" s="66">
        <f t="shared" si="341"/>
        <v>0.52803177519419775</v>
      </c>
      <c r="V590" s="66">
        <f t="shared" si="342"/>
        <v>0.24769050312675686</v>
      </c>
      <c r="W590" s="66">
        <f t="shared" si="343"/>
        <v>1.5726062143310078E-2</v>
      </c>
      <c r="X590" s="66">
        <f t="shared" si="344"/>
        <v>1.2955775433225826E-2</v>
      </c>
      <c r="Y590" s="66">
        <f t="shared" si="345"/>
        <v>1.3491058446387229E-2</v>
      </c>
      <c r="Z590" s="66">
        <f t="shared" si="346"/>
        <v>9.0910712011208778E-3</v>
      </c>
      <c r="AA590" s="66">
        <f t="shared" si="350"/>
        <v>8.8662970064770866E-3</v>
      </c>
      <c r="AB590" s="66">
        <f t="shared" si="347"/>
        <v>1.2519806363912851E-2</v>
      </c>
      <c r="AC590" s="67">
        <f t="shared" si="351"/>
        <v>14249384.736214744</v>
      </c>
      <c r="AD590" s="67">
        <f t="shared" si="324"/>
        <v>18002082.299083058</v>
      </c>
      <c r="AE590" s="66">
        <f t="shared" si="354"/>
        <v>3.200000000000025E-2</v>
      </c>
      <c r="AF590" s="67">
        <f t="shared" si="325"/>
        <v>18002082.299083058</v>
      </c>
      <c r="AG590" s="67">
        <f t="shared" si="348"/>
        <v>0.99999999999999967</v>
      </c>
      <c r="AH590" s="67">
        <f t="shared" si="326"/>
        <v>18002082.29908305</v>
      </c>
      <c r="AI590" s="67">
        <f t="shared" si="352"/>
        <v>168.42614800796946</v>
      </c>
      <c r="AJ590" s="67">
        <f t="shared" si="353"/>
        <v>0</v>
      </c>
      <c r="AK590" s="66">
        <f t="shared" si="355"/>
        <v>3.1999999999999806E-2</v>
      </c>
    </row>
    <row r="591" spans="1:37" ht="12.75" customHeight="1" x14ac:dyDescent="0.25">
      <c r="A591" s="55" t="s">
        <v>610</v>
      </c>
      <c r="B591" s="55" t="s">
        <v>394</v>
      </c>
      <c r="C591" s="55" t="s">
        <v>401</v>
      </c>
      <c r="D591" s="128">
        <v>2024</v>
      </c>
      <c r="E591" s="55" t="s">
        <v>676</v>
      </c>
      <c r="F591" s="57">
        <f>SIM_Parametres!$C$30</f>
        <v>1437888236.9117422</v>
      </c>
      <c r="G591" s="129">
        <f>SIM_Districts!D23*(1+SIM_Parametres!$B$6)^(2024-2023)</f>
        <v>192214.48</v>
      </c>
      <c r="H591" s="129">
        <f>MAX(0,MIN(100,SIM_Districts!F23+(2024-2022)*SIM_Parametres!$B$7))</f>
        <v>44.84</v>
      </c>
      <c r="I591" s="129">
        <f>SIM_Districts!G23*(1+SIM_Parametres!$B$8)^(2024-2023)</f>
        <v>37.599999999999994</v>
      </c>
      <c r="J591" s="129">
        <f>SIM_Districts!H23*(1+SIM_Parametres!$B$9)^(2024-2023)</f>
        <v>14.31</v>
      </c>
      <c r="K591" s="129">
        <f>MAX(0,MIN(100,SIM_Districts!I23+(2024-2023)*SIM_Parametres!$B$10))</f>
        <v>93.5</v>
      </c>
      <c r="L591" s="129">
        <f>SIM_Districts!E23</f>
        <v>1459</v>
      </c>
      <c r="M591" s="68">
        <f t="shared" si="349"/>
        <v>131.74398903358465</v>
      </c>
      <c r="N591" s="129">
        <f>N520*(1+SIM_Parametres!$B$6)/(1+SIM_Parametres!$B$11)</f>
        <v>95110</v>
      </c>
      <c r="O591" s="72"/>
      <c r="P591" s="130">
        <f>SIM_Parametres!$D$30</f>
        <v>0</v>
      </c>
      <c r="Q591" s="130">
        <f>SIM_Parametres!$B$12</f>
        <v>0.2</v>
      </c>
      <c r="R591" s="59">
        <f t="shared" si="338"/>
        <v>1.0295266767984887E-2</v>
      </c>
      <c r="S591" s="59">
        <f t="shared" si="339"/>
        <v>0.65957446808510634</v>
      </c>
      <c r="T591" s="59">
        <f t="shared" si="340"/>
        <v>0.65469613259668513</v>
      </c>
      <c r="U591" s="59">
        <f t="shared" si="341"/>
        <v>0.54845929360495993</v>
      </c>
      <c r="V591" s="59">
        <f t="shared" si="342"/>
        <v>0.24769050312675686</v>
      </c>
      <c r="W591" s="59">
        <f t="shared" si="343"/>
        <v>1.5726062143310078E-2</v>
      </c>
      <c r="X591" s="59">
        <f t="shared" si="344"/>
        <v>1.2955775433225826E-2</v>
      </c>
      <c r="Y591" s="59">
        <f t="shared" si="345"/>
        <v>1.4012975606946153E-2</v>
      </c>
      <c r="Z591" s="59">
        <f t="shared" si="346"/>
        <v>9.0910712011208778E-3</v>
      </c>
      <c r="AA591" s="59">
        <f t="shared" si="350"/>
        <v>1.1634638037674668E-2</v>
      </c>
      <c r="AB591" s="59">
        <f t="shared" si="347"/>
        <v>1.3653158852499511E-2</v>
      </c>
      <c r="AC591" s="60">
        <f t="shared" si="351"/>
        <v>17433836.739830043</v>
      </c>
      <c r="AD591" s="60">
        <f t="shared" si="324"/>
        <v>19631716.510696467</v>
      </c>
      <c r="AE591" s="59">
        <f t="shared" si="354"/>
        <v>3.200000000000025E-2</v>
      </c>
      <c r="AF591" s="60">
        <f t="shared" si="325"/>
        <v>19631716.510696467</v>
      </c>
      <c r="AG591" s="60">
        <f t="shared" si="348"/>
        <v>0.99999999999999967</v>
      </c>
      <c r="AH591" s="60">
        <f t="shared" si="326"/>
        <v>19631716.51069646</v>
      </c>
      <c r="AI591" s="60">
        <f t="shared" si="352"/>
        <v>102.13443082277911</v>
      </c>
      <c r="AJ591" s="60">
        <f t="shared" si="353"/>
        <v>0</v>
      </c>
      <c r="AK591" s="59">
        <f t="shared" si="355"/>
        <v>3.2000000000000028E-2</v>
      </c>
    </row>
    <row r="592" spans="1:37" ht="12.75" customHeight="1" x14ac:dyDescent="0.25">
      <c r="A592" s="62" t="s">
        <v>611</v>
      </c>
      <c r="B592" s="62" t="s">
        <v>402</v>
      </c>
      <c r="C592" s="62" t="s">
        <v>404</v>
      </c>
      <c r="D592" s="124">
        <v>2024</v>
      </c>
      <c r="E592" s="62" t="s">
        <v>676</v>
      </c>
      <c r="F592" s="64">
        <f>SIM_Parametres!$C$30</f>
        <v>1437888236.9117422</v>
      </c>
      <c r="G592" s="125">
        <f>SIM_Districts!D24*(1+SIM_Parametres!$B$6)^(2024-2023)</f>
        <v>150845.56</v>
      </c>
      <c r="H592" s="125">
        <f>MAX(0,MIN(100,SIM_Districts!F24+(2024-2022)*SIM_Parametres!$B$7))</f>
        <v>56.540000000000006</v>
      </c>
      <c r="I592" s="125">
        <f>SIM_Districts!G24*(1+SIM_Parametres!$B$8)^(2024-2023)</f>
        <v>37.599999999999994</v>
      </c>
      <c r="J592" s="125">
        <f>SIM_Districts!H24*(1+SIM_Parametres!$B$9)^(2024-2023)</f>
        <v>25.56</v>
      </c>
      <c r="K592" s="125">
        <f>MAX(0,MIN(100,SIM_Districts!I24+(2024-2023)*SIM_Parametres!$B$10))</f>
        <v>87.4</v>
      </c>
      <c r="L592" s="125">
        <f>SIM_Districts!E24</f>
        <v>1150</v>
      </c>
      <c r="M592" s="61">
        <f t="shared" si="349"/>
        <v>131.17005217391304</v>
      </c>
      <c r="N592" s="125">
        <f>N521*(1+SIM_Parametres!$B$6)/(1+SIM_Parametres!$B$11)</f>
        <v>169739</v>
      </c>
      <c r="O592" s="132"/>
      <c r="P592" s="126">
        <f>SIM_Parametres!$D$30</f>
        <v>0</v>
      </c>
      <c r="Q592" s="126">
        <f>SIM_Parametres!$B$12</f>
        <v>0.2</v>
      </c>
      <c r="R592" s="66">
        <f t="shared" si="338"/>
        <v>8.0794916229311661E-3</v>
      </c>
      <c r="S592" s="66">
        <f t="shared" si="339"/>
        <v>0.86702127659574468</v>
      </c>
      <c r="T592" s="66">
        <f t="shared" si="340"/>
        <v>1</v>
      </c>
      <c r="U592" s="66">
        <f t="shared" si="341"/>
        <v>0.53776328071078594</v>
      </c>
      <c r="V592" s="66">
        <f t="shared" si="342"/>
        <v>0.76566328194948607</v>
      </c>
      <c r="W592" s="66">
        <f t="shared" si="343"/>
        <v>2.06721623335447E-2</v>
      </c>
      <c r="X592" s="66">
        <f t="shared" si="344"/>
        <v>1.9788990324167716E-2</v>
      </c>
      <c r="Y592" s="66">
        <f t="shared" si="345"/>
        <v>1.3739695585027883E-2</v>
      </c>
      <c r="Z592" s="66">
        <f t="shared" si="346"/>
        <v>2.8102407336645013E-2</v>
      </c>
      <c r="AA592" s="66">
        <f t="shared" si="350"/>
        <v>1.3008973018499206E-2</v>
      </c>
      <c r="AB592" s="66">
        <f t="shared" si="347"/>
        <v>1.1367130593459998E-2</v>
      </c>
      <c r="AC592" s="67">
        <f t="shared" si="351"/>
        <v>19014748.821833186</v>
      </c>
      <c r="AD592" s="67">
        <f t="shared" si="324"/>
        <v>16344663.367775721</v>
      </c>
      <c r="AE592" s="66">
        <f t="shared" si="354"/>
        <v>3.200000000000025E-2</v>
      </c>
      <c r="AF592" s="67">
        <f t="shared" si="325"/>
        <v>16344663.367775721</v>
      </c>
      <c r="AG592" s="67">
        <f t="shared" si="348"/>
        <v>0.99999999999999967</v>
      </c>
      <c r="AH592" s="67">
        <f t="shared" si="326"/>
        <v>16344663.367775716</v>
      </c>
      <c r="AI592" s="67">
        <f t="shared" si="352"/>
        <v>108.35362583940632</v>
      </c>
      <c r="AJ592" s="67">
        <f t="shared" si="353"/>
        <v>0</v>
      </c>
      <c r="AK592" s="66">
        <f t="shared" si="355"/>
        <v>3.1999999999999806E-2</v>
      </c>
    </row>
    <row r="593" spans="1:37" ht="12.75" customHeight="1" x14ac:dyDescent="0.25">
      <c r="A593" s="55" t="s">
        <v>613</v>
      </c>
      <c r="B593" s="55" t="s">
        <v>402</v>
      </c>
      <c r="C593" s="55" t="s">
        <v>402</v>
      </c>
      <c r="D593" s="128">
        <v>2024</v>
      </c>
      <c r="E593" s="55" t="s">
        <v>676</v>
      </c>
      <c r="F593" s="57">
        <f>SIM_Parametres!$C$30</f>
        <v>1437888236.9117422</v>
      </c>
      <c r="G593" s="129">
        <f>SIM_Districts!D25*(1+SIM_Parametres!$B$6)^(2024-2023)</f>
        <v>309510.88</v>
      </c>
      <c r="H593" s="129">
        <f>MAX(0,MIN(100,SIM_Districts!F25+(2024-2022)*SIM_Parametres!$B$7))</f>
        <v>56.540000000000006</v>
      </c>
      <c r="I593" s="129">
        <f>SIM_Districts!G25*(1+SIM_Parametres!$B$8)^(2024-2023)</f>
        <v>37.599999999999994</v>
      </c>
      <c r="J593" s="129">
        <f>SIM_Districts!H25*(1+SIM_Parametres!$B$9)^(2024-2023)</f>
        <v>25.56</v>
      </c>
      <c r="K593" s="129">
        <f>MAX(0,MIN(100,SIM_Districts!I25+(2024-2023)*SIM_Parametres!$B$10))</f>
        <v>87.4</v>
      </c>
      <c r="L593" s="129">
        <f>SIM_Districts!E25</f>
        <v>2609</v>
      </c>
      <c r="M593" s="68">
        <f t="shared" si="349"/>
        <v>118.63199693369107</v>
      </c>
      <c r="N593" s="129">
        <f>N522*(1+SIM_Parametres!$B$6)/(1+SIM_Parametres!$B$11)</f>
        <v>169739</v>
      </c>
      <c r="O593" s="72"/>
      <c r="P593" s="130">
        <f>SIM_Parametres!$D$30</f>
        <v>0</v>
      </c>
      <c r="Q593" s="130">
        <f>SIM_Parametres!$B$12</f>
        <v>0.2</v>
      </c>
      <c r="R593" s="59">
        <f t="shared" si="338"/>
        <v>1.6577820137139293E-2</v>
      </c>
      <c r="S593" s="59">
        <f t="shared" si="339"/>
        <v>0.86702127659574468</v>
      </c>
      <c r="T593" s="59">
        <f t="shared" si="340"/>
        <v>1</v>
      </c>
      <c r="U593" s="59">
        <f t="shared" si="341"/>
        <v>0.58847583069176324</v>
      </c>
      <c r="V593" s="59">
        <f t="shared" si="342"/>
        <v>0.76566328194948607</v>
      </c>
      <c r="W593" s="59">
        <f t="shared" si="343"/>
        <v>2.06721623335447E-2</v>
      </c>
      <c r="X593" s="59">
        <f t="shared" si="344"/>
        <v>1.9788990324167716E-2</v>
      </c>
      <c r="Y593" s="59">
        <f t="shared" si="345"/>
        <v>1.5035386503452401E-2</v>
      </c>
      <c r="Z593" s="59">
        <f t="shared" si="346"/>
        <v>2.8102407336645013E-2</v>
      </c>
      <c r="AA593" s="59">
        <f t="shared" si="350"/>
        <v>1.817275467294531E-2</v>
      </c>
      <c r="AB593" s="59">
        <f t="shared" si="347"/>
        <v>1.3225526223373783E-2</v>
      </c>
      <c r="AC593" s="60">
        <f t="shared" si="351"/>
        <v>24954701.540960155</v>
      </c>
      <c r="AD593" s="60">
        <f t="shared" si="324"/>
        <v>19016828.583556939</v>
      </c>
      <c r="AE593" s="59">
        <f t="shared" si="354"/>
        <v>3.200000000000025E-2</v>
      </c>
      <c r="AF593" s="60">
        <f t="shared" si="325"/>
        <v>19016828.583556939</v>
      </c>
      <c r="AG593" s="60">
        <f t="shared" si="348"/>
        <v>0.99999999999999967</v>
      </c>
      <c r="AH593" s="60">
        <f t="shared" si="326"/>
        <v>19016828.583556931</v>
      </c>
      <c r="AI593" s="60">
        <f t="shared" si="352"/>
        <v>61.441551209950781</v>
      </c>
      <c r="AJ593" s="60">
        <f t="shared" si="353"/>
        <v>0</v>
      </c>
      <c r="AK593" s="59">
        <f t="shared" si="355"/>
        <v>3.1999999999999806E-2</v>
      </c>
    </row>
    <row r="594" spans="1:37" ht="12.75" customHeight="1" x14ac:dyDescent="0.25">
      <c r="A594" s="62" t="s">
        <v>614</v>
      </c>
      <c r="B594" s="62" t="s">
        <v>402</v>
      </c>
      <c r="C594" s="62" t="s">
        <v>405</v>
      </c>
      <c r="D594" s="124">
        <v>2024</v>
      </c>
      <c r="E594" s="62" t="s">
        <v>676</v>
      </c>
      <c r="F594" s="64">
        <f>SIM_Parametres!$C$30</f>
        <v>1437888236.9117422</v>
      </c>
      <c r="G594" s="125">
        <f>SIM_Districts!D26*(1+SIM_Parametres!$B$6)^(2024-2023)</f>
        <v>243578.52000000002</v>
      </c>
      <c r="H594" s="125">
        <f>MAX(0,MIN(100,SIM_Districts!F26+(2024-2022)*SIM_Parametres!$B$7))</f>
        <v>56.540000000000006</v>
      </c>
      <c r="I594" s="125">
        <f>SIM_Districts!G26*(1+SIM_Parametres!$B$8)^(2024-2023)</f>
        <v>37.599999999999994</v>
      </c>
      <c r="J594" s="125">
        <f>SIM_Districts!H26*(1+SIM_Parametres!$B$9)^(2024-2023)</f>
        <v>25.56</v>
      </c>
      <c r="K594" s="125">
        <f>MAX(0,MIN(100,SIM_Districts!I26+(2024-2023)*SIM_Parametres!$B$10))</f>
        <v>87.4</v>
      </c>
      <c r="L594" s="125">
        <f>SIM_Districts!E26</f>
        <v>4537</v>
      </c>
      <c r="M594" s="61">
        <f t="shared" si="349"/>
        <v>53.687132466387482</v>
      </c>
      <c r="N594" s="125">
        <f>N523*(1+SIM_Parametres!$B$6)/(1+SIM_Parametres!$B$11)</f>
        <v>169739</v>
      </c>
      <c r="O594" s="132"/>
      <c r="P594" s="126">
        <f>SIM_Parametres!$D$30</f>
        <v>0</v>
      </c>
      <c r="Q594" s="126">
        <f>SIM_Parametres!$B$12</f>
        <v>0.2</v>
      </c>
      <c r="R594" s="66">
        <f t="shared" si="338"/>
        <v>1.3046394019591772E-2</v>
      </c>
      <c r="S594" s="66">
        <f t="shared" si="339"/>
        <v>0.86702127659574468</v>
      </c>
      <c r="T594" s="66">
        <f t="shared" si="340"/>
        <v>1</v>
      </c>
      <c r="U594" s="66">
        <f t="shared" si="341"/>
        <v>0.65615433798264988</v>
      </c>
      <c r="V594" s="66">
        <f t="shared" si="342"/>
        <v>0.76566328194948607</v>
      </c>
      <c r="W594" s="66">
        <f t="shared" si="343"/>
        <v>2.06721623335447E-2</v>
      </c>
      <c r="X594" s="66">
        <f t="shared" si="344"/>
        <v>1.9788990324167716E-2</v>
      </c>
      <c r="Y594" s="66">
        <f t="shared" si="345"/>
        <v>1.6764552702001334E-2</v>
      </c>
      <c r="Z594" s="66">
        <f t="shared" si="346"/>
        <v>2.8102407336645013E-2</v>
      </c>
      <c r="AA594" s="66">
        <f t="shared" si="350"/>
        <v>1.6140357312344245E-2</v>
      </c>
      <c r="AB594" s="66">
        <f t="shared" si="347"/>
        <v>1.9379571426411068E-2</v>
      </c>
      <c r="AC594" s="67">
        <f t="shared" si="351"/>
        <v>22616813.334929161</v>
      </c>
      <c r="AD594" s="67">
        <f t="shared" si="324"/>
        <v>27865657.790427387</v>
      </c>
      <c r="AE594" s="66">
        <f t="shared" si="354"/>
        <v>3.200000000000025E-2</v>
      </c>
      <c r="AF594" s="67">
        <f t="shared" si="325"/>
        <v>27865657.790427387</v>
      </c>
      <c r="AG594" s="67">
        <f t="shared" si="348"/>
        <v>0.99999999999999967</v>
      </c>
      <c r="AH594" s="67">
        <f t="shared" si="326"/>
        <v>27865657.790427379</v>
      </c>
      <c r="AI594" s="67">
        <f t="shared" si="352"/>
        <v>114.40112941989867</v>
      </c>
      <c r="AJ594" s="67">
        <f t="shared" si="353"/>
        <v>0</v>
      </c>
      <c r="AK594" s="66">
        <f t="shared" si="355"/>
        <v>3.2000000000000028E-2</v>
      </c>
    </row>
    <row r="595" spans="1:37" ht="12.75" customHeight="1" x14ac:dyDescent="0.25">
      <c r="A595" s="55" t="s">
        <v>615</v>
      </c>
      <c r="B595" s="55" t="s">
        <v>402</v>
      </c>
      <c r="C595" s="55" t="s">
        <v>406</v>
      </c>
      <c r="D595" s="128">
        <v>2024</v>
      </c>
      <c r="E595" s="55" t="s">
        <v>676</v>
      </c>
      <c r="F595" s="57">
        <f>SIM_Parametres!$C$30</f>
        <v>1437888236.9117422</v>
      </c>
      <c r="G595" s="129">
        <f>SIM_Districts!D27*(1+SIM_Parametres!$B$6)^(2024-2023)</f>
        <v>141082.19</v>
      </c>
      <c r="H595" s="129">
        <f>MAX(0,MIN(100,SIM_Districts!F27+(2024-2022)*SIM_Parametres!$B$7))</f>
        <v>56.540000000000006</v>
      </c>
      <c r="I595" s="129">
        <f>SIM_Districts!G27*(1+SIM_Parametres!$B$8)^(2024-2023)</f>
        <v>37.599999999999994</v>
      </c>
      <c r="J595" s="129">
        <f>SIM_Districts!H27*(1+SIM_Parametres!$B$9)^(2024-2023)</f>
        <v>25.56</v>
      </c>
      <c r="K595" s="129">
        <f>MAX(0,MIN(100,SIM_Districts!I27+(2024-2023)*SIM_Parametres!$B$10))</f>
        <v>87.4</v>
      </c>
      <c r="L595" s="129">
        <f>SIM_Districts!E27</f>
        <v>2765</v>
      </c>
      <c r="M595" s="68">
        <f t="shared" si="349"/>
        <v>51.02430018083183</v>
      </c>
      <c r="N595" s="129">
        <f>N524*(1+SIM_Parametres!$B$6)/(1+SIM_Parametres!$B$11)</f>
        <v>169739</v>
      </c>
      <c r="O595" s="72"/>
      <c r="P595" s="130">
        <f>SIM_Parametres!$D$30</f>
        <v>0</v>
      </c>
      <c r="Q595" s="130">
        <f>SIM_Parametres!$B$12</f>
        <v>0.2</v>
      </c>
      <c r="R595" s="59">
        <f t="shared" si="338"/>
        <v>7.5565523589145294E-3</v>
      </c>
      <c r="S595" s="59">
        <f t="shared" si="339"/>
        <v>0.86702127659574468</v>
      </c>
      <c r="T595" s="59">
        <f t="shared" si="340"/>
        <v>1</v>
      </c>
      <c r="U595" s="59">
        <f t="shared" si="341"/>
        <v>0.59480805510502432</v>
      </c>
      <c r="V595" s="59">
        <f t="shared" si="342"/>
        <v>0.76566328194948607</v>
      </c>
      <c r="W595" s="59">
        <f t="shared" si="343"/>
        <v>2.06721623335447E-2</v>
      </c>
      <c r="X595" s="59">
        <f t="shared" si="344"/>
        <v>1.9788990324167716E-2</v>
      </c>
      <c r="Y595" s="59">
        <f t="shared" si="345"/>
        <v>1.5197172997501035E-2</v>
      </c>
      <c r="Z595" s="59">
        <f t="shared" si="346"/>
        <v>2.8102407336645013E-2</v>
      </c>
      <c r="AA595" s="59">
        <f t="shared" si="350"/>
        <v>1.2768083330712884E-2</v>
      </c>
      <c r="AB595" s="59">
        <f t="shared" si="347"/>
        <v>1.2841581014119445E-2</v>
      </c>
      <c r="AC595" s="60">
        <f t="shared" si="351"/>
        <v>18737650.863064148</v>
      </c>
      <c r="AD595" s="60">
        <f t="shared" si="324"/>
        <v>18464758.28355151</v>
      </c>
      <c r="AE595" s="59">
        <f t="shared" si="354"/>
        <v>3.200000000000025E-2</v>
      </c>
      <c r="AF595" s="60">
        <f t="shared" si="325"/>
        <v>18464758.28355151</v>
      </c>
      <c r="AG595" s="60">
        <f t="shared" si="348"/>
        <v>0.99999999999999967</v>
      </c>
      <c r="AH595" s="60">
        <f t="shared" si="326"/>
        <v>18464758.283551503</v>
      </c>
      <c r="AI595" s="60">
        <f t="shared" si="352"/>
        <v>130.87944185975212</v>
      </c>
      <c r="AJ595" s="60">
        <f t="shared" si="353"/>
        <v>0</v>
      </c>
      <c r="AK595" s="59">
        <f t="shared" si="355"/>
        <v>3.2000000000000028E-2</v>
      </c>
    </row>
    <row r="596" spans="1:37" ht="12.75" customHeight="1" x14ac:dyDescent="0.25">
      <c r="A596" s="62" t="s">
        <v>616</v>
      </c>
      <c r="B596" s="62" t="s">
        <v>407</v>
      </c>
      <c r="C596" s="62" t="s">
        <v>409</v>
      </c>
      <c r="D596" s="124">
        <v>2024</v>
      </c>
      <c r="E596" s="62" t="s">
        <v>676</v>
      </c>
      <c r="F596" s="64">
        <f>SIM_Parametres!$C$30</f>
        <v>1437888236.9117422</v>
      </c>
      <c r="G596" s="125">
        <f>SIM_Districts!D28*(1+SIM_Parametres!$B$6)^(2024-2023)</f>
        <v>165044.11000000002</v>
      </c>
      <c r="H596" s="125">
        <f>MAX(0,MIN(100,SIM_Districts!F28+(2024-2022)*SIM_Parametres!$B$7))</f>
        <v>47.940000000000005</v>
      </c>
      <c r="I596" s="125">
        <f>SIM_Districts!G28*(1+SIM_Parametres!$B$8)^(2024-2023)</f>
        <v>37.599999999999994</v>
      </c>
      <c r="J596" s="125">
        <f>SIM_Districts!H28*(1+SIM_Parametres!$B$9)^(2024-2023)</f>
        <v>13.14</v>
      </c>
      <c r="K596" s="125">
        <f>MAX(0,MIN(100,SIM_Districts!I28+(2024-2023)*SIM_Parametres!$B$10))</f>
        <v>95.1</v>
      </c>
      <c r="L596" s="125">
        <f>SIM_Districts!E28</f>
        <v>1066</v>
      </c>
      <c r="M596" s="61">
        <f t="shared" si="349"/>
        <v>154.82561913696063</v>
      </c>
      <c r="N596" s="125">
        <f>N525*(1+SIM_Parametres!$B$6)/(1+SIM_Parametres!$B$11)</f>
        <v>190293</v>
      </c>
      <c r="O596" s="132"/>
      <c r="P596" s="126">
        <f>SIM_Parametres!$D$30</f>
        <v>0</v>
      </c>
      <c r="Q596" s="126">
        <f>SIM_Parametres!$B$12</f>
        <v>0.2</v>
      </c>
      <c r="R596" s="66">
        <f t="shared" si="338"/>
        <v>8.8399851090024129E-3</v>
      </c>
      <c r="S596" s="66">
        <f t="shared" si="339"/>
        <v>0.71453900709219853</v>
      </c>
      <c r="T596" s="66">
        <f t="shared" si="340"/>
        <v>0.61878453038674031</v>
      </c>
      <c r="U596" s="66">
        <f t="shared" si="341"/>
        <v>0.53452867131516979</v>
      </c>
      <c r="V596" s="66">
        <f t="shared" si="342"/>
        <v>0.90832112938040932</v>
      </c>
      <c r="W596" s="66">
        <f t="shared" si="343"/>
        <v>1.7036567321919251E-2</v>
      </c>
      <c r="X596" s="66">
        <f t="shared" si="344"/>
        <v>1.2245121084567868E-2</v>
      </c>
      <c r="Y596" s="66">
        <f t="shared" si="345"/>
        <v>1.3657052254725572E-2</v>
      </c>
      <c r="Z596" s="66">
        <f t="shared" si="346"/>
        <v>3.333842822570373E-2</v>
      </c>
      <c r="AA596" s="66">
        <f t="shared" si="350"/>
        <v>1.204601835039598E-2</v>
      </c>
      <c r="AB596" s="66">
        <f t="shared" si="347"/>
        <v>1.2106456160514307E-2</v>
      </c>
      <c r="AC596" s="67">
        <f t="shared" si="351"/>
        <v>17907051.869877283</v>
      </c>
      <c r="AD596" s="67">
        <f t="shared" si="324"/>
        <v>17407730.903891217</v>
      </c>
      <c r="AE596" s="66">
        <f t="shared" si="354"/>
        <v>3.200000000000025E-2</v>
      </c>
      <c r="AF596" s="67">
        <f t="shared" si="325"/>
        <v>17407730.903891217</v>
      </c>
      <c r="AG596" s="67">
        <f t="shared" si="348"/>
        <v>0.99999999999999967</v>
      </c>
      <c r="AH596" s="67">
        <f t="shared" si="326"/>
        <v>17407730.90389121</v>
      </c>
      <c r="AI596" s="67">
        <f t="shared" si="352"/>
        <v>105.47320291460997</v>
      </c>
      <c r="AJ596" s="67">
        <f t="shared" si="353"/>
        <v>0</v>
      </c>
      <c r="AK596" s="66">
        <f t="shared" si="355"/>
        <v>3.1999999999999806E-2</v>
      </c>
    </row>
    <row r="597" spans="1:37" ht="12.75" customHeight="1" x14ac:dyDescent="0.25">
      <c r="A597" s="55" t="s">
        <v>618</v>
      </c>
      <c r="B597" s="55" t="s">
        <v>407</v>
      </c>
      <c r="C597" s="55" t="s">
        <v>410</v>
      </c>
      <c r="D597" s="128">
        <v>2024</v>
      </c>
      <c r="E597" s="55" t="s">
        <v>676</v>
      </c>
      <c r="F597" s="57">
        <f>SIM_Parametres!$C$30</f>
        <v>1437888236.9117422</v>
      </c>
      <c r="G597" s="129">
        <f>SIM_Districts!D29*(1+SIM_Parametres!$B$6)^(2024-2023)</f>
        <v>448653.58</v>
      </c>
      <c r="H597" s="129">
        <f>MAX(0,MIN(100,SIM_Districts!F29+(2024-2022)*SIM_Parametres!$B$7))</f>
        <v>47.940000000000005</v>
      </c>
      <c r="I597" s="129">
        <f>SIM_Districts!G29*(1+SIM_Parametres!$B$8)^(2024-2023)</f>
        <v>37.599999999999994</v>
      </c>
      <c r="J597" s="129">
        <f>SIM_Districts!H29*(1+SIM_Parametres!$B$9)^(2024-2023)</f>
        <v>13.14</v>
      </c>
      <c r="K597" s="129">
        <f>MAX(0,MIN(100,SIM_Districts!I29+(2024-2023)*SIM_Parametres!$B$10))</f>
        <v>95.1</v>
      </c>
      <c r="L597" s="129">
        <f>SIM_Districts!E29</f>
        <v>535</v>
      </c>
      <c r="M597" s="68">
        <f t="shared" si="349"/>
        <v>838.60482242990656</v>
      </c>
      <c r="N597" s="129">
        <f>N526*(1+SIM_Parametres!$B$6)/(1+SIM_Parametres!$B$11)</f>
        <v>190293</v>
      </c>
      <c r="O597" s="72"/>
      <c r="P597" s="130">
        <f>SIM_Parametres!$D$30</f>
        <v>0</v>
      </c>
      <c r="Q597" s="130">
        <f>SIM_Parametres!$B$12</f>
        <v>0.2</v>
      </c>
      <c r="R597" s="59">
        <f t="shared" si="338"/>
        <v>2.4030490796070354E-2</v>
      </c>
      <c r="S597" s="59">
        <f t="shared" si="339"/>
        <v>0.71453900709219853</v>
      </c>
      <c r="T597" s="59">
        <f t="shared" si="340"/>
        <v>0.61878453038674031</v>
      </c>
      <c r="U597" s="59">
        <f t="shared" si="341"/>
        <v>0.50674567312414032</v>
      </c>
      <c r="V597" s="59">
        <f t="shared" si="342"/>
        <v>0.90832112938040932</v>
      </c>
      <c r="W597" s="59">
        <f t="shared" si="343"/>
        <v>1.7036567321919251E-2</v>
      </c>
      <c r="X597" s="59">
        <f t="shared" si="344"/>
        <v>1.2245121084567868E-2</v>
      </c>
      <c r="Y597" s="59">
        <f t="shared" si="345"/>
        <v>1.2947204722778846E-2</v>
      </c>
      <c r="Z597" s="59">
        <f t="shared" si="346"/>
        <v>3.333842822570373E-2</v>
      </c>
      <c r="AA597" s="59">
        <f t="shared" si="350"/>
        <v>2.1124829386039407E-2</v>
      </c>
      <c r="AB597" s="59">
        <f t="shared" si="347"/>
        <v>1.4237898164624287E-2</v>
      </c>
      <c r="AC597" s="60">
        <f t="shared" si="351"/>
        <v>28350504.34451424</v>
      </c>
      <c r="AD597" s="60">
        <f t="shared" si="324"/>
        <v>20472506.289260548</v>
      </c>
      <c r="AE597" s="59">
        <f t="shared" si="354"/>
        <v>3.2000000000000473E-2</v>
      </c>
      <c r="AF597" s="60">
        <f t="shared" si="325"/>
        <v>20472506.289260548</v>
      </c>
      <c r="AG597" s="60">
        <f t="shared" si="348"/>
        <v>0.99999999999999967</v>
      </c>
      <c r="AH597" s="60">
        <f t="shared" si="326"/>
        <v>20472506.28926054</v>
      </c>
      <c r="AI597" s="60">
        <f t="shared" si="352"/>
        <v>45.630988365813415</v>
      </c>
      <c r="AJ597" s="60">
        <f t="shared" si="353"/>
        <v>0</v>
      </c>
      <c r="AK597" s="59">
        <f t="shared" si="355"/>
        <v>3.2000000000000028E-2</v>
      </c>
    </row>
    <row r="598" spans="1:37" ht="12.75" customHeight="1" x14ac:dyDescent="0.25">
      <c r="A598" s="62" t="s">
        <v>619</v>
      </c>
      <c r="B598" s="62" t="s">
        <v>407</v>
      </c>
      <c r="C598" s="62" t="s">
        <v>411</v>
      </c>
      <c r="D598" s="124">
        <v>2024</v>
      </c>
      <c r="E598" s="62" t="s">
        <v>676</v>
      </c>
      <c r="F598" s="64">
        <f>SIM_Parametres!$C$30</f>
        <v>1437888236.9117422</v>
      </c>
      <c r="G598" s="125">
        <f>SIM_Districts!D30*(1+SIM_Parametres!$B$6)^(2024-2023)</f>
        <v>251686.68</v>
      </c>
      <c r="H598" s="125">
        <f>MAX(0,MIN(100,SIM_Districts!F30+(2024-2022)*SIM_Parametres!$B$7))</f>
        <v>47.940000000000005</v>
      </c>
      <c r="I598" s="125">
        <f>SIM_Districts!G30*(1+SIM_Parametres!$B$8)^(2024-2023)</f>
        <v>37.599999999999994</v>
      </c>
      <c r="J598" s="125">
        <f>SIM_Districts!H30*(1+SIM_Parametres!$B$9)^(2024-2023)</f>
        <v>13.14</v>
      </c>
      <c r="K598" s="125">
        <f>MAX(0,MIN(100,SIM_Districts!I30+(2024-2023)*SIM_Parametres!$B$10))</f>
        <v>95.1</v>
      </c>
      <c r="L598" s="125">
        <f>SIM_Districts!E30</f>
        <v>1359</v>
      </c>
      <c r="M598" s="61">
        <f t="shared" si="349"/>
        <v>185.19991169977925</v>
      </c>
      <c r="N598" s="125">
        <f>N527*(1+SIM_Parametres!$B$6)/(1+SIM_Parametres!$B$11)</f>
        <v>190293</v>
      </c>
      <c r="O598" s="132"/>
      <c r="P598" s="126">
        <f>SIM_Parametres!$D$30</f>
        <v>0</v>
      </c>
      <c r="Q598" s="126">
        <f>SIM_Parametres!$B$12</f>
        <v>0.2</v>
      </c>
      <c r="R598" s="66">
        <f t="shared" si="338"/>
        <v>1.3480678003803075E-2</v>
      </c>
      <c r="S598" s="66">
        <f t="shared" si="339"/>
        <v>0.71453900709219853</v>
      </c>
      <c r="T598" s="66">
        <f t="shared" si="340"/>
        <v>0.61878453038674031</v>
      </c>
      <c r="U598" s="66">
        <f t="shared" si="341"/>
        <v>0.54426125050867202</v>
      </c>
      <c r="V598" s="66">
        <f t="shared" si="342"/>
        <v>0.90832112938040932</v>
      </c>
      <c r="W598" s="66">
        <f t="shared" si="343"/>
        <v>1.7036567321919251E-2</v>
      </c>
      <c r="X598" s="66">
        <f t="shared" si="344"/>
        <v>1.2245121084567868E-2</v>
      </c>
      <c r="Y598" s="66">
        <f t="shared" si="345"/>
        <v>1.3905716825499443E-2</v>
      </c>
      <c r="Z598" s="66">
        <f t="shared" si="346"/>
        <v>3.333842822570373E-2</v>
      </c>
      <c r="AA598" s="66">
        <f t="shared" si="350"/>
        <v>1.4842867315815071E-2</v>
      </c>
      <c r="AB598" s="66">
        <f t="shared" si="347"/>
        <v>1.3021371549744015E-2</v>
      </c>
      <c r="AC598" s="67">
        <f t="shared" si="351"/>
        <v>21124296.852113191</v>
      </c>
      <c r="AD598" s="67">
        <f t="shared" si="324"/>
        <v>18723276.979834143</v>
      </c>
      <c r="AE598" s="66">
        <f t="shared" si="354"/>
        <v>3.2000000000000473E-2</v>
      </c>
      <c r="AF598" s="67">
        <f t="shared" si="325"/>
        <v>18723276.979834143</v>
      </c>
      <c r="AG598" s="67">
        <f t="shared" si="348"/>
        <v>0.99999999999999967</v>
      </c>
      <c r="AH598" s="67">
        <f t="shared" si="326"/>
        <v>18723276.979834136</v>
      </c>
      <c r="AI598" s="67">
        <f t="shared" si="352"/>
        <v>74.391211246594921</v>
      </c>
      <c r="AJ598" s="67">
        <f t="shared" si="353"/>
        <v>0</v>
      </c>
      <c r="AK598" s="66">
        <f t="shared" si="355"/>
        <v>3.2000000000000028E-2</v>
      </c>
    </row>
    <row r="599" spans="1:37" ht="12.75" customHeight="1" x14ac:dyDescent="0.25">
      <c r="A599" s="55" t="s">
        <v>620</v>
      </c>
      <c r="B599" s="55" t="s">
        <v>407</v>
      </c>
      <c r="C599" s="55" t="s">
        <v>412</v>
      </c>
      <c r="D599" s="128">
        <v>2024</v>
      </c>
      <c r="E599" s="55" t="s">
        <v>676</v>
      </c>
      <c r="F599" s="57">
        <f>SIM_Parametres!$C$30</f>
        <v>1437888236.9117422</v>
      </c>
      <c r="G599" s="129">
        <f>SIM_Districts!D31*(1+SIM_Parametres!$B$6)^(2024-2023)</f>
        <v>511437.23000000004</v>
      </c>
      <c r="H599" s="129">
        <f>MAX(0,MIN(100,SIM_Districts!F31+(2024-2022)*SIM_Parametres!$B$7))</f>
        <v>47.940000000000005</v>
      </c>
      <c r="I599" s="129">
        <f>SIM_Districts!G31*(1+SIM_Parametres!$B$8)^(2024-2023)</f>
        <v>37.599999999999994</v>
      </c>
      <c r="J599" s="129">
        <f>SIM_Districts!H31*(1+SIM_Parametres!$B$9)^(2024-2023)</f>
        <v>13.14</v>
      </c>
      <c r="K599" s="129">
        <f>MAX(0,MIN(100,SIM_Districts!I31+(2024-2023)*SIM_Parametres!$B$10))</f>
        <v>95.1</v>
      </c>
      <c r="L599" s="129">
        <f>SIM_Districts!E31</f>
        <v>2302</v>
      </c>
      <c r="M599" s="68">
        <f t="shared" si="349"/>
        <v>222.17082102519549</v>
      </c>
      <c r="N599" s="129">
        <f>N528*(1+SIM_Parametres!$B$6)/(1+SIM_Parametres!$B$11)</f>
        <v>190293</v>
      </c>
      <c r="O599" s="72"/>
      <c r="P599" s="130">
        <f>SIM_Parametres!$D$30</f>
        <v>0</v>
      </c>
      <c r="Q599" s="130">
        <f>SIM_Parametres!$B$12</f>
        <v>0.2</v>
      </c>
      <c r="R599" s="59">
        <f t="shared" si="338"/>
        <v>2.7393267759688259E-2</v>
      </c>
      <c r="S599" s="59">
        <f t="shared" si="339"/>
        <v>0.71453900709219853</v>
      </c>
      <c r="T599" s="59">
        <f t="shared" si="340"/>
        <v>0.61878453038674031</v>
      </c>
      <c r="U599" s="59">
        <f t="shared" si="341"/>
        <v>0.5764195329812869</v>
      </c>
      <c r="V599" s="59">
        <f t="shared" si="342"/>
        <v>0.90832112938040932</v>
      </c>
      <c r="W599" s="59">
        <f t="shared" si="343"/>
        <v>1.7036567321919251E-2</v>
      </c>
      <c r="X599" s="59">
        <f t="shared" si="344"/>
        <v>1.2245121084567868E-2</v>
      </c>
      <c r="Y599" s="59">
        <f t="shared" si="345"/>
        <v>1.4727351599683094E-2</v>
      </c>
      <c r="Z599" s="59">
        <f t="shared" si="346"/>
        <v>3.333842822570373E-2</v>
      </c>
      <c r="AA599" s="59">
        <f t="shared" si="350"/>
        <v>2.3231502908055368E-2</v>
      </c>
      <c r="AB599" s="59">
        <f t="shared" si="347"/>
        <v>1.7670721195287814E-2</v>
      </c>
      <c r="AC599" s="60">
        <f t="shared" si="351"/>
        <v>30773833.205570381</v>
      </c>
      <c r="AD599" s="60">
        <f t="shared" si="324"/>
        <v>25408522.14445135</v>
      </c>
      <c r="AE599" s="59">
        <f t="shared" si="354"/>
        <v>3.2000000000000473E-2</v>
      </c>
      <c r="AF599" s="60">
        <f t="shared" si="325"/>
        <v>25408522.14445135</v>
      </c>
      <c r="AG599" s="60">
        <f t="shared" si="348"/>
        <v>0.99999999999999967</v>
      </c>
      <c r="AH599" s="60">
        <f t="shared" si="326"/>
        <v>25408522.144451343</v>
      </c>
      <c r="AI599" s="60">
        <f t="shared" si="352"/>
        <v>49.680626778874391</v>
      </c>
      <c r="AJ599" s="60">
        <f t="shared" si="353"/>
        <v>0</v>
      </c>
      <c r="AK599" s="59">
        <f t="shared" si="355"/>
        <v>3.2000000000000028E-2</v>
      </c>
    </row>
    <row r="600" spans="1:37" ht="12.75" customHeight="1" x14ac:dyDescent="0.25">
      <c r="A600" s="62" t="s">
        <v>621</v>
      </c>
      <c r="B600" s="62" t="s">
        <v>413</v>
      </c>
      <c r="C600" s="62" t="s">
        <v>413</v>
      </c>
      <c r="D600" s="124">
        <v>2024</v>
      </c>
      <c r="E600" s="62" t="s">
        <v>676</v>
      </c>
      <c r="F600" s="64">
        <f>SIM_Parametres!$C$30</f>
        <v>1437888236.9117422</v>
      </c>
      <c r="G600" s="125">
        <f>SIM_Districts!D32*(1+SIM_Parametres!$B$6)^(2024-2023)</f>
        <v>130994.37000000001</v>
      </c>
      <c r="H600" s="125">
        <f>MAX(0,MIN(100,SIM_Districts!F32+(2024-2022)*SIM_Parametres!$B$7))</f>
        <v>64.040000000000006</v>
      </c>
      <c r="I600" s="125">
        <f>SIM_Districts!G32*(1+SIM_Parametres!$B$8)^(2024-2023)</f>
        <v>37.599999999999994</v>
      </c>
      <c r="J600" s="125">
        <f>SIM_Districts!H32*(1+SIM_Parametres!$B$9)^(2024-2023)</f>
        <v>19.170000000000002</v>
      </c>
      <c r="K600" s="125">
        <f>MAX(0,MIN(100,SIM_Districts!I32+(2024-2023)*SIM_Parametres!$B$10))</f>
        <v>89.6</v>
      </c>
      <c r="L600" s="125">
        <f>SIM_Districts!E32</f>
        <v>7061</v>
      </c>
      <c r="M600" s="61">
        <f t="shared" si="349"/>
        <v>18.551815606854554</v>
      </c>
      <c r="N600" s="125">
        <f>N529*(1+SIM_Parametres!$B$6)/(1+SIM_Parametres!$B$11)</f>
        <v>59423</v>
      </c>
      <c r="O600" s="132"/>
      <c r="P600" s="126">
        <f>SIM_Parametres!$D$30</f>
        <v>0</v>
      </c>
      <c r="Q600" s="126">
        <f>SIM_Parametres!$B$12</f>
        <v>0.2</v>
      </c>
      <c r="R600" s="66">
        <f t="shared" si="338"/>
        <v>7.0162351153467547E-3</v>
      </c>
      <c r="S600" s="66">
        <f t="shared" si="339"/>
        <v>1</v>
      </c>
      <c r="T600" s="66">
        <f t="shared" si="340"/>
        <v>0.80386740331491713</v>
      </c>
      <c r="U600" s="66">
        <f t="shared" si="341"/>
        <v>0.7440692299347168</v>
      </c>
      <c r="V600" s="66">
        <f t="shared" si="342"/>
        <v>0</v>
      </c>
      <c r="W600" s="66">
        <f t="shared" si="343"/>
        <v>2.3842739378566891E-2</v>
      </c>
      <c r="X600" s="66">
        <f t="shared" si="344"/>
        <v>1.590772426611272E-2</v>
      </c>
      <c r="Y600" s="66">
        <f t="shared" si="345"/>
        <v>1.9010752649337735E-2</v>
      </c>
      <c r="Z600" s="66">
        <f t="shared" si="346"/>
        <v>0</v>
      </c>
      <c r="AA600" s="66">
        <f t="shared" si="350"/>
        <v>1.1122848248376881E-2</v>
      </c>
      <c r="AB600" s="66">
        <f t="shared" si="347"/>
        <v>1.7768177747308614E-2</v>
      </c>
      <c r="AC600" s="67">
        <f t="shared" si="351"/>
        <v>16845119.525587782</v>
      </c>
      <c r="AD600" s="67">
        <f t="shared" si="324"/>
        <v>25548653.774212033</v>
      </c>
      <c r="AE600" s="66">
        <f t="shared" si="354"/>
        <v>3.200000000000025E-2</v>
      </c>
      <c r="AF600" s="67">
        <f t="shared" si="325"/>
        <v>25548653.774212033</v>
      </c>
      <c r="AG600" s="67">
        <f t="shared" si="348"/>
        <v>0.99999999999999967</v>
      </c>
      <c r="AH600" s="67">
        <f t="shared" si="326"/>
        <v>25548653.774212025</v>
      </c>
      <c r="AI600" s="67">
        <f t="shared" si="352"/>
        <v>195.03627349947959</v>
      </c>
      <c r="AJ600" s="67">
        <f t="shared" si="353"/>
        <v>0</v>
      </c>
      <c r="AK600" s="66">
        <f t="shared" si="355"/>
        <v>3.2000000000000028E-2</v>
      </c>
    </row>
    <row r="601" spans="1:37" ht="12.75" customHeight="1" x14ac:dyDescent="0.25">
      <c r="A601" s="55" t="s">
        <v>623</v>
      </c>
      <c r="B601" s="55" t="s">
        <v>413</v>
      </c>
      <c r="C601" s="55" t="s">
        <v>415</v>
      </c>
      <c r="D601" s="128">
        <v>2024</v>
      </c>
      <c r="E601" s="55" t="s">
        <v>676</v>
      </c>
      <c r="F601" s="57">
        <f>SIM_Parametres!$C$30</f>
        <v>1437888236.9117422</v>
      </c>
      <c r="G601" s="129">
        <f>SIM_Districts!D33*(1+SIM_Parametres!$B$6)^(2024-2023)</f>
        <v>36886.36</v>
      </c>
      <c r="H601" s="129">
        <f>MAX(0,MIN(100,SIM_Districts!F33+(2024-2022)*SIM_Parametres!$B$7))</f>
        <v>64.040000000000006</v>
      </c>
      <c r="I601" s="129">
        <f>SIM_Districts!G33*(1+SIM_Parametres!$B$8)^(2024-2023)</f>
        <v>37.599999999999994</v>
      </c>
      <c r="J601" s="129">
        <f>SIM_Districts!H33*(1+SIM_Parametres!$B$9)^(2024-2023)</f>
        <v>19.170000000000002</v>
      </c>
      <c r="K601" s="129">
        <f>MAX(0,MIN(100,SIM_Districts!I33+(2024-2023)*SIM_Parametres!$B$10))</f>
        <v>89.6</v>
      </c>
      <c r="L601" s="129">
        <f>SIM_Districts!E33</f>
        <v>1931</v>
      </c>
      <c r="M601" s="68">
        <f t="shared" si="349"/>
        <v>19.102206110823406</v>
      </c>
      <c r="N601" s="129">
        <f>N530*(1+SIM_Parametres!$B$6)/(1+SIM_Parametres!$B$11)</f>
        <v>59423</v>
      </c>
      <c r="O601" s="72"/>
      <c r="P601" s="130">
        <f>SIM_Parametres!$D$30</f>
        <v>0</v>
      </c>
      <c r="Q601" s="130">
        <f>SIM_Parametres!$B$12</f>
        <v>0.2</v>
      </c>
      <c r="R601" s="59">
        <f t="shared" si="338"/>
        <v>1.9756831863027543E-3</v>
      </c>
      <c r="S601" s="59">
        <f t="shared" si="339"/>
        <v>1</v>
      </c>
      <c r="T601" s="59">
        <f t="shared" si="340"/>
        <v>0.80386740331491713</v>
      </c>
      <c r="U601" s="59">
        <f t="shared" si="341"/>
        <v>0.56635625479419383</v>
      </c>
      <c r="V601" s="59">
        <f t="shared" si="342"/>
        <v>0</v>
      </c>
      <c r="W601" s="59">
        <f t="shared" si="343"/>
        <v>2.3842739378566891E-2</v>
      </c>
      <c r="X601" s="59">
        <f t="shared" si="344"/>
        <v>1.590772426611272E-2</v>
      </c>
      <c r="Y601" s="59">
        <f t="shared" si="345"/>
        <v>1.4470237765701426E-2</v>
      </c>
      <c r="Z601" s="59">
        <f t="shared" si="346"/>
        <v>0</v>
      </c>
      <c r="AA601" s="59">
        <f t="shared" si="350"/>
        <v>7.8714913467686654E-3</v>
      </c>
      <c r="AB601" s="59">
        <f t="shared" si="347"/>
        <v>1.2869305722883976E-2</v>
      </c>
      <c r="AC601" s="60">
        <f t="shared" si="351"/>
        <v>13105049.251328373</v>
      </c>
      <c r="AD601" s="60">
        <f t="shared" ref="AD601:AD664" si="356">F601*((1-P601)*AB601+P601*(Q601/71+(1-Q601)*AA601))</f>
        <v>18504623.316155836</v>
      </c>
      <c r="AE601" s="59">
        <f t="shared" si="354"/>
        <v>3.2000000000000473E-2</v>
      </c>
      <c r="AF601" s="60">
        <f t="shared" ref="AF601:AF664" si="357">AD601</f>
        <v>18504623.316155836</v>
      </c>
      <c r="AG601" s="60">
        <f t="shared" si="348"/>
        <v>0.99999999999999967</v>
      </c>
      <c r="AH601" s="60">
        <f t="shared" ref="AH601:AH664" si="358">AF601*AG601</f>
        <v>18504623.316155829</v>
      </c>
      <c r="AI601" s="60">
        <f t="shared" si="352"/>
        <v>501.66574625839547</v>
      </c>
      <c r="AJ601" s="60">
        <f t="shared" si="353"/>
        <v>0</v>
      </c>
      <c r="AK601" s="59">
        <f t="shared" si="355"/>
        <v>3.2000000000000028E-2</v>
      </c>
    </row>
    <row r="602" spans="1:37" ht="12.75" customHeight="1" x14ac:dyDescent="0.25">
      <c r="A602" s="62" t="s">
        <v>624</v>
      </c>
      <c r="B602" s="62" t="s">
        <v>413</v>
      </c>
      <c r="C602" s="62" t="s">
        <v>416</v>
      </c>
      <c r="D602" s="124">
        <v>2024</v>
      </c>
      <c r="E602" s="62" t="s">
        <v>676</v>
      </c>
      <c r="F602" s="64">
        <f>SIM_Parametres!$C$30</f>
        <v>1437888236.9117422</v>
      </c>
      <c r="G602" s="125">
        <f>SIM_Districts!D34*(1+SIM_Parametres!$B$6)^(2024-2023)</f>
        <v>84620.680000000008</v>
      </c>
      <c r="H602" s="125">
        <f>MAX(0,MIN(100,SIM_Districts!F34+(2024-2022)*SIM_Parametres!$B$7))</f>
        <v>64.040000000000006</v>
      </c>
      <c r="I602" s="125">
        <f>SIM_Districts!G34*(1+SIM_Parametres!$B$8)^(2024-2023)</f>
        <v>37.599999999999994</v>
      </c>
      <c r="J602" s="125">
        <f>SIM_Districts!H34*(1+SIM_Parametres!$B$9)^(2024-2023)</f>
        <v>19.170000000000002</v>
      </c>
      <c r="K602" s="125">
        <f>MAX(0,MIN(100,SIM_Districts!I34+(2024-2023)*SIM_Parametres!$B$10))</f>
        <v>89.6</v>
      </c>
      <c r="L602" s="125">
        <f>SIM_Districts!E34</f>
        <v>7918</v>
      </c>
      <c r="M602" s="61">
        <f t="shared" si="349"/>
        <v>10.687128062642083</v>
      </c>
      <c r="N602" s="125">
        <f>N531*(1+SIM_Parametres!$B$6)/(1+SIM_Parametres!$B$11)</f>
        <v>59423</v>
      </c>
      <c r="O602" s="132"/>
      <c r="P602" s="126">
        <f>SIM_Parametres!$D$30</f>
        <v>0</v>
      </c>
      <c r="Q602" s="126">
        <f>SIM_Parametres!$B$12</f>
        <v>0.2</v>
      </c>
      <c r="R602" s="66">
        <f t="shared" si="338"/>
        <v>4.5323977396930937E-3</v>
      </c>
      <c r="S602" s="66">
        <f t="shared" si="339"/>
        <v>1</v>
      </c>
      <c r="T602" s="66">
        <f t="shared" si="340"/>
        <v>0.80386740331491713</v>
      </c>
      <c r="U602" s="66">
        <f t="shared" si="341"/>
        <v>0.77386406994971746</v>
      </c>
      <c r="V602" s="66">
        <f t="shared" si="342"/>
        <v>0</v>
      </c>
      <c r="W602" s="66">
        <f t="shared" si="343"/>
        <v>2.3842739378566891E-2</v>
      </c>
      <c r="X602" s="66">
        <f t="shared" si="344"/>
        <v>1.590772426611272E-2</v>
      </c>
      <c r="Y602" s="66">
        <f t="shared" si="345"/>
        <v>1.9772002155383651E-2</v>
      </c>
      <c r="Z602" s="66">
        <f t="shared" si="346"/>
        <v>0</v>
      </c>
      <c r="AA602" s="66">
        <f t="shared" si="350"/>
        <v>9.6706082982869791E-3</v>
      </c>
      <c r="AB602" s="66">
        <f t="shared" si="347"/>
        <v>1.2918874141584208E-2</v>
      </c>
      <c r="AC602" s="67">
        <f t="shared" si="351"/>
        <v>15174592.532461729</v>
      </c>
      <c r="AD602" s="67">
        <f t="shared" si="356"/>
        <v>18575897.162327215</v>
      </c>
      <c r="AE602" s="66">
        <f t="shared" si="354"/>
        <v>3.200000000000025E-2</v>
      </c>
      <c r="AF602" s="67">
        <f t="shared" si="357"/>
        <v>18575897.162327215</v>
      </c>
      <c r="AG602" s="67">
        <f t="shared" si="348"/>
        <v>0.99999999999999967</v>
      </c>
      <c r="AH602" s="67">
        <f t="shared" si="358"/>
        <v>18575897.162327208</v>
      </c>
      <c r="AI602" s="67">
        <f t="shared" si="352"/>
        <v>219.51959216502641</v>
      </c>
      <c r="AJ602" s="67">
        <f t="shared" si="353"/>
        <v>0</v>
      </c>
      <c r="AK602" s="66">
        <f t="shared" si="355"/>
        <v>3.2000000000000028E-2</v>
      </c>
    </row>
    <row r="603" spans="1:37" ht="12.75" customHeight="1" x14ac:dyDescent="0.25">
      <c r="A603" s="55" t="s">
        <v>625</v>
      </c>
      <c r="B603" s="55" t="s">
        <v>417</v>
      </c>
      <c r="C603" s="55" t="s">
        <v>417</v>
      </c>
      <c r="D603" s="128">
        <v>2024</v>
      </c>
      <c r="E603" s="55" t="s">
        <v>676</v>
      </c>
      <c r="F603" s="57">
        <f>SIM_Parametres!$C$30</f>
        <v>1437888236.9117422</v>
      </c>
      <c r="G603" s="129">
        <f>SIM_Districts!D35*(1+SIM_Parametres!$B$6)^(2024-2023)</f>
        <v>349881.73</v>
      </c>
      <c r="H603" s="129">
        <f>MAX(0,MIN(100,SIM_Districts!F35+(2024-2022)*SIM_Parametres!$B$7))</f>
        <v>60.84</v>
      </c>
      <c r="I603" s="129">
        <f>SIM_Districts!G35*(1+SIM_Parametres!$B$8)^(2024-2023)</f>
        <v>37.599999999999994</v>
      </c>
      <c r="J603" s="129">
        <f>SIM_Districts!H35*(1+SIM_Parametres!$B$9)^(2024-2023)</f>
        <v>16.11</v>
      </c>
      <c r="K603" s="129">
        <f>MAX(0,MIN(100,SIM_Districts!I35+(2024-2023)*SIM_Parametres!$B$10))</f>
        <v>90.5</v>
      </c>
      <c r="L603" s="129">
        <f>SIM_Districts!E35</f>
        <v>3571</v>
      </c>
      <c r="M603" s="68">
        <f t="shared" si="349"/>
        <v>97.978641837020433</v>
      </c>
      <c r="N603" s="129">
        <f>N532*(1+SIM_Parametres!$B$6)/(1+SIM_Parametres!$B$11)</f>
        <v>155501</v>
      </c>
      <c r="O603" s="72"/>
      <c r="P603" s="130">
        <f>SIM_Parametres!$D$30</f>
        <v>0</v>
      </c>
      <c r="Q603" s="130">
        <f>SIM_Parametres!$B$12</f>
        <v>0.2</v>
      </c>
      <c r="R603" s="59">
        <f t="shared" si="338"/>
        <v>1.8740137307002368E-2</v>
      </c>
      <c r="S603" s="59">
        <f t="shared" si="339"/>
        <v>0.94326241134751765</v>
      </c>
      <c r="T603" s="59">
        <f t="shared" si="340"/>
        <v>0.70994475138121538</v>
      </c>
      <c r="U603" s="59">
        <f t="shared" si="341"/>
        <v>0.62208351647816396</v>
      </c>
      <c r="V603" s="59">
        <f t="shared" si="342"/>
        <v>0.66684249613059499</v>
      </c>
      <c r="W603" s="59">
        <f t="shared" si="343"/>
        <v>2.2489959839357421E-2</v>
      </c>
      <c r="X603" s="59">
        <f t="shared" si="344"/>
        <v>1.4049089815776525E-2</v>
      </c>
      <c r="Y603" s="59">
        <f t="shared" si="345"/>
        <v>1.589405311120607E-2</v>
      </c>
      <c r="Z603" s="59">
        <f t="shared" si="346"/>
        <v>2.4475353458158197E-2</v>
      </c>
      <c r="AA603" s="59">
        <f t="shared" si="350"/>
        <v>1.8743410160939729E-2</v>
      </c>
      <c r="AB603" s="59">
        <f t="shared" si="347"/>
        <v>1.4750385205423289E-2</v>
      </c>
      <c r="AC603" s="60">
        <f t="shared" si="351"/>
        <v>25611132.591773197</v>
      </c>
      <c r="AD603" s="60">
        <f t="shared" si="356"/>
        <v>21209405.376795139</v>
      </c>
      <c r="AE603" s="59">
        <f t="shared" si="354"/>
        <v>3.200000000000025E-2</v>
      </c>
      <c r="AF603" s="60">
        <f t="shared" si="357"/>
        <v>21209405.376795139</v>
      </c>
      <c r="AG603" s="60">
        <f t="shared" si="348"/>
        <v>0.99999999999999967</v>
      </c>
      <c r="AH603" s="60">
        <f t="shared" si="358"/>
        <v>21209405.376795132</v>
      </c>
      <c r="AI603" s="60">
        <f t="shared" si="352"/>
        <v>60.618785030001803</v>
      </c>
      <c r="AJ603" s="60">
        <f t="shared" si="353"/>
        <v>0</v>
      </c>
      <c r="AK603" s="59">
        <f t="shared" si="355"/>
        <v>3.2000000000000028E-2</v>
      </c>
    </row>
    <row r="604" spans="1:37" ht="12.75" customHeight="1" x14ac:dyDescent="0.25">
      <c r="A604" s="62" t="s">
        <v>627</v>
      </c>
      <c r="B604" s="62" t="s">
        <v>417</v>
      </c>
      <c r="C604" s="62" t="s">
        <v>419</v>
      </c>
      <c r="D604" s="124">
        <v>2024</v>
      </c>
      <c r="E604" s="62" t="s">
        <v>676</v>
      </c>
      <c r="F604" s="64">
        <f>SIM_Parametres!$C$30</f>
        <v>1437888236.9117422</v>
      </c>
      <c r="G604" s="125">
        <f>SIM_Districts!D36*(1+SIM_Parametres!$B$6)^(2024-2023)</f>
        <v>196404.52000000002</v>
      </c>
      <c r="H604" s="125">
        <f>MAX(0,MIN(100,SIM_Districts!F36+(2024-2022)*SIM_Parametres!$B$7))</f>
        <v>60.84</v>
      </c>
      <c r="I604" s="125">
        <f>SIM_Districts!G36*(1+SIM_Parametres!$B$8)^(2024-2023)</f>
        <v>37.599999999999994</v>
      </c>
      <c r="J604" s="125">
        <f>SIM_Districts!H36*(1+SIM_Parametres!$B$9)^(2024-2023)</f>
        <v>16.11</v>
      </c>
      <c r="K604" s="125">
        <f>MAX(0,MIN(100,SIM_Districts!I36+(2024-2023)*SIM_Parametres!$B$10))</f>
        <v>90.5</v>
      </c>
      <c r="L604" s="125">
        <f>SIM_Districts!E36</f>
        <v>4702</v>
      </c>
      <c r="M604" s="61">
        <f t="shared" si="349"/>
        <v>41.770421097405361</v>
      </c>
      <c r="N604" s="125">
        <f>N533*(1+SIM_Parametres!$B$6)/(1+SIM_Parametres!$B$11)</f>
        <v>155501</v>
      </c>
      <c r="O604" s="132"/>
      <c r="P604" s="126">
        <f>SIM_Parametres!$D$30</f>
        <v>0</v>
      </c>
      <c r="Q604" s="126">
        <f>SIM_Parametres!$B$12</f>
        <v>0.2</v>
      </c>
      <c r="R604" s="66">
        <f t="shared" ref="R604:R635" si="359">IFERROR(G604/SUM($G$572:$G$642),1/71)</f>
        <v>1.0519690961045302E-2</v>
      </c>
      <c r="S604" s="66">
        <f t="shared" ref="S604:S635" si="360">IF(MAX($H$572:$H$642)=MIN($H$572:$H$642),1,(H604-MIN($H$572:$H$642))/(MAX($H$572:$H$642)-MIN($H$572:$H$642)))</f>
        <v>0.94326241134751765</v>
      </c>
      <c r="T604" s="66">
        <f t="shared" ref="T604:T635" si="361">(IF(MAX($I$572:$I$642)=MIN($I$572:$I$642),1,(I604-MIN($I$572:$I$642))/(MAX($I$572:$I$642)-MIN($I$572:$I$642)))+IF(MAX($J$572:$J$642)=MIN($J$572:$J$642),1,(J604-MIN($J$572:$J$642))/(MAX($J$572:$J$642)-MIN($J$572:$J$642))))/2</f>
        <v>0.70994475138121538</v>
      </c>
      <c r="U604" s="66">
        <f t="shared" ref="U604:U635" si="362">(IF(MAX($L$572:$L$642)=MIN($L$572:$L$642),1,(L604-MIN($L$572:$L$642))/(MAX($L$572:$L$642)-MIN($L$572:$L$642)))+IF(MAX($M$572:$M$642)=MIN($M$572:$M$642),1,(MAX($M$572:$M$642)-M604)/(MAX($M$572:$M$642)-MIN($M$572:$M$642))))/2</f>
        <v>0.66203363691805861</v>
      </c>
      <c r="V604" s="66">
        <f t="shared" ref="V604:V635" si="363">IF(MAX($N$572:$N$642)=MIN($N$572:$N$642),1,(N604-MIN($N$572:$N$642))/(MAX($N$572:$N$642)-MIN($N$572:$N$642)))</f>
        <v>0.66684249613059499</v>
      </c>
      <c r="W604" s="66">
        <f t="shared" ref="W604:W635" si="364">IFERROR(S604/SUM($S$572:$S$642),1/71)</f>
        <v>2.2489959839357421E-2</v>
      </c>
      <c r="X604" s="66">
        <f t="shared" ref="X604:X635" si="365">IFERROR(T604/SUM($T$572:$T$642),1/71)</f>
        <v>1.4049089815776525E-2</v>
      </c>
      <c r="Y604" s="66">
        <f t="shared" ref="Y604:Y635" si="366">IFERROR(U604/SUM($U$572:$U$642),1/71)</f>
        <v>1.6914767081679924E-2</v>
      </c>
      <c r="Z604" s="66">
        <f t="shared" ref="Z604:Z635" si="367">IFERROR(V604/SUM($V$572:$V$642),1/71)</f>
        <v>2.4475353458158197E-2</v>
      </c>
      <c r="AA604" s="66">
        <f t="shared" si="350"/>
        <v>1.3862178051889181E-2</v>
      </c>
      <c r="AB604" s="66">
        <f t="shared" ref="AB604:AB635" si="368">IFERROR(AH533/SUM($AH$501:$AH$571),1/71)</f>
        <v>1.380606482204938E-2</v>
      </c>
      <c r="AC604" s="67">
        <f t="shared" si="351"/>
        <v>19996199.606781457</v>
      </c>
      <c r="AD604" s="67">
        <f t="shared" si="356"/>
        <v>19851578.205665808</v>
      </c>
      <c r="AE604" s="66">
        <f t="shared" si="354"/>
        <v>3.200000000000025E-2</v>
      </c>
      <c r="AF604" s="67">
        <f t="shared" si="357"/>
        <v>19851578.205665808</v>
      </c>
      <c r="AG604" s="67">
        <f t="shared" ref="AG604:AG635" si="369">IFERROR(F604/SUM($AF$572:$AF$642),1)</f>
        <v>0.99999999999999967</v>
      </c>
      <c r="AH604" s="67">
        <f t="shared" si="358"/>
        <v>19851578.205665801</v>
      </c>
      <c r="AI604" s="67">
        <f t="shared" si="352"/>
        <v>101.07495594126753</v>
      </c>
      <c r="AJ604" s="67">
        <f t="shared" si="353"/>
        <v>0</v>
      </c>
      <c r="AK604" s="66">
        <f t="shared" si="355"/>
        <v>3.1999999999999806E-2</v>
      </c>
    </row>
    <row r="605" spans="1:37" ht="12.75" customHeight="1" x14ac:dyDescent="0.25">
      <c r="A605" s="55" t="s">
        <v>628</v>
      </c>
      <c r="B605" s="55" t="s">
        <v>417</v>
      </c>
      <c r="C605" s="55" t="s">
        <v>420</v>
      </c>
      <c r="D605" s="128">
        <v>2024</v>
      </c>
      <c r="E605" s="55" t="s">
        <v>676</v>
      </c>
      <c r="F605" s="57">
        <f>SIM_Parametres!$C$30</f>
        <v>1437888236.9117422</v>
      </c>
      <c r="G605" s="129">
        <f>SIM_Districts!D37*(1+SIM_Parametres!$B$6)^(2024-2023)</f>
        <v>395955.69</v>
      </c>
      <c r="H605" s="129">
        <f>MAX(0,MIN(100,SIM_Districts!F37+(2024-2022)*SIM_Parametres!$B$7))</f>
        <v>60.84</v>
      </c>
      <c r="I605" s="129">
        <f>SIM_Districts!G37*(1+SIM_Parametres!$B$8)^(2024-2023)</f>
        <v>37.599999999999994</v>
      </c>
      <c r="J605" s="129">
        <f>SIM_Districts!H37*(1+SIM_Parametres!$B$9)^(2024-2023)</f>
        <v>16.11</v>
      </c>
      <c r="K605" s="129">
        <f>MAX(0,MIN(100,SIM_Districts!I37+(2024-2023)*SIM_Parametres!$B$10))</f>
        <v>90.5</v>
      </c>
      <c r="L605" s="129">
        <f>SIM_Districts!E37</f>
        <v>5498</v>
      </c>
      <c r="M605" s="68">
        <f t="shared" si="349"/>
        <v>72.018132048017463</v>
      </c>
      <c r="N605" s="129">
        <f>N534*(1+SIM_Parametres!$B$6)/(1+SIM_Parametres!$B$11)</f>
        <v>155501</v>
      </c>
      <c r="O605" s="72"/>
      <c r="P605" s="130">
        <f>SIM_Parametres!$D$30</f>
        <v>0</v>
      </c>
      <c r="Q605" s="130">
        <f>SIM_Parametres!$B$12</f>
        <v>0.2</v>
      </c>
      <c r="R605" s="59">
        <f t="shared" si="359"/>
        <v>2.120792073964212E-2</v>
      </c>
      <c r="S605" s="59">
        <f t="shared" si="360"/>
        <v>0.94326241134751765</v>
      </c>
      <c r="T605" s="59">
        <f t="shared" si="361"/>
        <v>0.70994475138121538</v>
      </c>
      <c r="U605" s="59">
        <f t="shared" si="362"/>
        <v>0.68919209164884077</v>
      </c>
      <c r="V605" s="59">
        <f t="shared" si="363"/>
        <v>0.66684249613059499</v>
      </c>
      <c r="W605" s="59">
        <f t="shared" si="364"/>
        <v>2.2489959839357421E-2</v>
      </c>
      <c r="X605" s="59">
        <f t="shared" si="365"/>
        <v>1.4049089815776525E-2</v>
      </c>
      <c r="Y605" s="59">
        <f t="shared" si="366"/>
        <v>1.7608657709666832E-2</v>
      </c>
      <c r="Z605" s="59">
        <f t="shared" si="367"/>
        <v>2.4475353458158197E-2</v>
      </c>
      <c r="AA605" s="59">
        <f t="shared" si="350"/>
        <v>2.0309810450446615E-2</v>
      </c>
      <c r="AB605" s="59">
        <f t="shared" si="368"/>
        <v>1.8667130425431461E-2</v>
      </c>
      <c r="AC605" s="60">
        <f t="shared" si="351"/>
        <v>27412979.432234872</v>
      </c>
      <c r="AD605" s="60">
        <f t="shared" si="356"/>
        <v>26841247.255625185</v>
      </c>
      <c r="AE605" s="59">
        <f t="shared" si="354"/>
        <v>3.2000000000000473E-2</v>
      </c>
      <c r="AF605" s="60">
        <f t="shared" si="357"/>
        <v>26841247.255625185</v>
      </c>
      <c r="AG605" s="60">
        <f t="shared" si="369"/>
        <v>0.99999999999999967</v>
      </c>
      <c r="AH605" s="60">
        <f t="shared" si="358"/>
        <v>26841247.255625177</v>
      </c>
      <c r="AI605" s="60">
        <f t="shared" si="352"/>
        <v>67.7885125369083</v>
      </c>
      <c r="AJ605" s="60">
        <f t="shared" si="353"/>
        <v>0</v>
      </c>
      <c r="AK605" s="59">
        <f t="shared" si="355"/>
        <v>3.2000000000000028E-2</v>
      </c>
    </row>
    <row r="606" spans="1:37" ht="12.75" customHeight="1" x14ac:dyDescent="0.25">
      <c r="A606" s="62" t="s">
        <v>629</v>
      </c>
      <c r="B606" s="62" t="s">
        <v>421</v>
      </c>
      <c r="C606" s="62" t="s">
        <v>423</v>
      </c>
      <c r="D606" s="124">
        <v>2024</v>
      </c>
      <c r="E606" s="62" t="s">
        <v>676</v>
      </c>
      <c r="F606" s="64">
        <f>SIM_Parametres!$C$30</f>
        <v>1437888236.9117422</v>
      </c>
      <c r="G606" s="125">
        <f>SIM_Districts!D38*(1+SIM_Parametres!$B$6)^(2024-2023)</f>
        <v>84164.39</v>
      </c>
      <c r="H606" s="125">
        <f>MAX(0,MIN(100,SIM_Districts!F38+(2024-2022)*SIM_Parametres!$B$7))</f>
        <v>45.34</v>
      </c>
      <c r="I606" s="125">
        <f>SIM_Districts!G38*(1+SIM_Parametres!$B$8)^(2024-2023)</f>
        <v>37.599999999999994</v>
      </c>
      <c r="J606" s="125">
        <f>SIM_Districts!H38*(1+SIM_Parametres!$B$9)^(2024-2023)</f>
        <v>16.2</v>
      </c>
      <c r="K606" s="125">
        <f>MAX(0,MIN(100,SIM_Districts!I38+(2024-2023)*SIM_Parametres!$B$10))</f>
        <v>95.8</v>
      </c>
      <c r="L606" s="125">
        <f>SIM_Districts!E38</f>
        <v>822</v>
      </c>
      <c r="M606" s="61">
        <f t="shared" si="349"/>
        <v>102.38976885644769</v>
      </c>
      <c r="N606" s="125">
        <f>N535*(1+SIM_Parametres!$B$6)/(1+SIM_Parametres!$B$11)</f>
        <v>97480</v>
      </c>
      <c r="O606" s="132"/>
      <c r="P606" s="126">
        <f>SIM_Parametres!$D$30</f>
        <v>0</v>
      </c>
      <c r="Q606" s="126">
        <f>SIM_Parametres!$B$12</f>
        <v>0.2</v>
      </c>
      <c r="R606" s="66">
        <f t="shared" si="359"/>
        <v>4.5079582319433971E-3</v>
      </c>
      <c r="S606" s="66">
        <f t="shared" si="360"/>
        <v>0.66843971631205668</v>
      </c>
      <c r="T606" s="66">
        <f t="shared" si="361"/>
        <v>0.71270718232044195</v>
      </c>
      <c r="U606" s="66">
        <f t="shared" si="362"/>
        <v>0.52679639914705134</v>
      </c>
      <c r="V606" s="66">
        <f t="shared" si="363"/>
        <v>0.26413981218637</v>
      </c>
      <c r="W606" s="66">
        <f t="shared" si="364"/>
        <v>1.5937433946311558E-2</v>
      </c>
      <c r="X606" s="66">
        <f t="shared" si="365"/>
        <v>1.4103755534904061E-2</v>
      </c>
      <c r="Y606" s="66">
        <f t="shared" si="366"/>
        <v>1.3459494947298202E-2</v>
      </c>
      <c r="Z606" s="66">
        <f t="shared" si="367"/>
        <v>9.6948159470131197E-3</v>
      </c>
      <c r="AA606" s="66">
        <f t="shared" si="350"/>
        <v>8.3686689060639453E-3</v>
      </c>
      <c r="AB606" s="66">
        <f t="shared" si="368"/>
        <v>1.1122649070718174E-2</v>
      </c>
      <c r="AC606" s="67">
        <f t="shared" si="351"/>
        <v>13676957.86266211</v>
      </c>
      <c r="AD606" s="67">
        <f t="shared" si="356"/>
        <v>15993126.262082985</v>
      </c>
      <c r="AE606" s="66">
        <f t="shared" si="354"/>
        <v>3.200000000000025E-2</v>
      </c>
      <c r="AF606" s="67">
        <f t="shared" si="357"/>
        <v>15993126.262082985</v>
      </c>
      <c r="AG606" s="67">
        <f t="shared" si="369"/>
        <v>0.99999999999999967</v>
      </c>
      <c r="AH606" s="67">
        <f t="shared" si="358"/>
        <v>15993126.262082979</v>
      </c>
      <c r="AI606" s="67">
        <f t="shared" si="352"/>
        <v>190.02248174177913</v>
      </c>
      <c r="AJ606" s="67">
        <f t="shared" si="353"/>
        <v>0</v>
      </c>
      <c r="AK606" s="66">
        <f t="shared" si="355"/>
        <v>3.2000000000000028E-2</v>
      </c>
    </row>
    <row r="607" spans="1:37" ht="12.75" customHeight="1" x14ac:dyDescent="0.25">
      <c r="A607" s="55" t="s">
        <v>631</v>
      </c>
      <c r="B607" s="55" t="s">
        <v>421</v>
      </c>
      <c r="C607" s="55" t="s">
        <v>424</v>
      </c>
      <c r="D607" s="128">
        <v>2024</v>
      </c>
      <c r="E607" s="55" t="s">
        <v>676</v>
      </c>
      <c r="F607" s="57">
        <f>SIM_Parametres!$C$30</f>
        <v>1437888236.9117422</v>
      </c>
      <c r="G607" s="129">
        <f>SIM_Districts!D39*(1+SIM_Parametres!$B$6)^(2024-2023)</f>
        <v>174861.04</v>
      </c>
      <c r="H607" s="129">
        <f>MAX(0,MIN(100,SIM_Districts!F39+(2024-2022)*SIM_Parametres!$B$7))</f>
        <v>45.34</v>
      </c>
      <c r="I607" s="129">
        <f>SIM_Districts!G39*(1+SIM_Parametres!$B$8)^(2024-2023)</f>
        <v>37.599999999999994</v>
      </c>
      <c r="J607" s="129">
        <f>SIM_Districts!H39*(1+SIM_Parametres!$B$9)^(2024-2023)</f>
        <v>16.2</v>
      </c>
      <c r="K607" s="129">
        <f>MAX(0,MIN(100,SIM_Districts!I39+(2024-2023)*SIM_Parametres!$B$10))</f>
        <v>95.8</v>
      </c>
      <c r="L607" s="129">
        <f>SIM_Districts!E39</f>
        <v>6832</v>
      </c>
      <c r="M607" s="68">
        <f t="shared" si="349"/>
        <v>25.594414519906323</v>
      </c>
      <c r="N607" s="129">
        <f>N536*(1+SIM_Parametres!$B$6)/(1+SIM_Parametres!$B$11)</f>
        <v>97480</v>
      </c>
      <c r="O607" s="72"/>
      <c r="P607" s="130">
        <f>SIM_Parametres!$D$30</f>
        <v>0</v>
      </c>
      <c r="Q607" s="130">
        <f>SIM_Parametres!$B$12</f>
        <v>0.2</v>
      </c>
      <c r="R607" s="59">
        <f t="shared" si="359"/>
        <v>9.3657931188497138E-3</v>
      </c>
      <c r="S607" s="59">
        <f t="shared" si="360"/>
        <v>0.66843971631205668</v>
      </c>
      <c r="T607" s="59">
        <f t="shared" si="361"/>
        <v>0.71270718232044195</v>
      </c>
      <c r="U607" s="59">
        <f t="shared" si="362"/>
        <v>0.73603986945859257</v>
      </c>
      <c r="V607" s="59">
        <f t="shared" si="363"/>
        <v>0.26413981218637</v>
      </c>
      <c r="W607" s="59">
        <f t="shared" si="364"/>
        <v>1.5937433946311558E-2</v>
      </c>
      <c r="X607" s="59">
        <f t="shared" si="365"/>
        <v>1.4103755534904061E-2</v>
      </c>
      <c r="Y607" s="59">
        <f t="shared" si="366"/>
        <v>1.880560482195431E-2</v>
      </c>
      <c r="Z607" s="59">
        <f t="shared" si="367"/>
        <v>9.6948159470131197E-3</v>
      </c>
      <c r="AA607" s="59">
        <f t="shared" si="350"/>
        <v>1.1550675331940541E-2</v>
      </c>
      <c r="AB607" s="59">
        <f t="shared" si="368"/>
        <v>1.7022971181425463E-2</v>
      </c>
      <c r="AC607" s="60">
        <f t="shared" si="351"/>
        <v>17337253.550298534</v>
      </c>
      <c r="AD607" s="60">
        <f t="shared" si="356"/>
        <v>24477130.019059256</v>
      </c>
      <c r="AE607" s="59">
        <f t="shared" si="354"/>
        <v>3.200000000000025E-2</v>
      </c>
      <c r="AF607" s="60">
        <f t="shared" si="357"/>
        <v>24477130.019059256</v>
      </c>
      <c r="AG607" s="60">
        <f t="shared" si="369"/>
        <v>0.99999999999999967</v>
      </c>
      <c r="AH607" s="60">
        <f t="shared" si="358"/>
        <v>24477130.019059248</v>
      </c>
      <c r="AI607" s="60">
        <f t="shared" si="352"/>
        <v>139.98046688421417</v>
      </c>
      <c r="AJ607" s="60">
        <f t="shared" si="353"/>
        <v>0</v>
      </c>
      <c r="AK607" s="59">
        <f t="shared" si="355"/>
        <v>3.2000000000000028E-2</v>
      </c>
    </row>
    <row r="608" spans="1:37" ht="12.75" customHeight="1" x14ac:dyDescent="0.25">
      <c r="A608" s="62" t="s">
        <v>632</v>
      </c>
      <c r="B608" s="62" t="s">
        <v>421</v>
      </c>
      <c r="C608" s="62" t="s">
        <v>425</v>
      </c>
      <c r="D608" s="124">
        <v>2024</v>
      </c>
      <c r="E608" s="62" t="s">
        <v>676</v>
      </c>
      <c r="F608" s="64">
        <f>SIM_Parametres!$C$30</f>
        <v>1437888236.9117422</v>
      </c>
      <c r="G608" s="125">
        <f>SIM_Districts!D40*(1+SIM_Parametres!$B$6)^(2024-2023)</f>
        <v>109940.14</v>
      </c>
      <c r="H608" s="125">
        <f>MAX(0,MIN(100,SIM_Districts!F40+(2024-2022)*SIM_Parametres!$B$7))</f>
        <v>45.34</v>
      </c>
      <c r="I608" s="125">
        <f>SIM_Districts!G40*(1+SIM_Parametres!$B$8)^(2024-2023)</f>
        <v>37.599999999999994</v>
      </c>
      <c r="J608" s="125">
        <f>SIM_Districts!H40*(1+SIM_Parametres!$B$9)^(2024-2023)</f>
        <v>16.2</v>
      </c>
      <c r="K608" s="125">
        <f>MAX(0,MIN(100,SIM_Districts!I40+(2024-2023)*SIM_Parametres!$B$10))</f>
        <v>95.8</v>
      </c>
      <c r="L608" s="125">
        <f>SIM_Districts!E40</f>
        <v>1601</v>
      </c>
      <c r="M608" s="61">
        <f t="shared" si="349"/>
        <v>68.66966895690193</v>
      </c>
      <c r="N608" s="125">
        <f>N537*(1+SIM_Parametres!$B$6)/(1+SIM_Parametres!$B$11)</f>
        <v>97480</v>
      </c>
      <c r="O608" s="132"/>
      <c r="P608" s="126">
        <f>SIM_Parametres!$D$30</f>
        <v>0</v>
      </c>
      <c r="Q608" s="126">
        <f>SIM_Parametres!$B$12</f>
        <v>0.2</v>
      </c>
      <c r="R608" s="66">
        <f t="shared" si="359"/>
        <v>5.8885421629505013E-3</v>
      </c>
      <c r="S608" s="66">
        <f t="shared" si="360"/>
        <v>0.66843971631205668</v>
      </c>
      <c r="T608" s="66">
        <f t="shared" si="361"/>
        <v>0.71270718232044195</v>
      </c>
      <c r="U608" s="66">
        <f t="shared" si="362"/>
        <v>0.5542443044598161</v>
      </c>
      <c r="V608" s="66">
        <f t="shared" si="363"/>
        <v>0.26413981218637</v>
      </c>
      <c r="W608" s="66">
        <f t="shared" si="364"/>
        <v>1.5937433946311558E-2</v>
      </c>
      <c r="X608" s="66">
        <f t="shared" si="365"/>
        <v>1.4103755534904061E-2</v>
      </c>
      <c r="Y608" s="66">
        <f t="shared" si="366"/>
        <v>1.4160780953560275E-2</v>
      </c>
      <c r="Z608" s="66">
        <f t="shared" si="367"/>
        <v>9.6948159470131197E-3</v>
      </c>
      <c r="AA608" s="66">
        <f t="shared" si="350"/>
        <v>9.2320835649813138E-3</v>
      </c>
      <c r="AB608" s="66">
        <f t="shared" si="368"/>
        <v>1.7858913157810734E-2</v>
      </c>
      <c r="AC608" s="67">
        <f t="shared" si="351"/>
        <v>14670152.887969669</v>
      </c>
      <c r="AD608" s="67">
        <f t="shared" si="356"/>
        <v>25679121.15364439</v>
      </c>
      <c r="AE608" s="66">
        <f t="shared" si="354"/>
        <v>3.200000000000025E-2</v>
      </c>
      <c r="AF608" s="67">
        <f t="shared" si="357"/>
        <v>25679121.15364439</v>
      </c>
      <c r="AG608" s="67">
        <f t="shared" si="369"/>
        <v>0.99999999999999967</v>
      </c>
      <c r="AH608" s="67">
        <f t="shared" si="358"/>
        <v>25679121.153644383</v>
      </c>
      <c r="AI608" s="67">
        <f t="shared" si="352"/>
        <v>233.57366248255082</v>
      </c>
      <c r="AJ608" s="67">
        <f t="shared" si="353"/>
        <v>0</v>
      </c>
      <c r="AK608" s="66">
        <f t="shared" si="355"/>
        <v>3.2000000000000028E-2</v>
      </c>
    </row>
    <row r="609" spans="1:37" ht="12.75" customHeight="1" x14ac:dyDescent="0.25">
      <c r="A609" s="55" t="s">
        <v>633</v>
      </c>
      <c r="B609" s="55" t="s">
        <v>421</v>
      </c>
      <c r="C609" s="55" t="s">
        <v>426</v>
      </c>
      <c r="D609" s="128">
        <v>2024</v>
      </c>
      <c r="E609" s="55" t="s">
        <v>676</v>
      </c>
      <c r="F609" s="57">
        <f>SIM_Parametres!$C$30</f>
        <v>1437888236.9117422</v>
      </c>
      <c r="G609" s="129">
        <f>SIM_Districts!D41*(1+SIM_Parametres!$B$6)^(2024-2023)</f>
        <v>233755.41</v>
      </c>
      <c r="H609" s="129">
        <f>MAX(0,MIN(100,SIM_Districts!F41+(2024-2022)*SIM_Parametres!$B$7))</f>
        <v>45.34</v>
      </c>
      <c r="I609" s="129">
        <f>SIM_Districts!G41*(1+SIM_Parametres!$B$8)^(2024-2023)</f>
        <v>37.599999999999994</v>
      </c>
      <c r="J609" s="129">
        <f>SIM_Districts!H41*(1+SIM_Parametres!$B$9)^(2024-2023)</f>
        <v>16.2</v>
      </c>
      <c r="K609" s="129">
        <f>MAX(0,MIN(100,SIM_Districts!I41+(2024-2023)*SIM_Parametres!$B$10))</f>
        <v>95.8</v>
      </c>
      <c r="L609" s="129">
        <f>SIM_Districts!E41</f>
        <v>2260</v>
      </c>
      <c r="M609" s="68">
        <f t="shared" si="349"/>
        <v>103.43159734513274</v>
      </c>
      <c r="N609" s="129">
        <f>N538*(1+SIM_Parametres!$B$6)/(1+SIM_Parametres!$B$11)</f>
        <v>97480</v>
      </c>
      <c r="O609" s="72"/>
      <c r="P609" s="130">
        <f>SIM_Parametres!$D$30</f>
        <v>0</v>
      </c>
      <c r="Q609" s="130">
        <f>SIM_Parametres!$B$12</f>
        <v>0.2</v>
      </c>
      <c r="R609" s="59">
        <f t="shared" si="359"/>
        <v>1.2520255000610162E-2</v>
      </c>
      <c r="S609" s="59">
        <f t="shared" si="360"/>
        <v>0.66843971631205668</v>
      </c>
      <c r="T609" s="59">
        <f t="shared" si="361"/>
        <v>0.71270718232044195</v>
      </c>
      <c r="U609" s="59">
        <f t="shared" si="362"/>
        <v>0.57659503553202685</v>
      </c>
      <c r="V609" s="59">
        <f t="shared" si="363"/>
        <v>0.26413981218637</v>
      </c>
      <c r="W609" s="59">
        <f t="shared" si="364"/>
        <v>1.5937433946311558E-2</v>
      </c>
      <c r="X609" s="59">
        <f t="shared" si="365"/>
        <v>1.4103755534904061E-2</v>
      </c>
      <c r="Y609" s="59">
        <f t="shared" si="366"/>
        <v>1.4731835638865494E-2</v>
      </c>
      <c r="Z609" s="59">
        <f t="shared" si="367"/>
        <v>9.6948159470131197E-3</v>
      </c>
      <c r="AA609" s="59">
        <f t="shared" si="350"/>
        <v>1.3239664001842368E-2</v>
      </c>
      <c r="AB609" s="59">
        <f t="shared" si="368"/>
        <v>1.3885878377583653E-2</v>
      </c>
      <c r="AC609" s="60">
        <f t="shared" si="351"/>
        <v>19280115.102881774</v>
      </c>
      <c r="AD609" s="60">
        <f t="shared" si="356"/>
        <v>19966341.178314641</v>
      </c>
      <c r="AE609" s="59">
        <f t="shared" si="354"/>
        <v>3.200000000000025E-2</v>
      </c>
      <c r="AF609" s="60">
        <f t="shared" si="357"/>
        <v>19966341.178314641</v>
      </c>
      <c r="AG609" s="60">
        <f t="shared" si="369"/>
        <v>0.99999999999999967</v>
      </c>
      <c r="AH609" s="60">
        <f t="shared" si="358"/>
        <v>19966341.178314634</v>
      </c>
      <c r="AI609" s="60">
        <f t="shared" si="352"/>
        <v>85.415525477312514</v>
      </c>
      <c r="AJ609" s="60">
        <f t="shared" si="353"/>
        <v>0</v>
      </c>
      <c r="AK609" s="59">
        <f t="shared" si="355"/>
        <v>3.1999999999999806E-2</v>
      </c>
    </row>
    <row r="610" spans="1:37" ht="12.75" customHeight="1" x14ac:dyDescent="0.25">
      <c r="A610" s="62" t="s">
        <v>634</v>
      </c>
      <c r="B610" s="62" t="s">
        <v>421</v>
      </c>
      <c r="C610" s="62" t="s">
        <v>427</v>
      </c>
      <c r="D610" s="124">
        <v>2024</v>
      </c>
      <c r="E610" s="62" t="s">
        <v>676</v>
      </c>
      <c r="F610" s="64">
        <f>SIM_Parametres!$C$30</f>
        <v>1437888236.9117422</v>
      </c>
      <c r="G610" s="125">
        <f>SIM_Districts!D42*(1+SIM_Parametres!$B$6)^(2024-2023)</f>
        <v>100359.08</v>
      </c>
      <c r="H610" s="125">
        <f>MAX(0,MIN(100,SIM_Districts!F42+(2024-2022)*SIM_Parametres!$B$7))</f>
        <v>45.34</v>
      </c>
      <c r="I610" s="125">
        <f>SIM_Districts!G42*(1+SIM_Parametres!$B$8)^(2024-2023)</f>
        <v>37.599999999999994</v>
      </c>
      <c r="J610" s="125">
        <f>SIM_Districts!H42*(1+SIM_Parametres!$B$9)^(2024-2023)</f>
        <v>16.2</v>
      </c>
      <c r="K610" s="125">
        <f>MAX(0,MIN(100,SIM_Districts!I42+(2024-2023)*SIM_Parametres!$B$10))</f>
        <v>95.8</v>
      </c>
      <c r="L610" s="125">
        <f>SIM_Districts!E42</f>
        <v>2889</v>
      </c>
      <c r="M610" s="61">
        <f t="shared" si="349"/>
        <v>34.738345448251991</v>
      </c>
      <c r="N610" s="125">
        <f>N539*(1+SIM_Parametres!$B$6)/(1+SIM_Parametres!$B$11)</f>
        <v>97480</v>
      </c>
      <c r="O610" s="132"/>
      <c r="P610" s="126">
        <f>SIM_Parametres!$D$30</f>
        <v>0</v>
      </c>
      <c r="Q610" s="126">
        <f>SIM_Parametres!$B$12</f>
        <v>0.2</v>
      </c>
      <c r="R610" s="66">
        <f t="shared" si="359"/>
        <v>5.375367668395933E-3</v>
      </c>
      <c r="S610" s="66">
        <f t="shared" si="360"/>
        <v>0.66843971631205668</v>
      </c>
      <c r="T610" s="66">
        <f t="shared" si="361"/>
        <v>0.71270718232044195</v>
      </c>
      <c r="U610" s="66">
        <f t="shared" si="362"/>
        <v>0.59932709011759788</v>
      </c>
      <c r="V610" s="66">
        <f t="shared" si="363"/>
        <v>0.26413981218637</v>
      </c>
      <c r="W610" s="66">
        <f t="shared" si="364"/>
        <v>1.5937433946311558E-2</v>
      </c>
      <c r="X610" s="66">
        <f t="shared" si="365"/>
        <v>1.4103755534904061E-2</v>
      </c>
      <c r="Y610" s="66">
        <f t="shared" si="366"/>
        <v>1.5312633029150603E-2</v>
      </c>
      <c r="Z610" s="66">
        <f t="shared" si="367"/>
        <v>9.6948159470131197E-3</v>
      </c>
      <c r="AA610" s="66">
        <f t="shared" si="350"/>
        <v>8.9817714720280863E-3</v>
      </c>
      <c r="AB610" s="66">
        <f t="shared" si="368"/>
        <v>1.2318172118352587E-2</v>
      </c>
      <c r="AC610" s="67">
        <f t="shared" si="351"/>
        <v>14382216.236758307</v>
      </c>
      <c r="AD610" s="67">
        <f t="shared" si="356"/>
        <v>17712154.789233383</v>
      </c>
      <c r="AE610" s="66">
        <f t="shared" si="354"/>
        <v>3.2000000000000473E-2</v>
      </c>
      <c r="AF610" s="67">
        <f t="shared" si="357"/>
        <v>17712154.789233383</v>
      </c>
      <c r="AG610" s="67">
        <f t="shared" si="369"/>
        <v>0.99999999999999967</v>
      </c>
      <c r="AH610" s="67">
        <f t="shared" si="358"/>
        <v>17712154.789233375</v>
      </c>
      <c r="AI610" s="67">
        <f t="shared" si="352"/>
        <v>176.48781544463515</v>
      </c>
      <c r="AJ610" s="67">
        <f t="shared" si="353"/>
        <v>0</v>
      </c>
      <c r="AK610" s="66">
        <f t="shared" si="355"/>
        <v>3.2000000000000028E-2</v>
      </c>
    </row>
    <row r="611" spans="1:37" ht="12.75" customHeight="1" x14ac:dyDescent="0.25">
      <c r="A611" s="55" t="s">
        <v>635</v>
      </c>
      <c r="B611" s="55" t="s">
        <v>421</v>
      </c>
      <c r="C611" s="55" t="s">
        <v>428</v>
      </c>
      <c r="D611" s="128">
        <v>2024</v>
      </c>
      <c r="E611" s="55" t="s">
        <v>676</v>
      </c>
      <c r="F611" s="57">
        <f>SIM_Parametres!$C$30</f>
        <v>1437888236.9117422</v>
      </c>
      <c r="G611" s="129">
        <f>SIM_Districts!D43*(1+SIM_Parametres!$B$6)^(2024-2023)</f>
        <v>146035.46</v>
      </c>
      <c r="H611" s="129">
        <f>MAX(0,MIN(100,SIM_Districts!F43+(2024-2022)*SIM_Parametres!$B$7))</f>
        <v>45.34</v>
      </c>
      <c r="I611" s="129">
        <f>SIM_Districts!G43*(1+SIM_Parametres!$B$8)^(2024-2023)</f>
        <v>37.599999999999994</v>
      </c>
      <c r="J611" s="129">
        <f>SIM_Districts!H43*(1+SIM_Parametres!$B$9)^(2024-2023)</f>
        <v>16.2</v>
      </c>
      <c r="K611" s="129">
        <f>MAX(0,MIN(100,SIM_Districts!I43+(2024-2023)*SIM_Parametres!$B$10))</f>
        <v>95.8</v>
      </c>
      <c r="L611" s="129">
        <f>SIM_Districts!E43</f>
        <v>8907</v>
      </c>
      <c r="M611" s="68">
        <f t="shared" si="349"/>
        <v>16.395583249129896</v>
      </c>
      <c r="N611" s="129">
        <f>N540*(1+SIM_Parametres!$B$6)/(1+SIM_Parametres!$B$11)</f>
        <v>97480</v>
      </c>
      <c r="O611" s="72"/>
      <c r="P611" s="130">
        <f>SIM_Parametres!$D$30</f>
        <v>0</v>
      </c>
      <c r="Q611" s="130">
        <f>SIM_Parametres!$B$12</f>
        <v>0.2</v>
      </c>
      <c r="R611" s="59">
        <f t="shared" si="359"/>
        <v>7.8218561800619084E-3</v>
      </c>
      <c r="S611" s="59">
        <f t="shared" si="360"/>
        <v>0.66843971631205668</v>
      </c>
      <c r="T611" s="59">
        <f t="shared" si="361"/>
        <v>0.71270718232044195</v>
      </c>
      <c r="U611" s="59">
        <f t="shared" si="362"/>
        <v>0.80804507507275991</v>
      </c>
      <c r="V611" s="59">
        <f t="shared" si="363"/>
        <v>0.26413981218637</v>
      </c>
      <c r="W611" s="59">
        <f t="shared" si="364"/>
        <v>1.5937433946311558E-2</v>
      </c>
      <c r="X611" s="59">
        <f t="shared" si="365"/>
        <v>1.4103755534904061E-2</v>
      </c>
      <c r="Y611" s="59">
        <f t="shared" si="366"/>
        <v>2.0645316905621231E-2</v>
      </c>
      <c r="Z611" s="59">
        <f t="shared" si="367"/>
        <v>9.6948159470131197E-3</v>
      </c>
      <c r="AA611" s="59">
        <f t="shared" si="350"/>
        <v>1.0716298772851206E-2</v>
      </c>
      <c r="AB611" s="59">
        <f t="shared" si="368"/>
        <v>1.3706927984648915E-2</v>
      </c>
      <c r="AC611" s="60">
        <f t="shared" si="351"/>
        <v>16377461.358722975</v>
      </c>
      <c r="AD611" s="60">
        <f t="shared" si="356"/>
        <v>19709030.51332305</v>
      </c>
      <c r="AE611" s="59">
        <f t="shared" si="354"/>
        <v>3.2000000000000473E-2</v>
      </c>
      <c r="AF611" s="60">
        <f t="shared" si="357"/>
        <v>19709030.51332305</v>
      </c>
      <c r="AG611" s="60">
        <f t="shared" si="369"/>
        <v>0.99999999999999967</v>
      </c>
      <c r="AH611" s="60">
        <f t="shared" si="358"/>
        <v>19709030.513323043</v>
      </c>
      <c r="AI611" s="60">
        <f t="shared" si="352"/>
        <v>134.96058089811231</v>
      </c>
      <c r="AJ611" s="60">
        <f t="shared" si="353"/>
        <v>0</v>
      </c>
      <c r="AK611" s="59">
        <f t="shared" si="355"/>
        <v>3.2000000000000028E-2</v>
      </c>
    </row>
    <row r="612" spans="1:37" ht="12.75" customHeight="1" x14ac:dyDescent="0.25">
      <c r="A612" s="62" t="s">
        <v>636</v>
      </c>
      <c r="B612" s="62" t="s">
        <v>421</v>
      </c>
      <c r="C612" s="62" t="s">
        <v>421</v>
      </c>
      <c r="D612" s="124">
        <v>2024</v>
      </c>
      <c r="E612" s="62" t="s">
        <v>676</v>
      </c>
      <c r="F612" s="64">
        <f>SIM_Parametres!$C$30</f>
        <v>1437888236.9117422</v>
      </c>
      <c r="G612" s="125">
        <f>SIM_Districts!D44*(1+SIM_Parametres!$B$6)^(2024-2023)</f>
        <v>215455.4</v>
      </c>
      <c r="H612" s="125">
        <f>MAX(0,MIN(100,SIM_Districts!F44+(2024-2022)*SIM_Parametres!$B$7))</f>
        <v>45.34</v>
      </c>
      <c r="I612" s="125">
        <f>SIM_Districts!G44*(1+SIM_Parametres!$B$8)^(2024-2023)</f>
        <v>37.599999999999994</v>
      </c>
      <c r="J612" s="125">
        <f>SIM_Districts!H44*(1+SIM_Parametres!$B$9)^(2024-2023)</f>
        <v>16.2</v>
      </c>
      <c r="K612" s="125">
        <f>MAX(0,MIN(100,SIM_Districts!I44+(2024-2023)*SIM_Parametres!$B$10))</f>
        <v>95.8</v>
      </c>
      <c r="L612" s="125">
        <f>SIM_Districts!E44</f>
        <v>759</v>
      </c>
      <c r="M612" s="61">
        <f t="shared" si="349"/>
        <v>283.86745718050065</v>
      </c>
      <c r="N612" s="125">
        <f>N541*(1+SIM_Parametres!$B$6)/(1+SIM_Parametres!$B$11)</f>
        <v>97480</v>
      </c>
      <c r="O612" s="132"/>
      <c r="P612" s="126">
        <f>SIM_Parametres!$D$30</f>
        <v>0</v>
      </c>
      <c r="Q612" s="126">
        <f>SIM_Parametres!$B$12</f>
        <v>0.2</v>
      </c>
      <c r="R612" s="66">
        <f t="shared" si="359"/>
        <v>1.1540081785736907E-2</v>
      </c>
      <c r="S612" s="66">
        <f t="shared" si="360"/>
        <v>0.66843971631205668</v>
      </c>
      <c r="T612" s="66">
        <f t="shared" si="361"/>
        <v>0.71270718232044195</v>
      </c>
      <c r="U612" s="66">
        <f t="shared" si="362"/>
        <v>0.52212219334654875</v>
      </c>
      <c r="V612" s="66">
        <f t="shared" si="363"/>
        <v>0.26413981218637</v>
      </c>
      <c r="W612" s="66">
        <f t="shared" si="364"/>
        <v>1.5937433946311558E-2</v>
      </c>
      <c r="X612" s="66">
        <f t="shared" si="365"/>
        <v>1.4103755534904061E-2</v>
      </c>
      <c r="Y612" s="66">
        <f t="shared" si="366"/>
        <v>1.3340070347099038E-2</v>
      </c>
      <c r="Z612" s="66">
        <f t="shared" si="367"/>
        <v>9.6948159470131197E-3</v>
      </c>
      <c r="AA612" s="66">
        <f t="shared" si="350"/>
        <v>1.2581971808330095E-2</v>
      </c>
      <c r="AB612" s="66">
        <f t="shared" si="368"/>
        <v>1.6193750346558868E-2</v>
      </c>
      <c r="AC612" s="67">
        <f t="shared" si="351"/>
        <v>18523564.80803379</v>
      </c>
      <c r="AD612" s="67">
        <f t="shared" si="356"/>
        <v>23284803.134802446</v>
      </c>
      <c r="AE612" s="66">
        <f t="shared" si="354"/>
        <v>3.2000000000000473E-2</v>
      </c>
      <c r="AF612" s="67">
        <f t="shared" si="357"/>
        <v>23284803.134802446</v>
      </c>
      <c r="AG612" s="67">
        <f t="shared" si="369"/>
        <v>0.99999999999999967</v>
      </c>
      <c r="AH612" s="67">
        <f t="shared" si="358"/>
        <v>23284803.134802438</v>
      </c>
      <c r="AI612" s="67">
        <f t="shared" si="352"/>
        <v>108.07249730014861</v>
      </c>
      <c r="AJ612" s="67">
        <f t="shared" si="353"/>
        <v>0</v>
      </c>
      <c r="AK612" s="66">
        <f t="shared" si="355"/>
        <v>3.2000000000000028E-2</v>
      </c>
    </row>
    <row r="613" spans="1:37" ht="12.75" customHeight="1" x14ac:dyDescent="0.25">
      <c r="A613" s="55" t="s">
        <v>637</v>
      </c>
      <c r="B613" s="55" t="s">
        <v>421</v>
      </c>
      <c r="C613" s="55" t="s">
        <v>429</v>
      </c>
      <c r="D613" s="128">
        <v>2024</v>
      </c>
      <c r="E613" s="55" t="s">
        <v>676</v>
      </c>
      <c r="F613" s="57">
        <f>SIM_Parametres!$C$30</f>
        <v>1437888236.9117422</v>
      </c>
      <c r="G613" s="129">
        <f>SIM_Districts!D45*(1+SIM_Parametres!$B$6)^(2024-2023)</f>
        <v>95114.32</v>
      </c>
      <c r="H613" s="129">
        <f>MAX(0,MIN(100,SIM_Districts!F45+(2024-2022)*SIM_Parametres!$B$7))</f>
        <v>45.34</v>
      </c>
      <c r="I613" s="129">
        <f>SIM_Districts!G45*(1+SIM_Parametres!$B$8)^(2024-2023)</f>
        <v>37.599999999999994</v>
      </c>
      <c r="J613" s="129">
        <f>SIM_Districts!H45*(1+SIM_Parametres!$B$9)^(2024-2023)</f>
        <v>16.2</v>
      </c>
      <c r="K613" s="129">
        <f>MAX(0,MIN(100,SIM_Districts!I45+(2024-2023)*SIM_Parametres!$B$10))</f>
        <v>95.8</v>
      </c>
      <c r="L613" s="129">
        <f>SIM_Districts!E45</f>
        <v>1185</v>
      </c>
      <c r="M613" s="68">
        <f t="shared" si="349"/>
        <v>80.26524894514769</v>
      </c>
      <c r="N613" s="129">
        <f>N542*(1+SIM_Parametres!$B$6)/(1+SIM_Parametres!$B$11)</f>
        <v>97480</v>
      </c>
      <c r="O613" s="72"/>
      <c r="P613" s="130">
        <f>SIM_Parametres!$D$30</f>
        <v>0</v>
      </c>
      <c r="Q613" s="130">
        <f>SIM_Parametres!$B$12</f>
        <v>0.2</v>
      </c>
      <c r="R613" s="59">
        <f t="shared" si="359"/>
        <v>5.0944512497470553E-3</v>
      </c>
      <c r="S613" s="59">
        <f t="shared" si="360"/>
        <v>0.66843971631205668</v>
      </c>
      <c r="T613" s="59">
        <f t="shared" si="361"/>
        <v>0.71270718232044195</v>
      </c>
      <c r="U613" s="59">
        <f t="shared" si="362"/>
        <v>0.53967466644845496</v>
      </c>
      <c r="V613" s="59">
        <f t="shared" si="363"/>
        <v>0.26413981218637</v>
      </c>
      <c r="W613" s="59">
        <f t="shared" si="364"/>
        <v>1.5937433946311558E-2</v>
      </c>
      <c r="X613" s="59">
        <f t="shared" si="365"/>
        <v>1.4103755534904061E-2</v>
      </c>
      <c r="Y613" s="59">
        <f t="shared" si="366"/>
        <v>1.3788530935307705E-2</v>
      </c>
      <c r="Z613" s="59">
        <f t="shared" si="367"/>
        <v>9.6948159470131197E-3</v>
      </c>
      <c r="AA613" s="59">
        <f t="shared" si="350"/>
        <v>8.7370165161466153E-3</v>
      </c>
      <c r="AB613" s="59">
        <f t="shared" si="368"/>
        <v>1.2926435425792719E-2</v>
      </c>
      <c r="AC613" s="60">
        <f t="shared" si="351"/>
        <v>14100672.019168051</v>
      </c>
      <c r="AD613" s="60">
        <f t="shared" si="356"/>
        <v>18586769.443946578</v>
      </c>
      <c r="AE613" s="59">
        <f t="shared" si="354"/>
        <v>3.200000000000025E-2</v>
      </c>
      <c r="AF613" s="60">
        <f t="shared" si="357"/>
        <v>18586769.443946578</v>
      </c>
      <c r="AG613" s="60">
        <f t="shared" si="369"/>
        <v>0.99999999999999967</v>
      </c>
      <c r="AH613" s="60">
        <f t="shared" si="358"/>
        <v>18586769.44394657</v>
      </c>
      <c r="AI613" s="60">
        <f t="shared" si="352"/>
        <v>195.41504837490893</v>
      </c>
      <c r="AJ613" s="60">
        <f t="shared" si="353"/>
        <v>0</v>
      </c>
      <c r="AK613" s="59">
        <f t="shared" si="355"/>
        <v>3.1999999999999806E-2</v>
      </c>
    </row>
    <row r="614" spans="1:37" ht="12.75" customHeight="1" x14ac:dyDescent="0.25">
      <c r="A614" s="62" t="s">
        <v>638</v>
      </c>
      <c r="B614" s="62" t="s">
        <v>430</v>
      </c>
      <c r="C614" s="62" t="s">
        <v>432</v>
      </c>
      <c r="D614" s="124">
        <v>2024</v>
      </c>
      <c r="E614" s="62" t="s">
        <v>676</v>
      </c>
      <c r="F614" s="64">
        <f>SIM_Parametres!$C$30</f>
        <v>1437888236.9117422</v>
      </c>
      <c r="G614" s="125">
        <f>SIM_Districts!D46*(1+SIM_Parametres!$B$6)^(2024-2023)</f>
        <v>363325.29000000004</v>
      </c>
      <c r="H614" s="125">
        <f>MAX(0,MIN(100,SIM_Districts!F46+(2024-2022)*SIM_Parametres!$B$7))</f>
        <v>43.040000000000006</v>
      </c>
      <c r="I614" s="125">
        <f>SIM_Districts!G46*(1+SIM_Parametres!$B$8)^(2024-2023)</f>
        <v>37.599999999999994</v>
      </c>
      <c r="J614" s="125">
        <f>SIM_Districts!H46*(1+SIM_Parametres!$B$9)^(2024-2023)</f>
        <v>22.77</v>
      </c>
      <c r="K614" s="125">
        <f>MAX(0,MIN(100,SIM_Districts!I46+(2024-2023)*SIM_Parametres!$B$10))</f>
        <v>83.7</v>
      </c>
      <c r="L614" s="125">
        <f>SIM_Districts!E46</f>
        <v>8704</v>
      </c>
      <c r="M614" s="61">
        <f t="shared" si="349"/>
        <v>41.742335707720592</v>
      </c>
      <c r="N614" s="125">
        <f>N543*(1+SIM_Parametres!$B$6)/(1+SIM_Parametres!$B$11)</f>
        <v>133963</v>
      </c>
      <c r="O614" s="132"/>
      <c r="P614" s="126">
        <f>SIM_Parametres!$D$30</f>
        <v>0</v>
      </c>
      <c r="Q614" s="126">
        <f>SIM_Parametres!$B$12</f>
        <v>0.2</v>
      </c>
      <c r="R614" s="66">
        <f t="shared" si="359"/>
        <v>1.9460192510499064E-2</v>
      </c>
      <c r="S614" s="66">
        <f t="shared" si="360"/>
        <v>0.62765957446808518</v>
      </c>
      <c r="T614" s="66">
        <f t="shared" si="361"/>
        <v>0.91436464088397784</v>
      </c>
      <c r="U614" s="66">
        <f t="shared" si="362"/>
        <v>0.80066503267175948</v>
      </c>
      <c r="V614" s="66">
        <f t="shared" si="363"/>
        <v>0.51735506215340199</v>
      </c>
      <c r="W614" s="66">
        <f t="shared" si="364"/>
        <v>1.4965123652504754E-2</v>
      </c>
      <c r="X614" s="66">
        <f t="shared" si="365"/>
        <v>1.8094353031214126E-2</v>
      </c>
      <c r="Y614" s="66">
        <f t="shared" si="366"/>
        <v>2.0456758966409912E-2</v>
      </c>
      <c r="Z614" s="66">
        <f t="shared" si="367"/>
        <v>1.8988663864475865E-2</v>
      </c>
      <c r="AA614" s="66">
        <f t="shared" si="350"/>
        <v>1.8607308150401562E-2</v>
      </c>
      <c r="AB614" s="66">
        <f t="shared" si="368"/>
        <v>1.6362619027215593E-2</v>
      </c>
      <c r="AC614" s="67">
        <f t="shared" si="351"/>
        <v>25454573.007794905</v>
      </c>
      <c r="AD614" s="67">
        <f t="shared" si="356"/>
        <v>23527617.424301554</v>
      </c>
      <c r="AE614" s="66">
        <f t="shared" si="354"/>
        <v>3.200000000000025E-2</v>
      </c>
      <c r="AF614" s="67">
        <f t="shared" si="357"/>
        <v>23527617.424301554</v>
      </c>
      <c r="AG614" s="67">
        <f t="shared" si="369"/>
        <v>0.99999999999999967</v>
      </c>
      <c r="AH614" s="67">
        <f t="shared" si="358"/>
        <v>23527617.424301546</v>
      </c>
      <c r="AI614" s="67">
        <f t="shared" si="352"/>
        <v>64.756343893103463</v>
      </c>
      <c r="AJ614" s="67">
        <f t="shared" si="353"/>
        <v>0</v>
      </c>
      <c r="AK614" s="66">
        <f t="shared" si="355"/>
        <v>3.2000000000000028E-2</v>
      </c>
    </row>
    <row r="615" spans="1:37" ht="12.75" customHeight="1" x14ac:dyDescent="0.25">
      <c r="A615" s="55" t="s">
        <v>640</v>
      </c>
      <c r="B615" s="55" t="s">
        <v>430</v>
      </c>
      <c r="C615" s="55" t="s">
        <v>430</v>
      </c>
      <c r="D615" s="128">
        <v>2024</v>
      </c>
      <c r="E615" s="55" t="s">
        <v>676</v>
      </c>
      <c r="F615" s="57">
        <f>SIM_Parametres!$C$30</f>
        <v>1437888236.9117422</v>
      </c>
      <c r="G615" s="129">
        <f>SIM_Districts!D47*(1+SIM_Parametres!$B$6)^(2024-2023)</f>
        <v>294738.62</v>
      </c>
      <c r="H615" s="129">
        <f>MAX(0,MIN(100,SIM_Districts!F47+(2024-2022)*SIM_Parametres!$B$7))</f>
        <v>43.040000000000006</v>
      </c>
      <c r="I615" s="129">
        <f>SIM_Districts!G47*(1+SIM_Parametres!$B$8)^(2024-2023)</f>
        <v>37.599999999999994</v>
      </c>
      <c r="J615" s="129">
        <f>SIM_Districts!H47*(1+SIM_Parametres!$B$9)^(2024-2023)</f>
        <v>22.77</v>
      </c>
      <c r="K615" s="129">
        <f>MAX(0,MIN(100,SIM_Districts!I47+(2024-2023)*SIM_Parametres!$B$10))</f>
        <v>83.7</v>
      </c>
      <c r="L615" s="129">
        <f>SIM_Districts!E47</f>
        <v>3957</v>
      </c>
      <c r="M615" s="68">
        <f t="shared" si="349"/>
        <v>74.485372757139245</v>
      </c>
      <c r="N615" s="129">
        <f>N544*(1+SIM_Parametres!$B$6)/(1+SIM_Parametres!$B$11)</f>
        <v>133963</v>
      </c>
      <c r="O615" s="72"/>
      <c r="P615" s="130">
        <f>SIM_Parametres!$D$30</f>
        <v>0</v>
      </c>
      <c r="Q615" s="130">
        <f>SIM_Parametres!$B$12</f>
        <v>0.2</v>
      </c>
      <c r="R615" s="59">
        <f t="shared" si="359"/>
        <v>1.578659796976651E-2</v>
      </c>
      <c r="S615" s="59">
        <f t="shared" si="360"/>
        <v>0.62765957446808518</v>
      </c>
      <c r="T615" s="59">
        <f t="shared" si="361"/>
        <v>0.91436464088397784</v>
      </c>
      <c r="U615" s="59">
        <f t="shared" si="362"/>
        <v>0.63577730793030052</v>
      </c>
      <c r="V615" s="59">
        <f t="shared" si="363"/>
        <v>0.51735506215340199</v>
      </c>
      <c r="W615" s="59">
        <f t="shared" si="364"/>
        <v>1.4965123652504754E-2</v>
      </c>
      <c r="X615" s="59">
        <f t="shared" si="365"/>
        <v>1.8094353031214126E-2</v>
      </c>
      <c r="Y615" s="59">
        <f t="shared" si="366"/>
        <v>1.6243925504331402E-2</v>
      </c>
      <c r="Z615" s="59">
        <f t="shared" si="367"/>
        <v>1.8988663864475865E-2</v>
      </c>
      <c r="AA615" s="59">
        <f t="shared" si="350"/>
        <v>1.61925097528581E-2</v>
      </c>
      <c r="AB615" s="59">
        <f t="shared" si="368"/>
        <v>1.4458855692050743E-2</v>
      </c>
      <c r="AC615" s="60">
        <f t="shared" si="351"/>
        <v>22676804.839522045</v>
      </c>
      <c r="AD615" s="60">
        <f t="shared" si="356"/>
        <v>20790218.518804152</v>
      </c>
      <c r="AE615" s="59">
        <f t="shared" si="354"/>
        <v>3.2000000000000473E-2</v>
      </c>
      <c r="AF615" s="60">
        <f t="shared" si="357"/>
        <v>20790218.518804152</v>
      </c>
      <c r="AG615" s="60">
        <f t="shared" si="369"/>
        <v>0.99999999999999967</v>
      </c>
      <c r="AH615" s="60">
        <f t="shared" si="358"/>
        <v>20790218.518804144</v>
      </c>
      <c r="AI615" s="60">
        <f t="shared" si="352"/>
        <v>70.537815908903099</v>
      </c>
      <c r="AJ615" s="60">
        <f t="shared" si="353"/>
        <v>0</v>
      </c>
      <c r="AK615" s="59">
        <f t="shared" si="355"/>
        <v>3.2000000000000028E-2</v>
      </c>
    </row>
    <row r="616" spans="1:37" ht="12.75" customHeight="1" x14ac:dyDescent="0.25">
      <c r="A616" s="62" t="s">
        <v>641</v>
      </c>
      <c r="B616" s="62" t="s">
        <v>430</v>
      </c>
      <c r="C616" s="62" t="s">
        <v>433</v>
      </c>
      <c r="D616" s="124">
        <v>2024</v>
      </c>
      <c r="E616" s="62" t="s">
        <v>676</v>
      </c>
      <c r="F616" s="64">
        <f>SIM_Parametres!$C$30</f>
        <v>1437888236.9117422</v>
      </c>
      <c r="G616" s="125">
        <f>SIM_Districts!D48*(1+SIM_Parametres!$B$6)^(2024-2023)</f>
        <v>78132.710000000006</v>
      </c>
      <c r="H616" s="125">
        <f>MAX(0,MIN(100,SIM_Districts!F48+(2024-2022)*SIM_Parametres!$B$7))</f>
        <v>43.040000000000006</v>
      </c>
      <c r="I616" s="125">
        <f>SIM_Districts!G48*(1+SIM_Parametres!$B$8)^(2024-2023)</f>
        <v>37.599999999999994</v>
      </c>
      <c r="J616" s="125">
        <f>SIM_Districts!H48*(1+SIM_Parametres!$B$9)^(2024-2023)</f>
        <v>22.77</v>
      </c>
      <c r="K616" s="125">
        <f>MAX(0,MIN(100,SIM_Districts!I48+(2024-2023)*SIM_Parametres!$B$10))</f>
        <v>83.7</v>
      </c>
      <c r="L616" s="125">
        <f>SIM_Districts!E48</f>
        <v>14444</v>
      </c>
      <c r="M616" s="61">
        <f t="shared" si="349"/>
        <v>5.4093540570479099</v>
      </c>
      <c r="N616" s="125">
        <f>N545*(1+SIM_Parametres!$B$6)/(1+SIM_Parametres!$B$11)</f>
        <v>133963</v>
      </c>
      <c r="O616" s="132"/>
      <c r="P616" s="126">
        <f>SIM_Parametres!$D$30</f>
        <v>0</v>
      </c>
      <c r="Q616" s="126">
        <f>SIM_Parametres!$B$12</f>
        <v>0.2</v>
      </c>
      <c r="R616" s="66">
        <f t="shared" si="359"/>
        <v>4.1848933168593776E-3</v>
      </c>
      <c r="S616" s="66">
        <f t="shared" si="360"/>
        <v>0.62765957446808518</v>
      </c>
      <c r="T616" s="66">
        <f t="shared" si="361"/>
        <v>0.91436464088397784</v>
      </c>
      <c r="U616" s="66">
        <f t="shared" si="362"/>
        <v>1</v>
      </c>
      <c r="V616" s="66">
        <f t="shared" si="363"/>
        <v>0.51735506215340199</v>
      </c>
      <c r="W616" s="66">
        <f t="shared" si="364"/>
        <v>1.4965123652504754E-2</v>
      </c>
      <c r="X616" s="66">
        <f t="shared" si="365"/>
        <v>1.8094353031214126E-2</v>
      </c>
      <c r="Y616" s="66">
        <f t="shared" si="366"/>
        <v>2.5549709468574183E-2</v>
      </c>
      <c r="Z616" s="66">
        <f t="shared" si="367"/>
        <v>1.8988663864475865E-2</v>
      </c>
      <c r="AA616" s="66">
        <f t="shared" si="350"/>
        <v>9.6967761593259594E-3</v>
      </c>
      <c r="AB616" s="66">
        <f t="shared" si="368"/>
        <v>1.3574185439655074E-2</v>
      </c>
      <c r="AC616" s="67">
        <f t="shared" si="351"/>
        <v>15204693.700120203</v>
      </c>
      <c r="AD616" s="67">
        <f t="shared" si="356"/>
        <v>19518161.569338676</v>
      </c>
      <c r="AE616" s="66">
        <f t="shared" si="354"/>
        <v>3.200000000000025E-2</v>
      </c>
      <c r="AF616" s="67">
        <f t="shared" si="357"/>
        <v>19518161.569338676</v>
      </c>
      <c r="AG616" s="67">
        <f t="shared" si="369"/>
        <v>0.99999999999999967</v>
      </c>
      <c r="AH616" s="67">
        <f t="shared" si="358"/>
        <v>19518161.569338668</v>
      </c>
      <c r="AI616" s="67">
        <f t="shared" si="352"/>
        <v>249.8078150538829</v>
      </c>
      <c r="AJ616" s="67">
        <f t="shared" si="353"/>
        <v>0</v>
      </c>
      <c r="AK616" s="66">
        <f t="shared" si="355"/>
        <v>3.2000000000000028E-2</v>
      </c>
    </row>
    <row r="617" spans="1:37" ht="12.75" customHeight="1" x14ac:dyDescent="0.25">
      <c r="A617" s="55" t="s">
        <v>642</v>
      </c>
      <c r="B617" s="55" t="s">
        <v>430</v>
      </c>
      <c r="C617" s="55" t="s">
        <v>434</v>
      </c>
      <c r="D617" s="128">
        <v>2024</v>
      </c>
      <c r="E617" s="55" t="s">
        <v>676</v>
      </c>
      <c r="F617" s="57">
        <f>SIM_Parametres!$C$30</f>
        <v>1437888236.9117422</v>
      </c>
      <c r="G617" s="129">
        <f>SIM_Districts!D49*(1+SIM_Parametres!$B$6)^(2024-2023)</f>
        <v>120382.28</v>
      </c>
      <c r="H617" s="129">
        <f>MAX(0,MIN(100,SIM_Districts!F49+(2024-2022)*SIM_Parametres!$B$7))</f>
        <v>43.040000000000006</v>
      </c>
      <c r="I617" s="129">
        <f>SIM_Districts!G49*(1+SIM_Parametres!$B$8)^(2024-2023)</f>
        <v>37.599999999999994</v>
      </c>
      <c r="J617" s="129">
        <f>SIM_Districts!H49*(1+SIM_Parametres!$B$9)^(2024-2023)</f>
        <v>22.77</v>
      </c>
      <c r="K617" s="129">
        <f>MAX(0,MIN(100,SIM_Districts!I49+(2024-2023)*SIM_Parametres!$B$10))</f>
        <v>83.7</v>
      </c>
      <c r="L617" s="129">
        <f>SIM_Districts!E49</f>
        <v>1898</v>
      </c>
      <c r="M617" s="68">
        <f t="shared" si="349"/>
        <v>63.425858798735511</v>
      </c>
      <c r="N617" s="129">
        <f>N546*(1+SIM_Parametres!$B$6)/(1+SIM_Parametres!$B$11)</f>
        <v>133963</v>
      </c>
      <c r="O617" s="72"/>
      <c r="P617" s="130">
        <f>SIM_Parametres!$D$30</f>
        <v>0</v>
      </c>
      <c r="Q617" s="130">
        <f>SIM_Parametres!$B$12</f>
        <v>0.2</v>
      </c>
      <c r="R617" s="59">
        <f t="shared" si="359"/>
        <v>6.4478372635519013E-3</v>
      </c>
      <c r="S617" s="59">
        <f t="shared" si="360"/>
        <v>0.62765957446808518</v>
      </c>
      <c r="T617" s="59">
        <f t="shared" si="361"/>
        <v>0.91436464088397784</v>
      </c>
      <c r="U617" s="59">
        <f t="shared" si="362"/>
        <v>0.5646045152795196</v>
      </c>
      <c r="V617" s="59">
        <f t="shared" si="363"/>
        <v>0.51735506215340199</v>
      </c>
      <c r="W617" s="59">
        <f t="shared" si="364"/>
        <v>1.4965123652504754E-2</v>
      </c>
      <c r="X617" s="59">
        <f t="shared" si="365"/>
        <v>1.8094353031214126E-2</v>
      </c>
      <c r="Y617" s="59">
        <f t="shared" si="366"/>
        <v>1.442548133003688E-2</v>
      </c>
      <c r="Z617" s="59">
        <f t="shared" si="367"/>
        <v>1.8988663864475865E-2</v>
      </c>
      <c r="AA617" s="59">
        <f t="shared" si="350"/>
        <v>1.0498331120414612E-2</v>
      </c>
      <c r="AB617" s="59">
        <f t="shared" si="368"/>
        <v>1.2930636139241895E-2</v>
      </c>
      <c r="AC617" s="60">
        <f t="shared" si="351"/>
        <v>16126730.859950298</v>
      </c>
      <c r="AD617" s="60">
        <f t="shared" si="356"/>
        <v>18592809.600401785</v>
      </c>
      <c r="AE617" s="59">
        <f t="shared" si="354"/>
        <v>3.200000000000025E-2</v>
      </c>
      <c r="AF617" s="60">
        <f t="shared" si="357"/>
        <v>18592809.600401785</v>
      </c>
      <c r="AG617" s="60">
        <f t="shared" si="369"/>
        <v>0.99999999999999967</v>
      </c>
      <c r="AH617" s="60">
        <f t="shared" si="358"/>
        <v>18592809.600401778</v>
      </c>
      <c r="AI617" s="60">
        <f t="shared" si="352"/>
        <v>154.44805996698</v>
      </c>
      <c r="AJ617" s="60">
        <f t="shared" si="353"/>
        <v>0</v>
      </c>
      <c r="AK617" s="59">
        <f t="shared" si="355"/>
        <v>3.1999999999999806E-2</v>
      </c>
    </row>
    <row r="618" spans="1:37" ht="12.75" customHeight="1" x14ac:dyDescent="0.25">
      <c r="A618" s="62" t="s">
        <v>643</v>
      </c>
      <c r="B618" s="62" t="s">
        <v>435</v>
      </c>
      <c r="C618" s="62" t="s">
        <v>437</v>
      </c>
      <c r="D618" s="124">
        <v>2024</v>
      </c>
      <c r="E618" s="62" t="s">
        <v>676</v>
      </c>
      <c r="F618" s="64">
        <f>SIM_Parametres!$C$30</f>
        <v>1437888236.9117422</v>
      </c>
      <c r="G618" s="125">
        <f>SIM_Districts!D50*(1+SIM_Parametres!$B$6)^(2024-2023)</f>
        <v>101300.5</v>
      </c>
      <c r="H618" s="125">
        <f>MAX(0,MIN(100,SIM_Districts!F50+(2024-2022)*SIM_Parametres!$B$7))</f>
        <v>35.64</v>
      </c>
      <c r="I618" s="125">
        <f>SIM_Districts!G50*(1+SIM_Parametres!$B$8)^(2024-2023)</f>
        <v>37.599999999999994</v>
      </c>
      <c r="J618" s="125">
        <f>SIM_Districts!H50*(1+SIM_Parametres!$B$9)^(2024-2023)</f>
        <v>20.61</v>
      </c>
      <c r="K618" s="125">
        <f>MAX(0,MIN(100,SIM_Districts!I50+(2024-2023)*SIM_Parametres!$B$10))</f>
        <v>87.9</v>
      </c>
      <c r="L618" s="125">
        <f>SIM_Districts!E50</f>
        <v>2448</v>
      </c>
      <c r="M618" s="61">
        <f t="shared" si="349"/>
        <v>41.380923202614376</v>
      </c>
      <c r="N618" s="125">
        <f>N547*(1+SIM_Parametres!$B$6)/(1+SIM_Parametres!$B$11)</f>
        <v>89545</v>
      </c>
      <c r="O618" s="132"/>
      <c r="P618" s="126">
        <f>SIM_Parametres!$D$30</f>
        <v>0</v>
      </c>
      <c r="Q618" s="126">
        <f>SIM_Parametres!$B$12</f>
        <v>0.2</v>
      </c>
      <c r="R618" s="66">
        <f t="shared" si="359"/>
        <v>5.4257913931887594E-3</v>
      </c>
      <c r="S618" s="66">
        <f t="shared" si="360"/>
        <v>0.4964539007092198</v>
      </c>
      <c r="T618" s="66">
        <f t="shared" si="361"/>
        <v>0.84806629834254132</v>
      </c>
      <c r="U618" s="66">
        <f t="shared" si="362"/>
        <v>0.58395945065622235</v>
      </c>
      <c r="V618" s="66">
        <f t="shared" si="363"/>
        <v>0.20906585970196906</v>
      </c>
      <c r="W618" s="66">
        <f t="shared" si="364"/>
        <v>1.1836820968082853E-2</v>
      </c>
      <c r="X618" s="66">
        <f t="shared" si="365"/>
        <v>1.6782375772153281E-2</v>
      </c>
      <c r="Y618" s="66">
        <f t="shared" si="366"/>
        <v>1.4919994305694663E-2</v>
      </c>
      <c r="Z618" s="66">
        <f t="shared" si="367"/>
        <v>7.6734173990574452E-3</v>
      </c>
      <c r="AA618" s="66">
        <f t="shared" si="350"/>
        <v>8.6780249321862808E-3</v>
      </c>
      <c r="AB618" s="66">
        <f t="shared" si="368"/>
        <v>1.2822257732253249E-2</v>
      </c>
      <c r="AC618" s="67">
        <f t="shared" si="351"/>
        <v>14032813.375445366</v>
      </c>
      <c r="AD618" s="67">
        <f t="shared" si="356"/>
        <v>18436973.563857578</v>
      </c>
      <c r="AE618" s="66">
        <f t="shared" si="354"/>
        <v>3.200000000000025E-2</v>
      </c>
      <c r="AF618" s="67">
        <f t="shared" si="357"/>
        <v>18436973.563857578</v>
      </c>
      <c r="AG618" s="67">
        <f t="shared" si="369"/>
        <v>0.99999999999999967</v>
      </c>
      <c r="AH618" s="67">
        <f t="shared" si="358"/>
        <v>18436973.56385757</v>
      </c>
      <c r="AI618" s="67">
        <f t="shared" si="352"/>
        <v>182.00278936291105</v>
      </c>
      <c r="AJ618" s="67">
        <f t="shared" si="353"/>
        <v>0</v>
      </c>
      <c r="AK618" s="66">
        <f t="shared" si="355"/>
        <v>3.1999999999999806E-2</v>
      </c>
    </row>
    <row r="619" spans="1:37" ht="12.75" customHeight="1" x14ac:dyDescent="0.25">
      <c r="A619" s="55" t="s">
        <v>645</v>
      </c>
      <c r="B619" s="55" t="s">
        <v>435</v>
      </c>
      <c r="C619" s="55" t="s">
        <v>438</v>
      </c>
      <c r="D619" s="128">
        <v>2024</v>
      </c>
      <c r="E619" s="55" t="s">
        <v>676</v>
      </c>
      <c r="F619" s="57">
        <f>SIM_Parametres!$C$30</f>
        <v>1437888236.9117422</v>
      </c>
      <c r="G619" s="129">
        <f>SIM_Districts!D51*(1+SIM_Parametres!$B$6)^(2024-2023)</f>
        <v>191040.28</v>
      </c>
      <c r="H619" s="129">
        <f>MAX(0,MIN(100,SIM_Districts!F51+(2024-2022)*SIM_Parametres!$B$7))</f>
        <v>35.64</v>
      </c>
      <c r="I619" s="129">
        <f>SIM_Districts!G51*(1+SIM_Parametres!$B$8)^(2024-2023)</f>
        <v>37.599999999999994</v>
      </c>
      <c r="J619" s="129">
        <f>SIM_Districts!H51*(1+SIM_Parametres!$B$9)^(2024-2023)</f>
        <v>20.61</v>
      </c>
      <c r="K619" s="129">
        <f>MAX(0,MIN(100,SIM_Districts!I51+(2024-2023)*SIM_Parametres!$B$10))</f>
        <v>87.9</v>
      </c>
      <c r="L619" s="129">
        <f>SIM_Districts!E51</f>
        <v>6989</v>
      </c>
      <c r="M619" s="68">
        <f t="shared" si="349"/>
        <v>27.33442266418658</v>
      </c>
      <c r="N619" s="129">
        <f>N548*(1+SIM_Parametres!$B$6)/(1+SIM_Parametres!$B$11)</f>
        <v>89545</v>
      </c>
      <c r="O619" s="72"/>
      <c r="P619" s="130">
        <f>SIM_Parametres!$D$30</f>
        <v>0</v>
      </c>
      <c r="Q619" s="130">
        <f>SIM_Parametres!$B$12</f>
        <v>0.2</v>
      </c>
      <c r="R619" s="59">
        <f t="shared" si="359"/>
        <v>1.0232375032466481E-2</v>
      </c>
      <c r="S619" s="59">
        <f t="shared" si="360"/>
        <v>0.4964539007092198</v>
      </c>
      <c r="T619" s="59">
        <f t="shared" si="361"/>
        <v>0.84806629834254132</v>
      </c>
      <c r="U619" s="59">
        <f t="shared" si="362"/>
        <v>0.74145452539080825</v>
      </c>
      <c r="V619" s="59">
        <f t="shared" si="363"/>
        <v>0.20906585970196906</v>
      </c>
      <c r="W619" s="59">
        <f t="shared" si="364"/>
        <v>1.1836820968082853E-2</v>
      </c>
      <c r="X619" s="59">
        <f t="shared" si="365"/>
        <v>1.6782375772153281E-2</v>
      </c>
      <c r="Y619" s="59">
        <f t="shared" si="366"/>
        <v>1.8943947707894711E-2</v>
      </c>
      <c r="Z619" s="59">
        <f t="shared" si="367"/>
        <v>7.6734173990574452E-3</v>
      </c>
      <c r="AA619" s="59">
        <f t="shared" si="350"/>
        <v>1.1763172785862917E-2</v>
      </c>
      <c r="AB619" s="59">
        <f t="shared" si="368"/>
        <v>1.2647508052767686E-2</v>
      </c>
      <c r="AC619" s="60">
        <f t="shared" si="351"/>
        <v>17581691.621793479</v>
      </c>
      <c r="AD619" s="60">
        <f t="shared" si="356"/>
        <v>18185703.055321191</v>
      </c>
      <c r="AE619" s="59">
        <f t="shared" si="354"/>
        <v>3.2000000000000473E-2</v>
      </c>
      <c r="AF619" s="60">
        <f t="shared" si="357"/>
        <v>18185703.055321191</v>
      </c>
      <c r="AG619" s="60">
        <f t="shared" si="369"/>
        <v>0.99999999999999967</v>
      </c>
      <c r="AH619" s="60">
        <f t="shared" si="358"/>
        <v>18185703.055321183</v>
      </c>
      <c r="AI619" s="60">
        <f t="shared" si="352"/>
        <v>95.19302973865608</v>
      </c>
      <c r="AJ619" s="60">
        <f t="shared" si="353"/>
        <v>0</v>
      </c>
      <c r="AK619" s="59">
        <f t="shared" si="355"/>
        <v>3.2000000000000028E-2</v>
      </c>
    </row>
    <row r="620" spans="1:37" ht="12.75" customHeight="1" x14ac:dyDescent="0.25">
      <c r="A620" s="62" t="s">
        <v>646</v>
      </c>
      <c r="B620" s="62" t="s">
        <v>435</v>
      </c>
      <c r="C620" s="62" t="s">
        <v>439</v>
      </c>
      <c r="D620" s="124">
        <v>2024</v>
      </c>
      <c r="E620" s="62" t="s">
        <v>676</v>
      </c>
      <c r="F620" s="64">
        <f>SIM_Parametres!$C$30</f>
        <v>1437888236.9117422</v>
      </c>
      <c r="G620" s="125">
        <f>SIM_Districts!D52*(1+SIM_Parametres!$B$6)^(2024-2023)</f>
        <v>314140.73</v>
      </c>
      <c r="H620" s="125">
        <f>MAX(0,MIN(100,SIM_Districts!F52+(2024-2022)*SIM_Parametres!$B$7))</f>
        <v>35.64</v>
      </c>
      <c r="I620" s="125">
        <f>SIM_Districts!G52*(1+SIM_Parametres!$B$8)^(2024-2023)</f>
        <v>37.599999999999994</v>
      </c>
      <c r="J620" s="125">
        <f>SIM_Districts!H52*(1+SIM_Parametres!$B$9)^(2024-2023)</f>
        <v>20.61</v>
      </c>
      <c r="K620" s="125">
        <f>MAX(0,MIN(100,SIM_Districts!I52+(2024-2023)*SIM_Parametres!$B$10))</f>
        <v>87.9</v>
      </c>
      <c r="L620" s="125">
        <f>SIM_Districts!E52</f>
        <v>5859</v>
      </c>
      <c r="M620" s="61">
        <f t="shared" si="349"/>
        <v>53.616782727427882</v>
      </c>
      <c r="N620" s="125">
        <f>N549*(1+SIM_Parametres!$B$6)/(1+SIM_Parametres!$B$11)</f>
        <v>89545</v>
      </c>
      <c r="O620" s="132"/>
      <c r="P620" s="126">
        <f>SIM_Parametres!$D$30</f>
        <v>0</v>
      </c>
      <c r="Q620" s="126">
        <f>SIM_Parametres!$B$12</f>
        <v>0.2</v>
      </c>
      <c r="R620" s="66">
        <f t="shared" si="359"/>
        <v>1.6825801146924585E-2</v>
      </c>
      <c r="S620" s="66">
        <f t="shared" si="360"/>
        <v>0.4964539007092198</v>
      </c>
      <c r="T620" s="66">
        <f t="shared" si="361"/>
        <v>0.84806629834254132</v>
      </c>
      <c r="U620" s="66">
        <f t="shared" si="362"/>
        <v>0.70194995546768002</v>
      </c>
      <c r="V620" s="66">
        <f t="shared" si="363"/>
        <v>0.20906585970196906</v>
      </c>
      <c r="W620" s="66">
        <f t="shared" si="364"/>
        <v>1.1836820968082853E-2</v>
      </c>
      <c r="X620" s="66">
        <f t="shared" si="365"/>
        <v>1.6782375772153281E-2</v>
      </c>
      <c r="Y620" s="66">
        <f t="shared" si="366"/>
        <v>1.7934617423677812E-2</v>
      </c>
      <c r="Z620" s="66">
        <f t="shared" si="367"/>
        <v>7.6734173990574452E-3</v>
      </c>
      <c r="AA620" s="66">
        <f t="shared" si="350"/>
        <v>1.5668761940326934E-2</v>
      </c>
      <c r="AB620" s="66">
        <f t="shared" si="368"/>
        <v>1.5369570367831278E-2</v>
      </c>
      <c r="AC620" s="67">
        <f t="shared" si="351"/>
        <v>22074332.184524592</v>
      </c>
      <c r="AD620" s="67">
        <f t="shared" si="356"/>
        <v>22099724.438291874</v>
      </c>
      <c r="AE620" s="66">
        <f t="shared" si="354"/>
        <v>3.200000000000025E-2</v>
      </c>
      <c r="AF620" s="67">
        <f t="shared" si="357"/>
        <v>22099724.438291874</v>
      </c>
      <c r="AG620" s="67">
        <f t="shared" si="369"/>
        <v>0.99999999999999967</v>
      </c>
      <c r="AH620" s="67">
        <f t="shared" si="358"/>
        <v>22099724.438291866</v>
      </c>
      <c r="AI620" s="67">
        <f t="shared" si="352"/>
        <v>70.349758333762921</v>
      </c>
      <c r="AJ620" s="67">
        <f t="shared" si="353"/>
        <v>0</v>
      </c>
      <c r="AK620" s="66">
        <f t="shared" si="355"/>
        <v>3.2000000000000028E-2</v>
      </c>
    </row>
    <row r="621" spans="1:37" ht="12.75" customHeight="1" x14ac:dyDescent="0.25">
      <c r="A621" s="55" t="s">
        <v>647</v>
      </c>
      <c r="B621" s="55" t="s">
        <v>435</v>
      </c>
      <c r="C621" s="55" t="s">
        <v>440</v>
      </c>
      <c r="D621" s="128">
        <v>2024</v>
      </c>
      <c r="E621" s="55" t="s">
        <v>676</v>
      </c>
      <c r="F621" s="57">
        <f>SIM_Parametres!$C$30</f>
        <v>1437888236.9117422</v>
      </c>
      <c r="G621" s="129">
        <f>SIM_Districts!D53*(1+SIM_Parametres!$B$6)^(2024-2023)</f>
        <v>228030.67</v>
      </c>
      <c r="H621" s="129">
        <f>MAX(0,MIN(100,SIM_Districts!F53+(2024-2022)*SIM_Parametres!$B$7))</f>
        <v>35.64</v>
      </c>
      <c r="I621" s="129">
        <f>SIM_Districts!G53*(1+SIM_Parametres!$B$8)^(2024-2023)</f>
        <v>37.599999999999994</v>
      </c>
      <c r="J621" s="129">
        <f>SIM_Districts!H53*(1+SIM_Parametres!$B$9)^(2024-2023)</f>
        <v>20.61</v>
      </c>
      <c r="K621" s="129">
        <f>MAX(0,MIN(100,SIM_Districts!I53+(2024-2023)*SIM_Parametres!$B$10))</f>
        <v>87.9</v>
      </c>
      <c r="L621" s="129">
        <f>SIM_Districts!E53</f>
        <v>3143</v>
      </c>
      <c r="M621" s="68">
        <f t="shared" si="349"/>
        <v>72.551915367483303</v>
      </c>
      <c r="N621" s="129">
        <f>N550*(1+SIM_Parametres!$B$6)/(1+SIM_Parametres!$B$11)</f>
        <v>89545</v>
      </c>
      <c r="O621" s="72"/>
      <c r="P621" s="130">
        <f>SIM_Parametres!$D$30</f>
        <v>0</v>
      </c>
      <c r="Q621" s="130">
        <f>SIM_Parametres!$B$12</f>
        <v>0.2</v>
      </c>
      <c r="R621" s="59">
        <f t="shared" si="359"/>
        <v>1.2213630205863411E-2</v>
      </c>
      <c r="S621" s="59">
        <f t="shared" si="360"/>
        <v>0.4964539007092198</v>
      </c>
      <c r="T621" s="59">
        <f t="shared" si="361"/>
        <v>0.84806629834254132</v>
      </c>
      <c r="U621" s="59">
        <f t="shared" si="362"/>
        <v>0.6076065442079609</v>
      </c>
      <c r="V621" s="59">
        <f t="shared" si="363"/>
        <v>0.20906585970196906</v>
      </c>
      <c r="W621" s="59">
        <f t="shared" si="364"/>
        <v>1.1836820968082853E-2</v>
      </c>
      <c r="X621" s="59">
        <f t="shared" si="365"/>
        <v>1.6782375772153281E-2</v>
      </c>
      <c r="Y621" s="59">
        <f t="shared" si="366"/>
        <v>1.5524170675717777E-2</v>
      </c>
      <c r="Z621" s="59">
        <f t="shared" si="367"/>
        <v>7.6734173990574452E-3</v>
      </c>
      <c r="AA621" s="59">
        <f t="shared" si="350"/>
        <v>1.2780937038292228E-2</v>
      </c>
      <c r="AB621" s="59">
        <f t="shared" si="368"/>
        <v>1.3896800232551501E-2</v>
      </c>
      <c r="AC621" s="60">
        <f t="shared" si="351"/>
        <v>18752436.619007383</v>
      </c>
      <c r="AD621" s="60">
        <f t="shared" si="356"/>
        <v>19982045.585098166</v>
      </c>
      <c r="AE621" s="59">
        <f t="shared" si="354"/>
        <v>3.200000000000025E-2</v>
      </c>
      <c r="AF621" s="60">
        <f t="shared" si="357"/>
        <v>19982045.585098166</v>
      </c>
      <c r="AG621" s="60">
        <f t="shared" si="369"/>
        <v>0.99999999999999967</v>
      </c>
      <c r="AH621" s="60">
        <f t="shared" si="358"/>
        <v>19982045.585098159</v>
      </c>
      <c r="AI621" s="60">
        <f t="shared" si="352"/>
        <v>87.628763205836123</v>
      </c>
      <c r="AJ621" s="60">
        <f t="shared" si="353"/>
        <v>0</v>
      </c>
      <c r="AK621" s="59">
        <f t="shared" si="355"/>
        <v>3.1999999999999806E-2</v>
      </c>
    </row>
    <row r="622" spans="1:37" ht="12.75" customHeight="1" x14ac:dyDescent="0.25">
      <c r="A622" s="62" t="s">
        <v>648</v>
      </c>
      <c r="B622" s="62" t="s">
        <v>435</v>
      </c>
      <c r="C622" s="62" t="s">
        <v>435</v>
      </c>
      <c r="D622" s="124">
        <v>2024</v>
      </c>
      <c r="E622" s="62" t="s">
        <v>676</v>
      </c>
      <c r="F622" s="64">
        <f>SIM_Parametres!$C$30</f>
        <v>1437888236.9117422</v>
      </c>
      <c r="G622" s="125">
        <f>SIM_Districts!D54*(1+SIM_Parametres!$B$6)^(2024-2023)</f>
        <v>404002.05</v>
      </c>
      <c r="H622" s="125">
        <f>MAX(0,MIN(100,SIM_Districts!F54+(2024-2022)*SIM_Parametres!$B$7))</f>
        <v>35.64</v>
      </c>
      <c r="I622" s="125">
        <f>SIM_Districts!G54*(1+SIM_Parametres!$B$8)^(2024-2023)</f>
        <v>37.599999999999994</v>
      </c>
      <c r="J622" s="125">
        <f>SIM_Districts!H54*(1+SIM_Parametres!$B$9)^(2024-2023)</f>
        <v>20.61</v>
      </c>
      <c r="K622" s="125">
        <f>MAX(0,MIN(100,SIM_Districts!I54+(2024-2023)*SIM_Parametres!$B$10))</f>
        <v>87.9</v>
      </c>
      <c r="L622" s="125">
        <f>SIM_Districts!E54</f>
        <v>802</v>
      </c>
      <c r="M622" s="61">
        <f t="shared" si="349"/>
        <v>503.74320448877802</v>
      </c>
      <c r="N622" s="125">
        <f>N551*(1+SIM_Parametres!$B$6)/(1+SIM_Parametres!$B$11)</f>
        <v>89545</v>
      </c>
      <c r="O622" s="132"/>
      <c r="P622" s="126">
        <f>SIM_Parametres!$D$30</f>
        <v>0</v>
      </c>
      <c r="Q622" s="126">
        <f>SIM_Parametres!$B$12</f>
        <v>0.2</v>
      </c>
      <c r="R622" s="66">
        <f t="shared" si="359"/>
        <v>2.1638894632510352E-2</v>
      </c>
      <c r="S622" s="66">
        <f t="shared" si="360"/>
        <v>0.4964539007092198</v>
      </c>
      <c r="T622" s="66">
        <f t="shared" si="361"/>
        <v>0.84806629834254132</v>
      </c>
      <c r="U622" s="66">
        <f t="shared" si="362"/>
        <v>0.52059263207206896</v>
      </c>
      <c r="V622" s="66">
        <f t="shared" si="363"/>
        <v>0.20906585970196906</v>
      </c>
      <c r="W622" s="66">
        <f t="shared" si="364"/>
        <v>1.1836820968082853E-2</v>
      </c>
      <c r="X622" s="66">
        <f t="shared" si="365"/>
        <v>1.6782375772153281E-2</v>
      </c>
      <c r="Y622" s="66">
        <f t="shared" si="366"/>
        <v>1.3300990500921697E-2</v>
      </c>
      <c r="Z622" s="66">
        <f t="shared" si="367"/>
        <v>7.6734173990574452E-3</v>
      </c>
      <c r="AA622" s="66">
        <f t="shared" si="350"/>
        <v>1.832493668554059E-2</v>
      </c>
      <c r="AB622" s="66">
        <f t="shared" si="368"/>
        <v>1.3760697116798316E-2</v>
      </c>
      <c r="AC622" s="67">
        <f t="shared" si="351"/>
        <v>25129758.121584397</v>
      </c>
      <c r="AD622" s="67">
        <f t="shared" si="356"/>
        <v>19786344.515949626</v>
      </c>
      <c r="AE622" s="66">
        <f t="shared" si="354"/>
        <v>3.2000000000000473E-2</v>
      </c>
      <c r="AF622" s="67">
        <f t="shared" si="357"/>
        <v>19786344.515949626</v>
      </c>
      <c r="AG622" s="67">
        <f t="shared" si="369"/>
        <v>0.99999999999999967</v>
      </c>
      <c r="AH622" s="67">
        <f t="shared" si="358"/>
        <v>19786344.515949618</v>
      </c>
      <c r="AI622" s="67">
        <f t="shared" si="352"/>
        <v>48.975851770924479</v>
      </c>
      <c r="AJ622" s="67">
        <f t="shared" si="353"/>
        <v>0</v>
      </c>
      <c r="AK622" s="66">
        <f t="shared" si="355"/>
        <v>3.2000000000000028E-2</v>
      </c>
    </row>
    <row r="623" spans="1:37" ht="12.75" customHeight="1" x14ac:dyDescent="0.25">
      <c r="A623" s="55" t="s">
        <v>649</v>
      </c>
      <c r="B623" s="55" t="s">
        <v>441</v>
      </c>
      <c r="C623" s="55" t="s">
        <v>443</v>
      </c>
      <c r="D623" s="128">
        <v>2024</v>
      </c>
      <c r="E623" s="55" t="s">
        <v>676</v>
      </c>
      <c r="F623" s="57">
        <f>SIM_Parametres!$C$30</f>
        <v>1437888236.9117422</v>
      </c>
      <c r="G623" s="129">
        <f>SIM_Districts!D55*(1+SIM_Parametres!$B$6)^(2024-2023)</f>
        <v>297585.53999999998</v>
      </c>
      <c r="H623" s="129">
        <f>MAX(0,MIN(100,SIM_Districts!F55+(2024-2022)*SIM_Parametres!$B$7))</f>
        <v>62.740000000000009</v>
      </c>
      <c r="I623" s="129">
        <f>SIM_Districts!G55*(1+SIM_Parametres!$B$8)^(2024-2023)</f>
        <v>37.599999999999994</v>
      </c>
      <c r="J623" s="129">
        <f>SIM_Districts!H55*(1+SIM_Parametres!$B$9)^(2024-2023)</f>
        <v>22.05</v>
      </c>
      <c r="K623" s="129">
        <f>MAX(0,MIN(100,SIM_Districts!I55+(2024-2023)*SIM_Parametres!$B$10))</f>
        <v>83.6</v>
      </c>
      <c r="L623" s="129">
        <f>SIM_Districts!E55</f>
        <v>2865</v>
      </c>
      <c r="M623" s="68">
        <f t="shared" si="349"/>
        <v>103.86929842931936</v>
      </c>
      <c r="N623" s="129">
        <f>N552*(1+SIM_Parametres!$B$6)/(1+SIM_Parametres!$B$11)</f>
        <v>178218</v>
      </c>
      <c r="O623" s="72"/>
      <c r="P623" s="130">
        <f>SIM_Parametres!$D$30</f>
        <v>0</v>
      </c>
      <c r="Q623" s="130">
        <f>SIM_Parametres!$B$12</f>
        <v>0.2</v>
      </c>
      <c r="R623" s="59">
        <f t="shared" si="359"/>
        <v>1.5939082844304116E-2</v>
      </c>
      <c r="S623" s="59">
        <f t="shared" si="360"/>
        <v>0.97695035460992918</v>
      </c>
      <c r="T623" s="59">
        <f t="shared" si="361"/>
        <v>0.89226519337016574</v>
      </c>
      <c r="U623" s="59">
        <f t="shared" si="362"/>
        <v>0.59754648703547386</v>
      </c>
      <c r="V623" s="59">
        <f t="shared" si="363"/>
        <v>0.82451294081719062</v>
      </c>
      <c r="W623" s="59">
        <f t="shared" si="364"/>
        <v>2.3293172690763048E-2</v>
      </c>
      <c r="X623" s="59">
        <f t="shared" si="365"/>
        <v>1.7657027278193845E-2</v>
      </c>
      <c r="Y623" s="59">
        <f t="shared" si="366"/>
        <v>1.5267139137723488E-2</v>
      </c>
      <c r="Z623" s="59">
        <f t="shared" si="367"/>
        <v>3.0262386957075536E-2</v>
      </c>
      <c r="AA623" s="59">
        <f t="shared" si="350"/>
        <v>1.7982456006665957E-2</v>
      </c>
      <c r="AB623" s="59">
        <f t="shared" si="368"/>
        <v>1.2724801180232453E-2</v>
      </c>
      <c r="AC623" s="60">
        <f t="shared" si="351"/>
        <v>24735798.969965693</v>
      </c>
      <c r="AD623" s="60">
        <f t="shared" si="356"/>
        <v>18296841.934096899</v>
      </c>
      <c r="AE623" s="59">
        <f t="shared" si="354"/>
        <v>3.2000000000000473E-2</v>
      </c>
      <c r="AF623" s="60">
        <f t="shared" si="357"/>
        <v>18296841.934096899</v>
      </c>
      <c r="AG623" s="60">
        <f t="shared" si="369"/>
        <v>0.99999999999999967</v>
      </c>
      <c r="AH623" s="60">
        <f t="shared" si="358"/>
        <v>18296841.934096891</v>
      </c>
      <c r="AI623" s="60">
        <f t="shared" si="352"/>
        <v>61.484311146626588</v>
      </c>
      <c r="AJ623" s="60">
        <f t="shared" si="353"/>
        <v>0</v>
      </c>
      <c r="AK623" s="59">
        <f t="shared" si="355"/>
        <v>3.2000000000000028E-2</v>
      </c>
    </row>
    <row r="624" spans="1:37" ht="12.75" customHeight="1" x14ac:dyDescent="0.25">
      <c r="A624" s="62" t="s">
        <v>651</v>
      </c>
      <c r="B624" s="62" t="s">
        <v>441</v>
      </c>
      <c r="C624" s="62" t="s">
        <v>441</v>
      </c>
      <c r="D624" s="124">
        <v>2024</v>
      </c>
      <c r="E624" s="62" t="s">
        <v>676</v>
      </c>
      <c r="F624" s="64">
        <f>SIM_Parametres!$C$30</f>
        <v>1437888236.9117422</v>
      </c>
      <c r="G624" s="125">
        <f>SIM_Districts!D56*(1+SIM_Parametres!$B$6)^(2024-2023)</f>
        <v>309358.44</v>
      </c>
      <c r="H624" s="125">
        <f>MAX(0,MIN(100,SIM_Districts!F56+(2024-2022)*SIM_Parametres!$B$7))</f>
        <v>62.740000000000009</v>
      </c>
      <c r="I624" s="125">
        <f>SIM_Districts!G56*(1+SIM_Parametres!$B$8)^(2024-2023)</f>
        <v>37.599999999999994</v>
      </c>
      <c r="J624" s="125">
        <f>SIM_Districts!H56*(1+SIM_Parametres!$B$9)^(2024-2023)</f>
        <v>22.05</v>
      </c>
      <c r="K624" s="125">
        <f>MAX(0,MIN(100,SIM_Districts!I56+(2024-2023)*SIM_Parametres!$B$10))</f>
        <v>83.6</v>
      </c>
      <c r="L624" s="125">
        <f>SIM_Districts!E56</f>
        <v>2749</v>
      </c>
      <c r="M624" s="61">
        <f t="shared" si="349"/>
        <v>112.53489996362313</v>
      </c>
      <c r="N624" s="125">
        <f>N553*(1+SIM_Parametres!$B$6)/(1+SIM_Parametres!$B$11)</f>
        <v>178218</v>
      </c>
      <c r="O624" s="132"/>
      <c r="P624" s="126">
        <f>SIM_Parametres!$D$30</f>
        <v>0</v>
      </c>
      <c r="Q624" s="126">
        <f>SIM_Parametres!$B$12</f>
        <v>0.2</v>
      </c>
      <c r="R624" s="66">
        <f t="shared" si="359"/>
        <v>1.6569655245159711E-2</v>
      </c>
      <c r="S624" s="66">
        <f t="shared" si="360"/>
        <v>0.97695035460992918</v>
      </c>
      <c r="T624" s="66">
        <f t="shared" si="361"/>
        <v>0.89226519337016574</v>
      </c>
      <c r="U624" s="66">
        <f t="shared" si="362"/>
        <v>0.59340921006518588</v>
      </c>
      <c r="V624" s="66">
        <f t="shared" si="363"/>
        <v>0.82451294081719062</v>
      </c>
      <c r="W624" s="66">
        <f t="shared" si="364"/>
        <v>2.3293172690763048E-2</v>
      </c>
      <c r="X624" s="66">
        <f t="shared" si="365"/>
        <v>1.7657027278193845E-2</v>
      </c>
      <c r="Y624" s="66">
        <f t="shared" si="366"/>
        <v>1.5161432913141606E-2</v>
      </c>
      <c r="Z624" s="66">
        <f t="shared" si="367"/>
        <v>3.0262386957075536E-2</v>
      </c>
      <c r="AA624" s="66">
        <f t="shared" si="350"/>
        <v>1.8355514135950216E-2</v>
      </c>
      <c r="AB624" s="66">
        <f t="shared" si="368"/>
        <v>1.449666211309329E-2</v>
      </c>
      <c r="AC624" s="67">
        <f t="shared" si="351"/>
        <v>25164931.686591402</v>
      </c>
      <c r="AD624" s="67">
        <f t="shared" si="356"/>
        <v>20844579.926900964</v>
      </c>
      <c r="AE624" s="66">
        <f t="shared" si="354"/>
        <v>3.2000000000000473E-2</v>
      </c>
      <c r="AF624" s="67">
        <f t="shared" si="357"/>
        <v>20844579.926900964</v>
      </c>
      <c r="AG624" s="67">
        <f t="shared" si="369"/>
        <v>0.99999999999999967</v>
      </c>
      <c r="AH624" s="67">
        <f t="shared" si="358"/>
        <v>20844579.926900957</v>
      </c>
      <c r="AI624" s="67">
        <f t="shared" si="352"/>
        <v>67.380026634802519</v>
      </c>
      <c r="AJ624" s="67">
        <f t="shared" si="353"/>
        <v>0</v>
      </c>
      <c r="AK624" s="66">
        <f t="shared" si="355"/>
        <v>3.2000000000000028E-2</v>
      </c>
    </row>
    <row r="625" spans="1:37" ht="12.75" customHeight="1" x14ac:dyDescent="0.25">
      <c r="A625" s="55" t="s">
        <v>652</v>
      </c>
      <c r="B625" s="55" t="s">
        <v>444</v>
      </c>
      <c r="C625" s="55" t="s">
        <v>446</v>
      </c>
      <c r="D625" s="128">
        <v>2024</v>
      </c>
      <c r="E625" s="55" t="s">
        <v>676</v>
      </c>
      <c r="F625" s="57">
        <f>SIM_Parametres!$C$30</f>
        <v>1437888236.9117422</v>
      </c>
      <c r="G625" s="129">
        <f>SIM_Districts!D57*(1+SIM_Parametres!$B$6)^(2024-2023)</f>
        <v>155959.51</v>
      </c>
      <c r="H625" s="129">
        <f>MAX(0,MIN(100,SIM_Districts!F57+(2024-2022)*SIM_Parametres!$B$7))</f>
        <v>61.14</v>
      </c>
      <c r="I625" s="129">
        <f>SIM_Districts!G57*(1+SIM_Parametres!$B$8)^(2024-2023)</f>
        <v>37.599999999999994</v>
      </c>
      <c r="J625" s="129">
        <f>SIM_Districts!H57*(1+SIM_Parametres!$B$9)^(2024-2023)</f>
        <v>21.150000000000002</v>
      </c>
      <c r="K625" s="129">
        <f>MAX(0,MIN(100,SIM_Districts!I57+(2024-2023)*SIM_Parametres!$B$10))</f>
        <v>87.6</v>
      </c>
      <c r="L625" s="129">
        <f>SIM_Districts!E57</f>
        <v>1360</v>
      </c>
      <c r="M625" s="68">
        <f t="shared" si="349"/>
        <v>114.67611029411765</v>
      </c>
      <c r="N625" s="129">
        <f>N554*(1+SIM_Parametres!$B$6)/(1+SIM_Parametres!$B$11)</f>
        <v>71159</v>
      </c>
      <c r="O625" s="72"/>
      <c r="P625" s="130">
        <f>SIM_Parametres!$D$30</f>
        <v>0</v>
      </c>
      <c r="Q625" s="130">
        <f>SIM_Parametres!$B$12</f>
        <v>0.2</v>
      </c>
      <c r="R625" s="59">
        <f t="shared" si="359"/>
        <v>8.3534016815705395E-3</v>
      </c>
      <c r="S625" s="59">
        <f t="shared" si="360"/>
        <v>0.9485815602836879</v>
      </c>
      <c r="T625" s="59">
        <f t="shared" si="361"/>
        <v>0.86464088397790062</v>
      </c>
      <c r="U625" s="59">
        <f t="shared" si="362"/>
        <v>0.54526424876049684</v>
      </c>
      <c r="V625" s="59">
        <f t="shared" si="363"/>
        <v>8.1455312710388056E-2</v>
      </c>
      <c r="W625" s="59">
        <f t="shared" si="364"/>
        <v>2.2616782921158311E-2</v>
      </c>
      <c r="X625" s="59">
        <f t="shared" si="365"/>
        <v>1.7110370086918496E-2</v>
      </c>
      <c r="Y625" s="59">
        <f t="shared" si="366"/>
        <v>1.3931343139431056E-2</v>
      </c>
      <c r="Z625" s="59">
        <f t="shared" si="367"/>
        <v>2.9896828429499429E-3</v>
      </c>
      <c r="AA625" s="59">
        <f t="shared" si="350"/>
        <v>1.1817165259272892E-2</v>
      </c>
      <c r="AB625" s="59">
        <f t="shared" si="368"/>
        <v>1.4601679949322594E-2</v>
      </c>
      <c r="AC625" s="60">
        <f t="shared" si="351"/>
        <v>17643799.735711858</v>
      </c>
      <c r="AD625" s="60">
        <f t="shared" si="356"/>
        <v>20995583.838281002</v>
      </c>
      <c r="AE625" s="59">
        <f t="shared" si="354"/>
        <v>3.2000000000000473E-2</v>
      </c>
      <c r="AF625" s="60">
        <f t="shared" si="357"/>
        <v>20995583.838281002</v>
      </c>
      <c r="AG625" s="60">
        <f t="shared" si="369"/>
        <v>0.99999999999999967</v>
      </c>
      <c r="AH625" s="60">
        <f t="shared" si="358"/>
        <v>20995583.838280994</v>
      </c>
      <c r="AI625" s="60">
        <f t="shared" si="352"/>
        <v>134.62201720357413</v>
      </c>
      <c r="AJ625" s="60">
        <f t="shared" si="353"/>
        <v>0</v>
      </c>
      <c r="AK625" s="59">
        <f t="shared" si="355"/>
        <v>3.2000000000000028E-2</v>
      </c>
    </row>
    <row r="626" spans="1:37" ht="12.75" customHeight="1" x14ac:dyDescent="0.25">
      <c r="A626" s="62" t="s">
        <v>654</v>
      </c>
      <c r="B626" s="62" t="s">
        <v>444</v>
      </c>
      <c r="C626" s="62" t="s">
        <v>447</v>
      </c>
      <c r="D626" s="124">
        <v>2024</v>
      </c>
      <c r="E626" s="62" t="s">
        <v>676</v>
      </c>
      <c r="F626" s="64">
        <f>SIM_Parametres!$C$30</f>
        <v>1437888236.9117422</v>
      </c>
      <c r="G626" s="125">
        <f>SIM_Districts!D58*(1+SIM_Parametres!$B$6)^(2024-2023)</f>
        <v>76480.59</v>
      </c>
      <c r="H626" s="125">
        <f>MAX(0,MIN(100,SIM_Districts!F58+(2024-2022)*SIM_Parametres!$B$7))</f>
        <v>61.14</v>
      </c>
      <c r="I626" s="125">
        <f>SIM_Districts!G58*(1+SIM_Parametres!$B$8)^(2024-2023)</f>
        <v>37.599999999999994</v>
      </c>
      <c r="J626" s="125">
        <f>SIM_Districts!H58*(1+SIM_Parametres!$B$9)^(2024-2023)</f>
        <v>21.150000000000002</v>
      </c>
      <c r="K626" s="125">
        <f>MAX(0,MIN(100,SIM_Districts!I58+(2024-2023)*SIM_Parametres!$B$10))</f>
        <v>87.6</v>
      </c>
      <c r="L626" s="125">
        <f>SIM_Districts!E58</f>
        <v>6089</v>
      </c>
      <c r="M626" s="61">
        <f t="shared" si="349"/>
        <v>12.560451634094267</v>
      </c>
      <c r="N626" s="125">
        <f>N555*(1+SIM_Parametres!$B$6)/(1+SIM_Parametres!$B$11)</f>
        <v>71159</v>
      </c>
      <c r="O626" s="132"/>
      <c r="P626" s="126">
        <f>SIM_Parametres!$D$30</f>
        <v>0</v>
      </c>
      <c r="Q626" s="126">
        <f>SIM_Parametres!$B$12</f>
        <v>0.2</v>
      </c>
      <c r="R626" s="66">
        <f t="shared" si="359"/>
        <v>4.0964035416211995E-3</v>
      </c>
      <c r="S626" s="66">
        <f t="shared" si="360"/>
        <v>0.9485815602836879</v>
      </c>
      <c r="T626" s="66">
        <f t="shared" si="361"/>
        <v>0.86464088397790062</v>
      </c>
      <c r="U626" s="66">
        <f t="shared" si="362"/>
        <v>0.71048099676349064</v>
      </c>
      <c r="V626" s="66">
        <f t="shared" si="363"/>
        <v>8.1455312710388056E-2</v>
      </c>
      <c r="W626" s="66">
        <f t="shared" si="364"/>
        <v>2.2616782921158311E-2</v>
      </c>
      <c r="X626" s="66">
        <f t="shared" si="365"/>
        <v>1.7110370086918496E-2</v>
      </c>
      <c r="Y626" s="66">
        <f t="shared" si="366"/>
        <v>1.8152583050250179E-2</v>
      </c>
      <c r="Z626" s="66">
        <f t="shared" si="367"/>
        <v>2.9896828429499429E-3</v>
      </c>
      <c r="AA626" s="66">
        <f t="shared" si="350"/>
        <v>9.4740283708442466E-3</v>
      </c>
      <c r="AB626" s="66">
        <f t="shared" si="368"/>
        <v>1.2162745720733215E-2</v>
      </c>
      <c r="AC626" s="67">
        <f t="shared" si="351"/>
        <v>14948464.560235435</v>
      </c>
      <c r="AD626" s="67">
        <f t="shared" si="356"/>
        <v>17488669.000390921</v>
      </c>
      <c r="AE626" s="66">
        <f t="shared" si="354"/>
        <v>3.2000000000000473E-2</v>
      </c>
      <c r="AF626" s="67">
        <f t="shared" si="357"/>
        <v>17488669.000390921</v>
      </c>
      <c r="AG626" s="67">
        <f t="shared" si="369"/>
        <v>0.99999999999999967</v>
      </c>
      <c r="AH626" s="67">
        <f t="shared" si="358"/>
        <v>17488669.000390913</v>
      </c>
      <c r="AI626" s="67">
        <f t="shared" si="352"/>
        <v>228.66807121115193</v>
      </c>
      <c r="AJ626" s="67">
        <f t="shared" si="353"/>
        <v>0</v>
      </c>
      <c r="AK626" s="66">
        <f t="shared" si="355"/>
        <v>3.2000000000000028E-2</v>
      </c>
    </row>
    <row r="627" spans="1:37" ht="12.75" customHeight="1" x14ac:dyDescent="0.25">
      <c r="A627" s="55" t="s">
        <v>655</v>
      </c>
      <c r="B627" s="55" t="s">
        <v>444</v>
      </c>
      <c r="C627" s="55" t="s">
        <v>448</v>
      </c>
      <c r="D627" s="128">
        <v>2024</v>
      </c>
      <c r="E627" s="55" t="s">
        <v>676</v>
      </c>
      <c r="F627" s="57">
        <f>SIM_Parametres!$C$30</f>
        <v>1437888236.9117422</v>
      </c>
      <c r="G627" s="129">
        <f>SIM_Districts!D59*(1+SIM_Parametres!$B$6)^(2024-2023)</f>
        <v>134729.15</v>
      </c>
      <c r="H627" s="129">
        <f>MAX(0,MIN(100,SIM_Districts!F59+(2024-2022)*SIM_Parametres!$B$7))</f>
        <v>61.14</v>
      </c>
      <c r="I627" s="129">
        <f>SIM_Districts!G59*(1+SIM_Parametres!$B$8)^(2024-2023)</f>
        <v>37.599999999999994</v>
      </c>
      <c r="J627" s="129">
        <f>SIM_Districts!H59*(1+SIM_Parametres!$B$9)^(2024-2023)</f>
        <v>21.150000000000002</v>
      </c>
      <c r="K627" s="129">
        <f>MAX(0,MIN(100,SIM_Districts!I59+(2024-2023)*SIM_Parametres!$B$10))</f>
        <v>87.6</v>
      </c>
      <c r="L627" s="129">
        <f>SIM_Districts!E59</f>
        <v>9596</v>
      </c>
      <c r="M627" s="68">
        <f t="shared" si="349"/>
        <v>14.040136515214671</v>
      </c>
      <c r="N627" s="129">
        <f>N556*(1+SIM_Parametres!$B$6)/(1+SIM_Parametres!$B$11)</f>
        <v>71159</v>
      </c>
      <c r="O627" s="72"/>
      <c r="P627" s="130">
        <f>SIM_Parametres!$D$30</f>
        <v>0</v>
      </c>
      <c r="Q627" s="130">
        <f>SIM_Parametres!$B$12</f>
        <v>0.2</v>
      </c>
      <c r="R627" s="59">
        <f t="shared" si="359"/>
        <v>7.2162749688465247E-3</v>
      </c>
      <c r="S627" s="59">
        <f t="shared" si="360"/>
        <v>0.9485815602836879</v>
      </c>
      <c r="T627" s="59">
        <f t="shared" si="361"/>
        <v>0.86464088397790062</v>
      </c>
      <c r="U627" s="59">
        <f t="shared" si="362"/>
        <v>0.83194467542502504</v>
      </c>
      <c r="V627" s="59">
        <f t="shared" si="363"/>
        <v>8.1455312710388056E-2</v>
      </c>
      <c r="W627" s="59">
        <f t="shared" si="364"/>
        <v>2.2616782921158311E-2</v>
      </c>
      <c r="X627" s="59">
        <f t="shared" si="365"/>
        <v>1.7110370086918496E-2</v>
      </c>
      <c r="Y627" s="59">
        <f t="shared" si="366"/>
        <v>2.1255944751036638E-2</v>
      </c>
      <c r="Z627" s="59">
        <f t="shared" si="367"/>
        <v>2.9896828429499429E-3</v>
      </c>
      <c r="AA627" s="59">
        <f t="shared" si="350"/>
        <v>1.1501119312218764E-2</v>
      </c>
      <c r="AB627" s="59">
        <f t="shared" si="368"/>
        <v>1.2786971739280204E-2</v>
      </c>
      <c r="AC627" s="60">
        <f t="shared" si="351"/>
        <v>17280248.736037649</v>
      </c>
      <c r="AD627" s="60">
        <f t="shared" si="356"/>
        <v>18386236.249633886</v>
      </c>
      <c r="AE627" s="59">
        <f t="shared" si="354"/>
        <v>3.200000000000025E-2</v>
      </c>
      <c r="AF627" s="60">
        <f t="shared" si="357"/>
        <v>18386236.249633886</v>
      </c>
      <c r="AG627" s="60">
        <f t="shared" si="369"/>
        <v>0.99999999999999967</v>
      </c>
      <c r="AH627" s="60">
        <f t="shared" si="358"/>
        <v>18386236.249633878</v>
      </c>
      <c r="AI627" s="60">
        <f t="shared" si="352"/>
        <v>136.46813810993299</v>
      </c>
      <c r="AJ627" s="60">
        <f t="shared" si="353"/>
        <v>0</v>
      </c>
      <c r="AK627" s="59">
        <f t="shared" si="355"/>
        <v>3.1999999999999806E-2</v>
      </c>
    </row>
    <row r="628" spans="1:37" ht="12.75" customHeight="1" x14ac:dyDescent="0.25">
      <c r="A628" s="62" t="s">
        <v>656</v>
      </c>
      <c r="B628" s="62" t="s">
        <v>444</v>
      </c>
      <c r="C628" s="62" t="s">
        <v>449</v>
      </c>
      <c r="D628" s="124">
        <v>2024</v>
      </c>
      <c r="E628" s="62" t="s">
        <v>676</v>
      </c>
      <c r="F628" s="64">
        <f>SIM_Parametres!$C$30</f>
        <v>1437888236.9117422</v>
      </c>
      <c r="G628" s="125">
        <f>SIM_Districts!D60*(1+SIM_Parametres!$B$6)^(2024-2023)</f>
        <v>99425.900000000009</v>
      </c>
      <c r="H628" s="125">
        <f>MAX(0,MIN(100,SIM_Districts!F60+(2024-2022)*SIM_Parametres!$B$7))</f>
        <v>61.14</v>
      </c>
      <c r="I628" s="125">
        <f>SIM_Districts!G60*(1+SIM_Parametres!$B$8)^(2024-2023)</f>
        <v>37.599999999999994</v>
      </c>
      <c r="J628" s="125">
        <f>SIM_Districts!H60*(1+SIM_Parametres!$B$9)^(2024-2023)</f>
        <v>21.150000000000002</v>
      </c>
      <c r="K628" s="125">
        <f>MAX(0,MIN(100,SIM_Districts!I60+(2024-2023)*SIM_Parametres!$B$10))</f>
        <v>87.6</v>
      </c>
      <c r="L628" s="125">
        <f>SIM_Districts!E60</f>
        <v>5363</v>
      </c>
      <c r="M628" s="61">
        <f t="shared" si="349"/>
        <v>18.539231773261236</v>
      </c>
      <c r="N628" s="125">
        <f>N557*(1+SIM_Parametres!$B$6)/(1+SIM_Parametres!$B$11)</f>
        <v>71159</v>
      </c>
      <c r="O628" s="132"/>
      <c r="P628" s="126">
        <f>SIM_Parametres!$D$30</f>
        <v>0</v>
      </c>
      <c r="Q628" s="126">
        <f>SIM_Parametres!$B$12</f>
        <v>0.2</v>
      </c>
      <c r="R628" s="66">
        <f t="shared" si="359"/>
        <v>5.3253852891155164E-3</v>
      </c>
      <c r="S628" s="66">
        <f t="shared" si="360"/>
        <v>0.9485815602836879</v>
      </c>
      <c r="T628" s="66">
        <f t="shared" si="361"/>
        <v>0.86464088397790062</v>
      </c>
      <c r="U628" s="66">
        <f t="shared" si="362"/>
        <v>0.68524994865574662</v>
      </c>
      <c r="V628" s="66">
        <f t="shared" si="363"/>
        <v>8.1455312710388056E-2</v>
      </c>
      <c r="W628" s="66">
        <f t="shared" si="364"/>
        <v>2.2616782921158311E-2</v>
      </c>
      <c r="X628" s="66">
        <f t="shared" si="365"/>
        <v>1.7110370086918496E-2</v>
      </c>
      <c r="Y628" s="66">
        <f t="shared" si="366"/>
        <v>1.7507937101509701E-2</v>
      </c>
      <c r="Z628" s="66">
        <f t="shared" si="367"/>
        <v>2.9896828429499429E-3</v>
      </c>
      <c r="AA628" s="66">
        <f t="shared" si="350"/>
        <v>1.0179185121903812E-2</v>
      </c>
      <c r="AB628" s="66">
        <f t="shared" si="368"/>
        <v>1.3375911764854144E-2</v>
      </c>
      <c r="AC628" s="67">
        <f t="shared" si="351"/>
        <v>15759613.838257395</v>
      </c>
      <c r="AD628" s="67">
        <f t="shared" si="356"/>
        <v>19233066.184653156</v>
      </c>
      <c r="AE628" s="66">
        <f t="shared" si="354"/>
        <v>3.200000000000025E-2</v>
      </c>
      <c r="AF628" s="67">
        <f t="shared" si="357"/>
        <v>19233066.184653156</v>
      </c>
      <c r="AG628" s="67">
        <f t="shared" si="369"/>
        <v>0.99999999999999967</v>
      </c>
      <c r="AH628" s="67">
        <f t="shared" si="358"/>
        <v>19233066.184653148</v>
      </c>
      <c r="AI628" s="67">
        <f t="shared" si="352"/>
        <v>193.4412078206297</v>
      </c>
      <c r="AJ628" s="67">
        <f t="shared" si="353"/>
        <v>0</v>
      </c>
      <c r="AK628" s="66">
        <f t="shared" si="355"/>
        <v>3.2000000000000028E-2</v>
      </c>
    </row>
    <row r="629" spans="1:37" ht="12.75" customHeight="1" x14ac:dyDescent="0.25">
      <c r="A629" s="55" t="s">
        <v>657</v>
      </c>
      <c r="B629" s="55" t="s">
        <v>444</v>
      </c>
      <c r="C629" s="55" t="s">
        <v>450</v>
      </c>
      <c r="D629" s="128">
        <v>2024</v>
      </c>
      <c r="E629" s="55" t="s">
        <v>676</v>
      </c>
      <c r="F629" s="57">
        <f>SIM_Parametres!$C$30</f>
        <v>1437888236.9117422</v>
      </c>
      <c r="G629" s="129">
        <f>SIM_Districts!D61*(1+SIM_Parametres!$B$6)^(2024-2023)</f>
        <v>126339.8</v>
      </c>
      <c r="H629" s="129">
        <f>MAX(0,MIN(100,SIM_Districts!F61+(2024-2022)*SIM_Parametres!$B$7))</f>
        <v>61.14</v>
      </c>
      <c r="I629" s="129">
        <f>SIM_Districts!G61*(1+SIM_Parametres!$B$8)^(2024-2023)</f>
        <v>37.599999999999994</v>
      </c>
      <c r="J629" s="129">
        <f>SIM_Districts!H61*(1+SIM_Parametres!$B$9)^(2024-2023)</f>
        <v>21.150000000000002</v>
      </c>
      <c r="K629" s="129">
        <f>MAX(0,MIN(100,SIM_Districts!I61+(2024-2023)*SIM_Parametres!$B$10))</f>
        <v>87.6</v>
      </c>
      <c r="L629" s="129">
        <f>SIM_Districts!E61</f>
        <v>2477</v>
      </c>
      <c r="M629" s="68">
        <f t="shared" si="349"/>
        <v>51.0051675413807</v>
      </c>
      <c r="N629" s="129">
        <f>N558*(1+SIM_Parametres!$B$6)/(1+SIM_Parametres!$B$11)</f>
        <v>71159</v>
      </c>
      <c r="O629" s="72"/>
      <c r="P629" s="130">
        <f>SIM_Parametres!$D$30</f>
        <v>0</v>
      </c>
      <c r="Q629" s="130">
        <f>SIM_Parametres!$B$12</f>
        <v>0.2</v>
      </c>
      <c r="R629" s="59">
        <f t="shared" si="359"/>
        <v>6.7669300690242325E-3</v>
      </c>
      <c r="S629" s="59">
        <f t="shared" si="360"/>
        <v>0.9485815602836879</v>
      </c>
      <c r="T629" s="59">
        <f t="shared" si="361"/>
        <v>0.86464088397790062</v>
      </c>
      <c r="U629" s="59">
        <f t="shared" si="362"/>
        <v>0.5848318733080492</v>
      </c>
      <c r="V629" s="59">
        <f t="shared" si="363"/>
        <v>8.1455312710388056E-2</v>
      </c>
      <c r="W629" s="59">
        <f t="shared" si="364"/>
        <v>2.2616782921158311E-2</v>
      </c>
      <c r="X629" s="59">
        <f t="shared" si="365"/>
        <v>1.7110370086918496E-2</v>
      </c>
      <c r="Y629" s="59">
        <f t="shared" si="366"/>
        <v>1.4942284450982642E-2</v>
      </c>
      <c r="Z629" s="59">
        <f t="shared" si="367"/>
        <v>2.9896828429499429E-3</v>
      </c>
      <c r="AA629" s="59">
        <f t="shared" si="350"/>
        <v>1.0915829357322691E-2</v>
      </c>
      <c r="AB629" s="59">
        <f t="shared" si="368"/>
        <v>1.3002888410567652E-2</v>
      </c>
      <c r="AC629" s="60">
        <f t="shared" si="351"/>
        <v>16606983.502975514</v>
      </c>
      <c r="AD629" s="60">
        <f t="shared" si="356"/>
        <v>18696700.291431248</v>
      </c>
      <c r="AE629" s="59">
        <f t="shared" si="354"/>
        <v>3.2000000000000473E-2</v>
      </c>
      <c r="AF629" s="60">
        <f t="shared" si="357"/>
        <v>18696700.291431248</v>
      </c>
      <c r="AG629" s="60">
        <f t="shared" si="369"/>
        <v>0.99999999999999967</v>
      </c>
      <c r="AH629" s="60">
        <f t="shared" si="358"/>
        <v>18696700.291431241</v>
      </c>
      <c r="AI629" s="60">
        <f t="shared" si="352"/>
        <v>147.98741403287991</v>
      </c>
      <c r="AJ629" s="60">
        <f t="shared" si="353"/>
        <v>0</v>
      </c>
      <c r="AK629" s="59">
        <f t="shared" si="355"/>
        <v>3.2000000000000028E-2</v>
      </c>
    </row>
    <row r="630" spans="1:37" ht="12.75" customHeight="1" x14ac:dyDescent="0.25">
      <c r="A630" s="62" t="s">
        <v>658</v>
      </c>
      <c r="B630" s="62" t="s">
        <v>444</v>
      </c>
      <c r="C630" s="62" t="s">
        <v>451</v>
      </c>
      <c r="D630" s="124">
        <v>2024</v>
      </c>
      <c r="E630" s="62" t="s">
        <v>676</v>
      </c>
      <c r="F630" s="64">
        <f>SIM_Parametres!$C$30</f>
        <v>1437888236.9117422</v>
      </c>
      <c r="G630" s="125">
        <f>SIM_Districts!D62*(1+SIM_Parametres!$B$6)^(2024-2023)</f>
        <v>423831.61</v>
      </c>
      <c r="H630" s="125">
        <f>MAX(0,MIN(100,SIM_Districts!F62+(2024-2022)*SIM_Parametres!$B$7))</f>
        <v>61.14</v>
      </c>
      <c r="I630" s="125">
        <f>SIM_Districts!G62*(1+SIM_Parametres!$B$8)^(2024-2023)</f>
        <v>37.599999999999994</v>
      </c>
      <c r="J630" s="125">
        <f>SIM_Districts!H62*(1+SIM_Parametres!$B$9)^(2024-2023)</f>
        <v>21.150000000000002</v>
      </c>
      <c r="K630" s="125">
        <f>MAX(0,MIN(100,SIM_Districts!I62+(2024-2023)*SIM_Parametres!$B$10))</f>
        <v>87.6</v>
      </c>
      <c r="L630" s="125">
        <f>SIM_Districts!E62</f>
        <v>11599</v>
      </c>
      <c r="M630" s="61">
        <f t="shared" si="349"/>
        <v>36.540357789464608</v>
      </c>
      <c r="N630" s="125">
        <f>N559*(1+SIM_Parametres!$B$6)/(1+SIM_Parametres!$B$11)</f>
        <v>71159</v>
      </c>
      <c r="O630" s="132"/>
      <c r="P630" s="126">
        <f>SIM_Parametres!$D$30</f>
        <v>0</v>
      </c>
      <c r="Q630" s="126">
        <f>SIM_Parametres!$B$12</f>
        <v>0.2</v>
      </c>
      <c r="R630" s="66">
        <f t="shared" si="359"/>
        <v>2.2700992608124689E-2</v>
      </c>
      <c r="S630" s="66">
        <f t="shared" si="360"/>
        <v>0.9485815602836879</v>
      </c>
      <c r="T630" s="66">
        <f t="shared" si="361"/>
        <v>0.86464088397790062</v>
      </c>
      <c r="U630" s="66">
        <f t="shared" si="362"/>
        <v>0.90102051224376711</v>
      </c>
      <c r="V630" s="66">
        <f t="shared" si="363"/>
        <v>8.1455312710388056E-2</v>
      </c>
      <c r="W630" s="66">
        <f t="shared" si="364"/>
        <v>2.2616782921158311E-2</v>
      </c>
      <c r="X630" s="66">
        <f t="shared" si="365"/>
        <v>1.7110370086918496E-2</v>
      </c>
      <c r="Y630" s="66">
        <f t="shared" si="366"/>
        <v>2.3020812313054136E-2</v>
      </c>
      <c r="Z630" s="66">
        <f t="shared" si="367"/>
        <v>2.9896828429499429E-3</v>
      </c>
      <c r="AA630" s="66">
        <f t="shared" si="350"/>
        <v>2.0880193273886537E-2</v>
      </c>
      <c r="AB630" s="66">
        <f t="shared" si="368"/>
        <v>1.440592670259117E-2</v>
      </c>
      <c r="AC630" s="67">
        <f t="shared" si="351"/>
        <v>28069096.834123492</v>
      </c>
      <c r="AD630" s="67">
        <f t="shared" si="356"/>
        <v>20714112.547468606</v>
      </c>
      <c r="AE630" s="66">
        <f t="shared" si="354"/>
        <v>3.2000000000000473E-2</v>
      </c>
      <c r="AF630" s="67">
        <f t="shared" si="357"/>
        <v>20714112.547468606</v>
      </c>
      <c r="AG630" s="67">
        <f t="shared" si="369"/>
        <v>0.99999999999999967</v>
      </c>
      <c r="AH630" s="67">
        <f t="shared" si="358"/>
        <v>20714112.547468599</v>
      </c>
      <c r="AI630" s="67">
        <f t="shared" si="352"/>
        <v>48.873448932864164</v>
      </c>
      <c r="AJ630" s="67">
        <f t="shared" si="353"/>
        <v>0</v>
      </c>
      <c r="AK630" s="66">
        <f t="shared" si="355"/>
        <v>3.2000000000000028E-2</v>
      </c>
    </row>
    <row r="631" spans="1:37" ht="12.75" customHeight="1" x14ac:dyDescent="0.25">
      <c r="A631" s="55" t="s">
        <v>659</v>
      </c>
      <c r="B631" s="55" t="s">
        <v>452</v>
      </c>
      <c r="C631" s="55" t="s">
        <v>454</v>
      </c>
      <c r="D631" s="128">
        <v>2024</v>
      </c>
      <c r="E631" s="55" t="s">
        <v>676</v>
      </c>
      <c r="F631" s="57">
        <f>SIM_Parametres!$C$30</f>
        <v>1437888236.9117422</v>
      </c>
      <c r="G631" s="129">
        <f>SIM_Districts!D63*(1+SIM_Parametres!$B$6)^(2024-2023)</f>
        <v>125730.04000000001</v>
      </c>
      <c r="H631" s="129">
        <f>MAX(0,MIN(100,SIM_Districts!F63+(2024-2022)*SIM_Parametres!$B$7))</f>
        <v>28.24</v>
      </c>
      <c r="I631" s="129">
        <f>SIM_Districts!G63*(1+SIM_Parametres!$B$8)^(2024-2023)</f>
        <v>37.599999999999994</v>
      </c>
      <c r="J631" s="129">
        <f>SIM_Districts!H63*(1+SIM_Parametres!$B$9)^(2024-2023)</f>
        <v>14.31</v>
      </c>
      <c r="K631" s="129">
        <f>MAX(0,MIN(100,SIM_Districts!I63+(2024-2023)*SIM_Parametres!$B$10))</f>
        <v>99.3</v>
      </c>
      <c r="L631" s="129">
        <f>SIM_Districts!E63</f>
        <v>393</v>
      </c>
      <c r="M631" s="68">
        <f t="shared" si="349"/>
        <v>319.92376590330792</v>
      </c>
      <c r="N631" s="129">
        <f>N560*(1+SIM_Parametres!$B$6)/(1+SIM_Parametres!$B$11)</f>
        <v>153373</v>
      </c>
      <c r="O631" s="72"/>
      <c r="P631" s="130">
        <f>SIM_Parametres!$D$30</f>
        <v>0</v>
      </c>
      <c r="Q631" s="130">
        <f>SIM_Parametres!$B$12</f>
        <v>0.2</v>
      </c>
      <c r="R631" s="59">
        <f t="shared" si="359"/>
        <v>6.734270501105903E-3</v>
      </c>
      <c r="S631" s="59">
        <f t="shared" si="360"/>
        <v>0.36524822695035453</v>
      </c>
      <c r="T631" s="59">
        <f t="shared" si="361"/>
        <v>0.65469613259668513</v>
      </c>
      <c r="U631" s="59">
        <f t="shared" si="362"/>
        <v>0.5089487082445231</v>
      </c>
      <c r="V631" s="59">
        <f t="shared" si="363"/>
        <v>0.65207282116061327</v>
      </c>
      <c r="W631" s="59">
        <f t="shared" si="364"/>
        <v>8.708518283660956E-3</v>
      </c>
      <c r="X631" s="59">
        <f t="shared" si="365"/>
        <v>1.2955775433225826E-2</v>
      </c>
      <c r="Y631" s="59">
        <f t="shared" si="366"/>
        <v>1.3003491630053692E-2</v>
      </c>
      <c r="Z631" s="59">
        <f t="shared" si="367"/>
        <v>2.3933256909947777E-2</v>
      </c>
      <c r="AA631" s="59">
        <f t="shared" si="350"/>
        <v>9.1370437851966326E-3</v>
      </c>
      <c r="AB631" s="59">
        <f t="shared" si="368"/>
        <v>1.422529602427677E-2</v>
      </c>
      <c r="AC631" s="60">
        <f t="shared" si="351"/>
        <v>14560827.622856809</v>
      </c>
      <c r="AD631" s="60">
        <f t="shared" si="356"/>
        <v>20454385.81989494</v>
      </c>
      <c r="AE631" s="59">
        <f t="shared" si="354"/>
        <v>3.200000000000025E-2</v>
      </c>
      <c r="AF631" s="60">
        <f t="shared" si="357"/>
        <v>20454385.81989494</v>
      </c>
      <c r="AG631" s="60">
        <f t="shared" si="369"/>
        <v>0.99999999999999967</v>
      </c>
      <c r="AH631" s="60">
        <f t="shared" si="358"/>
        <v>20454385.819894932</v>
      </c>
      <c r="AI631" s="60">
        <f t="shared" si="352"/>
        <v>162.68495436647385</v>
      </c>
      <c r="AJ631" s="60">
        <f t="shared" si="353"/>
        <v>0</v>
      </c>
      <c r="AK631" s="59">
        <f t="shared" si="355"/>
        <v>3.1999999999999806E-2</v>
      </c>
    </row>
    <row r="632" spans="1:37" ht="12.75" customHeight="1" x14ac:dyDescent="0.25">
      <c r="A632" s="62" t="s">
        <v>661</v>
      </c>
      <c r="B632" s="62" t="s">
        <v>452</v>
      </c>
      <c r="C632" s="62" t="s">
        <v>455</v>
      </c>
      <c r="D632" s="124">
        <v>2024</v>
      </c>
      <c r="E632" s="62" t="s">
        <v>676</v>
      </c>
      <c r="F632" s="64">
        <f>SIM_Parametres!$C$30</f>
        <v>1437888236.9117422</v>
      </c>
      <c r="G632" s="125">
        <f>SIM_Districts!D64*(1+SIM_Parametres!$B$6)^(2024-2023)</f>
        <v>217915.04</v>
      </c>
      <c r="H632" s="125">
        <f>MAX(0,MIN(100,SIM_Districts!F64+(2024-2022)*SIM_Parametres!$B$7))</f>
        <v>28.24</v>
      </c>
      <c r="I632" s="125">
        <f>SIM_Districts!G64*(1+SIM_Parametres!$B$8)^(2024-2023)</f>
        <v>37.599999999999994</v>
      </c>
      <c r="J632" s="125">
        <f>SIM_Districts!H64*(1+SIM_Parametres!$B$9)^(2024-2023)</f>
        <v>14.31</v>
      </c>
      <c r="K632" s="125">
        <f>MAX(0,MIN(100,SIM_Districts!I64+(2024-2023)*SIM_Parametres!$B$10))</f>
        <v>99.3</v>
      </c>
      <c r="L632" s="125">
        <f>SIM_Districts!E64</f>
        <v>537</v>
      </c>
      <c r="M632" s="61">
        <f t="shared" si="349"/>
        <v>405.80081936685292</v>
      </c>
      <c r="N632" s="125">
        <f>N561*(1+SIM_Parametres!$B$6)/(1+SIM_Parametres!$B$11)</f>
        <v>153373</v>
      </c>
      <c r="O632" s="132"/>
      <c r="P632" s="126">
        <f>SIM_Parametres!$D$30</f>
        <v>0</v>
      </c>
      <c r="Q632" s="126">
        <f>SIM_Parametres!$B$12</f>
        <v>0.2</v>
      </c>
      <c r="R632" s="66">
        <f t="shared" si="359"/>
        <v>1.1671823421191252E-2</v>
      </c>
      <c r="S632" s="66">
        <f t="shared" si="360"/>
        <v>0.36524822695035453</v>
      </c>
      <c r="T632" s="66">
        <f t="shared" si="361"/>
        <v>0.65469613259668513</v>
      </c>
      <c r="U632" s="66">
        <f t="shared" si="362"/>
        <v>0.51275775815315705</v>
      </c>
      <c r="V632" s="66">
        <f t="shared" si="363"/>
        <v>0.65207282116061327</v>
      </c>
      <c r="W632" s="66">
        <f t="shared" si="364"/>
        <v>8.708518283660956E-3</v>
      </c>
      <c r="X632" s="66">
        <f t="shared" si="365"/>
        <v>1.2955775433225826E-2</v>
      </c>
      <c r="Y632" s="66">
        <f t="shared" si="366"/>
        <v>1.3100811748570588E-2</v>
      </c>
      <c r="Z632" s="66">
        <f t="shared" si="367"/>
        <v>2.3933256909947777E-2</v>
      </c>
      <c r="AA632" s="66">
        <f t="shared" si="350"/>
        <v>1.2104441543173687E-2</v>
      </c>
      <c r="AB632" s="66">
        <f t="shared" si="368"/>
        <v>1.4479859259296601E-2</v>
      </c>
      <c r="AC632" s="67">
        <f t="shared" si="351"/>
        <v>17974256.687203597</v>
      </c>
      <c r="AD632" s="67">
        <f t="shared" si="356"/>
        <v>20820419.301080156</v>
      </c>
      <c r="AE632" s="66">
        <f t="shared" si="354"/>
        <v>3.200000000000025E-2</v>
      </c>
      <c r="AF632" s="67">
        <f t="shared" si="357"/>
        <v>20820419.301080156</v>
      </c>
      <c r="AG632" s="67">
        <f t="shared" si="369"/>
        <v>0.99999999999999967</v>
      </c>
      <c r="AH632" s="67">
        <f t="shared" si="358"/>
        <v>20820419.301080149</v>
      </c>
      <c r="AI632" s="67">
        <f t="shared" si="352"/>
        <v>95.543746320034401</v>
      </c>
      <c r="AJ632" s="67">
        <f t="shared" si="353"/>
        <v>0</v>
      </c>
      <c r="AK632" s="66">
        <f t="shared" si="355"/>
        <v>3.2000000000000028E-2</v>
      </c>
    </row>
    <row r="633" spans="1:37" ht="12.75" customHeight="1" x14ac:dyDescent="0.25">
      <c r="A633" s="55" t="s">
        <v>662</v>
      </c>
      <c r="B633" s="55" t="s">
        <v>452</v>
      </c>
      <c r="C633" s="55" t="s">
        <v>456</v>
      </c>
      <c r="D633" s="128">
        <v>2024</v>
      </c>
      <c r="E633" s="55" t="s">
        <v>676</v>
      </c>
      <c r="F633" s="57">
        <f>SIM_Parametres!$C$30</f>
        <v>1437888236.9117422</v>
      </c>
      <c r="G633" s="129">
        <f>SIM_Districts!D65*(1+SIM_Parametres!$B$6)^(2024-2023)</f>
        <v>567396.1</v>
      </c>
      <c r="H633" s="129">
        <f>MAX(0,MIN(100,SIM_Districts!F65+(2024-2022)*SIM_Parametres!$B$7))</f>
        <v>28.24</v>
      </c>
      <c r="I633" s="129">
        <f>SIM_Districts!G65*(1+SIM_Parametres!$B$8)^(2024-2023)</f>
        <v>37.599999999999994</v>
      </c>
      <c r="J633" s="129">
        <f>SIM_Districts!H65*(1+SIM_Parametres!$B$9)^(2024-2023)</f>
        <v>14.31</v>
      </c>
      <c r="K633" s="129">
        <f>MAX(0,MIN(100,SIM_Districts!I65+(2024-2023)*SIM_Parametres!$B$10))</f>
        <v>99.3</v>
      </c>
      <c r="L633" s="129">
        <f>SIM_Districts!E65</f>
        <v>487</v>
      </c>
      <c r="M633" s="68">
        <f t="shared" si="349"/>
        <v>1165.0843942505132</v>
      </c>
      <c r="N633" s="129">
        <f>N562*(1+SIM_Parametres!$B$6)/(1+SIM_Parametres!$B$11)</f>
        <v>153373</v>
      </c>
      <c r="O633" s="72"/>
      <c r="P633" s="130">
        <f>SIM_Parametres!$D$30</f>
        <v>0</v>
      </c>
      <c r="Q633" s="130">
        <f>SIM_Parametres!$B$12</f>
        <v>0.2</v>
      </c>
      <c r="R633" s="59">
        <f t="shared" si="359"/>
        <v>3.0390500302652688E-2</v>
      </c>
      <c r="S633" s="59">
        <f t="shared" si="360"/>
        <v>0.36524822695035453</v>
      </c>
      <c r="T633" s="59">
        <f t="shared" si="361"/>
        <v>0.65469613259668513</v>
      </c>
      <c r="U633" s="59">
        <f t="shared" si="362"/>
        <v>0.50060006219339392</v>
      </c>
      <c r="V633" s="59">
        <f t="shared" si="363"/>
        <v>0.65207282116061327</v>
      </c>
      <c r="W633" s="59">
        <f t="shared" si="364"/>
        <v>8.708518283660956E-3</v>
      </c>
      <c r="X633" s="59">
        <f t="shared" si="365"/>
        <v>1.2955775433225826E-2</v>
      </c>
      <c r="Y633" s="59">
        <f t="shared" si="366"/>
        <v>1.2790186148991382E-2</v>
      </c>
      <c r="Z633" s="59">
        <f t="shared" si="367"/>
        <v>2.3933256909947777E-2</v>
      </c>
      <c r="AA633" s="59">
        <f t="shared" si="350"/>
        <v>2.3320116392071585E-2</v>
      </c>
      <c r="AB633" s="59">
        <f t="shared" si="368"/>
        <v>1.3112947102935967E-2</v>
      </c>
      <c r="AC633" s="60">
        <f t="shared" si="351"/>
        <v>30875766.234609332</v>
      </c>
      <c r="AD633" s="60">
        <f t="shared" si="356"/>
        <v>18854952.390557535</v>
      </c>
      <c r="AE633" s="59">
        <f t="shared" si="354"/>
        <v>3.200000000000025E-2</v>
      </c>
      <c r="AF633" s="60">
        <f t="shared" si="357"/>
        <v>18854952.390557535</v>
      </c>
      <c r="AG633" s="60">
        <f t="shared" si="369"/>
        <v>0.99999999999999967</v>
      </c>
      <c r="AH633" s="60">
        <f t="shared" si="358"/>
        <v>18854952.390557528</v>
      </c>
      <c r="AI633" s="60">
        <f t="shared" si="352"/>
        <v>33.230669704211095</v>
      </c>
      <c r="AJ633" s="60">
        <f t="shared" si="353"/>
        <v>0</v>
      </c>
      <c r="AK633" s="59">
        <f t="shared" si="355"/>
        <v>3.1999999999999806E-2</v>
      </c>
    </row>
    <row r="634" spans="1:37" ht="12.75" customHeight="1" x14ac:dyDescent="0.25">
      <c r="A634" s="62" t="s">
        <v>663</v>
      </c>
      <c r="B634" s="62" t="s">
        <v>452</v>
      </c>
      <c r="C634" s="62" t="s">
        <v>457</v>
      </c>
      <c r="D634" s="124">
        <v>2024</v>
      </c>
      <c r="E634" s="62" t="s">
        <v>676</v>
      </c>
      <c r="F634" s="64">
        <f>SIM_Parametres!$C$30</f>
        <v>1437888236.9117422</v>
      </c>
      <c r="G634" s="125">
        <f>SIM_Districts!D66*(1+SIM_Parametres!$B$6)^(2024-2023)</f>
        <v>113727.45</v>
      </c>
      <c r="H634" s="125">
        <f>MAX(0,MIN(100,SIM_Districts!F66+(2024-2022)*SIM_Parametres!$B$7))</f>
        <v>28.24</v>
      </c>
      <c r="I634" s="125">
        <f>SIM_Districts!G66*(1+SIM_Parametres!$B$8)^(2024-2023)</f>
        <v>37.599999999999994</v>
      </c>
      <c r="J634" s="125">
        <f>SIM_Districts!H66*(1+SIM_Parametres!$B$9)^(2024-2023)</f>
        <v>14.31</v>
      </c>
      <c r="K634" s="125">
        <f>MAX(0,MIN(100,SIM_Districts!I66+(2024-2023)*SIM_Parametres!$B$10))</f>
        <v>99.3</v>
      </c>
      <c r="L634" s="125">
        <f>SIM_Districts!E66</f>
        <v>230</v>
      </c>
      <c r="M634" s="61">
        <f t="shared" si="349"/>
        <v>494.46717391304344</v>
      </c>
      <c r="N634" s="125">
        <f>N563*(1+SIM_Parametres!$B$6)/(1+SIM_Parametres!$B$11)</f>
        <v>153373</v>
      </c>
      <c r="O634" s="132"/>
      <c r="P634" s="126">
        <f>SIM_Parametres!$D$30</f>
        <v>0</v>
      </c>
      <c r="Q634" s="126">
        <f>SIM_Parametres!$B$12</f>
        <v>0.2</v>
      </c>
      <c r="R634" s="66">
        <f t="shared" si="359"/>
        <v>6.0913955940918854E-3</v>
      </c>
      <c r="S634" s="66">
        <f t="shared" si="360"/>
        <v>0.36524822695035453</v>
      </c>
      <c r="T634" s="66">
        <f t="shared" si="361"/>
        <v>0.65469613259668513</v>
      </c>
      <c r="U634" s="66">
        <f t="shared" si="362"/>
        <v>0.50090567337352976</v>
      </c>
      <c r="V634" s="66">
        <f t="shared" si="363"/>
        <v>0.65207282116061327</v>
      </c>
      <c r="W634" s="66">
        <f t="shared" si="364"/>
        <v>8.708518283660956E-3</v>
      </c>
      <c r="X634" s="66">
        <f t="shared" si="365"/>
        <v>1.2955775433225826E-2</v>
      </c>
      <c r="Y634" s="66">
        <f t="shared" si="366"/>
        <v>1.2797994425854201E-2</v>
      </c>
      <c r="Z634" s="66">
        <f t="shared" si="367"/>
        <v>2.3933256909947777E-2</v>
      </c>
      <c r="AA634" s="66">
        <f t="shared" si="350"/>
        <v>8.7410439807782472E-3</v>
      </c>
      <c r="AB634" s="66">
        <f t="shared" si="368"/>
        <v>1.2876026864402654E-2</v>
      </c>
      <c r="AC634" s="67">
        <f t="shared" si="351"/>
        <v>14105304.85438277</v>
      </c>
      <c r="AD634" s="67">
        <f t="shared" si="356"/>
        <v>18514287.566484161</v>
      </c>
      <c r="AE634" s="66">
        <f t="shared" si="354"/>
        <v>3.200000000000025E-2</v>
      </c>
      <c r="AF634" s="67">
        <f t="shared" si="357"/>
        <v>18514287.566484161</v>
      </c>
      <c r="AG634" s="67">
        <f t="shared" si="369"/>
        <v>0.99999999999999967</v>
      </c>
      <c r="AH634" s="67">
        <f t="shared" si="358"/>
        <v>18514287.566484153</v>
      </c>
      <c r="AI634" s="67">
        <f t="shared" si="352"/>
        <v>162.79524043213976</v>
      </c>
      <c r="AJ634" s="67">
        <f t="shared" si="353"/>
        <v>0</v>
      </c>
      <c r="AK634" s="66">
        <f t="shared" si="355"/>
        <v>3.1999999999999806E-2</v>
      </c>
    </row>
    <row r="635" spans="1:37" ht="12.75" customHeight="1" x14ac:dyDescent="0.25">
      <c r="A635" s="55" t="s">
        <v>664</v>
      </c>
      <c r="B635" s="55" t="s">
        <v>452</v>
      </c>
      <c r="C635" s="55" t="s">
        <v>458</v>
      </c>
      <c r="D635" s="128">
        <v>2024</v>
      </c>
      <c r="E635" s="55" t="s">
        <v>676</v>
      </c>
      <c r="F635" s="57">
        <f>SIM_Parametres!$C$30</f>
        <v>1437888236.9117422</v>
      </c>
      <c r="G635" s="129">
        <f>SIM_Districts!D67*(1+SIM_Parametres!$B$6)^(2024-2023)</f>
        <v>188436.44</v>
      </c>
      <c r="H635" s="129">
        <f>MAX(0,MIN(100,SIM_Districts!F67+(2024-2022)*SIM_Parametres!$B$7))</f>
        <v>28.24</v>
      </c>
      <c r="I635" s="129">
        <f>SIM_Districts!G67*(1+SIM_Parametres!$B$8)^(2024-2023)</f>
        <v>37.599999999999994</v>
      </c>
      <c r="J635" s="129">
        <f>SIM_Districts!H67*(1+SIM_Parametres!$B$9)^(2024-2023)</f>
        <v>14.31</v>
      </c>
      <c r="K635" s="129">
        <f>MAX(0,MIN(100,SIM_Districts!I67+(2024-2023)*SIM_Parametres!$B$10))</f>
        <v>99.3</v>
      </c>
      <c r="L635" s="129">
        <f>SIM_Districts!E67</f>
        <v>557</v>
      </c>
      <c r="M635" s="68">
        <f t="shared" si="349"/>
        <v>338.30599640933571</v>
      </c>
      <c r="N635" s="129">
        <f>N564*(1+SIM_Parametres!$B$6)/(1+SIM_Parametres!$B$11)</f>
        <v>153373</v>
      </c>
      <c r="O635" s="72"/>
      <c r="P635" s="130">
        <f>SIM_Parametres!$D$30</f>
        <v>0</v>
      </c>
      <c r="Q635" s="130">
        <f>SIM_Parametres!$B$12</f>
        <v>0.2</v>
      </c>
      <c r="R635" s="59">
        <f t="shared" si="359"/>
        <v>1.0092909850544965E-2</v>
      </c>
      <c r="S635" s="59">
        <f t="shared" si="360"/>
        <v>0.36524822695035453</v>
      </c>
      <c r="T635" s="59">
        <f t="shared" si="361"/>
        <v>0.65469613259668513</v>
      </c>
      <c r="U635" s="59">
        <f t="shared" si="362"/>
        <v>0.51437733390901985</v>
      </c>
      <c r="V635" s="59">
        <f t="shared" si="363"/>
        <v>0.65207282116061327</v>
      </c>
      <c r="W635" s="59">
        <f t="shared" si="364"/>
        <v>8.708518283660956E-3</v>
      </c>
      <c r="X635" s="59">
        <f t="shared" si="365"/>
        <v>1.2955775433225826E-2</v>
      </c>
      <c r="Y635" s="59">
        <f t="shared" si="366"/>
        <v>1.3142191438595229E-2</v>
      </c>
      <c r="Z635" s="59">
        <f t="shared" si="367"/>
        <v>2.3933256909947777E-2</v>
      </c>
      <c r="AA635" s="59">
        <f t="shared" si="350"/>
        <v>1.1159162385287146E-2</v>
      </c>
      <c r="AB635" s="59">
        <f t="shared" si="368"/>
        <v>1.2245079704336991E-2</v>
      </c>
      <c r="AC635" s="60">
        <f t="shared" si="351"/>
        <v>16886892.061825279</v>
      </c>
      <c r="AD635" s="60">
        <f t="shared" si="356"/>
        <v>17607056.066912875</v>
      </c>
      <c r="AE635" s="59">
        <f t="shared" si="354"/>
        <v>3.2000000000000473E-2</v>
      </c>
      <c r="AF635" s="60">
        <f t="shared" si="357"/>
        <v>17607056.066912875</v>
      </c>
      <c r="AG635" s="60">
        <f t="shared" si="369"/>
        <v>0.99999999999999967</v>
      </c>
      <c r="AH635" s="60">
        <f t="shared" si="358"/>
        <v>17607056.066912867</v>
      </c>
      <c r="AI635" s="60">
        <f t="shared" si="352"/>
        <v>93.437639062343081</v>
      </c>
      <c r="AJ635" s="60">
        <f t="shared" si="353"/>
        <v>0</v>
      </c>
      <c r="AK635" s="59">
        <f t="shared" si="355"/>
        <v>3.2000000000000028E-2</v>
      </c>
    </row>
    <row r="636" spans="1:37" ht="12.75" customHeight="1" x14ac:dyDescent="0.25">
      <c r="A636" s="62" t="s">
        <v>665</v>
      </c>
      <c r="B636" s="62" t="s">
        <v>452</v>
      </c>
      <c r="C636" s="62" t="s">
        <v>459</v>
      </c>
      <c r="D636" s="124">
        <v>2024</v>
      </c>
      <c r="E636" s="62" t="s">
        <v>676</v>
      </c>
      <c r="F636" s="64">
        <f>SIM_Parametres!$C$30</f>
        <v>1437888236.9117422</v>
      </c>
      <c r="G636" s="125">
        <f>SIM_Districts!D68*(1+SIM_Parametres!$B$6)^(2024-2023)</f>
        <v>239351.4</v>
      </c>
      <c r="H636" s="125">
        <f>MAX(0,MIN(100,SIM_Districts!F68+(2024-2022)*SIM_Parametres!$B$7))</f>
        <v>28.24</v>
      </c>
      <c r="I636" s="125">
        <f>SIM_Districts!G68*(1+SIM_Parametres!$B$8)^(2024-2023)</f>
        <v>37.599999999999994</v>
      </c>
      <c r="J636" s="125">
        <f>SIM_Districts!H68*(1+SIM_Parametres!$B$9)^(2024-2023)</f>
        <v>14.31</v>
      </c>
      <c r="K636" s="125">
        <f>MAX(0,MIN(100,SIM_Districts!I68+(2024-2023)*SIM_Parametres!$B$10))</f>
        <v>99.3</v>
      </c>
      <c r="L636" s="125">
        <f>SIM_Districts!E68</f>
        <v>793</v>
      </c>
      <c r="M636" s="61">
        <f t="shared" si="349"/>
        <v>301.83026481715007</v>
      </c>
      <c r="N636" s="125">
        <f>N565*(1+SIM_Parametres!$B$6)/(1+SIM_Parametres!$B$11)</f>
        <v>153373</v>
      </c>
      <c r="O636" s="132"/>
      <c r="P636" s="126">
        <f>SIM_Parametres!$D$30</f>
        <v>0</v>
      </c>
      <c r="Q636" s="126">
        <f>SIM_Parametres!$B$12</f>
        <v>0.2</v>
      </c>
      <c r="R636" s="66">
        <f t="shared" ref="R636:R642" si="370">IFERROR(G636/SUM($G$572:$G$642),1/71)</f>
        <v>1.281998377172551E-2</v>
      </c>
      <c r="S636" s="66">
        <f t="shared" ref="S636:S642" si="371">IF(MAX($H$572:$H$642)=MIN($H$572:$H$642),1,(H636-MIN($H$572:$H$642))/(MAX($H$572:$H$642)-MIN($H$572:$H$642)))</f>
        <v>0.36524822695035453</v>
      </c>
      <c r="T636" s="66">
        <f t="shared" ref="T636:T642" si="372">(IF(MAX($I$572:$I$642)=MIN($I$572:$I$642),1,(I636-MIN($I$572:$I$642))/(MAX($I$572:$I$642)-MIN($I$572:$I$642)))+IF(MAX($J$572:$J$642)=MIN($J$572:$J$642),1,(J636-MIN($J$572:$J$642))/(MAX($J$572:$J$642)-MIN($J$572:$J$642))))/2</f>
        <v>0.65469613259668513</v>
      </c>
      <c r="U636" s="66">
        <f t="shared" ref="U636:U642" si="373">(IF(MAX($L$572:$L$642)=MIN($L$572:$L$642),1,(L636-MIN($L$572:$L$642))/(MAX($L$572:$L$642)-MIN($L$572:$L$642)))+IF(MAX($M$572:$M$642)=MIN($M$572:$M$642),1,(MAX($M$572:$M$642)-M636)/(MAX($M$572:$M$642)-MIN($M$572:$M$642))))/2</f>
        <v>0.52305332187907927</v>
      </c>
      <c r="V636" s="66">
        <f t="shared" ref="V636:V642" si="374">IF(MAX($N$572:$N$642)=MIN($N$572:$N$642),1,(N636-MIN($N$572:$N$642))/(MAX($N$572:$N$642)-MIN($N$572:$N$642)))</f>
        <v>0.65207282116061327</v>
      </c>
      <c r="W636" s="66">
        <f t="shared" ref="W636:W642" si="375">IFERROR(S636/SUM($S$572:$S$642),1/71)</f>
        <v>8.708518283660956E-3</v>
      </c>
      <c r="X636" s="66">
        <f t="shared" ref="X636:X642" si="376">IFERROR(T636/SUM($T$572:$T$642),1/71)</f>
        <v>1.2955775433225826E-2</v>
      </c>
      <c r="Y636" s="66">
        <f t="shared" ref="Y636:Y642" si="377">IFERROR(U636/SUM($U$572:$U$642),1/71)</f>
        <v>1.3363860410583092E-2</v>
      </c>
      <c r="Z636" s="66">
        <f t="shared" ref="Z636:Z642" si="378">IFERROR(V636/SUM($V$572:$V$642),1/71)</f>
        <v>2.3933256909947777E-2</v>
      </c>
      <c r="AA636" s="66">
        <f t="shared" si="350"/>
        <v>1.2806490186594865E-2</v>
      </c>
      <c r="AB636" s="66">
        <f t="shared" ref="AB636:AB642" si="379">IFERROR(AH565/SUM($AH$501:$AH$571),1/71)</f>
        <v>1.2935676995380903E-2</v>
      </c>
      <c r="AC636" s="67">
        <f t="shared" si="351"/>
        <v>18781830.67609572</v>
      </c>
      <c r="AD636" s="67">
        <f t="shared" si="356"/>
        <v>18600057.788148031</v>
      </c>
      <c r="AE636" s="66">
        <f t="shared" si="354"/>
        <v>3.2000000000000473E-2</v>
      </c>
      <c r="AF636" s="67">
        <f t="shared" si="357"/>
        <v>18600057.788148031</v>
      </c>
      <c r="AG636" s="67">
        <f t="shared" ref="AG636:AG642" si="380">IFERROR(F636/SUM($AF$572:$AF$642),1)</f>
        <v>0.99999999999999967</v>
      </c>
      <c r="AH636" s="67">
        <f t="shared" si="358"/>
        <v>18600057.788148023</v>
      </c>
      <c r="AI636" s="67">
        <f t="shared" si="352"/>
        <v>77.710252741985315</v>
      </c>
      <c r="AJ636" s="67">
        <f t="shared" si="353"/>
        <v>0</v>
      </c>
      <c r="AK636" s="66">
        <f t="shared" si="355"/>
        <v>3.2000000000000028E-2</v>
      </c>
    </row>
    <row r="637" spans="1:37" ht="12.75" customHeight="1" x14ac:dyDescent="0.25">
      <c r="A637" s="55" t="s">
        <v>666</v>
      </c>
      <c r="B637" s="55" t="s">
        <v>452</v>
      </c>
      <c r="C637" s="55" t="s">
        <v>452</v>
      </c>
      <c r="D637" s="128">
        <v>2024</v>
      </c>
      <c r="E637" s="55" t="s">
        <v>676</v>
      </c>
      <c r="F637" s="57">
        <f>SIM_Parametres!$C$30</f>
        <v>1437888236.9117422</v>
      </c>
      <c r="G637" s="129">
        <f>SIM_Districts!D69*(1+SIM_Parametres!$B$6)^(2024-2023)</f>
        <v>638180.79</v>
      </c>
      <c r="H637" s="129">
        <f>MAX(0,MIN(100,SIM_Districts!F69+(2024-2022)*SIM_Parametres!$B$7))</f>
        <v>28.24</v>
      </c>
      <c r="I637" s="129">
        <f>SIM_Districts!G69*(1+SIM_Parametres!$B$8)^(2024-2023)</f>
        <v>37.599999999999994</v>
      </c>
      <c r="J637" s="129">
        <f>SIM_Districts!H69*(1+SIM_Parametres!$B$9)^(2024-2023)</f>
        <v>14.31</v>
      </c>
      <c r="K637" s="129">
        <f>MAX(0,MIN(100,SIM_Districts!I69+(2024-2023)*SIM_Parametres!$B$10))</f>
        <v>99.3</v>
      </c>
      <c r="L637" s="129">
        <f>SIM_Districts!E69</f>
        <v>503</v>
      </c>
      <c r="M637" s="68">
        <f t="shared" si="349"/>
        <v>1268.7490854870775</v>
      </c>
      <c r="N637" s="129">
        <f>N566*(1+SIM_Parametres!$B$6)/(1+SIM_Parametres!$B$11)</f>
        <v>153373</v>
      </c>
      <c r="O637" s="72"/>
      <c r="P637" s="130">
        <f>SIM_Parametres!$D$30</f>
        <v>0</v>
      </c>
      <c r="Q637" s="130">
        <f>SIM_Parametres!$B$12</f>
        <v>0.2</v>
      </c>
      <c r="R637" s="59">
        <f t="shared" si="370"/>
        <v>3.4181823758820576E-2</v>
      </c>
      <c r="S637" s="59">
        <f t="shared" si="371"/>
        <v>0.36524822695035453</v>
      </c>
      <c r="T637" s="59">
        <f t="shared" si="372"/>
        <v>0.65469613259668513</v>
      </c>
      <c r="U637" s="59">
        <f t="shared" si="373"/>
        <v>0.49973089584614422</v>
      </c>
      <c r="V637" s="59">
        <f t="shared" si="374"/>
        <v>0.65207282116061327</v>
      </c>
      <c r="W637" s="59">
        <f t="shared" si="375"/>
        <v>8.708518283660956E-3</v>
      </c>
      <c r="X637" s="59">
        <f t="shared" si="376"/>
        <v>1.2955775433225826E-2</v>
      </c>
      <c r="Y637" s="59">
        <f t="shared" si="377"/>
        <v>1.2767979201339289E-2</v>
      </c>
      <c r="Z637" s="59">
        <f t="shared" si="378"/>
        <v>2.3933256909947777E-2</v>
      </c>
      <c r="AA637" s="59">
        <f t="shared" si="350"/>
        <v>2.5593800118389715E-2</v>
      </c>
      <c r="AB637" s="59">
        <f t="shared" si="379"/>
        <v>1.6176107350072348E-2</v>
      </c>
      <c r="AC637" s="60">
        <f t="shared" si="351"/>
        <v>33491208.702233728</v>
      </c>
      <c r="AD637" s="60">
        <f t="shared" si="356"/>
        <v>23259434.477690604</v>
      </c>
      <c r="AE637" s="59">
        <f t="shared" si="354"/>
        <v>3.2000000000000473E-2</v>
      </c>
      <c r="AF637" s="60">
        <f t="shared" si="357"/>
        <v>23259434.477690604</v>
      </c>
      <c r="AG637" s="60">
        <f t="shared" si="380"/>
        <v>0.99999999999999967</v>
      </c>
      <c r="AH637" s="60">
        <f t="shared" si="358"/>
        <v>23259434.477690596</v>
      </c>
      <c r="AI637" s="60">
        <f t="shared" si="352"/>
        <v>36.446466020530949</v>
      </c>
      <c r="AJ637" s="60">
        <f t="shared" si="353"/>
        <v>0</v>
      </c>
      <c r="AK637" s="59">
        <f t="shared" si="355"/>
        <v>3.2000000000000028E-2</v>
      </c>
    </row>
    <row r="638" spans="1:37" ht="12.75" customHeight="1" x14ac:dyDescent="0.25">
      <c r="A638" s="62" t="s">
        <v>667</v>
      </c>
      <c r="B638" s="62" t="s">
        <v>452</v>
      </c>
      <c r="C638" s="62" t="s">
        <v>460</v>
      </c>
      <c r="D638" s="124">
        <v>2024</v>
      </c>
      <c r="E638" s="62" t="s">
        <v>676</v>
      </c>
      <c r="F638" s="64">
        <f>SIM_Parametres!$C$30</f>
        <v>1437888236.9117422</v>
      </c>
      <c r="G638" s="125">
        <f>SIM_Districts!D70*(1+SIM_Parametres!$B$6)^(2024-2023)</f>
        <v>446850.05</v>
      </c>
      <c r="H638" s="125">
        <f>MAX(0,MIN(100,SIM_Districts!F70+(2024-2022)*SIM_Parametres!$B$7))</f>
        <v>28.24</v>
      </c>
      <c r="I638" s="125">
        <f>SIM_Districts!G70*(1+SIM_Parametres!$B$8)^(2024-2023)</f>
        <v>37.599999999999994</v>
      </c>
      <c r="J638" s="125">
        <f>SIM_Districts!H70*(1+SIM_Parametres!$B$9)^(2024-2023)</f>
        <v>14.31</v>
      </c>
      <c r="K638" s="125">
        <f>MAX(0,MIN(100,SIM_Districts!I70+(2024-2023)*SIM_Parametres!$B$10))</f>
        <v>99.3</v>
      </c>
      <c r="L638" s="125">
        <f>SIM_Districts!E70</f>
        <v>1739</v>
      </c>
      <c r="M638" s="61">
        <f t="shared" si="349"/>
        <v>256.9580506037953</v>
      </c>
      <c r="N638" s="125">
        <f>N567*(1+SIM_Parametres!$B$6)/(1+SIM_Parametres!$B$11)</f>
        <v>153373</v>
      </c>
      <c r="O638" s="132"/>
      <c r="P638" s="126">
        <f>SIM_Parametres!$D$30</f>
        <v>0</v>
      </c>
      <c r="Q638" s="126">
        <f>SIM_Parametres!$B$12</f>
        <v>0.2</v>
      </c>
      <c r="R638" s="66">
        <f t="shared" si="370"/>
        <v>2.3933891297041644E-2</v>
      </c>
      <c r="S638" s="66">
        <f t="shared" si="371"/>
        <v>0.36524822695035453</v>
      </c>
      <c r="T638" s="66">
        <f t="shared" si="372"/>
        <v>0.65469613259668513</v>
      </c>
      <c r="U638" s="66">
        <f t="shared" si="373"/>
        <v>0.55643930835847477</v>
      </c>
      <c r="V638" s="66">
        <f t="shared" si="374"/>
        <v>0.65207282116061327</v>
      </c>
      <c r="W638" s="66">
        <f t="shared" si="375"/>
        <v>8.708518283660956E-3</v>
      </c>
      <c r="X638" s="66">
        <f t="shared" si="376"/>
        <v>1.2955775433225826E-2</v>
      </c>
      <c r="Y638" s="66">
        <f t="shared" si="377"/>
        <v>1.4216862665453392E-2</v>
      </c>
      <c r="Z638" s="66">
        <f t="shared" si="378"/>
        <v>2.3933256909947777E-2</v>
      </c>
      <c r="AA638" s="66">
        <f t="shared" si="350"/>
        <v>1.9517484814528061E-2</v>
      </c>
      <c r="AB638" s="66">
        <f t="shared" si="379"/>
        <v>1.4236217879244614E-2</v>
      </c>
      <c r="AC638" s="67">
        <f t="shared" si="351"/>
        <v>26501558.862882152</v>
      </c>
      <c r="AD638" s="67">
        <f t="shared" si="356"/>
        <v>20470090.226678461</v>
      </c>
      <c r="AE638" s="66">
        <f t="shared" si="354"/>
        <v>3.2000000000000473E-2</v>
      </c>
      <c r="AF638" s="67">
        <f t="shared" si="357"/>
        <v>20470090.226678461</v>
      </c>
      <c r="AG638" s="67">
        <f t="shared" si="380"/>
        <v>0.99999999999999967</v>
      </c>
      <c r="AH638" s="67">
        <f t="shared" si="358"/>
        <v>20470090.226678453</v>
      </c>
      <c r="AI638" s="67">
        <f t="shared" si="352"/>
        <v>45.809752570640761</v>
      </c>
      <c r="AJ638" s="67">
        <f t="shared" si="353"/>
        <v>0</v>
      </c>
      <c r="AK638" s="66">
        <f t="shared" si="355"/>
        <v>3.2000000000000028E-2</v>
      </c>
    </row>
    <row r="639" spans="1:37" ht="12.75" customHeight="1" x14ac:dyDescent="0.25">
      <c r="A639" s="55" t="s">
        <v>668</v>
      </c>
      <c r="B639" s="55" t="s">
        <v>461</v>
      </c>
      <c r="C639" s="55" t="s">
        <v>463</v>
      </c>
      <c r="D639" s="128">
        <v>2024</v>
      </c>
      <c r="E639" s="55" t="s">
        <v>676</v>
      </c>
      <c r="F639" s="57">
        <f>SIM_Parametres!$C$30</f>
        <v>1437888236.9117422</v>
      </c>
      <c r="G639" s="129">
        <f>SIM_Districts!D71*(1+SIM_Parametres!$B$6)^(2024-2023)</f>
        <v>164468.34</v>
      </c>
      <c r="H639" s="129">
        <f>MAX(0,MIN(100,SIM_Districts!F71+(2024-2022)*SIM_Parametres!$B$7))</f>
        <v>46.64</v>
      </c>
      <c r="I639" s="129">
        <f>SIM_Districts!G71*(1+SIM_Parametres!$B$8)^(2024-2023)</f>
        <v>37.599999999999994</v>
      </c>
      <c r="J639" s="129">
        <f>SIM_Districts!H71*(1+SIM_Parametres!$B$9)^(2024-2023)</f>
        <v>9.2700000000000014</v>
      </c>
      <c r="K639" s="129">
        <f>MAX(0,MIN(100,SIM_Districts!I71+(2024-2023)*SIM_Parametres!$B$10))</f>
        <v>98.3</v>
      </c>
      <c r="L639" s="129">
        <f>SIM_Districts!E71</f>
        <v>2537</v>
      </c>
      <c r="M639" s="68">
        <f t="shared" si="349"/>
        <v>64.827883326763896</v>
      </c>
      <c r="N639" s="129">
        <f>N568*(1+SIM_Parametres!$B$6)/(1+SIM_Parametres!$B$11)</f>
        <v>69419</v>
      </c>
      <c r="O639" s="72"/>
      <c r="P639" s="130">
        <f>SIM_Parametres!$D$30</f>
        <v>0</v>
      </c>
      <c r="Q639" s="130">
        <f>SIM_Parametres!$B$12</f>
        <v>0.2</v>
      </c>
      <c r="R639" s="59">
        <f t="shared" si="370"/>
        <v>8.8091460913227726E-3</v>
      </c>
      <c r="S639" s="59">
        <f t="shared" si="371"/>
        <v>0.6914893617021276</v>
      </c>
      <c r="T639" s="59">
        <f t="shared" si="372"/>
        <v>0.5</v>
      </c>
      <c r="U639" s="59">
        <f t="shared" si="373"/>
        <v>0.58672050041788648</v>
      </c>
      <c r="V639" s="59">
        <f t="shared" si="374"/>
        <v>6.9378604793203735E-2</v>
      </c>
      <c r="W639" s="59">
        <f t="shared" si="375"/>
        <v>1.6487000634115404E-2</v>
      </c>
      <c r="X639" s="59">
        <f t="shared" si="376"/>
        <v>9.8944951620838582E-3</v>
      </c>
      <c r="Y639" s="59">
        <f t="shared" si="377"/>
        <v>1.4990538324933458E-2</v>
      </c>
      <c r="Z639" s="59">
        <f t="shared" si="378"/>
        <v>2.5464272067252584E-3</v>
      </c>
      <c r="AA639" s="59">
        <f t="shared" si="350"/>
        <v>1.0119560300806487E-2</v>
      </c>
      <c r="AB639" s="59">
        <f t="shared" si="379"/>
        <v>1.7832028591736025E-2</v>
      </c>
      <c r="AC639" s="60">
        <f t="shared" si="351"/>
        <v>15691026.775150346</v>
      </c>
      <c r="AD639" s="60">
        <f t="shared" si="356"/>
        <v>25640464.152331091</v>
      </c>
      <c r="AE639" s="59">
        <f t="shared" si="354"/>
        <v>3.2000000000000473E-2</v>
      </c>
      <c r="AF639" s="60">
        <f t="shared" si="357"/>
        <v>25640464.152331091</v>
      </c>
      <c r="AG639" s="60">
        <f t="shared" si="380"/>
        <v>0.99999999999999967</v>
      </c>
      <c r="AH639" s="60">
        <f t="shared" si="358"/>
        <v>25640464.152331084</v>
      </c>
      <c r="AI639" s="60">
        <f t="shared" si="352"/>
        <v>155.899087644048</v>
      </c>
      <c r="AJ639" s="60">
        <f t="shared" si="353"/>
        <v>0</v>
      </c>
      <c r="AK639" s="59">
        <f t="shared" si="355"/>
        <v>3.2000000000000028E-2</v>
      </c>
    </row>
    <row r="640" spans="1:37" ht="12.75" customHeight="1" x14ac:dyDescent="0.25">
      <c r="A640" s="62" t="s">
        <v>670</v>
      </c>
      <c r="B640" s="62" t="s">
        <v>461</v>
      </c>
      <c r="C640" s="62" t="s">
        <v>464</v>
      </c>
      <c r="D640" s="124">
        <v>2024</v>
      </c>
      <c r="E640" s="62" t="s">
        <v>676</v>
      </c>
      <c r="F640" s="64">
        <f>SIM_Parametres!$C$30</f>
        <v>1437888236.9117422</v>
      </c>
      <c r="G640" s="125">
        <f>SIM_Districts!D72*(1+SIM_Parametres!$B$6)^(2024-2023)</f>
        <v>100444.57</v>
      </c>
      <c r="H640" s="125">
        <f>MAX(0,MIN(100,SIM_Districts!F72+(2024-2022)*SIM_Parametres!$B$7))</f>
        <v>46.64</v>
      </c>
      <c r="I640" s="125">
        <f>SIM_Districts!G72*(1+SIM_Parametres!$B$8)^(2024-2023)</f>
        <v>37.599999999999994</v>
      </c>
      <c r="J640" s="125">
        <f>SIM_Districts!H72*(1+SIM_Parametres!$B$9)^(2024-2023)</f>
        <v>9.2700000000000014</v>
      </c>
      <c r="K640" s="125">
        <f>MAX(0,MIN(100,SIM_Districts!I72+(2024-2023)*SIM_Parametres!$B$10))</f>
        <v>98.3</v>
      </c>
      <c r="L640" s="125">
        <f>SIM_Districts!E72</f>
        <v>1893</v>
      </c>
      <c r="M640" s="61">
        <f t="shared" si="349"/>
        <v>53.061051241415747</v>
      </c>
      <c r="N640" s="125">
        <f>N569*(1+SIM_Parametres!$B$6)/(1+SIM_Parametres!$B$11)</f>
        <v>69419</v>
      </c>
      <c r="O640" s="132"/>
      <c r="P640" s="126">
        <f>SIM_Parametres!$D$30</f>
        <v>0</v>
      </c>
      <c r="Q640" s="126">
        <f>SIM_Parametres!$B$12</f>
        <v>0.2</v>
      </c>
      <c r="R640" s="66">
        <f t="shared" si="370"/>
        <v>5.3799466280871856E-3</v>
      </c>
      <c r="S640" s="66">
        <f t="shared" si="371"/>
        <v>0.6914893617021276</v>
      </c>
      <c r="T640" s="66">
        <f t="shared" si="372"/>
        <v>0.5</v>
      </c>
      <c r="U640" s="66">
        <f t="shared" si="373"/>
        <v>0.56457363162952046</v>
      </c>
      <c r="V640" s="66">
        <f t="shared" si="374"/>
        <v>6.9378604793203735E-2</v>
      </c>
      <c r="W640" s="66">
        <f t="shared" si="375"/>
        <v>1.6487000634115404E-2</v>
      </c>
      <c r="X640" s="66">
        <f t="shared" si="376"/>
        <v>9.8944951620838582E-3</v>
      </c>
      <c r="Y640" s="66">
        <f t="shared" si="377"/>
        <v>1.4424692261752073E-2</v>
      </c>
      <c r="Z640" s="66">
        <f t="shared" si="378"/>
        <v>2.5464272067252584E-3</v>
      </c>
      <c r="AA640" s="66">
        <f t="shared" si="350"/>
        <v>8.0337483197060675E-3</v>
      </c>
      <c r="AB640" s="66">
        <f t="shared" si="379"/>
        <v>1.2086292735958282E-2</v>
      </c>
      <c r="AC640" s="67">
        <f t="shared" si="351"/>
        <v>13291695.165523252</v>
      </c>
      <c r="AD640" s="67">
        <f t="shared" si="356"/>
        <v>17378738.15290625</v>
      </c>
      <c r="AE640" s="66">
        <f t="shared" si="354"/>
        <v>3.200000000000025E-2</v>
      </c>
      <c r="AF640" s="67">
        <f t="shared" si="357"/>
        <v>17378738.15290625</v>
      </c>
      <c r="AG640" s="67">
        <f t="shared" si="380"/>
        <v>0.99999999999999967</v>
      </c>
      <c r="AH640" s="67">
        <f t="shared" si="358"/>
        <v>17378738.152906243</v>
      </c>
      <c r="AI640" s="67">
        <f t="shared" si="352"/>
        <v>173.01819454158888</v>
      </c>
      <c r="AJ640" s="67">
        <f t="shared" si="353"/>
        <v>0</v>
      </c>
      <c r="AK640" s="66">
        <f t="shared" si="355"/>
        <v>3.1999999999999806E-2</v>
      </c>
    </row>
    <row r="641" spans="1:37" ht="12.75" customHeight="1" x14ac:dyDescent="0.25">
      <c r="A641" s="55" t="s">
        <v>671</v>
      </c>
      <c r="B641" s="55" t="s">
        <v>461</v>
      </c>
      <c r="C641" s="55" t="s">
        <v>465</v>
      </c>
      <c r="D641" s="128">
        <v>2024</v>
      </c>
      <c r="E641" s="55" t="s">
        <v>676</v>
      </c>
      <c r="F641" s="57">
        <f>SIM_Parametres!$C$30</f>
        <v>1437888236.9117422</v>
      </c>
      <c r="G641" s="129">
        <f>SIM_Districts!D73*(1+SIM_Parametres!$B$6)^(2024-2023)</f>
        <v>60484.69</v>
      </c>
      <c r="H641" s="129">
        <f>MAX(0,MIN(100,SIM_Districts!F73+(2024-2022)*SIM_Parametres!$B$7))</f>
        <v>46.64</v>
      </c>
      <c r="I641" s="129">
        <f>SIM_Districts!G73*(1+SIM_Parametres!$B$8)^(2024-2023)</f>
        <v>37.599999999999994</v>
      </c>
      <c r="J641" s="129">
        <f>SIM_Districts!H73*(1+SIM_Parametres!$B$9)^(2024-2023)</f>
        <v>9.2700000000000014</v>
      </c>
      <c r="K641" s="129">
        <f>MAX(0,MIN(100,SIM_Districts!I73+(2024-2023)*SIM_Parametres!$B$10))</f>
        <v>98.3</v>
      </c>
      <c r="L641" s="129">
        <f>SIM_Districts!E73</f>
        <v>877</v>
      </c>
      <c r="M641" s="68">
        <f t="shared" si="349"/>
        <v>68.967719498289625</v>
      </c>
      <c r="N641" s="129">
        <f>N570*(1+SIM_Parametres!$B$6)/(1+SIM_Parametres!$B$11)</f>
        <v>69419</v>
      </c>
      <c r="O641" s="72"/>
      <c r="P641" s="130">
        <f>SIM_Parametres!$D$30</f>
        <v>0</v>
      </c>
      <c r="Q641" s="130">
        <f>SIM_Parametres!$B$12</f>
        <v>0.2</v>
      </c>
      <c r="R641" s="59">
        <f t="shared" si="370"/>
        <v>3.239641565655552E-3</v>
      </c>
      <c r="S641" s="59">
        <f t="shared" si="371"/>
        <v>0.6914893617021276</v>
      </c>
      <c r="T641" s="59">
        <f t="shared" si="372"/>
        <v>0.5</v>
      </c>
      <c r="U641" s="59">
        <f t="shared" si="373"/>
        <v>0.52916053895252124</v>
      </c>
      <c r="V641" s="59">
        <f t="shared" si="374"/>
        <v>6.9378604793203735E-2</v>
      </c>
      <c r="W641" s="59">
        <f t="shared" si="375"/>
        <v>1.6487000634115404E-2</v>
      </c>
      <c r="X641" s="59">
        <f t="shared" si="376"/>
        <v>9.8944951620838582E-3</v>
      </c>
      <c r="Y641" s="59">
        <f t="shared" si="377"/>
        <v>1.3519898032471051E-2</v>
      </c>
      <c r="Z641" s="59">
        <f t="shared" si="378"/>
        <v>2.5464272067252584E-3</v>
      </c>
      <c r="AA641" s="59">
        <f t="shared" si="350"/>
        <v>6.7043255707830368E-3</v>
      </c>
      <c r="AB641" s="59">
        <f t="shared" si="379"/>
        <v>1.3454885177698585E-2</v>
      </c>
      <c r="AC641" s="60">
        <f t="shared" si="351"/>
        <v>11762446.09947581</v>
      </c>
      <c r="AD641" s="60">
        <f t="shared" si="356"/>
        <v>19346621.126010951</v>
      </c>
      <c r="AE641" s="59">
        <f t="shared" si="354"/>
        <v>3.200000000000025E-2</v>
      </c>
      <c r="AF641" s="60">
        <f t="shared" si="357"/>
        <v>19346621.126010951</v>
      </c>
      <c r="AG641" s="60">
        <f t="shared" si="380"/>
        <v>0.99999999999999967</v>
      </c>
      <c r="AH641" s="60">
        <f t="shared" si="358"/>
        <v>19346621.126010943</v>
      </c>
      <c r="AI641" s="60">
        <f t="shared" si="352"/>
        <v>319.85980462181328</v>
      </c>
      <c r="AJ641" s="60">
        <f t="shared" si="353"/>
        <v>0</v>
      </c>
      <c r="AK641" s="59">
        <f t="shared" si="355"/>
        <v>3.2000000000000028E-2</v>
      </c>
    </row>
    <row r="642" spans="1:37" ht="12.75" customHeight="1" x14ac:dyDescent="0.25">
      <c r="A642" s="62" t="s">
        <v>672</v>
      </c>
      <c r="B642" s="62" t="s">
        <v>461</v>
      </c>
      <c r="C642" s="62" t="s">
        <v>461</v>
      </c>
      <c r="D642" s="124">
        <v>2024</v>
      </c>
      <c r="E642" s="62" t="s">
        <v>676</v>
      </c>
      <c r="F642" s="64">
        <f>SIM_Parametres!$C$30</f>
        <v>1437888236.9117422</v>
      </c>
      <c r="G642" s="125">
        <f>SIM_Districts!D74*(1+SIM_Parametres!$B$6)^(2024-2023)</f>
        <v>310696.41000000003</v>
      </c>
      <c r="H642" s="125">
        <f>MAX(0,MIN(100,SIM_Districts!F74+(2024-2022)*SIM_Parametres!$B$7))</f>
        <v>46.64</v>
      </c>
      <c r="I642" s="125">
        <f>SIM_Districts!G74*(1+SIM_Parametres!$B$8)^(2024-2023)</f>
        <v>37.599999999999994</v>
      </c>
      <c r="J642" s="125">
        <f>SIM_Districts!H74*(1+SIM_Parametres!$B$9)^(2024-2023)</f>
        <v>9.2700000000000014</v>
      </c>
      <c r="K642" s="125">
        <f>MAX(0,MIN(100,SIM_Districts!I74+(2024-2023)*SIM_Parametres!$B$10))</f>
        <v>98.3</v>
      </c>
      <c r="L642" s="125">
        <f>SIM_Districts!E74</f>
        <v>1136</v>
      </c>
      <c r="M642" s="61">
        <f t="shared" si="349"/>
        <v>273.50036091549299</v>
      </c>
      <c r="N642" s="125">
        <f>N571*(1+SIM_Parametres!$B$6)/(1+SIM_Parametres!$B$11)</f>
        <v>69419</v>
      </c>
      <c r="O642" s="132"/>
      <c r="P642" s="126">
        <f>SIM_Parametres!$D$30</f>
        <v>0</v>
      </c>
      <c r="Q642" s="126">
        <f>SIM_Parametres!$B$12</f>
        <v>0.2</v>
      </c>
      <c r="R642" s="66">
        <f t="shared" si="370"/>
        <v>1.6641318722737265E-2</v>
      </c>
      <c r="S642" s="66">
        <f t="shared" si="371"/>
        <v>0.6914893617021276</v>
      </c>
      <c r="T642" s="66">
        <f t="shared" si="372"/>
        <v>0.5</v>
      </c>
      <c r="U642" s="66">
        <f t="shared" si="373"/>
        <v>0.53532398626606015</v>
      </c>
      <c r="V642" s="66">
        <f t="shared" si="374"/>
        <v>6.9378604793203735E-2</v>
      </c>
      <c r="W642" s="66">
        <f t="shared" si="375"/>
        <v>1.6487000634115404E-2</v>
      </c>
      <c r="X642" s="66">
        <f t="shared" si="376"/>
        <v>9.8944951620838582E-3</v>
      </c>
      <c r="Y642" s="66">
        <f t="shared" si="377"/>
        <v>1.3677372320656833E-2</v>
      </c>
      <c r="Z642" s="66">
        <f t="shared" si="378"/>
        <v>2.5464272067252584E-3</v>
      </c>
      <c r="AA642" s="66">
        <f t="shared" si="350"/>
        <v>1.4753205579441353E-2</v>
      </c>
      <c r="AB642" s="66">
        <f t="shared" si="379"/>
        <v>1.6014799953624127E-2</v>
      </c>
      <c r="AC642" s="67">
        <f t="shared" si="351"/>
        <v>21021158.00728691</v>
      </c>
      <c r="AD642" s="67">
        <f t="shared" si="356"/>
        <v>23027492.469810847</v>
      </c>
      <c r="AE642" s="66">
        <f t="shared" si="354"/>
        <v>3.200000000000025E-2</v>
      </c>
      <c r="AF642" s="67">
        <f t="shared" si="357"/>
        <v>23027492.469810847</v>
      </c>
      <c r="AG642" s="67">
        <f t="shared" si="380"/>
        <v>0.99999999999999967</v>
      </c>
      <c r="AH642" s="67">
        <f t="shared" si="358"/>
        <v>23027492.46981084</v>
      </c>
      <c r="AI642" s="67">
        <f t="shared" si="352"/>
        <v>74.115733972628902</v>
      </c>
      <c r="AJ642" s="67">
        <f t="shared" si="353"/>
        <v>0</v>
      </c>
      <c r="AK642" s="66">
        <f t="shared" si="355"/>
        <v>3.2000000000000028E-2</v>
      </c>
    </row>
    <row r="643" spans="1:37" ht="12.75" customHeight="1" x14ac:dyDescent="0.25">
      <c r="A643" s="55" t="s">
        <v>587</v>
      </c>
      <c r="B643" s="55" t="s">
        <v>376</v>
      </c>
      <c r="C643" s="55" t="s">
        <v>379</v>
      </c>
      <c r="D643" s="128">
        <v>2025</v>
      </c>
      <c r="E643" s="55" t="s">
        <v>676</v>
      </c>
      <c r="F643" s="57">
        <f>SIM_Parametres!$C$31</f>
        <v>1483900660.492918</v>
      </c>
      <c r="G643" s="129">
        <f>SIM_Districts!D4*(1+SIM_Parametres!$B$6)^(2025-2023)</f>
        <v>481609.34669999999</v>
      </c>
      <c r="H643" s="129">
        <f>MAX(0,MIN(100,SIM_Districts!F4+(2025-2022)*SIM_Parametres!$B$7))</f>
        <v>6.8100000000000005</v>
      </c>
      <c r="I643" s="129">
        <f>SIM_Districts!G4*(1+SIM_Parametres!$B$8)^(2025-2023)</f>
        <v>35.343999999999994</v>
      </c>
      <c r="J643" s="129">
        <f>SIM_Districts!H4*(1+SIM_Parametres!$B$9)^(2025-2023)</f>
        <v>8.4240000000000013</v>
      </c>
      <c r="K643" s="129">
        <f>MAX(0,MIN(100,SIM_Districts!I4+(2025-2023)*SIM_Parametres!$B$10))</f>
        <v>100</v>
      </c>
      <c r="L643" s="129">
        <f>SIM_Districts!E4</f>
        <v>13</v>
      </c>
      <c r="M643" s="68">
        <f t="shared" si="349"/>
        <v>37046.872823076919</v>
      </c>
      <c r="N643" s="129">
        <f>N572*(1+SIM_Parametres!$B$6)/(1+SIM_Parametres!$B$11)</f>
        <v>73189</v>
      </c>
      <c r="O643" s="72"/>
      <c r="P643" s="130">
        <f>SIM_Parametres!$D$31</f>
        <v>0</v>
      </c>
      <c r="Q643" s="130">
        <f>SIM_Parametres!$B$12</f>
        <v>0.2</v>
      </c>
      <c r="R643" s="59">
        <f t="shared" ref="R643:R674" si="381">IFERROR(G643/SUM($G$643:$G$713),1/71)</f>
        <v>2.5044316606264858E-2</v>
      </c>
      <c r="S643" s="59">
        <f t="shared" ref="S643:S674" si="382">IF(MAX($H$643:$H$713)=MIN($H$643:$H$713),1,(H643-MIN($H$643:$H$713))/(MAX($H$643:$H$713)-MIN($H$643:$H$713)))</f>
        <v>0</v>
      </c>
      <c r="T643" s="59">
        <f t="shared" ref="T643:T674" si="383">(IF(MAX($I$643:$I$713)=MIN($I$643:$I$713),1,(I643-MIN($I$643:$I$713))/(MAX($I$643:$I$713)-MIN($I$643:$I$713)))+IF(MAX($J$643:$J$713)=MIN($J$643:$J$713),1,(J643-MIN($J$643:$J$713))/(MAX($J$643:$J$713)-MIN($J$643:$J$713))))/2</f>
        <v>0.50276243093922646</v>
      </c>
      <c r="U643" s="59">
        <f t="shared" ref="U643:U674" si="384">(IF(MAX($L$643:$L$713)=MIN($L$643:$L$713),1,(L643-MIN($L$643:$L$713))/(MAX($L$643:$L$713)-MIN($L$643:$L$713)))+IF(MAX($M$643:$M$713)=MIN($M$643:$M$713),1,(MAX($M$643:$M$713)-M643)/(MAX($M$643:$M$713)-MIN($M$643:$M$713))))/2</f>
        <v>6.3061112543856259E-3</v>
      </c>
      <c r="V643" s="59">
        <f t="shared" ref="V643:V674" si="385">IF(MAX($N$643:$N$713)=MIN($N$643:$N$713),1,(N643-MIN($N$643:$N$713))/(MAX($N$643:$N$713)-MIN($N$643:$N$713)))</f>
        <v>9.5544805280436421E-2</v>
      </c>
      <c r="W643" s="59">
        <f t="shared" ref="W643:W674" si="386">IFERROR(S643/SUM($S$643:$S$713),1/71)</f>
        <v>0</v>
      </c>
      <c r="X643" s="59">
        <f t="shared" ref="X643:X674" si="387">IFERROR(T643/SUM($T$643:$T$713),1/71)</f>
        <v>9.9491608812113923E-3</v>
      </c>
      <c r="Y643" s="59">
        <f t="shared" ref="Y643:Y674" si="388">IFERROR(U643/SUM($U$643:$U$713),1/71)</f>
        <v>1.6111931042605865E-4</v>
      </c>
      <c r="Z643" s="59">
        <f t="shared" ref="Z643:Z674" si="389">IFERROR(V643/SUM($V$643:$V$713),1/71)</f>
        <v>3.506814418545408E-3</v>
      </c>
      <c r="AA643" s="59">
        <f t="shared" si="350"/>
        <v>1.6702360782389195E-2</v>
      </c>
      <c r="AB643" s="59">
        <f t="shared" ref="AB643:AB674" si="390">IFERROR(AH572/SUM($AH$572:$AH$642),1/71)</f>
        <v>1.5515755195862468E-2</v>
      </c>
      <c r="AC643" s="60">
        <f t="shared" si="351"/>
        <v>24007717.217966102</v>
      </c>
      <c r="AD643" s="60">
        <f t="shared" si="356"/>
        <v>23023839.383186739</v>
      </c>
      <c r="AE643" s="59">
        <f t="shared" si="354"/>
        <v>3.200000000000025E-2</v>
      </c>
      <c r="AF643" s="60">
        <f t="shared" si="357"/>
        <v>23023839.383186739</v>
      </c>
      <c r="AG643" s="60">
        <f t="shared" ref="AG643:AG674" si="391">IFERROR(F643/SUM($AF$643:$AF$713),1)</f>
        <v>1.0000000000000002</v>
      </c>
      <c r="AH643" s="60">
        <f t="shared" si="358"/>
        <v>23023839.383186743</v>
      </c>
      <c r="AI643" s="60">
        <f t="shared" si="352"/>
        <v>47.806047662792885</v>
      </c>
      <c r="AJ643" s="60">
        <f t="shared" si="353"/>
        <v>0</v>
      </c>
      <c r="AK643" s="59">
        <f t="shared" si="355"/>
        <v>3.200000000000025E-2</v>
      </c>
    </row>
    <row r="644" spans="1:37" ht="12.75" customHeight="1" x14ac:dyDescent="0.25">
      <c r="A644" s="62" t="s">
        <v>590</v>
      </c>
      <c r="B644" s="62" t="s">
        <v>376</v>
      </c>
      <c r="C644" s="62" t="s">
        <v>381</v>
      </c>
      <c r="D644" s="124">
        <v>2025</v>
      </c>
      <c r="E644" s="62" t="s">
        <v>676</v>
      </c>
      <c r="F644" s="64">
        <f>SIM_Parametres!$C$31</f>
        <v>1483900660.492918</v>
      </c>
      <c r="G644" s="125">
        <f>SIM_Districts!D5*(1+SIM_Parametres!$B$6)^(2025-2023)</f>
        <v>252430.546</v>
      </c>
      <c r="H644" s="125">
        <f>MAX(0,MIN(100,SIM_Districts!F5+(2025-2022)*SIM_Parametres!$B$7))</f>
        <v>6.8100000000000005</v>
      </c>
      <c r="I644" s="125">
        <f>SIM_Districts!G5*(1+SIM_Parametres!$B$8)^(2025-2023)</f>
        <v>35.343999999999994</v>
      </c>
      <c r="J644" s="125">
        <f>SIM_Districts!H5*(1+SIM_Parametres!$B$9)^(2025-2023)</f>
        <v>8.4240000000000013</v>
      </c>
      <c r="K644" s="125">
        <f>MAX(0,MIN(100,SIM_Districts!I5+(2025-2023)*SIM_Parametres!$B$10))</f>
        <v>100</v>
      </c>
      <c r="L644" s="125">
        <f>SIM_Districts!E5</f>
        <v>10</v>
      </c>
      <c r="M644" s="61">
        <f t="shared" ref="M644:M707" si="392">IFERROR(G644/L644,0)</f>
        <v>25243.054599999999</v>
      </c>
      <c r="N644" s="125">
        <f>N573*(1+SIM_Parametres!$B$6)/(1+SIM_Parametres!$B$11)</f>
        <v>73189</v>
      </c>
      <c r="O644" s="132"/>
      <c r="P644" s="126">
        <f>SIM_Parametres!$D$31</f>
        <v>0</v>
      </c>
      <c r="Q644" s="126">
        <f>SIM_Parametres!$B$12</f>
        <v>0.2</v>
      </c>
      <c r="R644" s="66">
        <f t="shared" si="381"/>
        <v>1.3126718902850365E-2</v>
      </c>
      <c r="S644" s="66">
        <f t="shared" si="382"/>
        <v>0</v>
      </c>
      <c r="T644" s="66">
        <f t="shared" si="383"/>
        <v>0.50276243093922646</v>
      </c>
      <c r="U644" s="66">
        <f t="shared" si="384"/>
        <v>0.16355896203869916</v>
      </c>
      <c r="V644" s="66">
        <f t="shared" si="385"/>
        <v>9.5544805280436421E-2</v>
      </c>
      <c r="W644" s="66">
        <f t="shared" si="386"/>
        <v>0</v>
      </c>
      <c r="X644" s="66">
        <f t="shared" si="387"/>
        <v>9.9491608812113923E-3</v>
      </c>
      <c r="Y644" s="66">
        <f t="shared" si="388"/>
        <v>4.1788839610703175E-3</v>
      </c>
      <c r="Z644" s="66">
        <f t="shared" si="389"/>
        <v>3.506814418545408E-3</v>
      </c>
      <c r="AA644" s="66">
        <f t="shared" ref="AA644:AA707" si="393">0.6*R644+0.15*W644+0.15*X644+0.05*Y644+0.05*Z644</f>
        <v>9.7526903928727132E-3</v>
      </c>
      <c r="AB644" s="66">
        <f t="shared" si="390"/>
        <v>1.4020301207957157E-2</v>
      </c>
      <c r="AC644" s="67">
        <f t="shared" ref="AC644:AC707" si="394">F644*(Q644/71+(1-Q644)*AA644)</f>
        <v>15757620.832996834</v>
      </c>
      <c r="AD644" s="67">
        <f t="shared" si="356"/>
        <v>20804734.222797282</v>
      </c>
      <c r="AE644" s="66">
        <f t="shared" si="354"/>
        <v>3.200000000000025E-2</v>
      </c>
      <c r="AF644" s="67">
        <f t="shared" si="357"/>
        <v>20804734.222797282</v>
      </c>
      <c r="AG644" s="67">
        <f t="shared" si="391"/>
        <v>1.0000000000000002</v>
      </c>
      <c r="AH644" s="67">
        <f t="shared" si="358"/>
        <v>20804734.222797286</v>
      </c>
      <c r="AI644" s="67">
        <f t="shared" ref="AI644:AI707" si="395">IFERROR(AH644/G644,0)</f>
        <v>82.417657262434815</v>
      </c>
      <c r="AJ644" s="67">
        <f t="shared" ref="AJ644:AJ707" si="396">AH644-F644*AB644</f>
        <v>0</v>
      </c>
      <c r="AK644" s="66">
        <f t="shared" si="355"/>
        <v>3.2000000000000473E-2</v>
      </c>
    </row>
    <row r="645" spans="1:37" ht="12.75" customHeight="1" x14ac:dyDescent="0.25">
      <c r="A645" s="55" t="s">
        <v>591</v>
      </c>
      <c r="B645" s="55" t="s">
        <v>376</v>
      </c>
      <c r="C645" s="55" t="s">
        <v>382</v>
      </c>
      <c r="D645" s="128">
        <v>2025</v>
      </c>
      <c r="E645" s="55" t="s">
        <v>676</v>
      </c>
      <c r="F645" s="57">
        <f>SIM_Parametres!$C$31</f>
        <v>1483900660.492918</v>
      </c>
      <c r="G645" s="129">
        <f>SIM_Districts!D6*(1+SIM_Parametres!$B$6)^(2025-2023)</f>
        <v>192389.97139999998</v>
      </c>
      <c r="H645" s="129">
        <f>MAX(0,MIN(100,SIM_Districts!F6+(2025-2022)*SIM_Parametres!$B$7))</f>
        <v>6.8100000000000005</v>
      </c>
      <c r="I645" s="129">
        <f>SIM_Districts!G6*(1+SIM_Parametres!$B$8)^(2025-2023)</f>
        <v>35.343999999999994</v>
      </c>
      <c r="J645" s="129">
        <f>SIM_Districts!H6*(1+SIM_Parametres!$B$9)^(2025-2023)</f>
        <v>8.4240000000000013</v>
      </c>
      <c r="K645" s="129">
        <f>MAX(0,MIN(100,SIM_Districts!I6+(2025-2023)*SIM_Parametres!$B$10))</f>
        <v>100</v>
      </c>
      <c r="L645" s="129">
        <f>SIM_Districts!E6</f>
        <v>169</v>
      </c>
      <c r="M645" s="68">
        <f t="shared" si="392"/>
        <v>1138.402197633136</v>
      </c>
      <c r="N645" s="129">
        <f>N574*(1+SIM_Parametres!$B$6)/(1+SIM_Parametres!$B$11)</f>
        <v>73189</v>
      </c>
      <c r="O645" s="72"/>
      <c r="P645" s="130">
        <f>SIM_Parametres!$D$31</f>
        <v>0</v>
      </c>
      <c r="Q645" s="130">
        <f>SIM_Parametres!$B$12</f>
        <v>0.2</v>
      </c>
      <c r="R645" s="59">
        <f t="shared" si="381"/>
        <v>1.0004530411684887E-2</v>
      </c>
      <c r="S645" s="59">
        <f t="shared" si="382"/>
        <v>0</v>
      </c>
      <c r="T645" s="59">
        <f t="shared" si="383"/>
        <v>0.50276243093922646</v>
      </c>
      <c r="U645" s="59">
        <f t="shared" si="384"/>
        <v>0.49040605765544515</v>
      </c>
      <c r="V645" s="59">
        <f t="shared" si="385"/>
        <v>9.5544805280436421E-2</v>
      </c>
      <c r="W645" s="59">
        <f t="shared" si="386"/>
        <v>0</v>
      </c>
      <c r="X645" s="59">
        <f t="shared" si="387"/>
        <v>9.9491608812113923E-3</v>
      </c>
      <c r="Y645" s="59">
        <f t="shared" si="388"/>
        <v>1.2529732294725465E-2</v>
      </c>
      <c r="Z645" s="59">
        <f t="shared" si="389"/>
        <v>3.506814418545408E-3</v>
      </c>
      <c r="AA645" s="59">
        <f t="shared" si="393"/>
        <v>8.2969197148561845E-3</v>
      </c>
      <c r="AB645" s="59">
        <f t="shared" si="390"/>
        <v>1.2123259014310996E-2</v>
      </c>
      <c r="AC645" s="60">
        <f t="shared" si="394"/>
        <v>14029445.576488875</v>
      </c>
      <c r="AD645" s="60">
        <f t="shared" si="356"/>
        <v>17989712.058662809</v>
      </c>
      <c r="AE645" s="59">
        <f t="shared" si="354"/>
        <v>3.200000000000025E-2</v>
      </c>
      <c r="AF645" s="60">
        <f t="shared" si="357"/>
        <v>17989712.058662809</v>
      </c>
      <c r="AG645" s="60">
        <f t="shared" si="391"/>
        <v>1.0000000000000002</v>
      </c>
      <c r="AH645" s="60">
        <f t="shared" si="358"/>
        <v>17989712.058662813</v>
      </c>
      <c r="AI645" s="60">
        <f t="shared" si="395"/>
        <v>93.506495831116979</v>
      </c>
      <c r="AJ645" s="60">
        <f t="shared" si="396"/>
        <v>0</v>
      </c>
      <c r="AK645" s="59">
        <f t="shared" si="355"/>
        <v>3.2000000000000473E-2</v>
      </c>
    </row>
    <row r="646" spans="1:37" ht="12.75" customHeight="1" x14ac:dyDescent="0.25">
      <c r="A646" s="62" t="s">
        <v>592</v>
      </c>
      <c r="B646" s="62" t="s">
        <v>376</v>
      </c>
      <c r="C646" s="62" t="s">
        <v>383</v>
      </c>
      <c r="D646" s="124">
        <v>2025</v>
      </c>
      <c r="E646" s="62" t="s">
        <v>676</v>
      </c>
      <c r="F646" s="64">
        <f>SIM_Parametres!$C$31</f>
        <v>1483900660.492918</v>
      </c>
      <c r="G646" s="125">
        <f>SIM_Districts!D7*(1+SIM_Parametres!$B$6)^(2025-2023)</f>
        <v>487657.53759999998</v>
      </c>
      <c r="H646" s="125">
        <f>MAX(0,MIN(100,SIM_Districts!F7+(2025-2022)*SIM_Parametres!$B$7))</f>
        <v>6.8100000000000005</v>
      </c>
      <c r="I646" s="125">
        <f>SIM_Districts!G7*(1+SIM_Parametres!$B$8)^(2025-2023)</f>
        <v>35.343999999999994</v>
      </c>
      <c r="J646" s="125">
        <f>SIM_Districts!H7*(1+SIM_Parametres!$B$9)^(2025-2023)</f>
        <v>8.4240000000000013</v>
      </c>
      <c r="K646" s="125">
        <f>MAX(0,MIN(100,SIM_Districts!I7+(2025-2023)*SIM_Parametres!$B$10))</f>
        <v>100</v>
      </c>
      <c r="L646" s="125">
        <f>SIM_Districts!E7</f>
        <v>13</v>
      </c>
      <c r="M646" s="61">
        <f t="shared" si="392"/>
        <v>37512.118276923073</v>
      </c>
      <c r="N646" s="125">
        <f>N575*(1+SIM_Parametres!$B$6)/(1+SIM_Parametres!$B$11)</f>
        <v>73189</v>
      </c>
      <c r="O646" s="132"/>
      <c r="P646" s="126">
        <f>SIM_Parametres!$D$31</f>
        <v>0</v>
      </c>
      <c r="Q646" s="126">
        <f>SIM_Parametres!$B$12</f>
        <v>0.2</v>
      </c>
      <c r="R646" s="66">
        <f t="shared" si="381"/>
        <v>2.5358830452045934E-2</v>
      </c>
      <c r="S646" s="66">
        <f t="shared" si="382"/>
        <v>0</v>
      </c>
      <c r="T646" s="66">
        <f t="shared" si="383"/>
        <v>0.50276243093922646</v>
      </c>
      <c r="U646" s="66">
        <f t="shared" si="384"/>
        <v>1.0392129693778578E-4</v>
      </c>
      <c r="V646" s="66">
        <f t="shared" si="385"/>
        <v>9.5544805280436421E-2</v>
      </c>
      <c r="W646" s="66">
        <f t="shared" si="386"/>
        <v>0</v>
      </c>
      <c r="X646" s="66">
        <f t="shared" si="387"/>
        <v>9.9491608812113923E-3</v>
      </c>
      <c r="Y646" s="66">
        <f t="shared" si="388"/>
        <v>2.6551589443578546E-6</v>
      </c>
      <c r="Z646" s="66">
        <f t="shared" si="389"/>
        <v>3.506814418545408E-3</v>
      </c>
      <c r="AA646" s="66">
        <f t="shared" si="393"/>
        <v>1.6883145882283755E-2</v>
      </c>
      <c r="AB646" s="66">
        <f t="shared" si="390"/>
        <v>1.6212233485735226E-2</v>
      </c>
      <c r="AC646" s="67">
        <f t="shared" si="394"/>
        <v>24222330.921278752</v>
      </c>
      <c r="AD646" s="67">
        <f t="shared" si="356"/>
        <v>24057343.977547903</v>
      </c>
      <c r="AE646" s="66">
        <f t="shared" si="354"/>
        <v>3.2000000000000028E-2</v>
      </c>
      <c r="AF646" s="67">
        <f t="shared" si="357"/>
        <v>24057343.977547903</v>
      </c>
      <c r="AG646" s="67">
        <f t="shared" si="391"/>
        <v>1.0000000000000002</v>
      </c>
      <c r="AH646" s="67">
        <f t="shared" si="358"/>
        <v>24057343.977547906</v>
      </c>
      <c r="AI646" s="67">
        <f t="shared" si="395"/>
        <v>49.332455919672242</v>
      </c>
      <c r="AJ646" s="67">
        <f t="shared" si="396"/>
        <v>0</v>
      </c>
      <c r="AK646" s="66">
        <f t="shared" si="355"/>
        <v>3.200000000000025E-2</v>
      </c>
    </row>
    <row r="647" spans="1:37" ht="12.75" customHeight="1" x14ac:dyDescent="0.25">
      <c r="A647" s="55" t="s">
        <v>593</v>
      </c>
      <c r="B647" s="55" t="s">
        <v>376</v>
      </c>
      <c r="C647" s="55" t="s">
        <v>384</v>
      </c>
      <c r="D647" s="128">
        <v>2025</v>
      </c>
      <c r="E647" s="55" t="s">
        <v>676</v>
      </c>
      <c r="F647" s="57">
        <f>SIM_Parametres!$C$31</f>
        <v>1483900660.492918</v>
      </c>
      <c r="G647" s="129">
        <f>SIM_Districts!D8*(1+SIM_Parametres!$B$6)^(2025-2023)</f>
        <v>345830.06020000001</v>
      </c>
      <c r="H647" s="129">
        <f>MAX(0,MIN(100,SIM_Districts!F8+(2025-2022)*SIM_Parametres!$B$7))</f>
        <v>6.8100000000000005</v>
      </c>
      <c r="I647" s="129">
        <f>SIM_Districts!G8*(1+SIM_Parametres!$B$8)^(2025-2023)</f>
        <v>35.343999999999994</v>
      </c>
      <c r="J647" s="129">
        <f>SIM_Districts!H8*(1+SIM_Parametres!$B$9)^(2025-2023)</f>
        <v>8.4240000000000013</v>
      </c>
      <c r="K647" s="129">
        <f>MAX(0,MIN(100,SIM_Districts!I8+(2025-2023)*SIM_Parametres!$B$10))</f>
        <v>100</v>
      </c>
      <c r="L647" s="129">
        <f>SIM_Districts!E8</f>
        <v>34</v>
      </c>
      <c r="M647" s="68">
        <f t="shared" si="392"/>
        <v>10171.47235882353</v>
      </c>
      <c r="N647" s="129">
        <f>N576*(1+SIM_Parametres!$B$6)/(1+SIM_Parametres!$B$11)</f>
        <v>73189</v>
      </c>
      <c r="O647" s="72"/>
      <c r="P647" s="130">
        <f>SIM_Parametres!$D$31</f>
        <v>0</v>
      </c>
      <c r="Q647" s="130">
        <f>SIM_Parametres!$B$12</f>
        <v>0.2</v>
      </c>
      <c r="R647" s="59">
        <f t="shared" si="381"/>
        <v>1.7983615930542811E-2</v>
      </c>
      <c r="S647" s="59">
        <f t="shared" si="382"/>
        <v>0</v>
      </c>
      <c r="T647" s="59">
        <f t="shared" si="383"/>
        <v>0.50276243093922646</v>
      </c>
      <c r="U647" s="59">
        <f t="shared" si="384"/>
        <v>0.36530968637307898</v>
      </c>
      <c r="V647" s="59">
        <f t="shared" si="385"/>
        <v>9.5544805280436421E-2</v>
      </c>
      <c r="W647" s="59">
        <f t="shared" si="386"/>
        <v>0</v>
      </c>
      <c r="X647" s="59">
        <f t="shared" si="387"/>
        <v>9.9491608812113923E-3</v>
      </c>
      <c r="Y647" s="59">
        <f t="shared" si="388"/>
        <v>9.3335563528881213E-3</v>
      </c>
      <c r="Z647" s="59">
        <f t="shared" si="389"/>
        <v>3.506814418545408E-3</v>
      </c>
      <c r="AA647" s="59">
        <f t="shared" si="393"/>
        <v>1.2924562229079072E-2</v>
      </c>
      <c r="AB647" s="59">
        <f t="shared" si="390"/>
        <v>1.1514995706870859E-2</v>
      </c>
      <c r="AC647" s="60">
        <f t="shared" si="394"/>
        <v>19523015.003193237</v>
      </c>
      <c r="AD647" s="60">
        <f t="shared" si="356"/>
        <v>17087109.734998781</v>
      </c>
      <c r="AE647" s="59">
        <f t="shared" si="354"/>
        <v>3.2000000000000028E-2</v>
      </c>
      <c r="AF647" s="60">
        <f t="shared" si="357"/>
        <v>17087109.734998781</v>
      </c>
      <c r="AG647" s="60">
        <f t="shared" si="391"/>
        <v>1.0000000000000002</v>
      </c>
      <c r="AH647" s="60">
        <f t="shared" si="358"/>
        <v>17087109.734998785</v>
      </c>
      <c r="AI647" s="60">
        <f t="shared" si="395"/>
        <v>49.408977707481498</v>
      </c>
      <c r="AJ647" s="60">
        <f t="shared" si="396"/>
        <v>0</v>
      </c>
      <c r="AK647" s="59">
        <f t="shared" si="355"/>
        <v>3.200000000000025E-2</v>
      </c>
    </row>
    <row r="648" spans="1:37" ht="12.75" customHeight="1" x14ac:dyDescent="0.25">
      <c r="A648" s="62" t="s">
        <v>594</v>
      </c>
      <c r="B648" s="62" t="s">
        <v>376</v>
      </c>
      <c r="C648" s="62" t="s">
        <v>385</v>
      </c>
      <c r="D648" s="124">
        <v>2025</v>
      </c>
      <c r="E648" s="62" t="s">
        <v>676</v>
      </c>
      <c r="F648" s="64">
        <f>SIM_Parametres!$C$31</f>
        <v>1483900660.492918</v>
      </c>
      <c r="G648" s="125">
        <f>SIM_Districts!D9*(1+SIM_Parametres!$B$6)^(2025-2023)</f>
        <v>507393.46029999998</v>
      </c>
      <c r="H648" s="125">
        <f>MAX(0,MIN(100,SIM_Districts!F9+(2025-2022)*SIM_Parametres!$B$7))</f>
        <v>6.8100000000000005</v>
      </c>
      <c r="I648" s="125">
        <f>SIM_Districts!G9*(1+SIM_Parametres!$B$8)^(2025-2023)</f>
        <v>35.343999999999994</v>
      </c>
      <c r="J648" s="125">
        <f>SIM_Districts!H9*(1+SIM_Parametres!$B$9)^(2025-2023)</f>
        <v>8.4240000000000013</v>
      </c>
      <c r="K648" s="125">
        <f>MAX(0,MIN(100,SIM_Districts!I9+(2025-2023)*SIM_Parametres!$B$10))</f>
        <v>100</v>
      </c>
      <c r="L648" s="125">
        <f>SIM_Districts!E9</f>
        <v>28</v>
      </c>
      <c r="M648" s="61">
        <f t="shared" si="392"/>
        <v>18121.195010714284</v>
      </c>
      <c r="N648" s="125">
        <f>N577*(1+SIM_Parametres!$B$6)/(1+SIM_Parametres!$B$11)</f>
        <v>73189</v>
      </c>
      <c r="O648" s="132"/>
      <c r="P648" s="126">
        <f>SIM_Parametres!$D$31</f>
        <v>0</v>
      </c>
      <c r="Q648" s="126">
        <f>SIM_Parametres!$B$12</f>
        <v>0.2</v>
      </c>
      <c r="R648" s="66">
        <f t="shared" si="381"/>
        <v>2.6385124272966021E-2</v>
      </c>
      <c r="S648" s="66">
        <f t="shared" si="382"/>
        <v>0</v>
      </c>
      <c r="T648" s="66">
        <f t="shared" si="383"/>
        <v>0.50276243093922646</v>
      </c>
      <c r="U648" s="66">
        <f t="shared" si="384"/>
        <v>0.25912404305391834</v>
      </c>
      <c r="V648" s="66">
        <f t="shared" si="385"/>
        <v>9.5544805280436421E-2</v>
      </c>
      <c r="W648" s="66">
        <f t="shared" si="386"/>
        <v>0</v>
      </c>
      <c r="X648" s="66">
        <f t="shared" si="387"/>
        <v>9.9491608812113923E-3</v>
      </c>
      <c r="Y648" s="66">
        <f t="shared" si="388"/>
        <v>6.6205440163499222E-3</v>
      </c>
      <c r="Z648" s="66">
        <f t="shared" si="389"/>
        <v>3.506814418545408E-3</v>
      </c>
      <c r="AA648" s="66">
        <f t="shared" si="393"/>
        <v>1.7829816617706083E-2</v>
      </c>
      <c r="AB648" s="66">
        <f t="shared" si="390"/>
        <v>1.1432661723267084E-2</v>
      </c>
      <c r="AC648" s="67">
        <f t="shared" si="394"/>
        <v>25346143.18492876</v>
      </c>
      <c r="AD648" s="67">
        <f t="shared" si="356"/>
        <v>16964934.282348126</v>
      </c>
      <c r="AE648" s="66">
        <f t="shared" si="354"/>
        <v>3.200000000000025E-2</v>
      </c>
      <c r="AF648" s="67">
        <f t="shared" si="357"/>
        <v>16964934.282348126</v>
      </c>
      <c r="AG648" s="67">
        <f t="shared" si="391"/>
        <v>1.0000000000000002</v>
      </c>
      <c r="AH648" s="67">
        <f t="shared" si="358"/>
        <v>16964934.28234813</v>
      </c>
      <c r="AI648" s="67">
        <f t="shared" si="395"/>
        <v>33.435461056824607</v>
      </c>
      <c r="AJ648" s="67">
        <f t="shared" si="396"/>
        <v>0</v>
      </c>
      <c r="AK648" s="66">
        <f t="shared" si="355"/>
        <v>3.2000000000000473E-2</v>
      </c>
    </row>
    <row r="649" spans="1:37" ht="12.75" customHeight="1" x14ac:dyDescent="0.25">
      <c r="A649" s="55" t="s">
        <v>595</v>
      </c>
      <c r="B649" s="55" t="s">
        <v>376</v>
      </c>
      <c r="C649" s="55" t="s">
        <v>386</v>
      </c>
      <c r="D649" s="128">
        <v>2025</v>
      </c>
      <c r="E649" s="55" t="s">
        <v>676</v>
      </c>
      <c r="F649" s="57">
        <f>SIM_Parametres!$C$31</f>
        <v>1483900660.492918</v>
      </c>
      <c r="G649" s="129">
        <f>SIM_Districts!D10*(1+SIM_Parametres!$B$6)^(2025-2023)</f>
        <v>648706.40119999996</v>
      </c>
      <c r="H649" s="129">
        <f>MAX(0,MIN(100,SIM_Districts!F10+(2025-2022)*SIM_Parametres!$B$7))</f>
        <v>6.8100000000000005</v>
      </c>
      <c r="I649" s="129">
        <f>SIM_Districts!G10*(1+SIM_Parametres!$B$8)^(2025-2023)</f>
        <v>35.343999999999994</v>
      </c>
      <c r="J649" s="129">
        <f>SIM_Districts!H10*(1+SIM_Parametres!$B$9)^(2025-2023)</f>
        <v>8.4240000000000013</v>
      </c>
      <c r="K649" s="129">
        <f>MAX(0,MIN(100,SIM_Districts!I10+(2025-2023)*SIM_Parametres!$B$10))</f>
        <v>100</v>
      </c>
      <c r="L649" s="129">
        <f>SIM_Districts!E10</f>
        <v>22</v>
      </c>
      <c r="M649" s="68">
        <f t="shared" si="392"/>
        <v>29486.654599999998</v>
      </c>
      <c r="N649" s="129">
        <f>N578*(1+SIM_Parametres!$B$6)/(1+SIM_Parametres!$B$11)</f>
        <v>73189</v>
      </c>
      <c r="O649" s="72"/>
      <c r="P649" s="130">
        <f>SIM_Parametres!$D$31</f>
        <v>0</v>
      </c>
      <c r="Q649" s="130">
        <f>SIM_Parametres!$B$12</f>
        <v>0.2</v>
      </c>
      <c r="R649" s="59">
        <f t="shared" si="381"/>
        <v>3.37335822227793E-2</v>
      </c>
      <c r="S649" s="59">
        <f t="shared" si="382"/>
        <v>0</v>
      </c>
      <c r="T649" s="59">
        <f t="shared" si="383"/>
        <v>0.50276243093922646</v>
      </c>
      <c r="U649" s="59">
        <f t="shared" si="384"/>
        <v>0.10740318997556661</v>
      </c>
      <c r="V649" s="59">
        <f t="shared" si="385"/>
        <v>9.5544805280436421E-2</v>
      </c>
      <c r="W649" s="59">
        <f t="shared" si="386"/>
        <v>0</v>
      </c>
      <c r="X649" s="59">
        <f t="shared" si="387"/>
        <v>9.9491608812113923E-3</v>
      </c>
      <c r="Y649" s="59">
        <f t="shared" si="388"/>
        <v>2.744120299873806E-3</v>
      </c>
      <c r="Z649" s="59">
        <f t="shared" si="389"/>
        <v>3.506814418545408E-3</v>
      </c>
      <c r="AA649" s="59">
        <f t="shared" si="393"/>
        <v>2.2045070201770246E-2</v>
      </c>
      <c r="AB649" s="59">
        <f t="shared" si="390"/>
        <v>1.844533275531517E-2</v>
      </c>
      <c r="AC649" s="60">
        <f t="shared" si="394"/>
        <v>30350157.24695912</v>
      </c>
      <c r="AD649" s="60">
        <f t="shared" si="356"/>
        <v>27371041.458623838</v>
      </c>
      <c r="AE649" s="59">
        <f t="shared" si="354"/>
        <v>3.200000000000025E-2</v>
      </c>
      <c r="AF649" s="60">
        <f t="shared" si="357"/>
        <v>27371041.458623838</v>
      </c>
      <c r="AG649" s="60">
        <f t="shared" si="391"/>
        <v>1.0000000000000002</v>
      </c>
      <c r="AH649" s="60">
        <f t="shared" si="358"/>
        <v>27371041.458623845</v>
      </c>
      <c r="AI649" s="60">
        <f t="shared" si="395"/>
        <v>42.19326556357688</v>
      </c>
      <c r="AJ649" s="60">
        <f t="shared" si="396"/>
        <v>0</v>
      </c>
      <c r="AK649" s="59">
        <f t="shared" si="355"/>
        <v>3.2000000000000695E-2</v>
      </c>
    </row>
    <row r="650" spans="1:37" ht="12.75" customHeight="1" x14ac:dyDescent="0.25">
      <c r="A650" s="62" t="s">
        <v>596</v>
      </c>
      <c r="B650" s="62" t="s">
        <v>376</v>
      </c>
      <c r="C650" s="62" t="s">
        <v>387</v>
      </c>
      <c r="D650" s="124">
        <v>2025</v>
      </c>
      <c r="E650" s="62" t="s">
        <v>676</v>
      </c>
      <c r="F650" s="64">
        <f>SIM_Parametres!$C$31</f>
        <v>1483900660.492918</v>
      </c>
      <c r="G650" s="125">
        <f>SIM_Districts!D11*(1+SIM_Parametres!$B$6)^(2025-2023)</f>
        <v>312595.24589999998</v>
      </c>
      <c r="H650" s="125">
        <f>MAX(0,MIN(100,SIM_Districts!F11+(2025-2022)*SIM_Parametres!$B$7))</f>
        <v>6.8100000000000005</v>
      </c>
      <c r="I650" s="125">
        <f>SIM_Districts!G11*(1+SIM_Parametres!$B$8)^(2025-2023)</f>
        <v>35.343999999999994</v>
      </c>
      <c r="J650" s="125">
        <f>SIM_Districts!H11*(1+SIM_Parametres!$B$9)^(2025-2023)</f>
        <v>8.4240000000000013</v>
      </c>
      <c r="K650" s="125">
        <f>MAX(0,MIN(100,SIM_Districts!I11+(2025-2023)*SIM_Parametres!$B$10))</f>
        <v>100</v>
      </c>
      <c r="L650" s="125">
        <f>SIM_Districts!E11</f>
        <v>34</v>
      </c>
      <c r="M650" s="61">
        <f t="shared" si="392"/>
        <v>9193.977820588234</v>
      </c>
      <c r="N650" s="125">
        <f>N579*(1+SIM_Parametres!$B$6)/(1+SIM_Parametres!$B$11)</f>
        <v>73189</v>
      </c>
      <c r="O650" s="132"/>
      <c r="P650" s="126">
        <f>SIM_Parametres!$D$31</f>
        <v>0</v>
      </c>
      <c r="Q650" s="126">
        <f>SIM_Parametres!$B$12</f>
        <v>0.2</v>
      </c>
      <c r="R650" s="66">
        <f t="shared" si="381"/>
        <v>1.6255362072134835E-2</v>
      </c>
      <c r="S650" s="66">
        <f t="shared" si="382"/>
        <v>0</v>
      </c>
      <c r="T650" s="66">
        <f t="shared" si="383"/>
        <v>0.50276243093922646</v>
      </c>
      <c r="U650" s="66">
        <f t="shared" si="384"/>
        <v>0.37834067197086163</v>
      </c>
      <c r="V650" s="66">
        <f t="shared" si="385"/>
        <v>9.5544805280436421E-2</v>
      </c>
      <c r="W650" s="66">
        <f t="shared" si="386"/>
        <v>0</v>
      </c>
      <c r="X650" s="66">
        <f t="shared" si="387"/>
        <v>9.9491608812113923E-3</v>
      </c>
      <c r="Y650" s="66">
        <f t="shared" si="388"/>
        <v>9.6664942490006425E-3</v>
      </c>
      <c r="Z650" s="66">
        <f t="shared" si="389"/>
        <v>3.506814418545408E-3</v>
      </c>
      <c r="AA650" s="66">
        <f t="shared" si="393"/>
        <v>1.1904256808839912E-2</v>
      </c>
      <c r="AB650" s="66">
        <f t="shared" si="390"/>
        <v>1.2725641322922289E-2</v>
      </c>
      <c r="AC650" s="67">
        <f t="shared" si="394"/>
        <v>18311789.493595321</v>
      </c>
      <c r="AD650" s="67">
        <f t="shared" si="356"/>
        <v>18883587.564280357</v>
      </c>
      <c r="AE650" s="66">
        <f t="shared" si="354"/>
        <v>3.200000000000025E-2</v>
      </c>
      <c r="AF650" s="67">
        <f t="shared" si="357"/>
        <v>18883587.564280357</v>
      </c>
      <c r="AG650" s="67">
        <f t="shared" si="391"/>
        <v>1.0000000000000002</v>
      </c>
      <c r="AH650" s="67">
        <f t="shared" si="358"/>
        <v>18883587.564280361</v>
      </c>
      <c r="AI650" s="67">
        <f t="shared" si="395"/>
        <v>60.409068314241956</v>
      </c>
      <c r="AJ650" s="67">
        <f t="shared" si="396"/>
        <v>0</v>
      </c>
      <c r="AK650" s="66">
        <f t="shared" si="355"/>
        <v>3.2000000000000473E-2</v>
      </c>
    </row>
    <row r="651" spans="1:37" ht="12.75" customHeight="1" x14ac:dyDescent="0.25">
      <c r="A651" s="55" t="s">
        <v>597</v>
      </c>
      <c r="B651" s="55" t="s">
        <v>376</v>
      </c>
      <c r="C651" s="55" t="s">
        <v>388</v>
      </c>
      <c r="D651" s="128">
        <v>2025</v>
      </c>
      <c r="E651" s="55" t="s">
        <v>676</v>
      </c>
      <c r="F651" s="57">
        <f>SIM_Parametres!$C$31</f>
        <v>1483900660.492918</v>
      </c>
      <c r="G651" s="129">
        <f>SIM_Districts!D12*(1+SIM_Parametres!$B$6)^(2025-2023)</f>
        <v>486199.86099999998</v>
      </c>
      <c r="H651" s="129">
        <f>MAX(0,MIN(100,SIM_Districts!F12+(2025-2022)*SIM_Parametres!$B$7))</f>
        <v>6.8100000000000005</v>
      </c>
      <c r="I651" s="129">
        <f>SIM_Districts!G12*(1+SIM_Parametres!$B$8)^(2025-2023)</f>
        <v>35.343999999999994</v>
      </c>
      <c r="J651" s="129">
        <f>SIM_Districts!H12*(1+SIM_Parametres!$B$9)^(2025-2023)</f>
        <v>8.4240000000000013</v>
      </c>
      <c r="K651" s="129">
        <f>MAX(0,MIN(100,SIM_Districts!I12+(2025-2023)*SIM_Parametres!$B$10))</f>
        <v>100</v>
      </c>
      <c r="L651" s="129">
        <f>SIM_Districts!E12</f>
        <v>18</v>
      </c>
      <c r="M651" s="68">
        <f t="shared" si="392"/>
        <v>27011.103388888889</v>
      </c>
      <c r="N651" s="129">
        <f>N580*(1+SIM_Parametres!$B$6)/(1+SIM_Parametres!$B$11)</f>
        <v>73189</v>
      </c>
      <c r="O651" s="72"/>
      <c r="P651" s="130">
        <f>SIM_Parametres!$D$31</f>
        <v>0</v>
      </c>
      <c r="Q651" s="130">
        <f>SIM_Parametres!$B$12</f>
        <v>0.2</v>
      </c>
      <c r="R651" s="59">
        <f t="shared" si="381"/>
        <v>2.528302936028954E-2</v>
      </c>
      <c r="S651" s="59">
        <f t="shared" si="382"/>
        <v>0</v>
      </c>
      <c r="T651" s="59">
        <f t="shared" si="383"/>
        <v>0.50276243093922646</v>
      </c>
      <c r="U651" s="59">
        <f t="shared" si="384"/>
        <v>0.14026621640536643</v>
      </c>
      <c r="V651" s="59">
        <f t="shared" si="385"/>
        <v>9.5544805280436421E-2</v>
      </c>
      <c r="W651" s="59">
        <f t="shared" si="386"/>
        <v>0</v>
      </c>
      <c r="X651" s="59">
        <f t="shared" si="387"/>
        <v>9.9491608812113923E-3</v>
      </c>
      <c r="Y651" s="59">
        <f t="shared" si="388"/>
        <v>3.5837610774132663E-3</v>
      </c>
      <c r="Z651" s="59">
        <f t="shared" si="389"/>
        <v>3.506814418545408E-3</v>
      </c>
      <c r="AA651" s="59">
        <f t="shared" si="393"/>
        <v>1.7016720523153363E-2</v>
      </c>
      <c r="AB651" s="59">
        <f t="shared" si="390"/>
        <v>1.7623673204657086E-2</v>
      </c>
      <c r="AC651" s="60">
        <f t="shared" si="394"/>
        <v>24380900.11952797</v>
      </c>
      <c r="AD651" s="60">
        <f t="shared" si="356"/>
        <v>26151780.308701992</v>
      </c>
      <c r="AE651" s="59">
        <f t="shared" ref="AE651:AE714" si="397">IFERROR(AD651/AH580-1,0)</f>
        <v>3.200000000000025E-2</v>
      </c>
      <c r="AF651" s="60">
        <f t="shared" si="357"/>
        <v>26151780.308701992</v>
      </c>
      <c r="AG651" s="60">
        <f t="shared" si="391"/>
        <v>1.0000000000000002</v>
      </c>
      <c r="AH651" s="60">
        <f t="shared" si="358"/>
        <v>26151780.308701999</v>
      </c>
      <c r="AI651" s="60">
        <f t="shared" si="395"/>
        <v>53.788127900558983</v>
      </c>
      <c r="AJ651" s="60">
        <f t="shared" si="396"/>
        <v>0</v>
      </c>
      <c r="AK651" s="59">
        <f t="shared" ref="AK651:AK714" si="398">IFERROR(AH651/AH580-1,0)</f>
        <v>3.2000000000000473E-2</v>
      </c>
    </row>
    <row r="652" spans="1:37" ht="12.75" customHeight="1" x14ac:dyDescent="0.25">
      <c r="A652" s="62" t="s">
        <v>598</v>
      </c>
      <c r="B652" s="62" t="s">
        <v>376</v>
      </c>
      <c r="C652" s="62" t="s">
        <v>389</v>
      </c>
      <c r="D652" s="124">
        <v>2025</v>
      </c>
      <c r="E652" s="62" t="s">
        <v>676</v>
      </c>
      <c r="F652" s="64">
        <f>SIM_Parametres!$C$31</f>
        <v>1483900660.492918</v>
      </c>
      <c r="G652" s="125">
        <f>SIM_Districts!D13*(1+SIM_Parametres!$B$6)^(2025-2023)</f>
        <v>533483.11309999996</v>
      </c>
      <c r="H652" s="125">
        <f>MAX(0,MIN(100,SIM_Districts!F13+(2025-2022)*SIM_Parametres!$B$7))</f>
        <v>6.8100000000000005</v>
      </c>
      <c r="I652" s="125">
        <f>SIM_Districts!G13*(1+SIM_Parametres!$B$8)^(2025-2023)</f>
        <v>35.343999999999994</v>
      </c>
      <c r="J652" s="125">
        <f>SIM_Districts!H13*(1+SIM_Parametres!$B$9)^(2025-2023)</f>
        <v>8.4240000000000013</v>
      </c>
      <c r="K652" s="125">
        <f>MAX(0,MIN(100,SIM_Districts!I13+(2025-2023)*SIM_Parametres!$B$10))</f>
        <v>100</v>
      </c>
      <c r="L652" s="125">
        <f>SIM_Districts!E13</f>
        <v>203</v>
      </c>
      <c r="M652" s="61">
        <f t="shared" si="392"/>
        <v>2627.9956310344824</v>
      </c>
      <c r="N652" s="125">
        <f>N581*(1+SIM_Parametres!$B$6)/(1+SIM_Parametres!$B$11)</f>
        <v>73189</v>
      </c>
      <c r="O652" s="132"/>
      <c r="P652" s="126">
        <f>SIM_Parametres!$D$31</f>
        <v>0</v>
      </c>
      <c r="Q652" s="126">
        <f>SIM_Parametres!$B$12</f>
        <v>0.2</v>
      </c>
      <c r="R652" s="66">
        <f t="shared" si="381"/>
        <v>2.774182037811394E-2</v>
      </c>
      <c r="S652" s="66">
        <f t="shared" si="382"/>
        <v>0</v>
      </c>
      <c r="T652" s="66">
        <f t="shared" si="383"/>
        <v>0.50276243093922646</v>
      </c>
      <c r="U652" s="66">
        <f t="shared" si="384"/>
        <v>0.47172605328939687</v>
      </c>
      <c r="V652" s="66">
        <f t="shared" si="385"/>
        <v>9.5544805280436421E-2</v>
      </c>
      <c r="W652" s="66">
        <f t="shared" si="386"/>
        <v>0</v>
      </c>
      <c r="X652" s="66">
        <f t="shared" si="387"/>
        <v>9.9491608812113923E-3</v>
      </c>
      <c r="Y652" s="66">
        <f t="shared" si="388"/>
        <v>1.2052463610301233E-2</v>
      </c>
      <c r="Z652" s="66">
        <f t="shared" si="389"/>
        <v>3.506814418545408E-3</v>
      </c>
      <c r="AA652" s="66">
        <f t="shared" si="393"/>
        <v>1.8915430260492402E-2</v>
      </c>
      <c r="AB652" s="66">
        <f t="shared" si="390"/>
        <v>1.9934905744391627E-2</v>
      </c>
      <c r="AC652" s="67">
        <f t="shared" si="394"/>
        <v>26634897.426185355</v>
      </c>
      <c r="AD652" s="67">
        <f t="shared" si="356"/>
        <v>29581419.800966803</v>
      </c>
      <c r="AE652" s="66">
        <f t="shared" si="397"/>
        <v>3.200000000000025E-2</v>
      </c>
      <c r="AF652" s="67">
        <f t="shared" si="357"/>
        <v>29581419.800966803</v>
      </c>
      <c r="AG652" s="67">
        <f t="shared" si="391"/>
        <v>1.0000000000000002</v>
      </c>
      <c r="AH652" s="67">
        <f t="shared" si="358"/>
        <v>29581419.80096681</v>
      </c>
      <c r="AI652" s="67">
        <f t="shared" si="395"/>
        <v>55.44958982688896</v>
      </c>
      <c r="AJ652" s="67">
        <f t="shared" si="396"/>
        <v>0</v>
      </c>
      <c r="AK652" s="66">
        <f t="shared" si="398"/>
        <v>3.2000000000000473E-2</v>
      </c>
    </row>
    <row r="653" spans="1:37" ht="12.75" customHeight="1" x14ac:dyDescent="0.25">
      <c r="A653" s="55" t="s">
        <v>599</v>
      </c>
      <c r="B653" s="55" t="s">
        <v>390</v>
      </c>
      <c r="C653" s="55" t="s">
        <v>392</v>
      </c>
      <c r="D653" s="128">
        <v>2025</v>
      </c>
      <c r="E653" s="55" t="s">
        <v>676</v>
      </c>
      <c r="F653" s="57">
        <f>SIM_Parametres!$C$31</f>
        <v>1483900660.492918</v>
      </c>
      <c r="G653" s="129">
        <f>SIM_Districts!D14*(1+SIM_Parametres!$B$6)^(2025-2023)</f>
        <v>920913.18409999995</v>
      </c>
      <c r="H653" s="129">
        <f>MAX(0,MIN(100,SIM_Districts!F14+(2025-2022)*SIM_Parametres!$B$7))</f>
        <v>34.909999999999997</v>
      </c>
      <c r="I653" s="129">
        <f>SIM_Districts!G14*(1+SIM_Parametres!$B$8)^(2025-2023)</f>
        <v>35.343999999999994</v>
      </c>
      <c r="J653" s="129">
        <f>SIM_Districts!H14*(1+SIM_Parametres!$B$9)^(2025-2023)</f>
        <v>14.175000000000001</v>
      </c>
      <c r="K653" s="129">
        <f>MAX(0,MIN(100,SIM_Districts!I14+(2025-2023)*SIM_Parametres!$B$10))</f>
        <v>98.2</v>
      </c>
      <c r="L653" s="129">
        <f>SIM_Districts!E14</f>
        <v>1335</v>
      </c>
      <c r="M653" s="68">
        <f t="shared" si="392"/>
        <v>689.82260981273407</v>
      </c>
      <c r="N653" s="129">
        <f>N582*(1+SIM_Parametres!$B$6)/(1+SIM_Parametres!$B$11)</f>
        <v>203502</v>
      </c>
      <c r="O653" s="72"/>
      <c r="P653" s="130">
        <f>SIM_Parametres!$D$31</f>
        <v>0</v>
      </c>
      <c r="Q653" s="130">
        <f>SIM_Parametres!$B$12</f>
        <v>0.2</v>
      </c>
      <c r="R653" s="59">
        <f t="shared" si="381"/>
        <v>4.7888691337733699E-2</v>
      </c>
      <c r="S653" s="59">
        <f t="shared" si="382"/>
        <v>0.49822695035460984</v>
      </c>
      <c r="T653" s="59">
        <f t="shared" si="383"/>
        <v>0.69889502762430933</v>
      </c>
      <c r="U653" s="59">
        <f t="shared" si="384"/>
        <v>0.53677681892865114</v>
      </c>
      <c r="V653" s="59">
        <f t="shared" si="385"/>
        <v>1</v>
      </c>
      <c r="W653" s="59">
        <f t="shared" si="386"/>
        <v>1.1879095328683151E-2</v>
      </c>
      <c r="X653" s="59">
        <f t="shared" si="387"/>
        <v>1.3830426939266385E-2</v>
      </c>
      <c r="Y653" s="59">
        <f t="shared" si="388"/>
        <v>1.3714491773092488E-2</v>
      </c>
      <c r="Z653" s="59">
        <f t="shared" si="389"/>
        <v>3.6703349891733537E-2</v>
      </c>
      <c r="AA653" s="59">
        <f t="shared" si="393"/>
        <v>3.5110535226073949E-2</v>
      </c>
      <c r="AB653" s="59">
        <f t="shared" si="390"/>
        <v>1.3175957804673547E-2</v>
      </c>
      <c r="AC653" s="60">
        <f t="shared" si="394"/>
        <v>45860438.99032823</v>
      </c>
      <c r="AD653" s="60">
        <f t="shared" si="356"/>
        <v>19551812.488981895</v>
      </c>
      <c r="AE653" s="59">
        <f t="shared" si="397"/>
        <v>3.200000000000025E-2</v>
      </c>
      <c r="AF653" s="60">
        <f t="shared" si="357"/>
        <v>19551812.488981895</v>
      </c>
      <c r="AG653" s="60">
        <f t="shared" si="391"/>
        <v>1.0000000000000002</v>
      </c>
      <c r="AH653" s="60">
        <f t="shared" si="358"/>
        <v>19551812.488981899</v>
      </c>
      <c r="AI653" s="60">
        <f t="shared" si="395"/>
        <v>21.230896491171105</v>
      </c>
      <c r="AJ653" s="60">
        <f t="shared" si="396"/>
        <v>0</v>
      </c>
      <c r="AK653" s="59">
        <f t="shared" si="398"/>
        <v>3.2000000000000473E-2</v>
      </c>
    </row>
    <row r="654" spans="1:37" ht="12.75" customHeight="1" x14ac:dyDescent="0.25">
      <c r="A654" s="62" t="s">
        <v>601</v>
      </c>
      <c r="B654" s="62" t="s">
        <v>390</v>
      </c>
      <c r="C654" s="62" t="s">
        <v>390</v>
      </c>
      <c r="D654" s="124">
        <v>2025</v>
      </c>
      <c r="E654" s="62" t="s">
        <v>676</v>
      </c>
      <c r="F654" s="64">
        <f>SIM_Parametres!$C$31</f>
        <v>1483900660.492918</v>
      </c>
      <c r="G654" s="125">
        <f>SIM_Districts!D15*(1+SIM_Parametres!$B$6)^(2025-2023)</f>
        <v>824780.79149999993</v>
      </c>
      <c r="H654" s="125">
        <f>MAX(0,MIN(100,SIM_Districts!F15+(2025-2022)*SIM_Parametres!$B$7))</f>
        <v>34.909999999999997</v>
      </c>
      <c r="I654" s="125">
        <f>SIM_Districts!G15*(1+SIM_Parametres!$B$8)^(2025-2023)</f>
        <v>35.343999999999994</v>
      </c>
      <c r="J654" s="125">
        <f>SIM_Districts!H15*(1+SIM_Parametres!$B$9)^(2025-2023)</f>
        <v>14.175000000000001</v>
      </c>
      <c r="K654" s="125">
        <f>MAX(0,MIN(100,SIM_Districts!I15+(2025-2023)*SIM_Parametres!$B$10))</f>
        <v>98.2</v>
      </c>
      <c r="L654" s="125">
        <f>SIM_Districts!E15</f>
        <v>1292</v>
      </c>
      <c r="M654" s="61">
        <f t="shared" si="392"/>
        <v>638.37522561919502</v>
      </c>
      <c r="N654" s="125">
        <f>N583*(1+SIM_Parametres!$B$6)/(1+SIM_Parametres!$B$11)</f>
        <v>203502</v>
      </c>
      <c r="O654" s="132"/>
      <c r="P654" s="126">
        <f>SIM_Parametres!$D$31</f>
        <v>0</v>
      </c>
      <c r="Q654" s="126">
        <f>SIM_Parametres!$B$12</f>
        <v>0.2</v>
      </c>
      <c r="R654" s="66">
        <f t="shared" si="381"/>
        <v>4.2889681055045273E-2</v>
      </c>
      <c r="S654" s="66">
        <f t="shared" si="382"/>
        <v>0.49822695035460984</v>
      </c>
      <c r="T654" s="66">
        <f t="shared" si="383"/>
        <v>0.69889502762430933</v>
      </c>
      <c r="U654" s="66">
        <f t="shared" si="384"/>
        <v>0.53597312572887268</v>
      </c>
      <c r="V654" s="66">
        <f t="shared" si="385"/>
        <v>1</v>
      </c>
      <c r="W654" s="66">
        <f t="shared" si="386"/>
        <v>1.1879095328683151E-2</v>
      </c>
      <c r="X654" s="66">
        <f t="shared" si="387"/>
        <v>1.3830426939266385E-2</v>
      </c>
      <c r="Y654" s="66">
        <f t="shared" si="388"/>
        <v>1.3693957645336279E-2</v>
      </c>
      <c r="Z654" s="66">
        <f t="shared" si="389"/>
        <v>3.6703349891733537E-2</v>
      </c>
      <c r="AA654" s="66">
        <f t="shared" si="393"/>
        <v>3.2110102350073083E-2</v>
      </c>
      <c r="AB654" s="66">
        <f t="shared" si="390"/>
        <v>1.3421279470105204E-2</v>
      </c>
      <c r="AC654" s="67">
        <f t="shared" si="394"/>
        <v>42298563.529158354</v>
      </c>
      <c r="AD654" s="67">
        <f t="shared" si="356"/>
        <v>19915845.470349152</v>
      </c>
      <c r="AE654" s="66">
        <f t="shared" si="397"/>
        <v>3.2000000000000028E-2</v>
      </c>
      <c r="AF654" s="67">
        <f t="shared" si="357"/>
        <v>19915845.470349152</v>
      </c>
      <c r="AG654" s="67">
        <f t="shared" si="391"/>
        <v>1.0000000000000002</v>
      </c>
      <c r="AH654" s="67">
        <f t="shared" si="358"/>
        <v>19915845.470349155</v>
      </c>
      <c r="AI654" s="67">
        <f t="shared" si="395"/>
        <v>24.146834741542545</v>
      </c>
      <c r="AJ654" s="67">
        <f t="shared" si="396"/>
        <v>0</v>
      </c>
      <c r="AK654" s="66">
        <f t="shared" si="398"/>
        <v>3.200000000000025E-2</v>
      </c>
    </row>
    <row r="655" spans="1:37" ht="12.75" customHeight="1" x14ac:dyDescent="0.25">
      <c r="A655" s="55" t="s">
        <v>602</v>
      </c>
      <c r="B655" s="55" t="s">
        <v>390</v>
      </c>
      <c r="C655" s="55" t="s">
        <v>393</v>
      </c>
      <c r="D655" s="128">
        <v>2025</v>
      </c>
      <c r="E655" s="55" t="s">
        <v>676</v>
      </c>
      <c r="F655" s="57">
        <f>SIM_Parametres!$C$31</f>
        <v>1483900660.492918</v>
      </c>
      <c r="G655" s="129">
        <f>SIM_Districts!D16*(1+SIM_Parametres!$B$6)^(2025-2023)</f>
        <v>461331.30410000001</v>
      </c>
      <c r="H655" s="129">
        <f>MAX(0,MIN(100,SIM_Districts!F16+(2025-2022)*SIM_Parametres!$B$7))</f>
        <v>34.909999999999997</v>
      </c>
      <c r="I655" s="129">
        <f>SIM_Districts!G16*(1+SIM_Parametres!$B$8)^(2025-2023)</f>
        <v>35.343999999999994</v>
      </c>
      <c r="J655" s="129">
        <f>SIM_Districts!H16*(1+SIM_Parametres!$B$9)^(2025-2023)</f>
        <v>14.175000000000001</v>
      </c>
      <c r="K655" s="129">
        <f>MAX(0,MIN(100,SIM_Districts!I16+(2025-2023)*SIM_Parametres!$B$10))</f>
        <v>98.2</v>
      </c>
      <c r="L655" s="129">
        <f>SIM_Districts!E16</f>
        <v>1729</v>
      </c>
      <c r="M655" s="68">
        <f t="shared" si="392"/>
        <v>266.8197247541932</v>
      </c>
      <c r="N655" s="129">
        <f>N584*(1+SIM_Parametres!$B$6)/(1+SIM_Parametres!$B$11)</f>
        <v>203502</v>
      </c>
      <c r="O655" s="72"/>
      <c r="P655" s="130">
        <f>SIM_Parametres!$D$31</f>
        <v>0</v>
      </c>
      <c r="Q655" s="130">
        <f>SIM_Parametres!$B$12</f>
        <v>0.2</v>
      </c>
      <c r="R655" s="59">
        <f t="shared" si="381"/>
        <v>2.3989831840739592E-2</v>
      </c>
      <c r="S655" s="59">
        <f t="shared" si="382"/>
        <v>0.49822695035460984</v>
      </c>
      <c r="T655" s="59">
        <f t="shared" si="383"/>
        <v>0.69889502762430933</v>
      </c>
      <c r="U655" s="59">
        <f t="shared" si="384"/>
        <v>0.55606420327741424</v>
      </c>
      <c r="V655" s="59">
        <f t="shared" si="385"/>
        <v>1</v>
      </c>
      <c r="W655" s="59">
        <f t="shared" si="386"/>
        <v>1.1879095328683151E-2</v>
      </c>
      <c r="X655" s="59">
        <f t="shared" si="387"/>
        <v>1.3830426939266385E-2</v>
      </c>
      <c r="Y655" s="59">
        <f t="shared" si="388"/>
        <v>1.4207278839612111E-2</v>
      </c>
      <c r="Z655" s="59">
        <f t="shared" si="389"/>
        <v>3.6703349891733537E-2</v>
      </c>
      <c r="AA655" s="59">
        <f t="shared" si="393"/>
        <v>2.0795858881203468E-2</v>
      </c>
      <c r="AB655" s="59">
        <f t="shared" si="390"/>
        <v>1.2249280417786159E-2</v>
      </c>
      <c r="AC655" s="60">
        <f t="shared" si="394"/>
        <v>28867192.844011705</v>
      </c>
      <c r="AD655" s="60">
        <f t="shared" si="356"/>
        <v>18176715.302515849</v>
      </c>
      <c r="AE655" s="59">
        <f t="shared" si="397"/>
        <v>3.200000000000025E-2</v>
      </c>
      <c r="AF655" s="60">
        <f t="shared" si="357"/>
        <v>18176715.302515849</v>
      </c>
      <c r="AG655" s="60">
        <f t="shared" si="391"/>
        <v>1.0000000000000002</v>
      </c>
      <c r="AH655" s="60">
        <f t="shared" si="358"/>
        <v>18176715.302515853</v>
      </c>
      <c r="AI655" s="60">
        <f t="shared" si="395"/>
        <v>39.400567750277347</v>
      </c>
      <c r="AJ655" s="60">
        <f t="shared" si="396"/>
        <v>0</v>
      </c>
      <c r="AK655" s="59">
        <f t="shared" si="398"/>
        <v>3.2000000000000473E-2</v>
      </c>
    </row>
    <row r="656" spans="1:37" ht="12.75" customHeight="1" x14ac:dyDescent="0.25">
      <c r="A656" s="62" t="s">
        <v>603</v>
      </c>
      <c r="B656" s="62" t="s">
        <v>394</v>
      </c>
      <c r="C656" s="62" t="s">
        <v>396</v>
      </c>
      <c r="D656" s="124">
        <v>2025</v>
      </c>
      <c r="E656" s="62" t="s">
        <v>676</v>
      </c>
      <c r="F656" s="64">
        <f>SIM_Parametres!$C$31</f>
        <v>1483900660.492918</v>
      </c>
      <c r="G656" s="125">
        <f>SIM_Districts!D17*(1+SIM_Parametres!$B$6)^(2025-2023)</f>
        <v>102230.4458</v>
      </c>
      <c r="H656" s="125">
        <f>MAX(0,MIN(100,SIM_Districts!F17+(2025-2022)*SIM_Parametres!$B$7))</f>
        <v>44.01</v>
      </c>
      <c r="I656" s="125">
        <f>SIM_Districts!G17*(1+SIM_Parametres!$B$8)^(2025-2023)</f>
        <v>35.343999999999994</v>
      </c>
      <c r="J656" s="125">
        <f>SIM_Districts!H17*(1+SIM_Parametres!$B$9)^(2025-2023)</f>
        <v>12.879000000000001</v>
      </c>
      <c r="K656" s="125">
        <f>MAX(0,MIN(100,SIM_Districts!I17+(2025-2023)*SIM_Parametres!$B$10))</f>
        <v>95.5</v>
      </c>
      <c r="L656" s="125">
        <f>SIM_Districts!E17</f>
        <v>978</v>
      </c>
      <c r="M656" s="61">
        <f t="shared" si="392"/>
        <v>104.5301081799591</v>
      </c>
      <c r="N656" s="125">
        <f>N585*(1+SIM_Parametres!$B$6)/(1+SIM_Parametres!$B$11)</f>
        <v>95110</v>
      </c>
      <c r="O656" s="132"/>
      <c r="P656" s="126">
        <f>SIM_Parametres!$D$31</f>
        <v>0</v>
      </c>
      <c r="Q656" s="126">
        <f>SIM_Parametres!$B$12</f>
        <v>0.2</v>
      </c>
      <c r="R656" s="66">
        <f t="shared" si="381"/>
        <v>5.3161170333549078E-3</v>
      </c>
      <c r="S656" s="66">
        <f t="shared" si="382"/>
        <v>0.65957446808510634</v>
      </c>
      <c r="T656" s="66">
        <f t="shared" si="383"/>
        <v>0.65469613259668513</v>
      </c>
      <c r="U656" s="66">
        <f t="shared" si="384"/>
        <v>0.53221272247018281</v>
      </c>
      <c r="V656" s="66">
        <f t="shared" si="385"/>
        <v>0.24769050312675686</v>
      </c>
      <c r="W656" s="66">
        <f t="shared" si="386"/>
        <v>1.5726062143310078E-2</v>
      </c>
      <c r="X656" s="66">
        <f t="shared" si="387"/>
        <v>1.2955775433225826E-2</v>
      </c>
      <c r="Y656" s="66">
        <f t="shared" si="388"/>
        <v>1.3597880434592074E-2</v>
      </c>
      <c r="Z656" s="66">
        <f t="shared" si="389"/>
        <v>9.0910712011208778E-3</v>
      </c>
      <c r="AA656" s="66">
        <f t="shared" si="393"/>
        <v>8.6263934382789752E-3</v>
      </c>
      <c r="AB656" s="66">
        <f t="shared" si="390"/>
        <v>1.1797283650655232E-2</v>
      </c>
      <c r="AC656" s="67">
        <f t="shared" si="394"/>
        <v>14420570.597130589</v>
      </c>
      <c r="AD656" s="67">
        <f t="shared" si="356"/>
        <v>17505997.001229603</v>
      </c>
      <c r="AE656" s="66">
        <f t="shared" si="397"/>
        <v>3.2000000000000473E-2</v>
      </c>
      <c r="AF656" s="67">
        <f t="shared" si="357"/>
        <v>17505997.001229603</v>
      </c>
      <c r="AG656" s="67">
        <f t="shared" si="391"/>
        <v>1.0000000000000002</v>
      </c>
      <c r="AH656" s="67">
        <f t="shared" si="358"/>
        <v>17505997.001229607</v>
      </c>
      <c r="AI656" s="67">
        <f t="shared" si="395"/>
        <v>171.24054252367944</v>
      </c>
      <c r="AJ656" s="67">
        <f t="shared" si="396"/>
        <v>0</v>
      </c>
      <c r="AK656" s="66">
        <f t="shared" si="398"/>
        <v>3.2000000000000695E-2</v>
      </c>
    </row>
    <row r="657" spans="1:37" ht="12.75" customHeight="1" x14ac:dyDescent="0.25">
      <c r="A657" s="55" t="s">
        <v>605</v>
      </c>
      <c r="B657" s="55" t="s">
        <v>394</v>
      </c>
      <c r="C657" s="55" t="s">
        <v>394</v>
      </c>
      <c r="D657" s="128">
        <v>2025</v>
      </c>
      <c r="E657" s="55" t="s">
        <v>676</v>
      </c>
      <c r="F657" s="57">
        <f>SIM_Parametres!$C$31</f>
        <v>1483900660.492918</v>
      </c>
      <c r="G657" s="129">
        <f>SIM_Districts!D18*(1+SIM_Parametres!$B$6)^(2025-2023)</f>
        <v>249899.23859999998</v>
      </c>
      <c r="H657" s="129">
        <f>MAX(0,MIN(100,SIM_Districts!F18+(2025-2022)*SIM_Parametres!$B$7))</f>
        <v>44.01</v>
      </c>
      <c r="I657" s="129">
        <f>SIM_Districts!G18*(1+SIM_Parametres!$B$8)^(2025-2023)</f>
        <v>35.343999999999994</v>
      </c>
      <c r="J657" s="129">
        <f>SIM_Districts!H18*(1+SIM_Parametres!$B$9)^(2025-2023)</f>
        <v>12.879000000000001</v>
      </c>
      <c r="K657" s="129">
        <f>MAX(0,MIN(100,SIM_Districts!I18+(2025-2023)*SIM_Parametres!$B$10))</f>
        <v>95.5</v>
      </c>
      <c r="L657" s="129">
        <f>SIM_Districts!E18</f>
        <v>1155</v>
      </c>
      <c r="M657" s="68">
        <f t="shared" si="392"/>
        <v>216.36297714285712</v>
      </c>
      <c r="N657" s="129">
        <f>N586*(1+SIM_Parametres!$B$6)/(1+SIM_Parametres!$B$11)</f>
        <v>95110</v>
      </c>
      <c r="O657" s="72"/>
      <c r="P657" s="130">
        <f>SIM_Parametres!$D$31</f>
        <v>0</v>
      </c>
      <c r="Q657" s="130">
        <f>SIM_Parametres!$B$12</f>
        <v>0.2</v>
      </c>
      <c r="R657" s="59">
        <f t="shared" si="381"/>
        <v>1.2995087603774122E-2</v>
      </c>
      <c r="S657" s="59">
        <f t="shared" si="382"/>
        <v>0.65957446808510634</v>
      </c>
      <c r="T657" s="59">
        <f t="shared" si="383"/>
        <v>0.65469613259668513</v>
      </c>
      <c r="U657" s="59">
        <f t="shared" si="384"/>
        <v>0.5368532343373823</v>
      </c>
      <c r="V657" s="59">
        <f t="shared" si="385"/>
        <v>0.24769050312675686</v>
      </c>
      <c r="W657" s="59">
        <f t="shared" si="386"/>
        <v>1.5726062143310078E-2</v>
      </c>
      <c r="X657" s="59">
        <f t="shared" si="387"/>
        <v>1.2955775433225826E-2</v>
      </c>
      <c r="Y657" s="59">
        <f t="shared" si="388"/>
        <v>1.3716444164584491E-2</v>
      </c>
      <c r="Z657" s="59">
        <f t="shared" si="389"/>
        <v>9.0910712011208778E-3</v>
      </c>
      <c r="AA657" s="59">
        <f t="shared" si="393"/>
        <v>1.3239703967030126E-2</v>
      </c>
      <c r="AB657" s="59">
        <f t="shared" si="390"/>
        <v>1.3643077140221498E-2</v>
      </c>
      <c r="AC657" s="60">
        <f t="shared" si="394"/>
        <v>19897126.2296688</v>
      </c>
      <c r="AD657" s="60">
        <f t="shared" si="356"/>
        <v>20244971.179530513</v>
      </c>
      <c r="AE657" s="59">
        <f t="shared" si="397"/>
        <v>3.200000000000025E-2</v>
      </c>
      <c r="AF657" s="60">
        <f t="shared" si="357"/>
        <v>20244971.179530513</v>
      </c>
      <c r="AG657" s="60">
        <f t="shared" si="391"/>
        <v>1.0000000000000002</v>
      </c>
      <c r="AH657" s="60">
        <f t="shared" si="358"/>
        <v>20244971.179530516</v>
      </c>
      <c r="AI657" s="60">
        <f t="shared" si="395"/>
        <v>81.012536464488917</v>
      </c>
      <c r="AJ657" s="60">
        <f t="shared" si="396"/>
        <v>0</v>
      </c>
      <c r="AK657" s="59">
        <f t="shared" si="398"/>
        <v>3.2000000000000473E-2</v>
      </c>
    </row>
    <row r="658" spans="1:37" ht="12.75" customHeight="1" x14ac:dyDescent="0.25">
      <c r="A658" s="62" t="s">
        <v>606</v>
      </c>
      <c r="B658" s="62" t="s">
        <v>394</v>
      </c>
      <c r="C658" s="62" t="s">
        <v>397</v>
      </c>
      <c r="D658" s="124">
        <v>2025</v>
      </c>
      <c r="E658" s="62" t="s">
        <v>676</v>
      </c>
      <c r="F658" s="64">
        <f>SIM_Parametres!$C$31</f>
        <v>1483900660.492918</v>
      </c>
      <c r="G658" s="125">
        <f>SIM_Districts!D19*(1+SIM_Parametres!$B$6)^(2025-2023)</f>
        <v>68278.463099999994</v>
      </c>
      <c r="H658" s="125">
        <f>MAX(0,MIN(100,SIM_Districts!F19+(2025-2022)*SIM_Parametres!$B$7))</f>
        <v>44.01</v>
      </c>
      <c r="I658" s="125">
        <f>SIM_Districts!G19*(1+SIM_Parametres!$B$8)^(2025-2023)</f>
        <v>35.343999999999994</v>
      </c>
      <c r="J658" s="125">
        <f>SIM_Districts!H19*(1+SIM_Parametres!$B$9)^(2025-2023)</f>
        <v>12.879000000000001</v>
      </c>
      <c r="K658" s="125">
        <f>MAX(0,MIN(100,SIM_Districts!I19+(2025-2023)*SIM_Parametres!$B$10))</f>
        <v>95.5</v>
      </c>
      <c r="L658" s="125">
        <f>SIM_Districts!E19</f>
        <v>733</v>
      </c>
      <c r="M658" s="61">
        <f t="shared" si="392"/>
        <v>93.149335743519771</v>
      </c>
      <c r="N658" s="125">
        <f>N587*(1+SIM_Parametres!$B$6)/(1+SIM_Parametres!$B$11)</f>
        <v>95110</v>
      </c>
      <c r="O658" s="132"/>
      <c r="P658" s="126">
        <f>SIM_Parametres!$D$31</f>
        <v>0</v>
      </c>
      <c r="Q658" s="126">
        <f>SIM_Parametres!$B$12</f>
        <v>0.2</v>
      </c>
      <c r="R658" s="66">
        <f t="shared" si="381"/>
        <v>3.5505694791483E-3</v>
      </c>
      <c r="S658" s="66">
        <f t="shared" si="382"/>
        <v>0.65957446808510634</v>
      </c>
      <c r="T658" s="66">
        <f t="shared" si="383"/>
        <v>0.65469613259668513</v>
      </c>
      <c r="U658" s="66">
        <f t="shared" si="384"/>
        <v>0.52387753369973955</v>
      </c>
      <c r="V658" s="66">
        <f t="shared" si="385"/>
        <v>0.24769050312675686</v>
      </c>
      <c r="W658" s="66">
        <f t="shared" si="386"/>
        <v>1.5726062143310078E-2</v>
      </c>
      <c r="X658" s="66">
        <f t="shared" si="387"/>
        <v>1.2955775433225826E-2</v>
      </c>
      <c r="Y658" s="66">
        <f t="shared" si="388"/>
        <v>1.3384918783141526E-2</v>
      </c>
      <c r="Z658" s="66">
        <f t="shared" si="389"/>
        <v>9.0910712011208778E-3</v>
      </c>
      <c r="AA658" s="66">
        <f t="shared" si="393"/>
        <v>7.5564168231824855E-3</v>
      </c>
      <c r="AB658" s="66">
        <f t="shared" si="390"/>
        <v>1.2735723035200302E-2</v>
      </c>
      <c r="AC658" s="67">
        <f t="shared" si="394"/>
        <v>13150379.392447662</v>
      </c>
      <c r="AD658" s="67">
        <f t="shared" si="356"/>
        <v>18898547.823788598</v>
      </c>
      <c r="AE658" s="66">
        <f t="shared" si="397"/>
        <v>3.200000000000025E-2</v>
      </c>
      <c r="AF658" s="67">
        <f t="shared" si="357"/>
        <v>18898547.823788598</v>
      </c>
      <c r="AG658" s="67">
        <f t="shared" si="391"/>
        <v>1.0000000000000002</v>
      </c>
      <c r="AH658" s="67">
        <f t="shared" si="358"/>
        <v>18898547.823788602</v>
      </c>
      <c r="AI658" s="67">
        <f t="shared" si="395"/>
        <v>276.78636814232283</v>
      </c>
      <c r="AJ658" s="67">
        <f t="shared" si="396"/>
        <v>0</v>
      </c>
      <c r="AK658" s="66">
        <f t="shared" si="398"/>
        <v>3.2000000000000473E-2</v>
      </c>
    </row>
    <row r="659" spans="1:37" ht="12.75" customHeight="1" x14ac:dyDescent="0.25">
      <c r="A659" s="55" t="s">
        <v>607</v>
      </c>
      <c r="B659" s="55" t="s">
        <v>394</v>
      </c>
      <c r="C659" s="55" t="s">
        <v>398</v>
      </c>
      <c r="D659" s="128">
        <v>2025</v>
      </c>
      <c r="E659" s="55" t="s">
        <v>676</v>
      </c>
      <c r="F659" s="57">
        <f>SIM_Parametres!$C$31</f>
        <v>1483900660.492918</v>
      </c>
      <c r="G659" s="129">
        <f>SIM_Districts!D20*(1+SIM_Parametres!$B$6)^(2025-2023)</f>
        <v>128911.0199</v>
      </c>
      <c r="H659" s="129">
        <f>MAX(0,MIN(100,SIM_Districts!F20+(2025-2022)*SIM_Parametres!$B$7))</f>
        <v>44.01</v>
      </c>
      <c r="I659" s="129">
        <f>SIM_Districts!G20*(1+SIM_Parametres!$B$8)^(2025-2023)</f>
        <v>35.343999999999994</v>
      </c>
      <c r="J659" s="129">
        <f>SIM_Districts!H20*(1+SIM_Parametres!$B$9)^(2025-2023)</f>
        <v>12.879000000000001</v>
      </c>
      <c r="K659" s="129">
        <f>MAX(0,MIN(100,SIM_Districts!I20+(2025-2023)*SIM_Parametres!$B$10))</f>
        <v>95.5</v>
      </c>
      <c r="L659" s="129">
        <f>SIM_Districts!E20</f>
        <v>1476</v>
      </c>
      <c r="M659" s="68">
        <f t="shared" si="392"/>
        <v>87.338089363143638</v>
      </c>
      <c r="N659" s="129">
        <f>N588*(1+SIM_Parametres!$B$6)/(1+SIM_Parametres!$B$11)</f>
        <v>95110</v>
      </c>
      <c r="O659" s="72"/>
      <c r="P659" s="130">
        <f>SIM_Parametres!$D$31</f>
        <v>0</v>
      </c>
      <c r="Q659" s="130">
        <f>SIM_Parametres!$B$12</f>
        <v>0.2</v>
      </c>
      <c r="R659" s="59">
        <f t="shared" si="381"/>
        <v>6.7035418198043654E-3</v>
      </c>
      <c r="S659" s="59">
        <f t="shared" si="382"/>
        <v>0.65957446808510634</v>
      </c>
      <c r="T659" s="59">
        <f t="shared" si="383"/>
        <v>0.65469613259668513</v>
      </c>
      <c r="U659" s="59">
        <f t="shared" si="384"/>
        <v>0.54969284466862134</v>
      </c>
      <c r="V659" s="59">
        <f t="shared" si="385"/>
        <v>0.24769050312675686</v>
      </c>
      <c r="W659" s="59">
        <f t="shared" si="386"/>
        <v>1.5726062143310078E-2</v>
      </c>
      <c r="X659" s="59">
        <f t="shared" si="387"/>
        <v>1.2955775433225826E-2</v>
      </c>
      <c r="Y659" s="59">
        <f t="shared" si="388"/>
        <v>1.4044492478237353E-2</v>
      </c>
      <c r="Z659" s="59">
        <f t="shared" si="389"/>
        <v>9.0910712011208778E-3</v>
      </c>
      <c r="AA659" s="59">
        <f t="shared" si="393"/>
        <v>9.4811789123309155E-3</v>
      </c>
      <c r="AB659" s="59">
        <f t="shared" si="390"/>
        <v>1.3484290171842784E-2</v>
      </c>
      <c r="AC659" s="60">
        <f t="shared" si="394"/>
        <v>15435303.98075093</v>
      </c>
      <c r="AD659" s="60">
        <f t="shared" si="356"/>
        <v>20009347.092275672</v>
      </c>
      <c r="AE659" s="59">
        <f t="shared" si="397"/>
        <v>3.200000000000025E-2</v>
      </c>
      <c r="AF659" s="60">
        <f t="shared" si="357"/>
        <v>20009347.092275672</v>
      </c>
      <c r="AG659" s="60">
        <f t="shared" si="391"/>
        <v>1.0000000000000002</v>
      </c>
      <c r="AH659" s="60">
        <f t="shared" si="358"/>
        <v>20009347.092275675</v>
      </c>
      <c r="AI659" s="60">
        <f t="shared" si="395"/>
        <v>155.21828240748931</v>
      </c>
      <c r="AJ659" s="60">
        <f t="shared" si="396"/>
        <v>0</v>
      </c>
      <c r="AK659" s="59">
        <f t="shared" si="398"/>
        <v>3.2000000000000473E-2</v>
      </c>
    </row>
    <row r="660" spans="1:37" ht="12.75" customHeight="1" x14ac:dyDescent="0.25">
      <c r="A660" s="62" t="s">
        <v>608</v>
      </c>
      <c r="B660" s="62" t="s">
        <v>394</v>
      </c>
      <c r="C660" s="62" t="s">
        <v>399</v>
      </c>
      <c r="D660" s="124">
        <v>2025</v>
      </c>
      <c r="E660" s="62" t="s">
        <v>676</v>
      </c>
      <c r="F660" s="64">
        <f>SIM_Parametres!$C$31</f>
        <v>1483900660.492918</v>
      </c>
      <c r="G660" s="125">
        <f>SIM_Districts!D21*(1+SIM_Parametres!$B$6)^(2025-2023)</f>
        <v>104758.5705</v>
      </c>
      <c r="H660" s="125">
        <f>MAX(0,MIN(100,SIM_Districts!F21+(2025-2022)*SIM_Parametres!$B$7))</f>
        <v>44.01</v>
      </c>
      <c r="I660" s="125">
        <f>SIM_Districts!G21*(1+SIM_Parametres!$B$8)^(2025-2023)</f>
        <v>35.343999999999994</v>
      </c>
      <c r="J660" s="125">
        <f>SIM_Districts!H21*(1+SIM_Parametres!$B$9)^(2025-2023)</f>
        <v>12.879000000000001</v>
      </c>
      <c r="K660" s="125">
        <f>MAX(0,MIN(100,SIM_Districts!I21+(2025-2023)*SIM_Parametres!$B$10))</f>
        <v>95.5</v>
      </c>
      <c r="L660" s="125">
        <f>SIM_Districts!E21</f>
        <v>406</v>
      </c>
      <c r="M660" s="61">
        <f t="shared" si="392"/>
        <v>258.02603571428574</v>
      </c>
      <c r="N660" s="125">
        <f>N589*(1+SIM_Parametres!$B$6)/(1+SIM_Parametres!$B$11)</f>
        <v>95110</v>
      </c>
      <c r="O660" s="132"/>
      <c r="P660" s="126">
        <f>SIM_Parametres!$D$31</f>
        <v>0</v>
      </c>
      <c r="Q660" s="126">
        <f>SIM_Parametres!$B$12</f>
        <v>0.2</v>
      </c>
      <c r="R660" s="66">
        <f t="shared" si="381"/>
        <v>5.4475828278639964E-3</v>
      </c>
      <c r="S660" s="66">
        <f t="shared" si="382"/>
        <v>0.65957446808510634</v>
      </c>
      <c r="T660" s="66">
        <f t="shared" si="383"/>
        <v>0.65469613259668513</v>
      </c>
      <c r="U660" s="66">
        <f t="shared" si="384"/>
        <v>0.51035214004959617</v>
      </c>
      <c r="V660" s="66">
        <f t="shared" si="385"/>
        <v>0.24769050312675686</v>
      </c>
      <c r="W660" s="66">
        <f t="shared" si="386"/>
        <v>1.5726062143310078E-2</v>
      </c>
      <c r="X660" s="66">
        <f t="shared" si="387"/>
        <v>1.2955775433225826E-2</v>
      </c>
      <c r="Y660" s="66">
        <f t="shared" si="388"/>
        <v>1.3039348904932265E-2</v>
      </c>
      <c r="Z660" s="66">
        <f t="shared" si="389"/>
        <v>9.0910712011208778E-3</v>
      </c>
      <c r="AA660" s="66">
        <f t="shared" si="393"/>
        <v>8.6773463385014394E-3</v>
      </c>
      <c r="AB660" s="66">
        <f t="shared" si="390"/>
        <v>1.104955665670258E-2</v>
      </c>
      <c r="AC660" s="67">
        <f t="shared" si="394"/>
        <v>14481057.830965903</v>
      </c>
      <c r="AD660" s="67">
        <f t="shared" si="356"/>
        <v>16396444.421034876</v>
      </c>
      <c r="AE660" s="66">
        <f t="shared" si="397"/>
        <v>3.200000000000025E-2</v>
      </c>
      <c r="AF660" s="67">
        <f t="shared" si="357"/>
        <v>16396444.421034876</v>
      </c>
      <c r="AG660" s="67">
        <f t="shared" si="391"/>
        <v>1.0000000000000002</v>
      </c>
      <c r="AH660" s="67">
        <f t="shared" si="358"/>
        <v>16396444.42103488</v>
      </c>
      <c r="AI660" s="67">
        <f t="shared" si="395"/>
        <v>156.51649638570507</v>
      </c>
      <c r="AJ660" s="67">
        <f t="shared" si="396"/>
        <v>0</v>
      </c>
      <c r="AK660" s="66">
        <f t="shared" si="398"/>
        <v>3.2000000000000473E-2</v>
      </c>
    </row>
    <row r="661" spans="1:37" ht="12.75" customHeight="1" x14ac:dyDescent="0.25">
      <c r="A661" s="55" t="s">
        <v>609</v>
      </c>
      <c r="B661" s="55" t="s">
        <v>394</v>
      </c>
      <c r="C661" s="55" t="s">
        <v>400</v>
      </c>
      <c r="D661" s="128">
        <v>2025</v>
      </c>
      <c r="E661" s="55" t="s">
        <v>676</v>
      </c>
      <c r="F661" s="57">
        <f>SIM_Parametres!$C$31</f>
        <v>1483900660.492918</v>
      </c>
      <c r="G661" s="129">
        <f>SIM_Districts!D22*(1+SIM_Parametres!$B$6)^(2025-2023)</f>
        <v>110090.65389999999</v>
      </c>
      <c r="H661" s="129">
        <f>MAX(0,MIN(100,SIM_Districts!F22+(2025-2022)*SIM_Parametres!$B$7))</f>
        <v>44.01</v>
      </c>
      <c r="I661" s="129">
        <f>SIM_Districts!G22*(1+SIM_Parametres!$B$8)^(2025-2023)</f>
        <v>35.343999999999994</v>
      </c>
      <c r="J661" s="129">
        <f>SIM_Districts!H22*(1+SIM_Parametres!$B$9)^(2025-2023)</f>
        <v>12.879000000000001</v>
      </c>
      <c r="K661" s="129">
        <f>MAX(0,MIN(100,SIM_Districts!I22+(2025-2023)*SIM_Parametres!$B$10))</f>
        <v>95.5</v>
      </c>
      <c r="L661" s="129">
        <f>SIM_Districts!E22</f>
        <v>866</v>
      </c>
      <c r="M661" s="68">
        <f t="shared" si="392"/>
        <v>127.12546639722862</v>
      </c>
      <c r="N661" s="129">
        <f>N590*(1+SIM_Parametres!$B$6)/(1+SIM_Parametres!$B$11)</f>
        <v>95110</v>
      </c>
      <c r="O661" s="72"/>
      <c r="P661" s="130">
        <f>SIM_Parametres!$D$31</f>
        <v>0</v>
      </c>
      <c r="Q661" s="130">
        <f>SIM_Parametres!$B$12</f>
        <v>0.2</v>
      </c>
      <c r="R661" s="59">
        <f t="shared" si="381"/>
        <v>5.7248581460354921E-3</v>
      </c>
      <c r="S661" s="59">
        <f t="shared" si="382"/>
        <v>0.65957446808510634</v>
      </c>
      <c r="T661" s="59">
        <f t="shared" si="383"/>
        <v>0.65469613259668513</v>
      </c>
      <c r="U661" s="59">
        <f t="shared" si="384"/>
        <v>0.52803177519419775</v>
      </c>
      <c r="V661" s="59">
        <f t="shared" si="385"/>
        <v>0.24769050312675686</v>
      </c>
      <c r="W661" s="59">
        <f t="shared" si="386"/>
        <v>1.5726062143310078E-2</v>
      </c>
      <c r="X661" s="59">
        <f t="shared" si="387"/>
        <v>1.2955775433225826E-2</v>
      </c>
      <c r="Y661" s="59">
        <f t="shared" si="388"/>
        <v>1.3491058446387229E-2</v>
      </c>
      <c r="Z661" s="59">
        <f t="shared" si="389"/>
        <v>9.0910712011208778E-3</v>
      </c>
      <c r="AA661" s="59">
        <f t="shared" si="393"/>
        <v>8.8662970064770849E-3</v>
      </c>
      <c r="AB661" s="59">
        <f t="shared" si="390"/>
        <v>1.2519806363912847E-2</v>
      </c>
      <c r="AC661" s="60">
        <f t="shared" si="394"/>
        <v>14705365.047773615</v>
      </c>
      <c r="AD661" s="60">
        <f t="shared" si="356"/>
        <v>18578148.932653714</v>
      </c>
      <c r="AE661" s="59">
        <f t="shared" si="397"/>
        <v>3.200000000000025E-2</v>
      </c>
      <c r="AF661" s="60">
        <f t="shared" si="357"/>
        <v>18578148.932653714</v>
      </c>
      <c r="AG661" s="60">
        <f t="shared" si="391"/>
        <v>1.0000000000000002</v>
      </c>
      <c r="AH661" s="60">
        <f t="shared" si="358"/>
        <v>18578148.932653718</v>
      </c>
      <c r="AI661" s="60">
        <f t="shared" si="395"/>
        <v>168.75318907206272</v>
      </c>
      <c r="AJ661" s="60">
        <f t="shared" si="396"/>
        <v>0</v>
      </c>
      <c r="AK661" s="59">
        <f t="shared" si="398"/>
        <v>3.2000000000000473E-2</v>
      </c>
    </row>
    <row r="662" spans="1:37" ht="12.75" customHeight="1" x14ac:dyDescent="0.25">
      <c r="A662" s="62" t="s">
        <v>610</v>
      </c>
      <c r="B662" s="62" t="s">
        <v>394</v>
      </c>
      <c r="C662" s="62" t="s">
        <v>401</v>
      </c>
      <c r="D662" s="124">
        <v>2025</v>
      </c>
      <c r="E662" s="62" t="s">
        <v>676</v>
      </c>
      <c r="F662" s="64">
        <f>SIM_Parametres!$C$31</f>
        <v>1483900660.492918</v>
      </c>
      <c r="G662" s="125">
        <f>SIM_Districts!D23*(1+SIM_Parametres!$B$6)^(2025-2023)</f>
        <v>197980.91439999998</v>
      </c>
      <c r="H662" s="125">
        <f>MAX(0,MIN(100,SIM_Districts!F23+(2025-2022)*SIM_Parametres!$B$7))</f>
        <v>44.01</v>
      </c>
      <c r="I662" s="125">
        <f>SIM_Districts!G23*(1+SIM_Parametres!$B$8)^(2025-2023)</f>
        <v>35.343999999999994</v>
      </c>
      <c r="J662" s="125">
        <f>SIM_Districts!H23*(1+SIM_Parametres!$B$9)^(2025-2023)</f>
        <v>12.879000000000001</v>
      </c>
      <c r="K662" s="125">
        <f>MAX(0,MIN(100,SIM_Districts!I23+(2025-2023)*SIM_Parametres!$B$10))</f>
        <v>95.5</v>
      </c>
      <c r="L662" s="125">
        <f>SIM_Districts!E23</f>
        <v>1459</v>
      </c>
      <c r="M662" s="61">
        <f t="shared" si="392"/>
        <v>135.69630870459218</v>
      </c>
      <c r="N662" s="125">
        <f>N591*(1+SIM_Parametres!$B$6)/(1+SIM_Parametres!$B$11)</f>
        <v>95110</v>
      </c>
      <c r="O662" s="132"/>
      <c r="P662" s="126">
        <f>SIM_Parametres!$D$31</f>
        <v>0</v>
      </c>
      <c r="Q662" s="126">
        <f>SIM_Parametres!$B$12</f>
        <v>0.2</v>
      </c>
      <c r="R662" s="66">
        <f t="shared" si="381"/>
        <v>1.0295266767984885E-2</v>
      </c>
      <c r="S662" s="66">
        <f t="shared" si="382"/>
        <v>0.65957446808510634</v>
      </c>
      <c r="T662" s="66">
        <f t="shared" si="383"/>
        <v>0.65469613259668513</v>
      </c>
      <c r="U662" s="66">
        <f t="shared" si="384"/>
        <v>0.54845929360495993</v>
      </c>
      <c r="V662" s="66">
        <f t="shared" si="385"/>
        <v>0.24769050312675686</v>
      </c>
      <c r="W662" s="66">
        <f t="shared" si="386"/>
        <v>1.5726062143310078E-2</v>
      </c>
      <c r="X662" s="66">
        <f t="shared" si="387"/>
        <v>1.2955775433225826E-2</v>
      </c>
      <c r="Y662" s="66">
        <f t="shared" si="388"/>
        <v>1.4012975606946153E-2</v>
      </c>
      <c r="Z662" s="66">
        <f t="shared" si="389"/>
        <v>9.0910712011208778E-3</v>
      </c>
      <c r="AA662" s="66">
        <f t="shared" si="393"/>
        <v>1.1634638037674666E-2</v>
      </c>
      <c r="AB662" s="66">
        <f t="shared" si="390"/>
        <v>1.3653158852499507E-2</v>
      </c>
      <c r="AC662" s="67">
        <f t="shared" si="394"/>
        <v>17991719.515504602</v>
      </c>
      <c r="AD662" s="67">
        <f t="shared" si="356"/>
        <v>20259931.43903875</v>
      </c>
      <c r="AE662" s="66">
        <f t="shared" si="397"/>
        <v>3.200000000000025E-2</v>
      </c>
      <c r="AF662" s="67">
        <f t="shared" si="357"/>
        <v>20259931.43903875</v>
      </c>
      <c r="AG662" s="67">
        <f t="shared" si="391"/>
        <v>1.0000000000000002</v>
      </c>
      <c r="AH662" s="67">
        <f t="shared" si="358"/>
        <v>20259931.439038754</v>
      </c>
      <c r="AI662" s="67">
        <f t="shared" si="395"/>
        <v>102.33275010593019</v>
      </c>
      <c r="AJ662" s="67">
        <f t="shared" si="396"/>
        <v>0</v>
      </c>
      <c r="AK662" s="66">
        <f t="shared" si="398"/>
        <v>3.2000000000000473E-2</v>
      </c>
    </row>
    <row r="663" spans="1:37" ht="12.75" customHeight="1" x14ac:dyDescent="0.25">
      <c r="A663" s="55" t="s">
        <v>611</v>
      </c>
      <c r="B663" s="55" t="s">
        <v>402</v>
      </c>
      <c r="C663" s="55" t="s">
        <v>404</v>
      </c>
      <c r="D663" s="128">
        <v>2025</v>
      </c>
      <c r="E663" s="55" t="s">
        <v>676</v>
      </c>
      <c r="F663" s="57">
        <f>SIM_Parametres!$C$31</f>
        <v>1483900660.492918</v>
      </c>
      <c r="G663" s="129">
        <f>SIM_Districts!D24*(1+SIM_Parametres!$B$6)^(2025-2023)</f>
        <v>155370.92679999999</v>
      </c>
      <c r="H663" s="129">
        <f>MAX(0,MIN(100,SIM_Districts!F24+(2025-2022)*SIM_Parametres!$B$7))</f>
        <v>55.71</v>
      </c>
      <c r="I663" s="129">
        <f>SIM_Districts!G24*(1+SIM_Parametres!$B$8)^(2025-2023)</f>
        <v>35.343999999999994</v>
      </c>
      <c r="J663" s="129">
        <f>SIM_Districts!H24*(1+SIM_Parametres!$B$9)^(2025-2023)</f>
        <v>23.004000000000001</v>
      </c>
      <c r="K663" s="129">
        <f>MAX(0,MIN(100,SIM_Districts!I24+(2025-2023)*SIM_Parametres!$B$10))</f>
        <v>89.4</v>
      </c>
      <c r="L663" s="129">
        <f>SIM_Districts!E24</f>
        <v>1150</v>
      </c>
      <c r="M663" s="68">
        <f t="shared" si="392"/>
        <v>135.10515373913043</v>
      </c>
      <c r="N663" s="129">
        <f>N592*(1+SIM_Parametres!$B$6)/(1+SIM_Parametres!$B$11)</f>
        <v>169739</v>
      </c>
      <c r="O663" s="72"/>
      <c r="P663" s="130">
        <f>SIM_Parametres!$D$31</f>
        <v>0</v>
      </c>
      <c r="Q663" s="130">
        <f>SIM_Parametres!$B$12</f>
        <v>0.2</v>
      </c>
      <c r="R663" s="59">
        <f t="shared" si="381"/>
        <v>8.0794916229311644E-3</v>
      </c>
      <c r="S663" s="59">
        <f t="shared" si="382"/>
        <v>0.86702127659574468</v>
      </c>
      <c r="T663" s="59">
        <f t="shared" si="383"/>
        <v>1</v>
      </c>
      <c r="U663" s="59">
        <f t="shared" si="384"/>
        <v>0.53776328071078583</v>
      </c>
      <c r="V663" s="59">
        <f t="shared" si="385"/>
        <v>0.76566328194948607</v>
      </c>
      <c r="W663" s="59">
        <f t="shared" si="386"/>
        <v>2.0672162333544703E-2</v>
      </c>
      <c r="X663" s="59">
        <f t="shared" si="387"/>
        <v>1.9788990324167716E-2</v>
      </c>
      <c r="Y663" s="59">
        <f t="shared" si="388"/>
        <v>1.3739695585027882E-2</v>
      </c>
      <c r="Z663" s="59">
        <f t="shared" si="389"/>
        <v>2.8102407336645013E-2</v>
      </c>
      <c r="AA663" s="59">
        <f t="shared" si="393"/>
        <v>1.3008973018499206E-2</v>
      </c>
      <c r="AB663" s="59">
        <f t="shared" si="390"/>
        <v>1.1367130593459996E-2</v>
      </c>
      <c r="AC663" s="60">
        <f t="shared" si="394"/>
        <v>19623220.784131847</v>
      </c>
      <c r="AD663" s="60">
        <f t="shared" si="356"/>
        <v>16867692.595544543</v>
      </c>
      <c r="AE663" s="59">
        <f t="shared" si="397"/>
        <v>3.200000000000025E-2</v>
      </c>
      <c r="AF663" s="60">
        <f t="shared" si="357"/>
        <v>16867692.595544543</v>
      </c>
      <c r="AG663" s="60">
        <f t="shared" si="391"/>
        <v>1.0000000000000002</v>
      </c>
      <c r="AH663" s="60">
        <f t="shared" si="358"/>
        <v>16867692.595544547</v>
      </c>
      <c r="AI663" s="60">
        <f t="shared" si="395"/>
        <v>108.5640212293858</v>
      </c>
      <c r="AJ663" s="60">
        <f t="shared" si="396"/>
        <v>0</v>
      </c>
      <c r="AK663" s="59">
        <f t="shared" si="398"/>
        <v>3.2000000000000473E-2</v>
      </c>
    </row>
    <row r="664" spans="1:37" ht="12.75" customHeight="1" x14ac:dyDescent="0.25">
      <c r="A664" s="62" t="s">
        <v>613</v>
      </c>
      <c r="B664" s="62" t="s">
        <v>402</v>
      </c>
      <c r="C664" s="62" t="s">
        <v>402</v>
      </c>
      <c r="D664" s="124">
        <v>2025</v>
      </c>
      <c r="E664" s="62" t="s">
        <v>676</v>
      </c>
      <c r="F664" s="64">
        <f>SIM_Parametres!$C$31</f>
        <v>1483900660.492918</v>
      </c>
      <c r="G664" s="125">
        <f>SIM_Districts!D25*(1+SIM_Parametres!$B$6)^(2025-2023)</f>
        <v>318796.20639999997</v>
      </c>
      <c r="H664" s="125">
        <f>MAX(0,MIN(100,SIM_Districts!F25+(2025-2022)*SIM_Parametres!$B$7))</f>
        <v>55.71</v>
      </c>
      <c r="I664" s="125">
        <f>SIM_Districts!G25*(1+SIM_Parametres!$B$8)^(2025-2023)</f>
        <v>35.343999999999994</v>
      </c>
      <c r="J664" s="125">
        <f>SIM_Districts!H25*(1+SIM_Parametres!$B$9)^(2025-2023)</f>
        <v>23.004000000000001</v>
      </c>
      <c r="K664" s="125">
        <f>MAX(0,MIN(100,SIM_Districts!I25+(2025-2023)*SIM_Parametres!$B$10))</f>
        <v>89.4</v>
      </c>
      <c r="L664" s="125">
        <f>SIM_Districts!E25</f>
        <v>2609</v>
      </c>
      <c r="M664" s="61">
        <f t="shared" si="392"/>
        <v>122.19095684170179</v>
      </c>
      <c r="N664" s="125">
        <f>N593*(1+SIM_Parametres!$B$6)/(1+SIM_Parametres!$B$11)</f>
        <v>169739</v>
      </c>
      <c r="O664" s="132"/>
      <c r="P664" s="126">
        <f>SIM_Parametres!$D$31</f>
        <v>0</v>
      </c>
      <c r="Q664" s="126">
        <f>SIM_Parametres!$B$12</f>
        <v>0.2</v>
      </c>
      <c r="R664" s="66">
        <f t="shared" si="381"/>
        <v>1.657782013713929E-2</v>
      </c>
      <c r="S664" s="66">
        <f t="shared" si="382"/>
        <v>0.86702127659574468</v>
      </c>
      <c r="T664" s="66">
        <f t="shared" si="383"/>
        <v>1</v>
      </c>
      <c r="U664" s="66">
        <f t="shared" si="384"/>
        <v>0.58847583069176324</v>
      </c>
      <c r="V664" s="66">
        <f t="shared" si="385"/>
        <v>0.76566328194948607</v>
      </c>
      <c r="W664" s="66">
        <f t="shared" si="386"/>
        <v>2.0672162333544703E-2</v>
      </c>
      <c r="X664" s="66">
        <f t="shared" si="387"/>
        <v>1.9788990324167716E-2</v>
      </c>
      <c r="Y664" s="66">
        <f t="shared" si="388"/>
        <v>1.5035386503452401E-2</v>
      </c>
      <c r="Z664" s="66">
        <f t="shared" si="389"/>
        <v>2.8102407336645013E-2</v>
      </c>
      <c r="AA664" s="66">
        <f t="shared" si="393"/>
        <v>1.817275467294531E-2</v>
      </c>
      <c r="AB664" s="66">
        <f t="shared" si="390"/>
        <v>1.3225526223373779E-2</v>
      </c>
      <c r="AC664" s="67">
        <f t="shared" si="394"/>
        <v>25753251.990270879</v>
      </c>
      <c r="AD664" s="67">
        <f t="shared" si="356"/>
        <v>19625367.098230757</v>
      </c>
      <c r="AE664" s="66">
        <f t="shared" si="397"/>
        <v>3.200000000000025E-2</v>
      </c>
      <c r="AF664" s="67">
        <f t="shared" si="357"/>
        <v>19625367.098230757</v>
      </c>
      <c r="AG664" s="67">
        <f t="shared" si="391"/>
        <v>1.0000000000000002</v>
      </c>
      <c r="AH664" s="67">
        <f t="shared" si="358"/>
        <v>19625367.098230761</v>
      </c>
      <c r="AI664" s="67">
        <f t="shared" si="395"/>
        <v>61.560855192882755</v>
      </c>
      <c r="AJ664" s="67">
        <f t="shared" si="396"/>
        <v>0</v>
      </c>
      <c r="AK664" s="66">
        <f t="shared" si="398"/>
        <v>3.2000000000000473E-2</v>
      </c>
    </row>
    <row r="665" spans="1:37" ht="12.75" customHeight="1" x14ac:dyDescent="0.25">
      <c r="A665" s="55" t="s">
        <v>614</v>
      </c>
      <c r="B665" s="55" t="s">
        <v>402</v>
      </c>
      <c r="C665" s="55" t="s">
        <v>405</v>
      </c>
      <c r="D665" s="128">
        <v>2025</v>
      </c>
      <c r="E665" s="55" t="s">
        <v>676</v>
      </c>
      <c r="F665" s="57">
        <f>SIM_Parametres!$C$31</f>
        <v>1483900660.492918</v>
      </c>
      <c r="G665" s="129">
        <f>SIM_Districts!D26*(1+SIM_Parametres!$B$6)^(2025-2023)</f>
        <v>250885.8756</v>
      </c>
      <c r="H665" s="129">
        <f>MAX(0,MIN(100,SIM_Districts!F26+(2025-2022)*SIM_Parametres!$B$7))</f>
        <v>55.71</v>
      </c>
      <c r="I665" s="129">
        <f>SIM_Districts!G26*(1+SIM_Parametres!$B$8)^(2025-2023)</f>
        <v>35.343999999999994</v>
      </c>
      <c r="J665" s="129">
        <f>SIM_Districts!H26*(1+SIM_Parametres!$B$9)^(2025-2023)</f>
        <v>23.004000000000001</v>
      </c>
      <c r="K665" s="129">
        <f>MAX(0,MIN(100,SIM_Districts!I26+(2025-2023)*SIM_Parametres!$B$10))</f>
        <v>89.4</v>
      </c>
      <c r="L665" s="129">
        <f>SIM_Districts!E26</f>
        <v>4537</v>
      </c>
      <c r="M665" s="68">
        <f t="shared" si="392"/>
        <v>55.297746440379107</v>
      </c>
      <c r="N665" s="129">
        <f>N594*(1+SIM_Parametres!$B$6)/(1+SIM_Parametres!$B$11)</f>
        <v>169739</v>
      </c>
      <c r="O665" s="72"/>
      <c r="P665" s="130">
        <f>SIM_Parametres!$D$31</f>
        <v>0</v>
      </c>
      <c r="Q665" s="130">
        <f>SIM_Parametres!$B$12</f>
        <v>0.2</v>
      </c>
      <c r="R665" s="59">
        <f t="shared" si="381"/>
        <v>1.304639401959177E-2</v>
      </c>
      <c r="S665" s="59">
        <f t="shared" si="382"/>
        <v>0.86702127659574468</v>
      </c>
      <c r="T665" s="59">
        <f t="shared" si="383"/>
        <v>1</v>
      </c>
      <c r="U665" s="59">
        <f t="shared" si="384"/>
        <v>0.65615433798264988</v>
      </c>
      <c r="V665" s="59">
        <f t="shared" si="385"/>
        <v>0.76566328194948607</v>
      </c>
      <c r="W665" s="59">
        <f t="shared" si="386"/>
        <v>2.0672162333544703E-2</v>
      </c>
      <c r="X665" s="59">
        <f t="shared" si="387"/>
        <v>1.9788990324167716E-2</v>
      </c>
      <c r="Y665" s="59">
        <f t="shared" si="388"/>
        <v>1.6764552702001334E-2</v>
      </c>
      <c r="Z665" s="59">
        <f t="shared" si="389"/>
        <v>2.8102407336645013E-2</v>
      </c>
      <c r="AA665" s="59">
        <f t="shared" si="393"/>
        <v>1.6140357312344242E-2</v>
      </c>
      <c r="AB665" s="59">
        <f t="shared" si="390"/>
        <v>1.9379571426411064E-2</v>
      </c>
      <c r="AC665" s="60">
        <f t="shared" si="394"/>
        <v>23340551.361646887</v>
      </c>
      <c r="AD665" s="60">
        <f t="shared" ref="AD665:AD728" si="399">F665*((1-P665)*AB665+P665*(Q665/71+(1-Q665)*AA665))</f>
        <v>28757358.839721061</v>
      </c>
      <c r="AE665" s="59">
        <f t="shared" si="397"/>
        <v>3.200000000000025E-2</v>
      </c>
      <c r="AF665" s="60">
        <f t="shared" ref="AF665:AF713" si="400">AD665</f>
        <v>28757358.839721061</v>
      </c>
      <c r="AG665" s="60">
        <f t="shared" si="391"/>
        <v>1.0000000000000002</v>
      </c>
      <c r="AH665" s="60">
        <f t="shared" ref="AH665:AH713" si="401">AF665*AG665</f>
        <v>28757358.839721069</v>
      </c>
      <c r="AI665" s="60">
        <f t="shared" si="395"/>
        <v>114.62326753527718</v>
      </c>
      <c r="AJ665" s="60">
        <f t="shared" si="396"/>
        <v>0</v>
      </c>
      <c r="AK665" s="59">
        <f t="shared" si="398"/>
        <v>3.2000000000000473E-2</v>
      </c>
    </row>
    <row r="666" spans="1:37" ht="12.75" customHeight="1" x14ac:dyDescent="0.25">
      <c r="A666" s="62" t="s">
        <v>615</v>
      </c>
      <c r="B666" s="62" t="s">
        <v>402</v>
      </c>
      <c r="C666" s="62" t="s">
        <v>406</v>
      </c>
      <c r="D666" s="124">
        <v>2025</v>
      </c>
      <c r="E666" s="62" t="s">
        <v>676</v>
      </c>
      <c r="F666" s="64">
        <f>SIM_Parametres!$C$31</f>
        <v>1483900660.492918</v>
      </c>
      <c r="G666" s="125">
        <f>SIM_Districts!D27*(1+SIM_Parametres!$B$6)^(2025-2023)</f>
        <v>145314.6557</v>
      </c>
      <c r="H666" s="125">
        <f>MAX(0,MIN(100,SIM_Districts!F27+(2025-2022)*SIM_Parametres!$B$7))</f>
        <v>55.71</v>
      </c>
      <c r="I666" s="125">
        <f>SIM_Districts!G27*(1+SIM_Parametres!$B$8)^(2025-2023)</f>
        <v>35.343999999999994</v>
      </c>
      <c r="J666" s="125">
        <f>SIM_Districts!H27*(1+SIM_Parametres!$B$9)^(2025-2023)</f>
        <v>23.004000000000001</v>
      </c>
      <c r="K666" s="125">
        <f>MAX(0,MIN(100,SIM_Districts!I27+(2025-2023)*SIM_Parametres!$B$10))</f>
        <v>89.4</v>
      </c>
      <c r="L666" s="125">
        <f>SIM_Districts!E27</f>
        <v>2765</v>
      </c>
      <c r="M666" s="61">
        <f t="shared" si="392"/>
        <v>52.555029186256782</v>
      </c>
      <c r="N666" s="125">
        <f>N595*(1+SIM_Parametres!$B$6)/(1+SIM_Parametres!$B$11)</f>
        <v>169739</v>
      </c>
      <c r="O666" s="132"/>
      <c r="P666" s="126">
        <f>SIM_Parametres!$D$31</f>
        <v>0</v>
      </c>
      <c r="Q666" s="126">
        <f>SIM_Parametres!$B$12</f>
        <v>0.2</v>
      </c>
      <c r="R666" s="66">
        <f t="shared" si="381"/>
        <v>7.5565523589145294E-3</v>
      </c>
      <c r="S666" s="66">
        <f t="shared" si="382"/>
        <v>0.86702127659574468</v>
      </c>
      <c r="T666" s="66">
        <f t="shared" si="383"/>
        <v>1</v>
      </c>
      <c r="U666" s="66">
        <f t="shared" si="384"/>
        <v>0.59480805510502444</v>
      </c>
      <c r="V666" s="66">
        <f t="shared" si="385"/>
        <v>0.76566328194948607</v>
      </c>
      <c r="W666" s="66">
        <f t="shared" si="386"/>
        <v>2.0672162333544703E-2</v>
      </c>
      <c r="X666" s="66">
        <f t="shared" si="387"/>
        <v>1.9788990324167716E-2</v>
      </c>
      <c r="Y666" s="66">
        <f t="shared" si="388"/>
        <v>1.5197172997501038E-2</v>
      </c>
      <c r="Z666" s="66">
        <f t="shared" si="389"/>
        <v>2.8102407336645013E-2</v>
      </c>
      <c r="AA666" s="66">
        <f t="shared" si="393"/>
        <v>1.2768083330712884E-2</v>
      </c>
      <c r="AB666" s="66">
        <f t="shared" si="390"/>
        <v>1.2841581014119441E-2</v>
      </c>
      <c r="AC666" s="67">
        <f t="shared" si="394"/>
        <v>19337255.690682203</v>
      </c>
      <c r="AD666" s="67">
        <f t="shared" si="399"/>
        <v>19055630.548625156</v>
      </c>
      <c r="AE666" s="66">
        <f t="shared" si="397"/>
        <v>3.200000000000025E-2</v>
      </c>
      <c r="AF666" s="67">
        <f t="shared" si="400"/>
        <v>19055630.548625156</v>
      </c>
      <c r="AG666" s="67">
        <f t="shared" si="391"/>
        <v>1.0000000000000002</v>
      </c>
      <c r="AH666" s="67">
        <f t="shared" si="401"/>
        <v>19055630.54862516</v>
      </c>
      <c r="AI666" s="67">
        <f t="shared" si="395"/>
        <v>131.13357669831481</v>
      </c>
      <c r="AJ666" s="67">
        <f t="shared" si="396"/>
        <v>0</v>
      </c>
      <c r="AK666" s="66">
        <f t="shared" si="398"/>
        <v>3.2000000000000473E-2</v>
      </c>
    </row>
    <row r="667" spans="1:37" ht="12.75" customHeight="1" x14ac:dyDescent="0.25">
      <c r="A667" s="55" t="s">
        <v>616</v>
      </c>
      <c r="B667" s="55" t="s">
        <v>407</v>
      </c>
      <c r="C667" s="55" t="s">
        <v>409</v>
      </c>
      <c r="D667" s="128">
        <v>2025</v>
      </c>
      <c r="E667" s="55" t="s">
        <v>676</v>
      </c>
      <c r="F667" s="57">
        <f>SIM_Parametres!$C$31</f>
        <v>1483900660.492918</v>
      </c>
      <c r="G667" s="129">
        <f>SIM_Districts!D28*(1+SIM_Parametres!$B$6)^(2025-2023)</f>
        <v>169995.4333</v>
      </c>
      <c r="H667" s="129">
        <f>MAX(0,MIN(100,SIM_Districts!F28+(2025-2022)*SIM_Parametres!$B$7))</f>
        <v>47.11</v>
      </c>
      <c r="I667" s="129">
        <f>SIM_Districts!G28*(1+SIM_Parametres!$B$8)^(2025-2023)</f>
        <v>35.343999999999994</v>
      </c>
      <c r="J667" s="129">
        <f>SIM_Districts!H28*(1+SIM_Parametres!$B$9)^(2025-2023)</f>
        <v>11.826000000000001</v>
      </c>
      <c r="K667" s="129">
        <f>MAX(0,MIN(100,SIM_Districts!I28+(2025-2023)*SIM_Parametres!$B$10))</f>
        <v>97.1</v>
      </c>
      <c r="L667" s="129">
        <f>SIM_Districts!E28</f>
        <v>1066</v>
      </c>
      <c r="M667" s="68">
        <f t="shared" si="392"/>
        <v>159.47038771106943</v>
      </c>
      <c r="N667" s="129">
        <f>N596*(1+SIM_Parametres!$B$6)/(1+SIM_Parametres!$B$11)</f>
        <v>190293</v>
      </c>
      <c r="O667" s="72"/>
      <c r="P667" s="130">
        <f>SIM_Parametres!$D$31</f>
        <v>0</v>
      </c>
      <c r="Q667" s="130">
        <f>SIM_Parametres!$B$12</f>
        <v>0.2</v>
      </c>
      <c r="R667" s="59">
        <f t="shared" si="381"/>
        <v>8.8399851090024129E-3</v>
      </c>
      <c r="S667" s="59">
        <f t="shared" si="382"/>
        <v>0.71453900709219853</v>
      </c>
      <c r="T667" s="59">
        <f t="shared" si="383"/>
        <v>0.61878453038674031</v>
      </c>
      <c r="U667" s="59">
        <f t="shared" si="384"/>
        <v>0.53452867131516979</v>
      </c>
      <c r="V667" s="59">
        <f t="shared" si="385"/>
        <v>0.90832112938040932</v>
      </c>
      <c r="W667" s="59">
        <f t="shared" si="386"/>
        <v>1.7036567321919254E-2</v>
      </c>
      <c r="X667" s="59">
        <f t="shared" si="387"/>
        <v>1.2245121084567868E-2</v>
      </c>
      <c r="Y667" s="59">
        <f t="shared" si="388"/>
        <v>1.3657052254725572E-2</v>
      </c>
      <c r="Z667" s="59">
        <f t="shared" si="389"/>
        <v>3.333842822570373E-2</v>
      </c>
      <c r="AA667" s="59">
        <f t="shared" si="393"/>
        <v>1.204601835039598E-2</v>
      </c>
      <c r="AB667" s="59">
        <f t="shared" si="390"/>
        <v>1.2106456160514303E-2</v>
      </c>
      <c r="AC667" s="60">
        <f t="shared" si="394"/>
        <v>18480077.529713355</v>
      </c>
      <c r="AD667" s="60">
        <f t="shared" si="399"/>
        <v>17964778.29281573</v>
      </c>
      <c r="AE667" s="59">
        <f t="shared" si="397"/>
        <v>3.2000000000000028E-2</v>
      </c>
      <c r="AF667" s="60">
        <f t="shared" si="400"/>
        <v>17964778.29281573</v>
      </c>
      <c r="AG667" s="60">
        <f t="shared" si="391"/>
        <v>1.0000000000000002</v>
      </c>
      <c r="AH667" s="60">
        <f t="shared" si="401"/>
        <v>17964778.292815734</v>
      </c>
      <c r="AI667" s="60">
        <f t="shared" si="395"/>
        <v>105.67800525036652</v>
      </c>
      <c r="AJ667" s="60">
        <f t="shared" si="396"/>
        <v>0</v>
      </c>
      <c r="AK667" s="59">
        <f t="shared" si="398"/>
        <v>3.200000000000025E-2</v>
      </c>
    </row>
    <row r="668" spans="1:37" ht="12.75" customHeight="1" x14ac:dyDescent="0.25">
      <c r="A668" s="62" t="s">
        <v>618</v>
      </c>
      <c r="B668" s="62" t="s">
        <v>407</v>
      </c>
      <c r="C668" s="62" t="s">
        <v>410</v>
      </c>
      <c r="D668" s="124">
        <v>2025</v>
      </c>
      <c r="E668" s="62" t="s">
        <v>676</v>
      </c>
      <c r="F668" s="64">
        <f>SIM_Parametres!$C$31</f>
        <v>1483900660.492918</v>
      </c>
      <c r="G668" s="125">
        <f>SIM_Districts!D29*(1+SIM_Parametres!$B$6)^(2025-2023)</f>
        <v>462113.1874</v>
      </c>
      <c r="H668" s="125">
        <f>MAX(0,MIN(100,SIM_Districts!F29+(2025-2022)*SIM_Parametres!$B$7))</f>
        <v>47.11</v>
      </c>
      <c r="I668" s="125">
        <f>SIM_Districts!G29*(1+SIM_Parametres!$B$8)^(2025-2023)</f>
        <v>35.343999999999994</v>
      </c>
      <c r="J668" s="125">
        <f>SIM_Districts!H29*(1+SIM_Parametres!$B$9)^(2025-2023)</f>
        <v>11.826000000000001</v>
      </c>
      <c r="K668" s="125">
        <f>MAX(0,MIN(100,SIM_Districts!I29+(2025-2023)*SIM_Parametres!$B$10))</f>
        <v>97.1</v>
      </c>
      <c r="L668" s="125">
        <f>SIM_Districts!E29</f>
        <v>535</v>
      </c>
      <c r="M668" s="61">
        <f t="shared" si="392"/>
        <v>863.76296710280371</v>
      </c>
      <c r="N668" s="125">
        <f>N597*(1+SIM_Parametres!$B$6)/(1+SIM_Parametres!$B$11)</f>
        <v>190293</v>
      </c>
      <c r="O668" s="132"/>
      <c r="P668" s="126">
        <f>SIM_Parametres!$D$31</f>
        <v>0</v>
      </c>
      <c r="Q668" s="126">
        <f>SIM_Parametres!$B$12</f>
        <v>0.2</v>
      </c>
      <c r="R668" s="66">
        <f t="shared" si="381"/>
        <v>2.403049079607035E-2</v>
      </c>
      <c r="S668" s="66">
        <f t="shared" si="382"/>
        <v>0.71453900709219853</v>
      </c>
      <c r="T668" s="66">
        <f t="shared" si="383"/>
        <v>0.61878453038674031</v>
      </c>
      <c r="U668" s="66">
        <f t="shared" si="384"/>
        <v>0.50674567312414032</v>
      </c>
      <c r="V668" s="66">
        <f t="shared" si="385"/>
        <v>0.90832112938040932</v>
      </c>
      <c r="W668" s="66">
        <f t="shared" si="386"/>
        <v>1.7036567321919254E-2</v>
      </c>
      <c r="X668" s="66">
        <f t="shared" si="387"/>
        <v>1.2245121084567868E-2</v>
      </c>
      <c r="Y668" s="66">
        <f t="shared" si="388"/>
        <v>1.2947204722778846E-2</v>
      </c>
      <c r="Z668" s="66">
        <f t="shared" si="389"/>
        <v>3.333842822570373E-2</v>
      </c>
      <c r="AA668" s="66">
        <f t="shared" si="393"/>
        <v>2.1124829386039407E-2</v>
      </c>
      <c r="AB668" s="66">
        <f t="shared" si="390"/>
        <v>1.4237898164624285E-2</v>
      </c>
      <c r="AC668" s="67">
        <f t="shared" si="394"/>
        <v>29257720.483538695</v>
      </c>
      <c r="AD668" s="67">
        <f t="shared" si="399"/>
        <v>21127626.490516882</v>
      </c>
      <c r="AE668" s="66">
        <f t="shared" si="397"/>
        <v>3.200000000000025E-2</v>
      </c>
      <c r="AF668" s="67">
        <f t="shared" si="400"/>
        <v>21127626.490516882</v>
      </c>
      <c r="AG668" s="67">
        <f t="shared" si="391"/>
        <v>1.0000000000000002</v>
      </c>
      <c r="AH668" s="67">
        <f t="shared" si="401"/>
        <v>21127626.490516886</v>
      </c>
      <c r="AI668" s="67">
        <f t="shared" si="395"/>
        <v>45.719592226717928</v>
      </c>
      <c r="AJ668" s="67">
        <f t="shared" si="396"/>
        <v>0</v>
      </c>
      <c r="AK668" s="66">
        <f t="shared" si="398"/>
        <v>3.2000000000000473E-2</v>
      </c>
    </row>
    <row r="669" spans="1:37" ht="12.75" customHeight="1" x14ac:dyDescent="0.25">
      <c r="A669" s="55" t="s">
        <v>619</v>
      </c>
      <c r="B669" s="55" t="s">
        <v>407</v>
      </c>
      <c r="C669" s="55" t="s">
        <v>411</v>
      </c>
      <c r="D669" s="128">
        <v>2025</v>
      </c>
      <c r="E669" s="55" t="s">
        <v>676</v>
      </c>
      <c r="F669" s="57">
        <f>SIM_Parametres!$C$31</f>
        <v>1483900660.492918</v>
      </c>
      <c r="G669" s="129">
        <f>SIM_Districts!D30*(1+SIM_Parametres!$B$6)^(2025-2023)</f>
        <v>259237.28039999999</v>
      </c>
      <c r="H669" s="129">
        <f>MAX(0,MIN(100,SIM_Districts!F30+(2025-2022)*SIM_Parametres!$B$7))</f>
        <v>47.11</v>
      </c>
      <c r="I669" s="129">
        <f>SIM_Districts!G30*(1+SIM_Parametres!$B$8)^(2025-2023)</f>
        <v>35.343999999999994</v>
      </c>
      <c r="J669" s="129">
        <f>SIM_Districts!H30*(1+SIM_Parametres!$B$9)^(2025-2023)</f>
        <v>11.826000000000001</v>
      </c>
      <c r="K669" s="129">
        <f>MAX(0,MIN(100,SIM_Districts!I30+(2025-2023)*SIM_Parametres!$B$10))</f>
        <v>97.1</v>
      </c>
      <c r="L669" s="129">
        <f>SIM_Districts!E30</f>
        <v>1359</v>
      </c>
      <c r="M669" s="68">
        <f t="shared" si="392"/>
        <v>190.75590905077263</v>
      </c>
      <c r="N669" s="129">
        <f>N598*(1+SIM_Parametres!$B$6)/(1+SIM_Parametres!$B$11)</f>
        <v>190293</v>
      </c>
      <c r="O669" s="72"/>
      <c r="P669" s="130">
        <f>SIM_Parametres!$D$31</f>
        <v>0</v>
      </c>
      <c r="Q669" s="130">
        <f>SIM_Parametres!$B$12</f>
        <v>0.2</v>
      </c>
      <c r="R669" s="59">
        <f t="shared" si="381"/>
        <v>1.3480678003803075E-2</v>
      </c>
      <c r="S669" s="59">
        <f t="shared" si="382"/>
        <v>0.71453900709219853</v>
      </c>
      <c r="T669" s="59">
        <f t="shared" si="383"/>
        <v>0.61878453038674031</v>
      </c>
      <c r="U669" s="59">
        <f t="shared" si="384"/>
        <v>0.54426125050867202</v>
      </c>
      <c r="V669" s="59">
        <f t="shared" si="385"/>
        <v>0.90832112938040932</v>
      </c>
      <c r="W669" s="59">
        <f t="shared" si="386"/>
        <v>1.7036567321919254E-2</v>
      </c>
      <c r="X669" s="59">
        <f t="shared" si="387"/>
        <v>1.2245121084567868E-2</v>
      </c>
      <c r="Y669" s="59">
        <f t="shared" si="388"/>
        <v>1.3905716825499443E-2</v>
      </c>
      <c r="Z669" s="59">
        <f t="shared" si="389"/>
        <v>3.333842822570373E-2</v>
      </c>
      <c r="AA669" s="59">
        <f t="shared" si="393"/>
        <v>1.4842867315815071E-2</v>
      </c>
      <c r="AB669" s="59">
        <f t="shared" si="390"/>
        <v>1.3021371549744013E-2</v>
      </c>
      <c r="AC669" s="60">
        <f t="shared" si="394"/>
        <v>21800274.351380814</v>
      </c>
      <c r="AD669" s="60">
        <f t="shared" si="399"/>
        <v>19322421.843188833</v>
      </c>
      <c r="AE669" s="59">
        <f t="shared" si="397"/>
        <v>3.200000000000025E-2</v>
      </c>
      <c r="AF669" s="60">
        <f t="shared" si="400"/>
        <v>19322421.843188833</v>
      </c>
      <c r="AG669" s="60">
        <f t="shared" si="391"/>
        <v>1.0000000000000002</v>
      </c>
      <c r="AH669" s="60">
        <f t="shared" si="401"/>
        <v>19322421.843188837</v>
      </c>
      <c r="AI669" s="60">
        <f t="shared" si="395"/>
        <v>74.535660200471838</v>
      </c>
      <c r="AJ669" s="60">
        <f t="shared" si="396"/>
        <v>0</v>
      </c>
      <c r="AK669" s="59">
        <f t="shared" si="398"/>
        <v>3.2000000000000473E-2</v>
      </c>
    </row>
    <row r="670" spans="1:37" ht="12.75" customHeight="1" x14ac:dyDescent="0.25">
      <c r="A670" s="62" t="s">
        <v>620</v>
      </c>
      <c r="B670" s="62" t="s">
        <v>407</v>
      </c>
      <c r="C670" s="62" t="s">
        <v>412</v>
      </c>
      <c r="D670" s="124">
        <v>2025</v>
      </c>
      <c r="E670" s="62" t="s">
        <v>676</v>
      </c>
      <c r="F670" s="64">
        <f>SIM_Parametres!$C$31</f>
        <v>1483900660.492918</v>
      </c>
      <c r="G670" s="125">
        <f>SIM_Districts!D31*(1+SIM_Parametres!$B$6)^(2025-2023)</f>
        <v>526780.3469</v>
      </c>
      <c r="H670" s="125">
        <f>MAX(0,MIN(100,SIM_Districts!F31+(2025-2022)*SIM_Parametres!$B$7))</f>
        <v>47.11</v>
      </c>
      <c r="I670" s="125">
        <f>SIM_Districts!G31*(1+SIM_Parametres!$B$8)^(2025-2023)</f>
        <v>35.343999999999994</v>
      </c>
      <c r="J670" s="125">
        <f>SIM_Districts!H31*(1+SIM_Parametres!$B$9)^(2025-2023)</f>
        <v>11.826000000000001</v>
      </c>
      <c r="K670" s="125">
        <f>MAX(0,MIN(100,SIM_Districts!I31+(2025-2023)*SIM_Parametres!$B$10))</f>
        <v>97.1</v>
      </c>
      <c r="L670" s="125">
        <f>SIM_Districts!E31</f>
        <v>2302</v>
      </c>
      <c r="M670" s="61">
        <f t="shared" si="392"/>
        <v>228.83594565595135</v>
      </c>
      <c r="N670" s="125">
        <f>N599*(1+SIM_Parametres!$B$6)/(1+SIM_Parametres!$B$11)</f>
        <v>190293</v>
      </c>
      <c r="O670" s="132"/>
      <c r="P670" s="126">
        <f>SIM_Parametres!$D$31</f>
        <v>0</v>
      </c>
      <c r="Q670" s="126">
        <f>SIM_Parametres!$B$12</f>
        <v>0.2</v>
      </c>
      <c r="R670" s="66">
        <f t="shared" si="381"/>
        <v>2.7393267759688252E-2</v>
      </c>
      <c r="S670" s="66">
        <f t="shared" si="382"/>
        <v>0.71453900709219853</v>
      </c>
      <c r="T670" s="66">
        <f t="shared" si="383"/>
        <v>0.61878453038674031</v>
      </c>
      <c r="U670" s="66">
        <f t="shared" si="384"/>
        <v>0.5764195329812869</v>
      </c>
      <c r="V670" s="66">
        <f t="shared" si="385"/>
        <v>0.90832112938040932</v>
      </c>
      <c r="W670" s="66">
        <f t="shared" si="386"/>
        <v>1.7036567321919254E-2</v>
      </c>
      <c r="X670" s="66">
        <f t="shared" si="387"/>
        <v>1.2245121084567868E-2</v>
      </c>
      <c r="Y670" s="66">
        <f t="shared" si="388"/>
        <v>1.4727351599683094E-2</v>
      </c>
      <c r="Z670" s="66">
        <f t="shared" si="389"/>
        <v>3.333842822570373E-2</v>
      </c>
      <c r="AA670" s="66">
        <f t="shared" si="393"/>
        <v>2.3231502908055361E-2</v>
      </c>
      <c r="AB670" s="66">
        <f t="shared" si="390"/>
        <v>1.7670721195287814E-2</v>
      </c>
      <c r="AC670" s="67">
        <f t="shared" si="394"/>
        <v>31758595.868148629</v>
      </c>
      <c r="AD670" s="67">
        <f t="shared" si="399"/>
        <v>26221594.853073794</v>
      </c>
      <c r="AE670" s="66">
        <f t="shared" si="397"/>
        <v>3.200000000000025E-2</v>
      </c>
      <c r="AF670" s="67">
        <f t="shared" si="400"/>
        <v>26221594.853073794</v>
      </c>
      <c r="AG670" s="67">
        <f t="shared" si="391"/>
        <v>1.0000000000000002</v>
      </c>
      <c r="AH670" s="67">
        <f t="shared" si="401"/>
        <v>26221594.853073802</v>
      </c>
      <c r="AI670" s="67">
        <f t="shared" si="395"/>
        <v>49.777094015338257</v>
      </c>
      <c r="AJ670" s="67">
        <f t="shared" si="396"/>
        <v>0</v>
      </c>
      <c r="AK670" s="66">
        <f t="shared" si="398"/>
        <v>3.2000000000000695E-2</v>
      </c>
    </row>
    <row r="671" spans="1:37" ht="12.75" customHeight="1" x14ac:dyDescent="0.25">
      <c r="A671" s="55" t="s">
        <v>621</v>
      </c>
      <c r="B671" s="55" t="s">
        <v>413</v>
      </c>
      <c r="C671" s="55" t="s">
        <v>413</v>
      </c>
      <c r="D671" s="128">
        <v>2025</v>
      </c>
      <c r="E671" s="55" t="s">
        <v>676</v>
      </c>
      <c r="F671" s="57">
        <f>SIM_Parametres!$C$31</f>
        <v>1483900660.492918</v>
      </c>
      <c r="G671" s="129">
        <f>SIM_Districts!D32*(1+SIM_Parametres!$B$6)^(2025-2023)</f>
        <v>134924.20110000001</v>
      </c>
      <c r="H671" s="129">
        <f>MAX(0,MIN(100,SIM_Districts!F32+(2025-2022)*SIM_Parametres!$B$7))</f>
        <v>63.21</v>
      </c>
      <c r="I671" s="129">
        <f>SIM_Districts!G32*(1+SIM_Parametres!$B$8)^(2025-2023)</f>
        <v>35.343999999999994</v>
      </c>
      <c r="J671" s="129">
        <f>SIM_Districts!H32*(1+SIM_Parametres!$B$9)^(2025-2023)</f>
        <v>17.253</v>
      </c>
      <c r="K671" s="129">
        <f>MAX(0,MIN(100,SIM_Districts!I32+(2025-2023)*SIM_Parametres!$B$10))</f>
        <v>91.6</v>
      </c>
      <c r="L671" s="129">
        <f>SIM_Districts!E32</f>
        <v>7061</v>
      </c>
      <c r="M671" s="68">
        <f t="shared" si="392"/>
        <v>19.10837007506019</v>
      </c>
      <c r="N671" s="129">
        <f>N600*(1+SIM_Parametres!$B$6)/(1+SIM_Parametres!$B$11)</f>
        <v>59423</v>
      </c>
      <c r="O671" s="72"/>
      <c r="P671" s="130">
        <f>SIM_Parametres!$D$31</f>
        <v>0</v>
      </c>
      <c r="Q671" s="130">
        <f>SIM_Parametres!$B$12</f>
        <v>0.2</v>
      </c>
      <c r="R671" s="59">
        <f t="shared" si="381"/>
        <v>7.0162351153467539E-3</v>
      </c>
      <c r="S671" s="59">
        <f t="shared" si="382"/>
        <v>1</v>
      </c>
      <c r="T671" s="59">
        <f t="shared" si="383"/>
        <v>0.80386740331491713</v>
      </c>
      <c r="U671" s="59">
        <f t="shared" si="384"/>
        <v>0.74406922993471691</v>
      </c>
      <c r="V671" s="59">
        <f t="shared" si="385"/>
        <v>0</v>
      </c>
      <c r="W671" s="59">
        <f t="shared" si="386"/>
        <v>2.3842739378566898E-2</v>
      </c>
      <c r="X671" s="59">
        <f t="shared" si="387"/>
        <v>1.590772426611272E-2</v>
      </c>
      <c r="Y671" s="59">
        <f t="shared" si="388"/>
        <v>1.9010752649337739E-2</v>
      </c>
      <c r="Z671" s="59">
        <f t="shared" si="389"/>
        <v>0</v>
      </c>
      <c r="AA671" s="59">
        <f t="shared" si="393"/>
        <v>1.1122848248376881E-2</v>
      </c>
      <c r="AB671" s="59">
        <f t="shared" si="390"/>
        <v>1.776817774730861E-2</v>
      </c>
      <c r="AC671" s="60">
        <f t="shared" si="394"/>
        <v>17384163.350406591</v>
      </c>
      <c r="AD671" s="60">
        <f t="shared" si="399"/>
        <v>26366210.694986816</v>
      </c>
      <c r="AE671" s="59">
        <f t="shared" si="397"/>
        <v>3.200000000000025E-2</v>
      </c>
      <c r="AF671" s="60">
        <f t="shared" si="400"/>
        <v>26366210.694986816</v>
      </c>
      <c r="AG671" s="60">
        <f t="shared" si="391"/>
        <v>1.0000000000000002</v>
      </c>
      <c r="AH671" s="60">
        <f t="shared" si="401"/>
        <v>26366210.694986824</v>
      </c>
      <c r="AI671" s="60">
        <f t="shared" si="395"/>
        <v>195.41498471015831</v>
      </c>
      <c r="AJ671" s="60">
        <f t="shared" si="396"/>
        <v>0</v>
      </c>
      <c r="AK671" s="59">
        <f t="shared" si="398"/>
        <v>3.2000000000000473E-2</v>
      </c>
    </row>
    <row r="672" spans="1:37" ht="12.75" customHeight="1" x14ac:dyDescent="0.25">
      <c r="A672" s="62" t="s">
        <v>623</v>
      </c>
      <c r="B672" s="62" t="s">
        <v>413</v>
      </c>
      <c r="C672" s="62" t="s">
        <v>415</v>
      </c>
      <c r="D672" s="124">
        <v>2025</v>
      </c>
      <c r="E672" s="62" t="s">
        <v>676</v>
      </c>
      <c r="F672" s="64">
        <f>SIM_Parametres!$C$31</f>
        <v>1483900660.492918</v>
      </c>
      <c r="G672" s="125">
        <f>SIM_Districts!D33*(1+SIM_Parametres!$B$6)^(2025-2023)</f>
        <v>37992.950799999999</v>
      </c>
      <c r="H672" s="125">
        <f>MAX(0,MIN(100,SIM_Districts!F33+(2025-2022)*SIM_Parametres!$B$7))</f>
        <v>63.21</v>
      </c>
      <c r="I672" s="125">
        <f>SIM_Districts!G33*(1+SIM_Parametres!$B$8)^(2025-2023)</f>
        <v>35.343999999999994</v>
      </c>
      <c r="J672" s="125">
        <f>SIM_Districts!H33*(1+SIM_Parametres!$B$9)^(2025-2023)</f>
        <v>17.253</v>
      </c>
      <c r="K672" s="125">
        <f>MAX(0,MIN(100,SIM_Districts!I33+(2025-2023)*SIM_Parametres!$B$10))</f>
        <v>91.6</v>
      </c>
      <c r="L672" s="125">
        <f>SIM_Districts!E33</f>
        <v>1931</v>
      </c>
      <c r="M672" s="61">
        <f t="shared" si="392"/>
        <v>19.675272294148108</v>
      </c>
      <c r="N672" s="125">
        <f>N601*(1+SIM_Parametres!$B$6)/(1+SIM_Parametres!$B$11)</f>
        <v>59423</v>
      </c>
      <c r="O672" s="132"/>
      <c r="P672" s="126">
        <f>SIM_Parametres!$D$31</f>
        <v>0</v>
      </c>
      <c r="Q672" s="126">
        <f>SIM_Parametres!$B$12</f>
        <v>0.2</v>
      </c>
      <c r="R672" s="66">
        <f t="shared" si="381"/>
        <v>1.9756831863027538E-3</v>
      </c>
      <c r="S672" s="66">
        <f t="shared" si="382"/>
        <v>1</v>
      </c>
      <c r="T672" s="66">
        <f t="shared" si="383"/>
        <v>0.80386740331491713</v>
      </c>
      <c r="U672" s="66">
        <f t="shared" si="384"/>
        <v>0.56635625479419383</v>
      </c>
      <c r="V672" s="66">
        <f t="shared" si="385"/>
        <v>0</v>
      </c>
      <c r="W672" s="66">
        <f t="shared" si="386"/>
        <v>2.3842739378566898E-2</v>
      </c>
      <c r="X672" s="66">
        <f t="shared" si="387"/>
        <v>1.590772426611272E-2</v>
      </c>
      <c r="Y672" s="66">
        <f t="shared" si="388"/>
        <v>1.4470237765701426E-2</v>
      </c>
      <c r="Z672" s="66">
        <f t="shared" si="389"/>
        <v>0</v>
      </c>
      <c r="AA672" s="66">
        <f t="shared" si="393"/>
        <v>7.8714913467686654E-3</v>
      </c>
      <c r="AB672" s="66">
        <f t="shared" si="390"/>
        <v>1.2869305722883974E-2</v>
      </c>
      <c r="AC672" s="67">
        <f t="shared" si="394"/>
        <v>13524410.827370882</v>
      </c>
      <c r="AD672" s="67">
        <f t="shared" si="399"/>
        <v>19096771.26227282</v>
      </c>
      <c r="AE672" s="66">
        <f t="shared" si="397"/>
        <v>3.200000000000025E-2</v>
      </c>
      <c r="AF672" s="67">
        <f t="shared" si="400"/>
        <v>19096771.26227282</v>
      </c>
      <c r="AG672" s="67">
        <f t="shared" si="391"/>
        <v>1.0000000000000002</v>
      </c>
      <c r="AH672" s="67">
        <f t="shared" si="401"/>
        <v>19096771.262272824</v>
      </c>
      <c r="AI672" s="67">
        <f t="shared" si="395"/>
        <v>502.63985450355767</v>
      </c>
      <c r="AJ672" s="67">
        <f t="shared" si="396"/>
        <v>0</v>
      </c>
      <c r="AK672" s="66">
        <f t="shared" si="398"/>
        <v>3.2000000000000473E-2</v>
      </c>
    </row>
    <row r="673" spans="1:37" ht="12.75" customHeight="1" x14ac:dyDescent="0.25">
      <c r="A673" s="55" t="s">
        <v>624</v>
      </c>
      <c r="B673" s="55" t="s">
        <v>413</v>
      </c>
      <c r="C673" s="55" t="s">
        <v>416</v>
      </c>
      <c r="D673" s="128">
        <v>2025</v>
      </c>
      <c r="E673" s="55" t="s">
        <v>676</v>
      </c>
      <c r="F673" s="57">
        <f>SIM_Parametres!$C$31</f>
        <v>1483900660.492918</v>
      </c>
      <c r="G673" s="129">
        <f>SIM_Districts!D34*(1+SIM_Parametres!$B$6)^(2025-2023)</f>
        <v>87159.300399999993</v>
      </c>
      <c r="H673" s="129">
        <f>MAX(0,MIN(100,SIM_Districts!F34+(2025-2022)*SIM_Parametres!$B$7))</f>
        <v>63.21</v>
      </c>
      <c r="I673" s="129">
        <f>SIM_Districts!G34*(1+SIM_Parametres!$B$8)^(2025-2023)</f>
        <v>35.343999999999994</v>
      </c>
      <c r="J673" s="129">
        <f>SIM_Districts!H34*(1+SIM_Parametres!$B$9)^(2025-2023)</f>
        <v>17.253</v>
      </c>
      <c r="K673" s="129">
        <f>MAX(0,MIN(100,SIM_Districts!I34+(2025-2023)*SIM_Parametres!$B$10))</f>
        <v>91.6</v>
      </c>
      <c r="L673" s="129">
        <f>SIM_Districts!E34</f>
        <v>7918</v>
      </c>
      <c r="M673" s="68">
        <f t="shared" si="392"/>
        <v>11.007741904521342</v>
      </c>
      <c r="N673" s="129">
        <f>N602*(1+SIM_Parametres!$B$6)/(1+SIM_Parametres!$B$11)</f>
        <v>59423</v>
      </c>
      <c r="O673" s="72"/>
      <c r="P673" s="130">
        <f>SIM_Parametres!$D$31</f>
        <v>0</v>
      </c>
      <c r="Q673" s="130">
        <f>SIM_Parametres!$B$12</f>
        <v>0.2</v>
      </c>
      <c r="R673" s="59">
        <f t="shared" si="381"/>
        <v>4.5323977396930929E-3</v>
      </c>
      <c r="S673" s="59">
        <f t="shared" si="382"/>
        <v>1</v>
      </c>
      <c r="T673" s="59">
        <f t="shared" si="383"/>
        <v>0.80386740331491713</v>
      </c>
      <c r="U673" s="59">
        <f t="shared" si="384"/>
        <v>0.77386406994971768</v>
      </c>
      <c r="V673" s="59">
        <f t="shared" si="385"/>
        <v>0</v>
      </c>
      <c r="W673" s="59">
        <f t="shared" si="386"/>
        <v>2.3842739378566898E-2</v>
      </c>
      <c r="X673" s="59">
        <f t="shared" si="387"/>
        <v>1.590772426611272E-2</v>
      </c>
      <c r="Y673" s="59">
        <f t="shared" si="388"/>
        <v>1.9772002155383658E-2</v>
      </c>
      <c r="Z673" s="59">
        <f t="shared" si="389"/>
        <v>0</v>
      </c>
      <c r="AA673" s="59">
        <f t="shared" si="393"/>
        <v>9.6706082982869809E-3</v>
      </c>
      <c r="AB673" s="59">
        <f t="shared" si="390"/>
        <v>1.2918874141584206E-2</v>
      </c>
      <c r="AC673" s="60">
        <f t="shared" si="394"/>
        <v>15660179.493500508</v>
      </c>
      <c r="AD673" s="60">
        <f t="shared" si="399"/>
        <v>19170325.871521682</v>
      </c>
      <c r="AE673" s="59">
        <f t="shared" si="397"/>
        <v>3.200000000000025E-2</v>
      </c>
      <c r="AF673" s="60">
        <f t="shared" si="400"/>
        <v>19170325.871521682</v>
      </c>
      <c r="AG673" s="60">
        <f t="shared" si="391"/>
        <v>1.0000000000000002</v>
      </c>
      <c r="AH673" s="60">
        <f t="shared" si="401"/>
        <v>19170325.871521685</v>
      </c>
      <c r="AI673" s="60">
        <f t="shared" si="395"/>
        <v>219.94584380029841</v>
      </c>
      <c r="AJ673" s="60">
        <f t="shared" si="396"/>
        <v>0</v>
      </c>
      <c r="AK673" s="59">
        <f t="shared" si="398"/>
        <v>3.2000000000000473E-2</v>
      </c>
    </row>
    <row r="674" spans="1:37" ht="12.75" customHeight="1" x14ac:dyDescent="0.25">
      <c r="A674" s="62" t="s">
        <v>625</v>
      </c>
      <c r="B674" s="62" t="s">
        <v>417</v>
      </c>
      <c r="C674" s="62" t="s">
        <v>417</v>
      </c>
      <c r="D674" s="124">
        <v>2025</v>
      </c>
      <c r="E674" s="62" t="s">
        <v>676</v>
      </c>
      <c r="F674" s="64">
        <f>SIM_Parametres!$C$31</f>
        <v>1483900660.492918</v>
      </c>
      <c r="G674" s="125">
        <f>SIM_Districts!D35*(1+SIM_Parametres!$B$6)^(2025-2023)</f>
        <v>360378.18189999997</v>
      </c>
      <c r="H674" s="125">
        <f>MAX(0,MIN(100,SIM_Districts!F35+(2025-2022)*SIM_Parametres!$B$7))</f>
        <v>60.01</v>
      </c>
      <c r="I674" s="125">
        <f>SIM_Districts!G35*(1+SIM_Parametres!$B$8)^(2025-2023)</f>
        <v>35.343999999999994</v>
      </c>
      <c r="J674" s="125">
        <f>SIM_Districts!H35*(1+SIM_Parametres!$B$9)^(2025-2023)</f>
        <v>14.499000000000001</v>
      </c>
      <c r="K674" s="125">
        <f>MAX(0,MIN(100,SIM_Districts!I35+(2025-2023)*SIM_Parametres!$B$10))</f>
        <v>92.5</v>
      </c>
      <c r="L674" s="125">
        <f>SIM_Districts!E35</f>
        <v>3571</v>
      </c>
      <c r="M674" s="61">
        <f t="shared" si="392"/>
        <v>100.91800109213105</v>
      </c>
      <c r="N674" s="125">
        <f>N603*(1+SIM_Parametres!$B$6)/(1+SIM_Parametres!$B$11)</f>
        <v>155501</v>
      </c>
      <c r="O674" s="132"/>
      <c r="P674" s="126">
        <f>SIM_Parametres!$D$31</f>
        <v>0</v>
      </c>
      <c r="Q674" s="126">
        <f>SIM_Parametres!$B$12</f>
        <v>0.2</v>
      </c>
      <c r="R674" s="66">
        <f t="shared" si="381"/>
        <v>1.8740137307002365E-2</v>
      </c>
      <c r="S674" s="66">
        <f t="shared" si="382"/>
        <v>0.94326241134751765</v>
      </c>
      <c r="T674" s="66">
        <f t="shared" si="383"/>
        <v>0.70994475138121538</v>
      </c>
      <c r="U674" s="66">
        <f t="shared" si="384"/>
        <v>0.62208351647816396</v>
      </c>
      <c r="V674" s="66">
        <f t="shared" si="385"/>
        <v>0.66684249613059499</v>
      </c>
      <c r="W674" s="66">
        <f t="shared" si="386"/>
        <v>2.2489959839357424E-2</v>
      </c>
      <c r="X674" s="66">
        <f t="shared" si="387"/>
        <v>1.4049089815776525E-2</v>
      </c>
      <c r="Y674" s="66">
        <f t="shared" si="388"/>
        <v>1.589405311120607E-2</v>
      </c>
      <c r="Z674" s="66">
        <f t="shared" si="389"/>
        <v>2.4475353458158197E-2</v>
      </c>
      <c r="AA674" s="66">
        <f t="shared" si="393"/>
        <v>1.8743410160939722E-2</v>
      </c>
      <c r="AB674" s="66">
        <f t="shared" si="390"/>
        <v>1.4750385205423286E-2</v>
      </c>
      <c r="AC674" s="67">
        <f t="shared" si="394"/>
        <v>26430688.834709931</v>
      </c>
      <c r="AD674" s="67">
        <f t="shared" si="399"/>
        <v>21888106.348852579</v>
      </c>
      <c r="AE674" s="66">
        <f t="shared" si="397"/>
        <v>3.2000000000000028E-2</v>
      </c>
      <c r="AF674" s="67">
        <f t="shared" si="400"/>
        <v>21888106.348852579</v>
      </c>
      <c r="AG674" s="67">
        <f t="shared" si="391"/>
        <v>1.0000000000000002</v>
      </c>
      <c r="AH674" s="67">
        <f t="shared" si="401"/>
        <v>21888106.348852582</v>
      </c>
      <c r="AI674" s="67">
        <f t="shared" si="395"/>
        <v>60.736491408700857</v>
      </c>
      <c r="AJ674" s="67">
        <f t="shared" si="396"/>
        <v>0</v>
      </c>
      <c r="AK674" s="66">
        <f t="shared" si="398"/>
        <v>3.200000000000025E-2</v>
      </c>
    </row>
    <row r="675" spans="1:37" ht="12.75" customHeight="1" x14ac:dyDescent="0.25">
      <c r="A675" s="55" t="s">
        <v>627</v>
      </c>
      <c r="B675" s="55" t="s">
        <v>417</v>
      </c>
      <c r="C675" s="55" t="s">
        <v>419</v>
      </c>
      <c r="D675" s="128">
        <v>2025</v>
      </c>
      <c r="E675" s="55" t="s">
        <v>676</v>
      </c>
      <c r="F675" s="57">
        <f>SIM_Parametres!$C$31</f>
        <v>1483900660.492918</v>
      </c>
      <c r="G675" s="129">
        <f>SIM_Districts!D36*(1+SIM_Parametres!$B$6)^(2025-2023)</f>
        <v>202296.6556</v>
      </c>
      <c r="H675" s="129">
        <f>MAX(0,MIN(100,SIM_Districts!F36+(2025-2022)*SIM_Parametres!$B$7))</f>
        <v>60.01</v>
      </c>
      <c r="I675" s="129">
        <f>SIM_Districts!G36*(1+SIM_Parametres!$B$8)^(2025-2023)</f>
        <v>35.343999999999994</v>
      </c>
      <c r="J675" s="129">
        <f>SIM_Districts!H36*(1+SIM_Parametres!$B$9)^(2025-2023)</f>
        <v>14.499000000000001</v>
      </c>
      <c r="K675" s="129">
        <f>MAX(0,MIN(100,SIM_Districts!I36+(2025-2023)*SIM_Parametres!$B$10))</f>
        <v>92.5</v>
      </c>
      <c r="L675" s="129">
        <f>SIM_Districts!E36</f>
        <v>4702</v>
      </c>
      <c r="M675" s="68">
        <f t="shared" si="392"/>
        <v>43.023533730327522</v>
      </c>
      <c r="N675" s="129">
        <f>N604*(1+SIM_Parametres!$B$6)/(1+SIM_Parametres!$B$11)</f>
        <v>155501</v>
      </c>
      <c r="O675" s="72"/>
      <c r="P675" s="130">
        <f>SIM_Parametres!$D$31</f>
        <v>0</v>
      </c>
      <c r="Q675" s="130">
        <f>SIM_Parametres!$B$12</f>
        <v>0.2</v>
      </c>
      <c r="R675" s="59">
        <f t="shared" ref="R675:R706" si="402">IFERROR(G675/SUM($G$643:$G$713),1/71)</f>
        <v>1.0519690961045301E-2</v>
      </c>
      <c r="S675" s="59">
        <f t="shared" ref="S675:S706" si="403">IF(MAX($H$643:$H$713)=MIN($H$643:$H$713),1,(H675-MIN($H$643:$H$713))/(MAX($H$643:$H$713)-MIN($H$643:$H$713)))</f>
        <v>0.94326241134751765</v>
      </c>
      <c r="T675" s="59">
        <f t="shared" ref="T675:T706" si="404">(IF(MAX($I$643:$I$713)=MIN($I$643:$I$713),1,(I675-MIN($I$643:$I$713))/(MAX($I$643:$I$713)-MIN($I$643:$I$713)))+IF(MAX($J$643:$J$713)=MIN($J$643:$J$713),1,(J675-MIN($J$643:$J$713))/(MAX($J$643:$J$713)-MIN($J$643:$J$713))))/2</f>
        <v>0.70994475138121538</v>
      </c>
      <c r="U675" s="59">
        <f t="shared" ref="U675:U706" si="405">(IF(MAX($L$643:$L$713)=MIN($L$643:$L$713),1,(L675-MIN($L$643:$L$713))/(MAX($L$643:$L$713)-MIN($L$643:$L$713)))+IF(MAX($M$643:$M$713)=MIN($M$643:$M$713),1,(MAX($M$643:$M$713)-M675)/(MAX($M$643:$M$713)-MIN($M$643:$M$713))))/2</f>
        <v>0.66203363691805861</v>
      </c>
      <c r="V675" s="59">
        <f t="shared" ref="V675:V706" si="406">IF(MAX($N$643:$N$713)=MIN($N$643:$N$713),1,(N675-MIN($N$643:$N$713))/(MAX($N$643:$N$713)-MIN($N$643:$N$713)))</f>
        <v>0.66684249613059499</v>
      </c>
      <c r="W675" s="59">
        <f t="shared" ref="W675:W706" si="407">IFERROR(S675/SUM($S$643:$S$713),1/71)</f>
        <v>2.2489959839357424E-2</v>
      </c>
      <c r="X675" s="59">
        <f t="shared" ref="X675:X706" si="408">IFERROR(T675/SUM($T$643:$T$713),1/71)</f>
        <v>1.4049089815776525E-2</v>
      </c>
      <c r="Y675" s="59">
        <f t="shared" ref="Y675:Y706" si="409">IFERROR(U675/SUM($U$643:$U$713),1/71)</f>
        <v>1.6914767081679924E-2</v>
      </c>
      <c r="Z675" s="59">
        <f t="shared" ref="Z675:Z706" si="410">IFERROR(V675/SUM($V$643:$V$713),1/71)</f>
        <v>2.4475353458158197E-2</v>
      </c>
      <c r="AA675" s="59">
        <f t="shared" si="393"/>
        <v>1.386217805188918E-2</v>
      </c>
      <c r="AB675" s="59">
        <f t="shared" ref="AB675:AB706" si="411">IFERROR(AH604/SUM($AH$572:$AH$642),1/71)</f>
        <v>1.3806064822049376E-2</v>
      </c>
      <c r="AC675" s="60">
        <f t="shared" si="394"/>
        <v>20636077.99419846</v>
      </c>
      <c r="AD675" s="60">
        <f t="shared" si="399"/>
        <v>20486828.70824711</v>
      </c>
      <c r="AE675" s="59">
        <f t="shared" si="397"/>
        <v>3.200000000000025E-2</v>
      </c>
      <c r="AF675" s="60">
        <f t="shared" si="400"/>
        <v>20486828.70824711</v>
      </c>
      <c r="AG675" s="60">
        <f t="shared" ref="AG675:AG706" si="412">IFERROR(F675/SUM($AF$643:$AF$713),1)</f>
        <v>1.0000000000000002</v>
      </c>
      <c r="AH675" s="60">
        <f t="shared" si="401"/>
        <v>20486828.708247114</v>
      </c>
      <c r="AI675" s="60">
        <f t="shared" si="395"/>
        <v>101.27121799163898</v>
      </c>
      <c r="AJ675" s="60">
        <f t="shared" si="396"/>
        <v>0</v>
      </c>
      <c r="AK675" s="59">
        <f t="shared" si="398"/>
        <v>3.2000000000000473E-2</v>
      </c>
    </row>
    <row r="676" spans="1:37" ht="12.75" customHeight="1" x14ac:dyDescent="0.25">
      <c r="A676" s="62" t="s">
        <v>628</v>
      </c>
      <c r="B676" s="62" t="s">
        <v>417</v>
      </c>
      <c r="C676" s="62" t="s">
        <v>420</v>
      </c>
      <c r="D676" s="124">
        <v>2025</v>
      </c>
      <c r="E676" s="62" t="s">
        <v>676</v>
      </c>
      <c r="F676" s="64">
        <f>SIM_Parametres!$C$31</f>
        <v>1483900660.492918</v>
      </c>
      <c r="G676" s="125">
        <f>SIM_Districts!D37*(1+SIM_Parametres!$B$6)^(2025-2023)</f>
        <v>407834.36069999996</v>
      </c>
      <c r="H676" s="125">
        <f>MAX(0,MIN(100,SIM_Districts!F37+(2025-2022)*SIM_Parametres!$B$7))</f>
        <v>60.01</v>
      </c>
      <c r="I676" s="125">
        <f>SIM_Districts!G37*(1+SIM_Parametres!$B$8)^(2025-2023)</f>
        <v>35.343999999999994</v>
      </c>
      <c r="J676" s="125">
        <f>SIM_Districts!H37*(1+SIM_Parametres!$B$9)^(2025-2023)</f>
        <v>14.499000000000001</v>
      </c>
      <c r="K676" s="125">
        <f>MAX(0,MIN(100,SIM_Districts!I37+(2025-2023)*SIM_Parametres!$B$10))</f>
        <v>92.5</v>
      </c>
      <c r="L676" s="125">
        <f>SIM_Districts!E37</f>
        <v>5498</v>
      </c>
      <c r="M676" s="61">
        <f t="shared" si="392"/>
        <v>74.178676009457973</v>
      </c>
      <c r="N676" s="125">
        <f>N605*(1+SIM_Parametres!$B$6)/(1+SIM_Parametres!$B$11)</f>
        <v>155501</v>
      </c>
      <c r="O676" s="132"/>
      <c r="P676" s="126">
        <f>SIM_Parametres!$D$31</f>
        <v>0</v>
      </c>
      <c r="Q676" s="126">
        <f>SIM_Parametres!$B$12</f>
        <v>0.2</v>
      </c>
      <c r="R676" s="66">
        <f t="shared" si="402"/>
        <v>2.1207920739642117E-2</v>
      </c>
      <c r="S676" s="66">
        <f t="shared" si="403"/>
        <v>0.94326241134751765</v>
      </c>
      <c r="T676" s="66">
        <f t="shared" si="404"/>
        <v>0.70994475138121538</v>
      </c>
      <c r="U676" s="66">
        <f t="shared" si="405"/>
        <v>0.68919209164884088</v>
      </c>
      <c r="V676" s="66">
        <f t="shared" si="406"/>
        <v>0.66684249613059499</v>
      </c>
      <c r="W676" s="66">
        <f t="shared" si="407"/>
        <v>2.2489959839357424E-2</v>
      </c>
      <c r="X676" s="66">
        <f t="shared" si="408"/>
        <v>1.4049089815776525E-2</v>
      </c>
      <c r="Y676" s="66">
        <f t="shared" si="409"/>
        <v>1.7608657709666835E-2</v>
      </c>
      <c r="Z676" s="66">
        <f t="shared" si="410"/>
        <v>2.4475353458158197E-2</v>
      </c>
      <c r="AA676" s="66">
        <f t="shared" si="393"/>
        <v>2.0309810450446619E-2</v>
      </c>
      <c r="AB676" s="66">
        <f t="shared" si="411"/>
        <v>1.8667130425431458E-2</v>
      </c>
      <c r="AC676" s="67">
        <f t="shared" si="394"/>
        <v>28290194.774066396</v>
      </c>
      <c r="AD676" s="67">
        <f t="shared" si="399"/>
        <v>27700167.167805187</v>
      </c>
      <c r="AE676" s="66">
        <f t="shared" si="397"/>
        <v>3.200000000000025E-2</v>
      </c>
      <c r="AF676" s="67">
        <f t="shared" si="400"/>
        <v>27700167.167805187</v>
      </c>
      <c r="AG676" s="67">
        <f t="shared" si="412"/>
        <v>1.0000000000000002</v>
      </c>
      <c r="AH676" s="67">
        <f t="shared" si="401"/>
        <v>27700167.167805195</v>
      </c>
      <c r="AI676" s="67">
        <f t="shared" si="395"/>
        <v>67.920140716591661</v>
      </c>
      <c r="AJ676" s="67">
        <f t="shared" si="396"/>
        <v>0</v>
      </c>
      <c r="AK676" s="66">
        <f t="shared" si="398"/>
        <v>3.2000000000000473E-2</v>
      </c>
    </row>
    <row r="677" spans="1:37" ht="12.75" customHeight="1" x14ac:dyDescent="0.25">
      <c r="A677" s="55" t="s">
        <v>629</v>
      </c>
      <c r="B677" s="55" t="s">
        <v>421</v>
      </c>
      <c r="C677" s="55" t="s">
        <v>423</v>
      </c>
      <c r="D677" s="128">
        <v>2025</v>
      </c>
      <c r="E677" s="55" t="s">
        <v>676</v>
      </c>
      <c r="F677" s="57">
        <f>SIM_Parametres!$C$31</f>
        <v>1483900660.492918</v>
      </c>
      <c r="G677" s="129">
        <f>SIM_Districts!D38*(1+SIM_Parametres!$B$6)^(2025-2023)</f>
        <v>86689.3217</v>
      </c>
      <c r="H677" s="129">
        <f>MAX(0,MIN(100,SIM_Districts!F38+(2025-2022)*SIM_Parametres!$B$7))</f>
        <v>44.51</v>
      </c>
      <c r="I677" s="129">
        <f>SIM_Districts!G38*(1+SIM_Parametres!$B$8)^(2025-2023)</f>
        <v>35.343999999999994</v>
      </c>
      <c r="J677" s="129">
        <f>SIM_Districts!H38*(1+SIM_Parametres!$B$9)^(2025-2023)</f>
        <v>14.580000000000002</v>
      </c>
      <c r="K677" s="129">
        <f>MAX(0,MIN(100,SIM_Districts!I38+(2025-2023)*SIM_Parametres!$B$10))</f>
        <v>97.8</v>
      </c>
      <c r="L677" s="129">
        <f>SIM_Districts!E38</f>
        <v>822</v>
      </c>
      <c r="M677" s="68">
        <f t="shared" si="392"/>
        <v>105.46146192214113</v>
      </c>
      <c r="N677" s="129">
        <f>N606*(1+SIM_Parametres!$B$6)/(1+SIM_Parametres!$B$11)</f>
        <v>97480</v>
      </c>
      <c r="O677" s="72"/>
      <c r="P677" s="130">
        <f>SIM_Parametres!$D$31</f>
        <v>0</v>
      </c>
      <c r="Q677" s="130">
        <f>SIM_Parametres!$B$12</f>
        <v>0.2</v>
      </c>
      <c r="R677" s="59">
        <f t="shared" si="402"/>
        <v>4.5079582319433971E-3</v>
      </c>
      <c r="S677" s="59">
        <f t="shared" si="403"/>
        <v>0.66843971631205668</v>
      </c>
      <c r="T677" s="59">
        <f t="shared" si="404"/>
        <v>0.71270718232044206</v>
      </c>
      <c r="U677" s="59">
        <f t="shared" si="405"/>
        <v>0.52679639914705134</v>
      </c>
      <c r="V677" s="59">
        <f t="shared" si="406"/>
        <v>0.26413981218637</v>
      </c>
      <c r="W677" s="59">
        <f t="shared" si="407"/>
        <v>1.5937433946311558E-2</v>
      </c>
      <c r="X677" s="59">
        <f t="shared" si="408"/>
        <v>1.4103755534904065E-2</v>
      </c>
      <c r="Y677" s="59">
        <f t="shared" si="409"/>
        <v>1.3459494947298202E-2</v>
      </c>
      <c r="Z677" s="59">
        <f t="shared" si="410"/>
        <v>9.6948159470131197E-3</v>
      </c>
      <c r="AA677" s="59">
        <f t="shared" si="393"/>
        <v>8.3686689060639488E-3</v>
      </c>
      <c r="AB677" s="59">
        <f t="shared" si="411"/>
        <v>1.1122649070718173E-2</v>
      </c>
      <c r="AC677" s="60">
        <f t="shared" si="394"/>
        <v>14114620.514267303</v>
      </c>
      <c r="AD677" s="60">
        <f t="shared" si="399"/>
        <v>16504906.302469637</v>
      </c>
      <c r="AE677" s="59">
        <f t="shared" si="397"/>
        <v>3.200000000000025E-2</v>
      </c>
      <c r="AF677" s="60">
        <f t="shared" si="400"/>
        <v>16504906.302469637</v>
      </c>
      <c r="AG677" s="60">
        <f t="shared" si="412"/>
        <v>1.0000000000000002</v>
      </c>
      <c r="AH677" s="60">
        <f t="shared" si="401"/>
        <v>16504906.302469641</v>
      </c>
      <c r="AI677" s="60">
        <f t="shared" si="395"/>
        <v>190.39145743448171</v>
      </c>
      <c r="AJ677" s="60">
        <f t="shared" si="396"/>
        <v>0</v>
      </c>
      <c r="AK677" s="59">
        <f t="shared" si="398"/>
        <v>3.2000000000000473E-2</v>
      </c>
    </row>
    <row r="678" spans="1:37" ht="12.75" customHeight="1" x14ac:dyDescent="0.25">
      <c r="A678" s="62" t="s">
        <v>631</v>
      </c>
      <c r="B678" s="62" t="s">
        <v>421</v>
      </c>
      <c r="C678" s="62" t="s">
        <v>424</v>
      </c>
      <c r="D678" s="124">
        <v>2025</v>
      </c>
      <c r="E678" s="62" t="s">
        <v>676</v>
      </c>
      <c r="F678" s="64">
        <f>SIM_Parametres!$C$31</f>
        <v>1483900660.492918</v>
      </c>
      <c r="G678" s="125">
        <f>SIM_Districts!D39*(1+SIM_Parametres!$B$6)^(2025-2023)</f>
        <v>180106.87119999999</v>
      </c>
      <c r="H678" s="125">
        <f>MAX(0,MIN(100,SIM_Districts!F39+(2025-2022)*SIM_Parametres!$B$7))</f>
        <v>44.51</v>
      </c>
      <c r="I678" s="125">
        <f>SIM_Districts!G39*(1+SIM_Parametres!$B$8)^(2025-2023)</f>
        <v>35.343999999999994</v>
      </c>
      <c r="J678" s="125">
        <f>SIM_Districts!H39*(1+SIM_Parametres!$B$9)^(2025-2023)</f>
        <v>14.580000000000002</v>
      </c>
      <c r="K678" s="125">
        <f>MAX(0,MIN(100,SIM_Districts!I39+(2025-2023)*SIM_Parametres!$B$10))</f>
        <v>97.8</v>
      </c>
      <c r="L678" s="125">
        <f>SIM_Districts!E39</f>
        <v>6832</v>
      </c>
      <c r="M678" s="61">
        <f t="shared" si="392"/>
        <v>26.362246955503512</v>
      </c>
      <c r="N678" s="125">
        <f>N607*(1+SIM_Parametres!$B$6)/(1+SIM_Parametres!$B$11)</f>
        <v>97480</v>
      </c>
      <c r="O678" s="132"/>
      <c r="P678" s="126">
        <f>SIM_Parametres!$D$31</f>
        <v>0</v>
      </c>
      <c r="Q678" s="126">
        <f>SIM_Parametres!$B$12</f>
        <v>0.2</v>
      </c>
      <c r="R678" s="66">
        <f t="shared" si="402"/>
        <v>9.3657931188497121E-3</v>
      </c>
      <c r="S678" s="66">
        <f t="shared" si="403"/>
        <v>0.66843971631205668</v>
      </c>
      <c r="T678" s="66">
        <f t="shared" si="404"/>
        <v>0.71270718232044206</v>
      </c>
      <c r="U678" s="66">
        <f t="shared" si="405"/>
        <v>0.73603986945859257</v>
      </c>
      <c r="V678" s="66">
        <f t="shared" si="406"/>
        <v>0.26413981218637</v>
      </c>
      <c r="W678" s="66">
        <f t="shared" si="407"/>
        <v>1.5937433946311558E-2</v>
      </c>
      <c r="X678" s="66">
        <f t="shared" si="408"/>
        <v>1.4103755534904065E-2</v>
      </c>
      <c r="Y678" s="66">
        <f t="shared" si="409"/>
        <v>1.880560482195431E-2</v>
      </c>
      <c r="Z678" s="66">
        <f t="shared" si="410"/>
        <v>9.6948159470131197E-3</v>
      </c>
      <c r="AA678" s="66">
        <f t="shared" si="393"/>
        <v>1.1550675331940541E-2</v>
      </c>
      <c r="AB678" s="66">
        <f t="shared" si="411"/>
        <v>1.7022971181425459E-2</v>
      </c>
      <c r="AC678" s="67">
        <f t="shared" si="394"/>
        <v>17892045.66390809</v>
      </c>
      <c r="AD678" s="67">
        <f t="shared" si="399"/>
        <v>25260398.179669149</v>
      </c>
      <c r="AE678" s="66">
        <f t="shared" si="397"/>
        <v>3.200000000000025E-2</v>
      </c>
      <c r="AF678" s="67">
        <f t="shared" si="400"/>
        <v>25260398.179669149</v>
      </c>
      <c r="AG678" s="67">
        <f t="shared" si="412"/>
        <v>1.0000000000000002</v>
      </c>
      <c r="AH678" s="67">
        <f t="shared" si="401"/>
        <v>25260398.179669157</v>
      </c>
      <c r="AI678" s="67">
        <f t="shared" si="395"/>
        <v>140.25227361602825</v>
      </c>
      <c r="AJ678" s="67">
        <f t="shared" si="396"/>
        <v>0</v>
      </c>
      <c r="AK678" s="66">
        <f t="shared" si="398"/>
        <v>3.2000000000000473E-2</v>
      </c>
    </row>
    <row r="679" spans="1:37" ht="12.75" customHeight="1" x14ac:dyDescent="0.25">
      <c r="A679" s="55" t="s">
        <v>632</v>
      </c>
      <c r="B679" s="55" t="s">
        <v>421</v>
      </c>
      <c r="C679" s="55" t="s">
        <v>425</v>
      </c>
      <c r="D679" s="128">
        <v>2025</v>
      </c>
      <c r="E679" s="55" t="s">
        <v>676</v>
      </c>
      <c r="F679" s="57">
        <f>SIM_Parametres!$C$31</f>
        <v>1483900660.492918</v>
      </c>
      <c r="G679" s="129">
        <f>SIM_Districts!D40*(1+SIM_Parametres!$B$6)^(2025-2023)</f>
        <v>113238.34419999999</v>
      </c>
      <c r="H679" s="129">
        <f>MAX(0,MIN(100,SIM_Districts!F40+(2025-2022)*SIM_Parametres!$B$7))</f>
        <v>44.51</v>
      </c>
      <c r="I679" s="129">
        <f>SIM_Districts!G40*(1+SIM_Parametres!$B$8)^(2025-2023)</f>
        <v>35.343999999999994</v>
      </c>
      <c r="J679" s="129">
        <f>SIM_Districts!H40*(1+SIM_Parametres!$B$9)^(2025-2023)</f>
        <v>14.580000000000002</v>
      </c>
      <c r="K679" s="129">
        <f>MAX(0,MIN(100,SIM_Districts!I40+(2025-2023)*SIM_Parametres!$B$10))</f>
        <v>97.8</v>
      </c>
      <c r="L679" s="129">
        <f>SIM_Districts!E40</f>
        <v>1601</v>
      </c>
      <c r="M679" s="68">
        <f t="shared" si="392"/>
        <v>70.729759025608985</v>
      </c>
      <c r="N679" s="129">
        <f>N608*(1+SIM_Parametres!$B$6)/(1+SIM_Parametres!$B$11)</f>
        <v>97480</v>
      </c>
      <c r="O679" s="72"/>
      <c r="P679" s="130">
        <f>SIM_Parametres!$D$31</f>
        <v>0</v>
      </c>
      <c r="Q679" s="130">
        <f>SIM_Parametres!$B$12</f>
        <v>0.2</v>
      </c>
      <c r="R679" s="59">
        <f t="shared" si="402"/>
        <v>5.8885421629505004E-3</v>
      </c>
      <c r="S679" s="59">
        <f t="shared" si="403"/>
        <v>0.66843971631205668</v>
      </c>
      <c r="T679" s="59">
        <f t="shared" si="404"/>
        <v>0.71270718232044206</v>
      </c>
      <c r="U679" s="59">
        <f t="shared" si="405"/>
        <v>0.5542443044598161</v>
      </c>
      <c r="V679" s="59">
        <f t="shared" si="406"/>
        <v>0.26413981218637</v>
      </c>
      <c r="W679" s="59">
        <f t="shared" si="407"/>
        <v>1.5937433946311558E-2</v>
      </c>
      <c r="X679" s="59">
        <f t="shared" si="408"/>
        <v>1.4103755534904065E-2</v>
      </c>
      <c r="Y679" s="59">
        <f t="shared" si="409"/>
        <v>1.4160780953560275E-2</v>
      </c>
      <c r="Z679" s="59">
        <f t="shared" si="410"/>
        <v>9.6948159470131197E-3</v>
      </c>
      <c r="AA679" s="59">
        <f t="shared" si="393"/>
        <v>9.2320835649813138E-3</v>
      </c>
      <c r="AB679" s="59">
        <f t="shared" si="411"/>
        <v>1.785891315781073E-2</v>
      </c>
      <c r="AC679" s="60">
        <f t="shared" si="394"/>
        <v>15139597.780384699</v>
      </c>
      <c r="AD679" s="60">
        <f t="shared" si="399"/>
        <v>26500853.030561008</v>
      </c>
      <c r="AE679" s="59">
        <f t="shared" si="397"/>
        <v>3.200000000000025E-2</v>
      </c>
      <c r="AF679" s="60">
        <f t="shared" si="400"/>
        <v>26500853.030561008</v>
      </c>
      <c r="AG679" s="60">
        <f t="shared" si="412"/>
        <v>1.0000000000000002</v>
      </c>
      <c r="AH679" s="60">
        <f t="shared" si="401"/>
        <v>26500853.030561015</v>
      </c>
      <c r="AI679" s="60">
        <f t="shared" si="395"/>
        <v>234.02720357475005</v>
      </c>
      <c r="AJ679" s="60">
        <f t="shared" si="396"/>
        <v>0</v>
      </c>
      <c r="AK679" s="59">
        <f t="shared" si="398"/>
        <v>3.2000000000000473E-2</v>
      </c>
    </row>
    <row r="680" spans="1:37" ht="12.75" customHeight="1" x14ac:dyDescent="0.25">
      <c r="A680" s="62" t="s">
        <v>633</v>
      </c>
      <c r="B680" s="62" t="s">
        <v>421</v>
      </c>
      <c r="C680" s="62" t="s">
        <v>426</v>
      </c>
      <c r="D680" s="124">
        <v>2025</v>
      </c>
      <c r="E680" s="62" t="s">
        <v>676</v>
      </c>
      <c r="F680" s="64">
        <f>SIM_Parametres!$C$31</f>
        <v>1483900660.492918</v>
      </c>
      <c r="G680" s="125">
        <f>SIM_Districts!D41*(1+SIM_Parametres!$B$6)^(2025-2023)</f>
        <v>240768.0723</v>
      </c>
      <c r="H680" s="125">
        <f>MAX(0,MIN(100,SIM_Districts!F41+(2025-2022)*SIM_Parametres!$B$7))</f>
        <v>44.51</v>
      </c>
      <c r="I680" s="125">
        <f>SIM_Districts!G41*(1+SIM_Parametres!$B$8)^(2025-2023)</f>
        <v>35.343999999999994</v>
      </c>
      <c r="J680" s="125">
        <f>SIM_Districts!H41*(1+SIM_Parametres!$B$9)^(2025-2023)</f>
        <v>14.580000000000002</v>
      </c>
      <c r="K680" s="125">
        <f>MAX(0,MIN(100,SIM_Districts!I41+(2025-2023)*SIM_Parametres!$B$10))</f>
        <v>97.8</v>
      </c>
      <c r="L680" s="125">
        <f>SIM_Districts!E41</f>
        <v>2260</v>
      </c>
      <c r="M680" s="61">
        <f t="shared" si="392"/>
        <v>106.53454526548673</v>
      </c>
      <c r="N680" s="125">
        <f>N609*(1+SIM_Parametres!$B$6)/(1+SIM_Parametres!$B$11)</f>
        <v>97480</v>
      </c>
      <c r="O680" s="132"/>
      <c r="P680" s="126">
        <f>SIM_Parametres!$D$31</f>
        <v>0</v>
      </c>
      <c r="Q680" s="126">
        <f>SIM_Parametres!$B$12</f>
        <v>0.2</v>
      </c>
      <c r="R680" s="66">
        <f t="shared" si="402"/>
        <v>1.252025500061016E-2</v>
      </c>
      <c r="S680" s="66">
        <f t="shared" si="403"/>
        <v>0.66843971631205668</v>
      </c>
      <c r="T680" s="66">
        <f t="shared" si="404"/>
        <v>0.71270718232044206</v>
      </c>
      <c r="U680" s="66">
        <f t="shared" si="405"/>
        <v>0.57659503553202685</v>
      </c>
      <c r="V680" s="66">
        <f t="shared" si="406"/>
        <v>0.26413981218637</v>
      </c>
      <c r="W680" s="66">
        <f t="shared" si="407"/>
        <v>1.5937433946311558E-2</v>
      </c>
      <c r="X680" s="66">
        <f t="shared" si="408"/>
        <v>1.4103755534904065E-2</v>
      </c>
      <c r="Y680" s="66">
        <f t="shared" si="409"/>
        <v>1.4731835638865494E-2</v>
      </c>
      <c r="Z680" s="66">
        <f t="shared" si="410"/>
        <v>9.6948159470131197E-3</v>
      </c>
      <c r="AA680" s="66">
        <f t="shared" si="393"/>
        <v>1.3239664001842372E-2</v>
      </c>
      <c r="AB680" s="66">
        <f t="shared" si="411"/>
        <v>1.3885878377583649E-2</v>
      </c>
      <c r="AC680" s="67">
        <f t="shared" si="394"/>
        <v>19897078.786173996</v>
      </c>
      <c r="AD680" s="67">
        <f t="shared" si="399"/>
        <v>20605264.096020706</v>
      </c>
      <c r="AE680" s="66">
        <f t="shared" si="397"/>
        <v>3.200000000000025E-2</v>
      </c>
      <c r="AF680" s="67">
        <f t="shared" si="400"/>
        <v>20605264.096020706</v>
      </c>
      <c r="AG680" s="67">
        <f t="shared" si="412"/>
        <v>1.0000000000000002</v>
      </c>
      <c r="AH680" s="67">
        <f t="shared" si="401"/>
        <v>20605264.09602071</v>
      </c>
      <c r="AI680" s="67">
        <f t="shared" si="395"/>
        <v>85.581380866588887</v>
      </c>
      <c r="AJ680" s="67">
        <f t="shared" si="396"/>
        <v>0</v>
      </c>
      <c r="AK680" s="66">
        <f t="shared" si="398"/>
        <v>3.2000000000000473E-2</v>
      </c>
    </row>
    <row r="681" spans="1:37" ht="12.75" customHeight="1" x14ac:dyDescent="0.25">
      <c r="A681" s="55" t="s">
        <v>634</v>
      </c>
      <c r="B681" s="55" t="s">
        <v>421</v>
      </c>
      <c r="C681" s="55" t="s">
        <v>427</v>
      </c>
      <c r="D681" s="128">
        <v>2025</v>
      </c>
      <c r="E681" s="55" t="s">
        <v>676</v>
      </c>
      <c r="F681" s="57">
        <f>SIM_Parametres!$C$31</f>
        <v>1483900660.492918</v>
      </c>
      <c r="G681" s="129">
        <f>SIM_Districts!D42*(1+SIM_Parametres!$B$6)^(2025-2023)</f>
        <v>103369.85239999999</v>
      </c>
      <c r="H681" s="129">
        <f>MAX(0,MIN(100,SIM_Districts!F42+(2025-2022)*SIM_Parametres!$B$7))</f>
        <v>44.51</v>
      </c>
      <c r="I681" s="129">
        <f>SIM_Districts!G42*(1+SIM_Parametres!$B$8)^(2025-2023)</f>
        <v>35.343999999999994</v>
      </c>
      <c r="J681" s="129">
        <f>SIM_Districts!H42*(1+SIM_Parametres!$B$9)^(2025-2023)</f>
        <v>14.580000000000002</v>
      </c>
      <c r="K681" s="129">
        <f>MAX(0,MIN(100,SIM_Districts!I42+(2025-2023)*SIM_Parametres!$B$10))</f>
        <v>97.8</v>
      </c>
      <c r="L681" s="129">
        <f>SIM_Districts!E42</f>
        <v>2889</v>
      </c>
      <c r="M681" s="68">
        <f t="shared" si="392"/>
        <v>35.780495811699545</v>
      </c>
      <c r="N681" s="129">
        <f>N610*(1+SIM_Parametres!$B$6)/(1+SIM_Parametres!$B$11)</f>
        <v>97480</v>
      </c>
      <c r="O681" s="72"/>
      <c r="P681" s="130">
        <f>SIM_Parametres!$D$31</f>
        <v>0</v>
      </c>
      <c r="Q681" s="130">
        <f>SIM_Parametres!$B$12</f>
        <v>0.2</v>
      </c>
      <c r="R681" s="59">
        <f t="shared" si="402"/>
        <v>5.3753676683959313E-3</v>
      </c>
      <c r="S681" s="59">
        <f t="shared" si="403"/>
        <v>0.66843971631205668</v>
      </c>
      <c r="T681" s="59">
        <f t="shared" si="404"/>
        <v>0.71270718232044206</v>
      </c>
      <c r="U681" s="59">
        <f t="shared" si="405"/>
        <v>0.59932709011759788</v>
      </c>
      <c r="V681" s="59">
        <f t="shared" si="406"/>
        <v>0.26413981218637</v>
      </c>
      <c r="W681" s="59">
        <f t="shared" si="407"/>
        <v>1.5937433946311558E-2</v>
      </c>
      <c r="X681" s="59">
        <f t="shared" si="408"/>
        <v>1.4103755534904065E-2</v>
      </c>
      <c r="Y681" s="59">
        <f t="shared" si="409"/>
        <v>1.5312633029150603E-2</v>
      </c>
      <c r="Z681" s="59">
        <f t="shared" si="410"/>
        <v>9.6948159470131197E-3</v>
      </c>
      <c r="AA681" s="59">
        <f t="shared" si="393"/>
        <v>8.9817714720280897E-3</v>
      </c>
      <c r="AB681" s="59">
        <f t="shared" si="411"/>
        <v>1.2318172118352585E-2</v>
      </c>
      <c r="AC681" s="60">
        <f t="shared" si="394"/>
        <v>14842447.156334575</v>
      </c>
      <c r="AD681" s="60">
        <f t="shared" si="399"/>
        <v>18278943.74248885</v>
      </c>
      <c r="AE681" s="59">
        <f t="shared" si="397"/>
        <v>3.2000000000000473E-2</v>
      </c>
      <c r="AF681" s="60">
        <f t="shared" si="400"/>
        <v>18278943.74248885</v>
      </c>
      <c r="AG681" s="60">
        <f t="shared" si="412"/>
        <v>1.0000000000000002</v>
      </c>
      <c r="AH681" s="60">
        <f t="shared" si="401"/>
        <v>18278943.742488854</v>
      </c>
      <c r="AI681" s="60">
        <f t="shared" si="395"/>
        <v>176.8305102319064</v>
      </c>
      <c r="AJ681" s="60">
        <f t="shared" si="396"/>
        <v>0</v>
      </c>
      <c r="AK681" s="59">
        <f t="shared" si="398"/>
        <v>3.2000000000000473E-2</v>
      </c>
    </row>
    <row r="682" spans="1:37" ht="12.75" customHeight="1" x14ac:dyDescent="0.25">
      <c r="A682" s="62" t="s">
        <v>635</v>
      </c>
      <c r="B682" s="62" t="s">
        <v>421</v>
      </c>
      <c r="C682" s="62" t="s">
        <v>428</v>
      </c>
      <c r="D682" s="124">
        <v>2025</v>
      </c>
      <c r="E682" s="62" t="s">
        <v>676</v>
      </c>
      <c r="F682" s="64">
        <f>SIM_Parametres!$C$31</f>
        <v>1483900660.492918</v>
      </c>
      <c r="G682" s="125">
        <f>SIM_Districts!D43*(1+SIM_Parametres!$B$6)^(2025-2023)</f>
        <v>150416.5238</v>
      </c>
      <c r="H682" s="125">
        <f>MAX(0,MIN(100,SIM_Districts!F43+(2025-2022)*SIM_Parametres!$B$7))</f>
        <v>44.51</v>
      </c>
      <c r="I682" s="125">
        <f>SIM_Districts!G43*(1+SIM_Parametres!$B$8)^(2025-2023)</f>
        <v>35.343999999999994</v>
      </c>
      <c r="J682" s="125">
        <f>SIM_Districts!H43*(1+SIM_Parametres!$B$9)^(2025-2023)</f>
        <v>14.580000000000002</v>
      </c>
      <c r="K682" s="125">
        <f>MAX(0,MIN(100,SIM_Districts!I43+(2025-2023)*SIM_Parametres!$B$10))</f>
        <v>97.8</v>
      </c>
      <c r="L682" s="125">
        <f>SIM_Districts!E43</f>
        <v>8907</v>
      </c>
      <c r="M682" s="61">
        <f t="shared" si="392"/>
        <v>16.887450746603793</v>
      </c>
      <c r="N682" s="125">
        <f>N611*(1+SIM_Parametres!$B$6)/(1+SIM_Parametres!$B$11)</f>
        <v>97480</v>
      </c>
      <c r="O682" s="132"/>
      <c r="P682" s="126">
        <f>SIM_Parametres!$D$31</f>
        <v>0</v>
      </c>
      <c r="Q682" s="126">
        <f>SIM_Parametres!$B$12</f>
        <v>0.2</v>
      </c>
      <c r="R682" s="66">
        <f t="shared" si="402"/>
        <v>7.8218561800619084E-3</v>
      </c>
      <c r="S682" s="66">
        <f t="shared" si="403"/>
        <v>0.66843971631205668</v>
      </c>
      <c r="T682" s="66">
        <f t="shared" si="404"/>
        <v>0.71270718232044206</v>
      </c>
      <c r="U682" s="66">
        <f t="shared" si="405"/>
        <v>0.80804507507275991</v>
      </c>
      <c r="V682" s="66">
        <f t="shared" si="406"/>
        <v>0.26413981218637</v>
      </c>
      <c r="W682" s="66">
        <f t="shared" si="407"/>
        <v>1.5937433946311558E-2</v>
      </c>
      <c r="X682" s="66">
        <f t="shared" si="408"/>
        <v>1.4103755534904065E-2</v>
      </c>
      <c r="Y682" s="66">
        <f t="shared" si="409"/>
        <v>2.0645316905621231E-2</v>
      </c>
      <c r="Z682" s="66">
        <f t="shared" si="410"/>
        <v>9.6948159470131197E-3</v>
      </c>
      <c r="AA682" s="66">
        <f t="shared" si="393"/>
        <v>1.0716298772851206E-2</v>
      </c>
      <c r="AB682" s="66">
        <f t="shared" si="411"/>
        <v>1.3706927984648913E-2</v>
      </c>
      <c r="AC682" s="67">
        <f t="shared" si="394"/>
        <v>16901540.12220211</v>
      </c>
      <c r="AD682" s="67">
        <f t="shared" si="399"/>
        <v>20339719.489749383</v>
      </c>
      <c r="AE682" s="66">
        <f t="shared" si="397"/>
        <v>3.200000000000025E-2</v>
      </c>
      <c r="AF682" s="67">
        <f t="shared" si="400"/>
        <v>20339719.489749383</v>
      </c>
      <c r="AG682" s="67">
        <f t="shared" si="412"/>
        <v>1.0000000000000002</v>
      </c>
      <c r="AH682" s="67">
        <f t="shared" si="401"/>
        <v>20339719.489749387</v>
      </c>
      <c r="AI682" s="67">
        <f t="shared" si="395"/>
        <v>135.22264027849704</v>
      </c>
      <c r="AJ682" s="67">
        <f t="shared" si="396"/>
        <v>0</v>
      </c>
      <c r="AK682" s="66">
        <f t="shared" si="398"/>
        <v>3.200000000000025E-2</v>
      </c>
    </row>
    <row r="683" spans="1:37" ht="12.75" customHeight="1" x14ac:dyDescent="0.25">
      <c r="A683" s="55" t="s">
        <v>636</v>
      </c>
      <c r="B683" s="55" t="s">
        <v>421</v>
      </c>
      <c r="C683" s="55" t="s">
        <v>421</v>
      </c>
      <c r="D683" s="128">
        <v>2025</v>
      </c>
      <c r="E683" s="55" t="s">
        <v>676</v>
      </c>
      <c r="F683" s="57">
        <f>SIM_Parametres!$C$31</f>
        <v>1483900660.492918</v>
      </c>
      <c r="G683" s="129">
        <f>SIM_Districts!D44*(1+SIM_Parametres!$B$6)^(2025-2023)</f>
        <v>221919.06199999998</v>
      </c>
      <c r="H683" s="129">
        <f>MAX(0,MIN(100,SIM_Districts!F44+(2025-2022)*SIM_Parametres!$B$7))</f>
        <v>44.51</v>
      </c>
      <c r="I683" s="129">
        <f>SIM_Districts!G44*(1+SIM_Parametres!$B$8)^(2025-2023)</f>
        <v>35.343999999999994</v>
      </c>
      <c r="J683" s="129">
        <f>SIM_Districts!H44*(1+SIM_Parametres!$B$9)^(2025-2023)</f>
        <v>14.580000000000002</v>
      </c>
      <c r="K683" s="129">
        <f>MAX(0,MIN(100,SIM_Districts!I44+(2025-2023)*SIM_Parametres!$B$10))</f>
        <v>97.8</v>
      </c>
      <c r="L683" s="129">
        <f>SIM_Districts!E44</f>
        <v>759</v>
      </c>
      <c r="M683" s="68">
        <f t="shared" si="392"/>
        <v>292.38348089591562</v>
      </c>
      <c r="N683" s="129">
        <f>N612*(1+SIM_Parametres!$B$6)/(1+SIM_Parametres!$B$11)</f>
        <v>97480</v>
      </c>
      <c r="O683" s="72"/>
      <c r="P683" s="130">
        <f>SIM_Parametres!$D$31</f>
        <v>0</v>
      </c>
      <c r="Q683" s="130">
        <f>SIM_Parametres!$B$12</f>
        <v>0.2</v>
      </c>
      <c r="R683" s="59">
        <f t="shared" si="402"/>
        <v>1.1540081785736905E-2</v>
      </c>
      <c r="S683" s="59">
        <f t="shared" si="403"/>
        <v>0.66843971631205668</v>
      </c>
      <c r="T683" s="59">
        <f t="shared" si="404"/>
        <v>0.71270718232044206</v>
      </c>
      <c r="U683" s="59">
        <f t="shared" si="405"/>
        <v>0.52212219334654875</v>
      </c>
      <c r="V683" s="59">
        <f t="shared" si="406"/>
        <v>0.26413981218637</v>
      </c>
      <c r="W683" s="59">
        <f t="shared" si="407"/>
        <v>1.5937433946311558E-2</v>
      </c>
      <c r="X683" s="59">
        <f t="shared" si="408"/>
        <v>1.4103755534904065E-2</v>
      </c>
      <c r="Y683" s="59">
        <f t="shared" si="409"/>
        <v>1.3340070347099038E-2</v>
      </c>
      <c r="Z683" s="59">
        <f t="shared" si="410"/>
        <v>9.6948159470131197E-3</v>
      </c>
      <c r="AA683" s="59">
        <f t="shared" si="393"/>
        <v>1.2581971808330095E-2</v>
      </c>
      <c r="AB683" s="59">
        <f t="shared" si="411"/>
        <v>1.6193750346558865E-2</v>
      </c>
      <c r="AC683" s="60">
        <f t="shared" si="394"/>
        <v>19116318.881890874</v>
      </c>
      <c r="AD683" s="60">
        <f t="shared" si="399"/>
        <v>24029916.835116118</v>
      </c>
      <c r="AE683" s="59">
        <f t="shared" si="397"/>
        <v>3.2000000000000028E-2</v>
      </c>
      <c r="AF683" s="60">
        <f t="shared" si="400"/>
        <v>24029916.835116118</v>
      </c>
      <c r="AG683" s="60">
        <f t="shared" si="412"/>
        <v>1.0000000000000002</v>
      </c>
      <c r="AH683" s="60">
        <f t="shared" si="401"/>
        <v>24029916.835116122</v>
      </c>
      <c r="AI683" s="60">
        <f t="shared" si="395"/>
        <v>108.28234680946932</v>
      </c>
      <c r="AJ683" s="60">
        <f t="shared" si="396"/>
        <v>0</v>
      </c>
      <c r="AK683" s="59">
        <f t="shared" si="398"/>
        <v>3.200000000000025E-2</v>
      </c>
    </row>
    <row r="684" spans="1:37" ht="12.75" customHeight="1" x14ac:dyDescent="0.25">
      <c r="A684" s="62" t="s">
        <v>637</v>
      </c>
      <c r="B684" s="62" t="s">
        <v>421</v>
      </c>
      <c r="C684" s="62" t="s">
        <v>429</v>
      </c>
      <c r="D684" s="124">
        <v>2025</v>
      </c>
      <c r="E684" s="62" t="s">
        <v>676</v>
      </c>
      <c r="F684" s="64">
        <f>SIM_Parametres!$C$31</f>
        <v>1483900660.492918</v>
      </c>
      <c r="G684" s="125">
        <f>SIM_Districts!D45*(1+SIM_Parametres!$B$6)^(2025-2023)</f>
        <v>97967.749599999996</v>
      </c>
      <c r="H684" s="125">
        <f>MAX(0,MIN(100,SIM_Districts!F45+(2025-2022)*SIM_Parametres!$B$7))</f>
        <v>44.51</v>
      </c>
      <c r="I684" s="125">
        <f>SIM_Districts!G45*(1+SIM_Parametres!$B$8)^(2025-2023)</f>
        <v>35.343999999999994</v>
      </c>
      <c r="J684" s="125">
        <f>SIM_Districts!H45*(1+SIM_Parametres!$B$9)^(2025-2023)</f>
        <v>14.580000000000002</v>
      </c>
      <c r="K684" s="125">
        <f>MAX(0,MIN(100,SIM_Districts!I45+(2025-2023)*SIM_Parametres!$B$10))</f>
        <v>97.8</v>
      </c>
      <c r="L684" s="125">
        <f>SIM_Districts!E45</f>
        <v>1185</v>
      </c>
      <c r="M684" s="61">
        <f t="shared" si="392"/>
        <v>82.673206413502101</v>
      </c>
      <c r="N684" s="125">
        <f>N613*(1+SIM_Parametres!$B$6)/(1+SIM_Parametres!$B$11)</f>
        <v>97480</v>
      </c>
      <c r="O684" s="132"/>
      <c r="P684" s="126">
        <f>SIM_Parametres!$D$31</f>
        <v>0</v>
      </c>
      <c r="Q684" s="126">
        <f>SIM_Parametres!$B$12</f>
        <v>0.2</v>
      </c>
      <c r="R684" s="66">
        <f t="shared" si="402"/>
        <v>5.0944512497470536E-3</v>
      </c>
      <c r="S684" s="66">
        <f t="shared" si="403"/>
        <v>0.66843971631205668</v>
      </c>
      <c r="T684" s="66">
        <f t="shared" si="404"/>
        <v>0.71270718232044206</v>
      </c>
      <c r="U684" s="66">
        <f t="shared" si="405"/>
        <v>0.53967466644845508</v>
      </c>
      <c r="V684" s="66">
        <f t="shared" si="406"/>
        <v>0.26413981218637</v>
      </c>
      <c r="W684" s="66">
        <f t="shared" si="407"/>
        <v>1.5937433946311558E-2</v>
      </c>
      <c r="X684" s="66">
        <f t="shared" si="408"/>
        <v>1.4103755534904065E-2</v>
      </c>
      <c r="Y684" s="66">
        <f t="shared" si="409"/>
        <v>1.3788530935307707E-2</v>
      </c>
      <c r="Z684" s="66">
        <f t="shared" si="410"/>
        <v>9.6948159470131197E-3</v>
      </c>
      <c r="AA684" s="66">
        <f t="shared" si="393"/>
        <v>8.7370165161466153E-3</v>
      </c>
      <c r="AB684" s="66">
        <f t="shared" si="411"/>
        <v>1.2926435425792715E-2</v>
      </c>
      <c r="AC684" s="67">
        <f t="shared" si="394"/>
        <v>14551893.52378143</v>
      </c>
      <c r="AD684" s="67">
        <f t="shared" si="399"/>
        <v>19181546.066152863</v>
      </c>
      <c r="AE684" s="66">
        <f t="shared" si="397"/>
        <v>3.200000000000025E-2</v>
      </c>
      <c r="AF684" s="67">
        <f t="shared" si="400"/>
        <v>19181546.066152863</v>
      </c>
      <c r="AG684" s="67">
        <f t="shared" si="412"/>
        <v>1.0000000000000002</v>
      </c>
      <c r="AH684" s="67">
        <f t="shared" si="401"/>
        <v>19181546.066152867</v>
      </c>
      <c r="AI684" s="67">
        <f t="shared" si="395"/>
        <v>195.79449507078263</v>
      </c>
      <c r="AJ684" s="67">
        <f t="shared" si="396"/>
        <v>0</v>
      </c>
      <c r="AK684" s="66">
        <f t="shared" si="398"/>
        <v>3.200000000000025E-2</v>
      </c>
    </row>
    <row r="685" spans="1:37" ht="12.75" customHeight="1" x14ac:dyDescent="0.25">
      <c r="A685" s="55" t="s">
        <v>638</v>
      </c>
      <c r="B685" s="55" t="s">
        <v>430</v>
      </c>
      <c r="C685" s="55" t="s">
        <v>432</v>
      </c>
      <c r="D685" s="128">
        <v>2025</v>
      </c>
      <c r="E685" s="55" t="s">
        <v>676</v>
      </c>
      <c r="F685" s="57">
        <f>SIM_Parametres!$C$31</f>
        <v>1483900660.492918</v>
      </c>
      <c r="G685" s="129">
        <f>SIM_Districts!D46*(1+SIM_Parametres!$B$6)^(2025-2023)</f>
        <v>374225.04869999998</v>
      </c>
      <c r="H685" s="129">
        <f>MAX(0,MIN(100,SIM_Districts!F46+(2025-2022)*SIM_Parametres!$B$7))</f>
        <v>42.21</v>
      </c>
      <c r="I685" s="129">
        <f>SIM_Districts!G46*(1+SIM_Parametres!$B$8)^(2025-2023)</f>
        <v>35.343999999999994</v>
      </c>
      <c r="J685" s="129">
        <f>SIM_Districts!H46*(1+SIM_Parametres!$B$9)^(2025-2023)</f>
        <v>20.493000000000002</v>
      </c>
      <c r="K685" s="129">
        <f>MAX(0,MIN(100,SIM_Districts!I46+(2025-2023)*SIM_Parametres!$B$10))</f>
        <v>85.7</v>
      </c>
      <c r="L685" s="129">
        <f>SIM_Districts!E46</f>
        <v>8704</v>
      </c>
      <c r="M685" s="68">
        <f t="shared" si="392"/>
        <v>42.994605778952206</v>
      </c>
      <c r="N685" s="129">
        <f>N614*(1+SIM_Parametres!$B$6)/(1+SIM_Parametres!$B$11)</f>
        <v>133963</v>
      </c>
      <c r="O685" s="72"/>
      <c r="P685" s="130">
        <f>SIM_Parametres!$D$31</f>
        <v>0</v>
      </c>
      <c r="Q685" s="130">
        <f>SIM_Parametres!$B$12</f>
        <v>0.2</v>
      </c>
      <c r="R685" s="59">
        <f t="shared" si="402"/>
        <v>1.9460192510499057E-2</v>
      </c>
      <c r="S685" s="59">
        <f t="shared" si="403"/>
        <v>0.62765957446808507</v>
      </c>
      <c r="T685" s="59">
        <f t="shared" si="404"/>
        <v>0.91436464088397784</v>
      </c>
      <c r="U685" s="59">
        <f t="shared" si="405"/>
        <v>0.80066503267175948</v>
      </c>
      <c r="V685" s="59">
        <f t="shared" si="406"/>
        <v>0.51735506215340199</v>
      </c>
      <c r="W685" s="59">
        <f t="shared" si="407"/>
        <v>1.4965123652504754E-2</v>
      </c>
      <c r="X685" s="59">
        <f t="shared" si="408"/>
        <v>1.8094353031214126E-2</v>
      </c>
      <c r="Y685" s="59">
        <f t="shared" si="409"/>
        <v>2.0456758966409912E-2</v>
      </c>
      <c r="Z685" s="59">
        <f t="shared" si="410"/>
        <v>1.8988663864475865E-2</v>
      </c>
      <c r="AA685" s="59">
        <f t="shared" si="393"/>
        <v>1.8607308150401555E-2</v>
      </c>
      <c r="AB685" s="59">
        <f t="shared" si="411"/>
        <v>1.6362619027215589E-2</v>
      </c>
      <c r="AC685" s="60">
        <f t="shared" si="394"/>
        <v>26269119.344044331</v>
      </c>
      <c r="AD685" s="60">
        <f t="shared" si="399"/>
        <v>24280501.1818792</v>
      </c>
      <c r="AE685" s="59">
        <f t="shared" si="397"/>
        <v>3.200000000000025E-2</v>
      </c>
      <c r="AF685" s="60">
        <f t="shared" si="400"/>
        <v>24280501.1818792</v>
      </c>
      <c r="AG685" s="60">
        <f t="shared" si="412"/>
        <v>1.0000000000000002</v>
      </c>
      <c r="AH685" s="60">
        <f t="shared" si="401"/>
        <v>24280501.181879204</v>
      </c>
      <c r="AI685" s="60">
        <f t="shared" si="395"/>
        <v>64.882084366682335</v>
      </c>
      <c r="AJ685" s="60">
        <f t="shared" si="396"/>
        <v>0</v>
      </c>
      <c r="AK685" s="59">
        <f t="shared" si="398"/>
        <v>3.200000000000025E-2</v>
      </c>
    </row>
    <row r="686" spans="1:37" ht="12.75" customHeight="1" x14ac:dyDescent="0.25">
      <c r="A686" s="62" t="s">
        <v>640</v>
      </c>
      <c r="B686" s="62" t="s">
        <v>430</v>
      </c>
      <c r="C686" s="62" t="s">
        <v>430</v>
      </c>
      <c r="D686" s="124">
        <v>2025</v>
      </c>
      <c r="E686" s="62" t="s">
        <v>676</v>
      </c>
      <c r="F686" s="64">
        <f>SIM_Parametres!$C$31</f>
        <v>1483900660.492918</v>
      </c>
      <c r="G686" s="125">
        <f>SIM_Districts!D47*(1+SIM_Parametres!$B$6)^(2025-2023)</f>
        <v>303580.77859999996</v>
      </c>
      <c r="H686" s="125">
        <f>MAX(0,MIN(100,SIM_Districts!F47+(2025-2022)*SIM_Parametres!$B$7))</f>
        <v>42.21</v>
      </c>
      <c r="I686" s="125">
        <f>SIM_Districts!G47*(1+SIM_Parametres!$B$8)^(2025-2023)</f>
        <v>35.343999999999994</v>
      </c>
      <c r="J686" s="125">
        <f>SIM_Districts!H47*(1+SIM_Parametres!$B$9)^(2025-2023)</f>
        <v>20.493000000000002</v>
      </c>
      <c r="K686" s="125">
        <f>MAX(0,MIN(100,SIM_Districts!I47+(2025-2023)*SIM_Parametres!$B$10))</f>
        <v>85.7</v>
      </c>
      <c r="L686" s="125">
        <f>SIM_Districts!E47</f>
        <v>3957</v>
      </c>
      <c r="M686" s="61">
        <f t="shared" si="392"/>
        <v>76.719933939853419</v>
      </c>
      <c r="N686" s="125">
        <f>N615*(1+SIM_Parametres!$B$6)/(1+SIM_Parametres!$B$11)</f>
        <v>133963</v>
      </c>
      <c r="O686" s="132"/>
      <c r="P686" s="126">
        <f>SIM_Parametres!$D$31</f>
        <v>0</v>
      </c>
      <c r="Q686" s="126">
        <f>SIM_Parametres!$B$12</f>
        <v>0.2</v>
      </c>
      <c r="R686" s="66">
        <f t="shared" si="402"/>
        <v>1.5786597969766506E-2</v>
      </c>
      <c r="S686" s="66">
        <f t="shared" si="403"/>
        <v>0.62765957446808507</v>
      </c>
      <c r="T686" s="66">
        <f t="shared" si="404"/>
        <v>0.91436464088397784</v>
      </c>
      <c r="U686" s="66">
        <f t="shared" si="405"/>
        <v>0.63577730793030052</v>
      </c>
      <c r="V686" s="66">
        <f t="shared" si="406"/>
        <v>0.51735506215340199</v>
      </c>
      <c r="W686" s="66">
        <f t="shared" si="407"/>
        <v>1.4965123652504754E-2</v>
      </c>
      <c r="X686" s="66">
        <f t="shared" si="408"/>
        <v>1.8094353031214126E-2</v>
      </c>
      <c r="Y686" s="66">
        <f t="shared" si="409"/>
        <v>1.6243925504331402E-2</v>
      </c>
      <c r="Z686" s="66">
        <f t="shared" si="410"/>
        <v>1.8988663864475865E-2</v>
      </c>
      <c r="AA686" s="66">
        <f t="shared" si="393"/>
        <v>1.61925097528581E-2</v>
      </c>
      <c r="AB686" s="66">
        <f t="shared" si="411"/>
        <v>1.4458855692050741E-2</v>
      </c>
      <c r="AC686" s="67">
        <f t="shared" si="394"/>
        <v>23402462.594386753</v>
      </c>
      <c r="AD686" s="67">
        <f t="shared" si="399"/>
        <v>21455505.511405881</v>
      </c>
      <c r="AE686" s="66">
        <f t="shared" si="397"/>
        <v>3.200000000000025E-2</v>
      </c>
      <c r="AF686" s="67">
        <f t="shared" si="400"/>
        <v>21455505.511405881</v>
      </c>
      <c r="AG686" s="67">
        <f t="shared" si="412"/>
        <v>1.0000000000000002</v>
      </c>
      <c r="AH686" s="67">
        <f t="shared" si="401"/>
        <v>21455505.511405885</v>
      </c>
      <c r="AI686" s="67">
        <f t="shared" si="395"/>
        <v>70.674782541735951</v>
      </c>
      <c r="AJ686" s="67">
        <f t="shared" si="396"/>
        <v>0</v>
      </c>
      <c r="AK686" s="66">
        <f t="shared" si="398"/>
        <v>3.2000000000000473E-2</v>
      </c>
    </row>
    <row r="687" spans="1:37" ht="12.75" customHeight="1" x14ac:dyDescent="0.25">
      <c r="A687" s="55" t="s">
        <v>641</v>
      </c>
      <c r="B687" s="55" t="s">
        <v>430</v>
      </c>
      <c r="C687" s="55" t="s">
        <v>433</v>
      </c>
      <c r="D687" s="128">
        <v>2025</v>
      </c>
      <c r="E687" s="55" t="s">
        <v>676</v>
      </c>
      <c r="F687" s="57">
        <f>SIM_Parametres!$C$31</f>
        <v>1483900660.492918</v>
      </c>
      <c r="G687" s="129">
        <f>SIM_Districts!D48*(1+SIM_Parametres!$B$6)^(2025-2023)</f>
        <v>80476.691299999991</v>
      </c>
      <c r="H687" s="129">
        <f>MAX(0,MIN(100,SIM_Districts!F48+(2025-2022)*SIM_Parametres!$B$7))</f>
        <v>42.21</v>
      </c>
      <c r="I687" s="129">
        <f>SIM_Districts!G48*(1+SIM_Parametres!$B$8)^(2025-2023)</f>
        <v>35.343999999999994</v>
      </c>
      <c r="J687" s="129">
        <f>SIM_Districts!H48*(1+SIM_Parametres!$B$9)^(2025-2023)</f>
        <v>20.493000000000002</v>
      </c>
      <c r="K687" s="129">
        <f>MAX(0,MIN(100,SIM_Districts!I48+(2025-2023)*SIM_Parametres!$B$10))</f>
        <v>85.7</v>
      </c>
      <c r="L687" s="129">
        <f>SIM_Districts!E48</f>
        <v>14444</v>
      </c>
      <c r="M687" s="68">
        <f t="shared" si="392"/>
        <v>5.571634678759346</v>
      </c>
      <c r="N687" s="129">
        <f>N616*(1+SIM_Parametres!$B$6)/(1+SIM_Parametres!$B$11)</f>
        <v>133963</v>
      </c>
      <c r="O687" s="72"/>
      <c r="P687" s="130">
        <f>SIM_Parametres!$D$31</f>
        <v>0</v>
      </c>
      <c r="Q687" s="130">
        <f>SIM_Parametres!$B$12</f>
        <v>0.2</v>
      </c>
      <c r="R687" s="59">
        <f t="shared" si="402"/>
        <v>4.1848933168593767E-3</v>
      </c>
      <c r="S687" s="59">
        <f t="shared" si="403"/>
        <v>0.62765957446808507</v>
      </c>
      <c r="T687" s="59">
        <f t="shared" si="404"/>
        <v>0.91436464088397784</v>
      </c>
      <c r="U687" s="59">
        <f t="shared" si="405"/>
        <v>1</v>
      </c>
      <c r="V687" s="59">
        <f t="shared" si="406"/>
        <v>0.51735506215340199</v>
      </c>
      <c r="W687" s="59">
        <f t="shared" si="407"/>
        <v>1.4965123652504754E-2</v>
      </c>
      <c r="X687" s="59">
        <f t="shared" si="408"/>
        <v>1.8094353031214126E-2</v>
      </c>
      <c r="Y687" s="59">
        <f t="shared" si="409"/>
        <v>2.5549709468574183E-2</v>
      </c>
      <c r="Z687" s="59">
        <f t="shared" si="410"/>
        <v>1.8988663864475865E-2</v>
      </c>
      <c r="AA687" s="59">
        <f t="shared" si="393"/>
        <v>9.6967761593259594E-3</v>
      </c>
      <c r="AB687" s="59">
        <f t="shared" si="411"/>
        <v>1.357418543965507E-2</v>
      </c>
      <c r="AC687" s="60">
        <f t="shared" si="394"/>
        <v>15691243.89852405</v>
      </c>
      <c r="AD687" s="60">
        <f t="shared" si="399"/>
        <v>20142742.739557508</v>
      </c>
      <c r="AE687" s="59">
        <f t="shared" si="397"/>
        <v>3.200000000000025E-2</v>
      </c>
      <c r="AF687" s="60">
        <f t="shared" si="400"/>
        <v>20142742.739557508</v>
      </c>
      <c r="AG687" s="60">
        <f t="shared" si="412"/>
        <v>1.0000000000000002</v>
      </c>
      <c r="AH687" s="60">
        <f t="shared" si="401"/>
        <v>20142742.739557512</v>
      </c>
      <c r="AI687" s="60">
        <f t="shared" si="395"/>
        <v>250.29287877243425</v>
      </c>
      <c r="AJ687" s="60">
        <f t="shared" si="396"/>
        <v>0</v>
      </c>
      <c r="AK687" s="59">
        <f t="shared" si="398"/>
        <v>3.200000000000025E-2</v>
      </c>
    </row>
    <row r="688" spans="1:37" ht="12.75" customHeight="1" x14ac:dyDescent="0.25">
      <c r="A688" s="62" t="s">
        <v>642</v>
      </c>
      <c r="B688" s="62" t="s">
        <v>430</v>
      </c>
      <c r="C688" s="62" t="s">
        <v>434</v>
      </c>
      <c r="D688" s="124">
        <v>2025</v>
      </c>
      <c r="E688" s="62" t="s">
        <v>676</v>
      </c>
      <c r="F688" s="64">
        <f>SIM_Parametres!$C$31</f>
        <v>1483900660.492918</v>
      </c>
      <c r="G688" s="125">
        <f>SIM_Districts!D49*(1+SIM_Parametres!$B$6)^(2025-2023)</f>
        <v>123993.7484</v>
      </c>
      <c r="H688" s="125">
        <f>MAX(0,MIN(100,SIM_Districts!F49+(2025-2022)*SIM_Parametres!$B$7))</f>
        <v>42.21</v>
      </c>
      <c r="I688" s="125">
        <f>SIM_Districts!G49*(1+SIM_Parametres!$B$8)^(2025-2023)</f>
        <v>35.343999999999994</v>
      </c>
      <c r="J688" s="125">
        <f>SIM_Districts!H49*(1+SIM_Parametres!$B$9)^(2025-2023)</f>
        <v>20.493000000000002</v>
      </c>
      <c r="K688" s="125">
        <f>MAX(0,MIN(100,SIM_Districts!I49+(2025-2023)*SIM_Parametres!$B$10))</f>
        <v>85.7</v>
      </c>
      <c r="L688" s="125">
        <f>SIM_Districts!E49</f>
        <v>1898</v>
      </c>
      <c r="M688" s="61">
        <f t="shared" si="392"/>
        <v>65.328634562697573</v>
      </c>
      <c r="N688" s="125">
        <f>N617*(1+SIM_Parametres!$B$6)/(1+SIM_Parametres!$B$11)</f>
        <v>133963</v>
      </c>
      <c r="O688" s="132"/>
      <c r="P688" s="126">
        <f>SIM_Parametres!$D$31</f>
        <v>0</v>
      </c>
      <c r="Q688" s="126">
        <f>SIM_Parametres!$B$12</f>
        <v>0.2</v>
      </c>
      <c r="R688" s="66">
        <f t="shared" si="402"/>
        <v>6.4478372635519005E-3</v>
      </c>
      <c r="S688" s="66">
        <f t="shared" si="403"/>
        <v>0.62765957446808507</v>
      </c>
      <c r="T688" s="66">
        <f t="shared" si="404"/>
        <v>0.91436464088397784</v>
      </c>
      <c r="U688" s="66">
        <f t="shared" si="405"/>
        <v>0.5646045152795196</v>
      </c>
      <c r="V688" s="66">
        <f t="shared" si="406"/>
        <v>0.51735506215340199</v>
      </c>
      <c r="W688" s="66">
        <f t="shared" si="407"/>
        <v>1.4965123652504754E-2</v>
      </c>
      <c r="X688" s="66">
        <f t="shared" si="408"/>
        <v>1.8094353031214126E-2</v>
      </c>
      <c r="Y688" s="66">
        <f t="shared" si="409"/>
        <v>1.442548133003688E-2</v>
      </c>
      <c r="Z688" s="66">
        <f t="shared" si="410"/>
        <v>1.8988663864475865E-2</v>
      </c>
      <c r="AA688" s="66">
        <f t="shared" si="393"/>
        <v>1.0498331120414608E-2</v>
      </c>
      <c r="AB688" s="66">
        <f t="shared" si="411"/>
        <v>1.2930636139241891E-2</v>
      </c>
      <c r="AC688" s="67">
        <f t="shared" si="394"/>
        <v>16642786.247468706</v>
      </c>
      <c r="AD688" s="67">
        <f t="shared" si="399"/>
        <v>19187779.507614639</v>
      </c>
      <c r="AE688" s="66">
        <f t="shared" si="397"/>
        <v>3.200000000000025E-2</v>
      </c>
      <c r="AF688" s="67">
        <f t="shared" si="400"/>
        <v>19187779.507614639</v>
      </c>
      <c r="AG688" s="67">
        <f t="shared" si="412"/>
        <v>1.0000000000000002</v>
      </c>
      <c r="AH688" s="67">
        <f t="shared" si="401"/>
        <v>19187779.507614642</v>
      </c>
      <c r="AI688" s="67">
        <f t="shared" si="395"/>
        <v>154.74795911254702</v>
      </c>
      <c r="AJ688" s="67">
        <f t="shared" si="396"/>
        <v>0</v>
      </c>
      <c r="AK688" s="66">
        <f t="shared" si="398"/>
        <v>3.2000000000000473E-2</v>
      </c>
    </row>
    <row r="689" spans="1:37" ht="12.75" customHeight="1" x14ac:dyDescent="0.25">
      <c r="A689" s="55" t="s">
        <v>643</v>
      </c>
      <c r="B689" s="55" t="s">
        <v>435</v>
      </c>
      <c r="C689" s="55" t="s">
        <v>437</v>
      </c>
      <c r="D689" s="128">
        <v>2025</v>
      </c>
      <c r="E689" s="55" t="s">
        <v>676</v>
      </c>
      <c r="F689" s="57">
        <f>SIM_Parametres!$C$31</f>
        <v>1483900660.492918</v>
      </c>
      <c r="G689" s="129">
        <f>SIM_Districts!D50*(1+SIM_Parametres!$B$6)^(2025-2023)</f>
        <v>104339.515</v>
      </c>
      <c r="H689" s="129">
        <f>MAX(0,MIN(100,SIM_Districts!F50+(2025-2022)*SIM_Parametres!$B$7))</f>
        <v>34.809999999999995</v>
      </c>
      <c r="I689" s="129">
        <f>SIM_Districts!G50*(1+SIM_Parametres!$B$8)^(2025-2023)</f>
        <v>35.343999999999994</v>
      </c>
      <c r="J689" s="129">
        <f>SIM_Districts!H50*(1+SIM_Parametres!$B$9)^(2025-2023)</f>
        <v>18.548999999999999</v>
      </c>
      <c r="K689" s="129">
        <f>MAX(0,MIN(100,SIM_Districts!I50+(2025-2023)*SIM_Parametres!$B$10))</f>
        <v>89.9</v>
      </c>
      <c r="L689" s="129">
        <f>SIM_Districts!E50</f>
        <v>2448</v>
      </c>
      <c r="M689" s="68">
        <f t="shared" si="392"/>
        <v>42.622350898692808</v>
      </c>
      <c r="N689" s="129">
        <f>N618*(1+SIM_Parametres!$B$6)/(1+SIM_Parametres!$B$11)</f>
        <v>89545</v>
      </c>
      <c r="O689" s="72"/>
      <c r="P689" s="130">
        <f>SIM_Parametres!$D$31</f>
        <v>0</v>
      </c>
      <c r="Q689" s="130">
        <f>SIM_Parametres!$B$12</f>
        <v>0.2</v>
      </c>
      <c r="R689" s="59">
        <f t="shared" si="402"/>
        <v>5.4257913931887594E-3</v>
      </c>
      <c r="S689" s="59">
        <f t="shared" si="403"/>
        <v>0.49645390070921974</v>
      </c>
      <c r="T689" s="59">
        <f t="shared" si="404"/>
        <v>0.84806629834254132</v>
      </c>
      <c r="U689" s="59">
        <f t="shared" si="405"/>
        <v>0.58395945065622235</v>
      </c>
      <c r="V689" s="59">
        <f t="shared" si="406"/>
        <v>0.20906585970196906</v>
      </c>
      <c r="W689" s="59">
        <f t="shared" si="407"/>
        <v>1.1836820968082853E-2</v>
      </c>
      <c r="X689" s="59">
        <f t="shared" si="408"/>
        <v>1.6782375772153281E-2</v>
      </c>
      <c r="Y689" s="59">
        <f t="shared" si="409"/>
        <v>1.4919994305694663E-2</v>
      </c>
      <c r="Z689" s="59">
        <f t="shared" si="410"/>
        <v>7.6734173990574452E-3</v>
      </c>
      <c r="AA689" s="59">
        <f t="shared" si="393"/>
        <v>8.6780249321862808E-3</v>
      </c>
      <c r="AB689" s="59">
        <f t="shared" si="411"/>
        <v>1.2822257732253246E-2</v>
      </c>
      <c r="AC689" s="60">
        <f t="shared" si="394"/>
        <v>14481863.403459618</v>
      </c>
      <c r="AD689" s="60">
        <f t="shared" si="399"/>
        <v>19026956.717901018</v>
      </c>
      <c r="AE689" s="59">
        <f t="shared" si="397"/>
        <v>3.200000000000025E-2</v>
      </c>
      <c r="AF689" s="60">
        <f t="shared" si="400"/>
        <v>19026956.717901018</v>
      </c>
      <c r="AG689" s="60">
        <f t="shared" si="412"/>
        <v>1.0000000000000002</v>
      </c>
      <c r="AH689" s="60">
        <f t="shared" si="401"/>
        <v>19026956.717901021</v>
      </c>
      <c r="AI689" s="60">
        <f t="shared" si="395"/>
        <v>182.3561928374022</v>
      </c>
      <c r="AJ689" s="60">
        <f t="shared" si="396"/>
        <v>0</v>
      </c>
      <c r="AK689" s="59">
        <f t="shared" si="398"/>
        <v>3.2000000000000473E-2</v>
      </c>
    </row>
    <row r="690" spans="1:37" ht="12.75" customHeight="1" x14ac:dyDescent="0.25">
      <c r="A690" s="62" t="s">
        <v>645</v>
      </c>
      <c r="B690" s="62" t="s">
        <v>435</v>
      </c>
      <c r="C690" s="62" t="s">
        <v>438</v>
      </c>
      <c r="D690" s="124">
        <v>2025</v>
      </c>
      <c r="E690" s="62" t="s">
        <v>676</v>
      </c>
      <c r="F690" s="64">
        <f>SIM_Parametres!$C$31</f>
        <v>1483900660.492918</v>
      </c>
      <c r="G690" s="125">
        <f>SIM_Districts!D51*(1+SIM_Parametres!$B$6)^(2025-2023)</f>
        <v>196771.4884</v>
      </c>
      <c r="H690" s="125">
        <f>MAX(0,MIN(100,SIM_Districts!F51+(2025-2022)*SIM_Parametres!$B$7))</f>
        <v>34.809999999999995</v>
      </c>
      <c r="I690" s="125">
        <f>SIM_Districts!G51*(1+SIM_Parametres!$B$8)^(2025-2023)</f>
        <v>35.343999999999994</v>
      </c>
      <c r="J690" s="125">
        <f>SIM_Districts!H51*(1+SIM_Parametres!$B$9)^(2025-2023)</f>
        <v>18.548999999999999</v>
      </c>
      <c r="K690" s="125">
        <f>MAX(0,MIN(100,SIM_Districts!I51+(2025-2023)*SIM_Parametres!$B$10))</f>
        <v>89.9</v>
      </c>
      <c r="L690" s="125">
        <f>SIM_Districts!E51</f>
        <v>6989</v>
      </c>
      <c r="M690" s="61">
        <f t="shared" si="392"/>
        <v>28.154455344112176</v>
      </c>
      <c r="N690" s="125">
        <f>N619*(1+SIM_Parametres!$B$6)/(1+SIM_Parametres!$B$11)</f>
        <v>89545</v>
      </c>
      <c r="O690" s="132"/>
      <c r="P690" s="126">
        <f>SIM_Parametres!$D$31</f>
        <v>0</v>
      </c>
      <c r="Q690" s="126">
        <f>SIM_Parametres!$B$12</f>
        <v>0.2</v>
      </c>
      <c r="R690" s="66">
        <f t="shared" si="402"/>
        <v>1.0232375032466479E-2</v>
      </c>
      <c r="S690" s="66">
        <f t="shared" si="403"/>
        <v>0.49645390070921974</v>
      </c>
      <c r="T690" s="66">
        <f t="shared" si="404"/>
        <v>0.84806629834254132</v>
      </c>
      <c r="U690" s="66">
        <f t="shared" si="405"/>
        <v>0.74145452539080825</v>
      </c>
      <c r="V690" s="66">
        <f t="shared" si="406"/>
        <v>0.20906585970196906</v>
      </c>
      <c r="W690" s="66">
        <f t="shared" si="407"/>
        <v>1.1836820968082853E-2</v>
      </c>
      <c r="X690" s="66">
        <f t="shared" si="408"/>
        <v>1.6782375772153281E-2</v>
      </c>
      <c r="Y690" s="66">
        <f t="shared" si="409"/>
        <v>1.8943947707894711E-2</v>
      </c>
      <c r="Z690" s="66">
        <f t="shared" si="410"/>
        <v>7.6734173990574452E-3</v>
      </c>
      <c r="AA690" s="66">
        <f t="shared" si="393"/>
        <v>1.1763172785862915E-2</v>
      </c>
      <c r="AB690" s="66">
        <f t="shared" si="411"/>
        <v>1.2647508052767683E-2</v>
      </c>
      <c r="AC690" s="67">
        <f t="shared" si="394"/>
        <v>18144305.753690872</v>
      </c>
      <c r="AD690" s="67">
        <f t="shared" si="399"/>
        <v>18767645.553091463</v>
      </c>
      <c r="AE690" s="66">
        <f t="shared" si="397"/>
        <v>3.2000000000000028E-2</v>
      </c>
      <c r="AF690" s="67">
        <f t="shared" si="400"/>
        <v>18767645.553091463</v>
      </c>
      <c r="AG690" s="67">
        <f t="shared" si="412"/>
        <v>1.0000000000000002</v>
      </c>
      <c r="AH690" s="67">
        <f t="shared" si="401"/>
        <v>18767645.553091466</v>
      </c>
      <c r="AI690" s="67">
        <f t="shared" si="395"/>
        <v>95.377870573100097</v>
      </c>
      <c r="AJ690" s="67">
        <f t="shared" si="396"/>
        <v>0</v>
      </c>
      <c r="AK690" s="66">
        <f t="shared" si="398"/>
        <v>3.200000000000025E-2</v>
      </c>
    </row>
    <row r="691" spans="1:37" ht="12.75" customHeight="1" x14ac:dyDescent="0.25">
      <c r="A691" s="55" t="s">
        <v>646</v>
      </c>
      <c r="B691" s="55" t="s">
        <v>435</v>
      </c>
      <c r="C691" s="55" t="s">
        <v>439</v>
      </c>
      <c r="D691" s="128">
        <v>2025</v>
      </c>
      <c r="E691" s="55" t="s">
        <v>676</v>
      </c>
      <c r="F691" s="57">
        <f>SIM_Parametres!$C$31</f>
        <v>1483900660.492918</v>
      </c>
      <c r="G691" s="129">
        <f>SIM_Districts!D52*(1+SIM_Parametres!$B$6)^(2025-2023)</f>
        <v>323564.95189999999</v>
      </c>
      <c r="H691" s="129">
        <f>MAX(0,MIN(100,SIM_Districts!F52+(2025-2022)*SIM_Parametres!$B$7))</f>
        <v>34.809999999999995</v>
      </c>
      <c r="I691" s="129">
        <f>SIM_Districts!G52*(1+SIM_Parametres!$B$8)^(2025-2023)</f>
        <v>35.343999999999994</v>
      </c>
      <c r="J691" s="129">
        <f>SIM_Districts!H52*(1+SIM_Parametres!$B$9)^(2025-2023)</f>
        <v>18.548999999999999</v>
      </c>
      <c r="K691" s="129">
        <f>MAX(0,MIN(100,SIM_Districts!I52+(2025-2023)*SIM_Parametres!$B$10))</f>
        <v>89.9</v>
      </c>
      <c r="L691" s="129">
        <f>SIM_Districts!E52</f>
        <v>5859</v>
      </c>
      <c r="M691" s="68">
        <f t="shared" si="392"/>
        <v>55.225286209250726</v>
      </c>
      <c r="N691" s="129">
        <f>N620*(1+SIM_Parametres!$B$6)/(1+SIM_Parametres!$B$11)</f>
        <v>89545</v>
      </c>
      <c r="O691" s="72"/>
      <c r="P691" s="130">
        <f>SIM_Parametres!$D$31</f>
        <v>0</v>
      </c>
      <c r="Q691" s="130">
        <f>SIM_Parametres!$B$12</f>
        <v>0.2</v>
      </c>
      <c r="R691" s="59">
        <f t="shared" si="402"/>
        <v>1.6825801146924585E-2</v>
      </c>
      <c r="S691" s="59">
        <f t="shared" si="403"/>
        <v>0.49645390070921974</v>
      </c>
      <c r="T691" s="59">
        <f t="shared" si="404"/>
        <v>0.84806629834254132</v>
      </c>
      <c r="U691" s="59">
        <f t="shared" si="405"/>
        <v>0.70194995546768002</v>
      </c>
      <c r="V691" s="59">
        <f t="shared" si="406"/>
        <v>0.20906585970196906</v>
      </c>
      <c r="W691" s="59">
        <f t="shared" si="407"/>
        <v>1.1836820968082853E-2</v>
      </c>
      <c r="X691" s="59">
        <f t="shared" si="408"/>
        <v>1.6782375772153281E-2</v>
      </c>
      <c r="Y691" s="59">
        <f t="shared" si="409"/>
        <v>1.7934617423677812E-2</v>
      </c>
      <c r="Z691" s="59">
        <f t="shared" si="410"/>
        <v>7.6734173990574452E-3</v>
      </c>
      <c r="AA691" s="59">
        <f t="shared" si="393"/>
        <v>1.5668761940326934E-2</v>
      </c>
      <c r="AB691" s="59">
        <f t="shared" si="411"/>
        <v>1.5369570367831275E-2</v>
      </c>
      <c r="AC691" s="60">
        <f t="shared" si="394"/>
        <v>22780710.81442938</v>
      </c>
      <c r="AD691" s="60">
        <f t="shared" si="399"/>
        <v>22806915.62031721</v>
      </c>
      <c r="AE691" s="59">
        <f t="shared" si="397"/>
        <v>3.200000000000025E-2</v>
      </c>
      <c r="AF691" s="60">
        <f t="shared" si="400"/>
        <v>22806915.62031721</v>
      </c>
      <c r="AG691" s="60">
        <f t="shared" si="412"/>
        <v>1.0000000000000002</v>
      </c>
      <c r="AH691" s="60">
        <f t="shared" si="401"/>
        <v>22806915.620317213</v>
      </c>
      <c r="AI691" s="60">
        <f t="shared" si="395"/>
        <v>70.486359806255692</v>
      </c>
      <c r="AJ691" s="60">
        <f t="shared" si="396"/>
        <v>0</v>
      </c>
      <c r="AK691" s="59">
        <f t="shared" si="398"/>
        <v>3.200000000000025E-2</v>
      </c>
    </row>
    <row r="692" spans="1:37" ht="12.75" customHeight="1" x14ac:dyDescent="0.25">
      <c r="A692" s="62" t="s">
        <v>647</v>
      </c>
      <c r="B692" s="62" t="s">
        <v>435</v>
      </c>
      <c r="C692" s="62" t="s">
        <v>440</v>
      </c>
      <c r="D692" s="124">
        <v>2025</v>
      </c>
      <c r="E692" s="62" t="s">
        <v>676</v>
      </c>
      <c r="F692" s="64">
        <f>SIM_Parametres!$C$31</f>
        <v>1483900660.492918</v>
      </c>
      <c r="G692" s="125">
        <f>SIM_Districts!D53*(1+SIM_Parametres!$B$6)^(2025-2023)</f>
        <v>234871.5901</v>
      </c>
      <c r="H692" s="125">
        <f>MAX(0,MIN(100,SIM_Districts!F53+(2025-2022)*SIM_Parametres!$B$7))</f>
        <v>34.809999999999995</v>
      </c>
      <c r="I692" s="125">
        <f>SIM_Districts!G53*(1+SIM_Parametres!$B$8)^(2025-2023)</f>
        <v>35.343999999999994</v>
      </c>
      <c r="J692" s="125">
        <f>SIM_Districts!H53*(1+SIM_Parametres!$B$9)^(2025-2023)</f>
        <v>18.548999999999999</v>
      </c>
      <c r="K692" s="125">
        <f>MAX(0,MIN(100,SIM_Districts!I53+(2025-2023)*SIM_Parametres!$B$10))</f>
        <v>89.9</v>
      </c>
      <c r="L692" s="125">
        <f>SIM_Districts!E53</f>
        <v>3143</v>
      </c>
      <c r="M692" s="61">
        <f t="shared" si="392"/>
        <v>74.72847282850779</v>
      </c>
      <c r="N692" s="125">
        <f>N621*(1+SIM_Parametres!$B$6)/(1+SIM_Parametres!$B$11)</f>
        <v>89545</v>
      </c>
      <c r="O692" s="132"/>
      <c r="P692" s="126">
        <f>SIM_Parametres!$D$31</f>
        <v>0</v>
      </c>
      <c r="Q692" s="126">
        <f>SIM_Parametres!$B$12</f>
        <v>0.2</v>
      </c>
      <c r="R692" s="66">
        <f t="shared" si="402"/>
        <v>1.2213630205863408E-2</v>
      </c>
      <c r="S692" s="66">
        <f t="shared" si="403"/>
        <v>0.49645390070921974</v>
      </c>
      <c r="T692" s="66">
        <f t="shared" si="404"/>
        <v>0.84806629834254132</v>
      </c>
      <c r="U692" s="66">
        <f t="shared" si="405"/>
        <v>0.6076065442079609</v>
      </c>
      <c r="V692" s="66">
        <f t="shared" si="406"/>
        <v>0.20906585970196906</v>
      </c>
      <c r="W692" s="66">
        <f t="shared" si="407"/>
        <v>1.1836820968082853E-2</v>
      </c>
      <c r="X692" s="66">
        <f t="shared" si="408"/>
        <v>1.6782375772153281E-2</v>
      </c>
      <c r="Y692" s="66">
        <f t="shared" si="409"/>
        <v>1.5524170675717777E-2</v>
      </c>
      <c r="Z692" s="66">
        <f t="shared" si="410"/>
        <v>7.6734173990574452E-3</v>
      </c>
      <c r="AA692" s="66">
        <f t="shared" si="393"/>
        <v>1.2780937038292226E-2</v>
      </c>
      <c r="AB692" s="66">
        <f t="shared" si="411"/>
        <v>1.3896800232551498E-2</v>
      </c>
      <c r="AC692" s="67">
        <f t="shared" si="394"/>
        <v>19352514.590815619</v>
      </c>
      <c r="AD692" s="67">
        <f t="shared" si="399"/>
        <v>20621471.043821305</v>
      </c>
      <c r="AE692" s="66">
        <f t="shared" si="397"/>
        <v>3.200000000000025E-2</v>
      </c>
      <c r="AF692" s="67">
        <f t="shared" si="400"/>
        <v>20621471.043821305</v>
      </c>
      <c r="AG692" s="67">
        <f t="shared" si="412"/>
        <v>1.0000000000000002</v>
      </c>
      <c r="AH692" s="67">
        <f t="shared" si="401"/>
        <v>20621471.043821309</v>
      </c>
      <c r="AI692" s="67">
        <f t="shared" si="395"/>
        <v>87.79891614409992</v>
      </c>
      <c r="AJ692" s="67">
        <f t="shared" si="396"/>
        <v>0</v>
      </c>
      <c r="AK692" s="66">
        <f t="shared" si="398"/>
        <v>3.2000000000000473E-2</v>
      </c>
    </row>
    <row r="693" spans="1:37" ht="12.75" customHeight="1" x14ac:dyDescent="0.25">
      <c r="A693" s="55" t="s">
        <v>648</v>
      </c>
      <c r="B693" s="55" t="s">
        <v>435</v>
      </c>
      <c r="C693" s="55" t="s">
        <v>435</v>
      </c>
      <c r="D693" s="128">
        <v>2025</v>
      </c>
      <c r="E693" s="55" t="s">
        <v>676</v>
      </c>
      <c r="F693" s="57">
        <f>SIM_Parametres!$C$31</f>
        <v>1483900660.492918</v>
      </c>
      <c r="G693" s="129">
        <f>SIM_Districts!D54*(1+SIM_Parametres!$B$6)^(2025-2023)</f>
        <v>416122.1115</v>
      </c>
      <c r="H693" s="129">
        <f>MAX(0,MIN(100,SIM_Districts!F54+(2025-2022)*SIM_Parametres!$B$7))</f>
        <v>34.809999999999995</v>
      </c>
      <c r="I693" s="129">
        <f>SIM_Districts!G54*(1+SIM_Parametres!$B$8)^(2025-2023)</f>
        <v>35.343999999999994</v>
      </c>
      <c r="J693" s="129">
        <f>SIM_Districts!H54*(1+SIM_Parametres!$B$9)^(2025-2023)</f>
        <v>18.548999999999999</v>
      </c>
      <c r="K693" s="129">
        <f>MAX(0,MIN(100,SIM_Districts!I54+(2025-2023)*SIM_Parametres!$B$10))</f>
        <v>89.9</v>
      </c>
      <c r="L693" s="129">
        <f>SIM_Districts!E54</f>
        <v>802</v>
      </c>
      <c r="M693" s="68">
        <f t="shared" si="392"/>
        <v>518.85550062344134</v>
      </c>
      <c r="N693" s="129">
        <f>N622*(1+SIM_Parametres!$B$6)/(1+SIM_Parametres!$B$11)</f>
        <v>89545</v>
      </c>
      <c r="O693" s="72"/>
      <c r="P693" s="130">
        <f>SIM_Parametres!$D$31</f>
        <v>0</v>
      </c>
      <c r="Q693" s="130">
        <f>SIM_Parametres!$B$12</f>
        <v>0.2</v>
      </c>
      <c r="R693" s="59">
        <f t="shared" si="402"/>
        <v>2.1638894632510352E-2</v>
      </c>
      <c r="S693" s="59">
        <f t="shared" si="403"/>
        <v>0.49645390070921974</v>
      </c>
      <c r="T693" s="59">
        <f t="shared" si="404"/>
        <v>0.84806629834254132</v>
      </c>
      <c r="U693" s="59">
        <f t="shared" si="405"/>
        <v>0.52059263207206896</v>
      </c>
      <c r="V693" s="59">
        <f t="shared" si="406"/>
        <v>0.20906585970196906</v>
      </c>
      <c r="W693" s="59">
        <f t="shared" si="407"/>
        <v>1.1836820968082853E-2</v>
      </c>
      <c r="X693" s="59">
        <f t="shared" si="408"/>
        <v>1.6782375772153281E-2</v>
      </c>
      <c r="Y693" s="59">
        <f t="shared" si="409"/>
        <v>1.3300990500921697E-2</v>
      </c>
      <c r="Z693" s="59">
        <f t="shared" si="410"/>
        <v>7.6734173990574452E-3</v>
      </c>
      <c r="AA693" s="59">
        <f t="shared" si="393"/>
        <v>1.832493668554059E-2</v>
      </c>
      <c r="AB693" s="59">
        <f t="shared" si="411"/>
        <v>1.3760697116798313E-2</v>
      </c>
      <c r="AC693" s="60">
        <f t="shared" si="394"/>
        <v>25933910.381475098</v>
      </c>
      <c r="AD693" s="60">
        <f t="shared" si="399"/>
        <v>20419507.540460009</v>
      </c>
      <c r="AE693" s="59">
        <f t="shared" si="397"/>
        <v>3.200000000000025E-2</v>
      </c>
      <c r="AF693" s="60">
        <f t="shared" si="400"/>
        <v>20419507.540460009</v>
      </c>
      <c r="AG693" s="60">
        <f t="shared" si="412"/>
        <v>1.0000000000000002</v>
      </c>
      <c r="AH693" s="60">
        <f t="shared" si="401"/>
        <v>20419507.540460013</v>
      </c>
      <c r="AI693" s="60">
        <f t="shared" si="395"/>
        <v>49.070950512227256</v>
      </c>
      <c r="AJ693" s="60">
        <f t="shared" si="396"/>
        <v>0</v>
      </c>
      <c r="AK693" s="59">
        <f t="shared" si="398"/>
        <v>3.200000000000025E-2</v>
      </c>
    </row>
    <row r="694" spans="1:37" ht="12.75" customHeight="1" x14ac:dyDescent="0.25">
      <c r="A694" s="62" t="s">
        <v>649</v>
      </c>
      <c r="B694" s="62" t="s">
        <v>441</v>
      </c>
      <c r="C694" s="62" t="s">
        <v>443</v>
      </c>
      <c r="D694" s="124">
        <v>2025</v>
      </c>
      <c r="E694" s="62" t="s">
        <v>676</v>
      </c>
      <c r="F694" s="64">
        <f>SIM_Parametres!$C$31</f>
        <v>1483900660.492918</v>
      </c>
      <c r="G694" s="125">
        <f>SIM_Districts!D55*(1+SIM_Parametres!$B$6)^(2025-2023)</f>
        <v>306513.10619999998</v>
      </c>
      <c r="H694" s="125">
        <f>MAX(0,MIN(100,SIM_Districts!F55+(2025-2022)*SIM_Parametres!$B$7))</f>
        <v>61.910000000000004</v>
      </c>
      <c r="I694" s="125">
        <f>SIM_Districts!G55*(1+SIM_Parametres!$B$8)^(2025-2023)</f>
        <v>35.343999999999994</v>
      </c>
      <c r="J694" s="125">
        <f>SIM_Districts!H55*(1+SIM_Parametres!$B$9)^(2025-2023)</f>
        <v>19.845000000000002</v>
      </c>
      <c r="K694" s="125">
        <f>MAX(0,MIN(100,SIM_Districts!I55+(2025-2023)*SIM_Parametres!$B$10))</f>
        <v>85.6</v>
      </c>
      <c r="L694" s="125">
        <f>SIM_Districts!E55</f>
        <v>2865</v>
      </c>
      <c r="M694" s="61">
        <f t="shared" si="392"/>
        <v>106.98537738219895</v>
      </c>
      <c r="N694" s="125">
        <f>N623*(1+SIM_Parametres!$B$6)/(1+SIM_Parametres!$B$11)</f>
        <v>178218</v>
      </c>
      <c r="O694" s="132"/>
      <c r="P694" s="126">
        <f>SIM_Parametres!$D$31</f>
        <v>0</v>
      </c>
      <c r="Q694" s="126">
        <f>SIM_Parametres!$B$12</f>
        <v>0.2</v>
      </c>
      <c r="R694" s="66">
        <f t="shared" si="402"/>
        <v>1.5939082844304116E-2</v>
      </c>
      <c r="S694" s="66">
        <f t="shared" si="403"/>
        <v>0.97695035460992907</v>
      </c>
      <c r="T694" s="66">
        <f t="shared" si="404"/>
        <v>0.89226519337016574</v>
      </c>
      <c r="U694" s="66">
        <f t="shared" si="405"/>
        <v>0.59754648703547397</v>
      </c>
      <c r="V694" s="66">
        <f t="shared" si="406"/>
        <v>0.82451294081719062</v>
      </c>
      <c r="W694" s="66">
        <f t="shared" si="407"/>
        <v>2.3293172690763048E-2</v>
      </c>
      <c r="X694" s="66">
        <f t="shared" si="408"/>
        <v>1.7657027278193845E-2</v>
      </c>
      <c r="Y694" s="66">
        <f t="shared" si="409"/>
        <v>1.526713913772349E-2</v>
      </c>
      <c r="Z694" s="66">
        <f t="shared" si="410"/>
        <v>3.0262386957075536E-2</v>
      </c>
      <c r="AA694" s="66">
        <f t="shared" si="393"/>
        <v>1.7982456006665957E-2</v>
      </c>
      <c r="AB694" s="66">
        <f t="shared" si="411"/>
        <v>1.272480118023245E-2</v>
      </c>
      <c r="AC694" s="67">
        <f t="shared" si="394"/>
        <v>25527344.537004597</v>
      </c>
      <c r="AD694" s="67">
        <f t="shared" si="399"/>
        <v>18882340.875987995</v>
      </c>
      <c r="AE694" s="66">
        <f t="shared" si="397"/>
        <v>3.200000000000025E-2</v>
      </c>
      <c r="AF694" s="67">
        <f t="shared" si="400"/>
        <v>18882340.875987995</v>
      </c>
      <c r="AG694" s="67">
        <f t="shared" si="412"/>
        <v>1.0000000000000002</v>
      </c>
      <c r="AH694" s="67">
        <f t="shared" si="401"/>
        <v>18882340.875987999</v>
      </c>
      <c r="AI694" s="67">
        <f t="shared" si="395"/>
        <v>61.603698158561812</v>
      </c>
      <c r="AJ694" s="67">
        <f t="shared" si="396"/>
        <v>0</v>
      </c>
      <c r="AK694" s="66">
        <f t="shared" si="398"/>
        <v>3.2000000000000473E-2</v>
      </c>
    </row>
    <row r="695" spans="1:37" ht="12.75" customHeight="1" x14ac:dyDescent="0.25">
      <c r="A695" s="55" t="s">
        <v>651</v>
      </c>
      <c r="B695" s="55" t="s">
        <v>441</v>
      </c>
      <c r="C695" s="55" t="s">
        <v>441</v>
      </c>
      <c r="D695" s="128">
        <v>2025</v>
      </c>
      <c r="E695" s="55" t="s">
        <v>676</v>
      </c>
      <c r="F695" s="57">
        <f>SIM_Parametres!$C$31</f>
        <v>1483900660.492918</v>
      </c>
      <c r="G695" s="129">
        <f>SIM_Districts!D56*(1+SIM_Parametres!$B$6)^(2025-2023)</f>
        <v>318639.19319999998</v>
      </c>
      <c r="H695" s="129">
        <f>MAX(0,MIN(100,SIM_Districts!F56+(2025-2022)*SIM_Parametres!$B$7))</f>
        <v>61.910000000000004</v>
      </c>
      <c r="I695" s="129">
        <f>SIM_Districts!G56*(1+SIM_Parametres!$B$8)^(2025-2023)</f>
        <v>35.343999999999994</v>
      </c>
      <c r="J695" s="129">
        <f>SIM_Districts!H56*(1+SIM_Parametres!$B$9)^(2025-2023)</f>
        <v>19.845000000000002</v>
      </c>
      <c r="K695" s="129">
        <f>MAX(0,MIN(100,SIM_Districts!I56+(2025-2023)*SIM_Parametres!$B$10))</f>
        <v>85.6</v>
      </c>
      <c r="L695" s="129">
        <f>SIM_Districts!E56</f>
        <v>2749</v>
      </c>
      <c r="M695" s="68">
        <f t="shared" si="392"/>
        <v>115.91094696253182</v>
      </c>
      <c r="N695" s="129">
        <f>N624*(1+SIM_Parametres!$B$6)/(1+SIM_Parametres!$B$11)</f>
        <v>178218</v>
      </c>
      <c r="O695" s="72"/>
      <c r="P695" s="130">
        <f>SIM_Parametres!$D$31</f>
        <v>0</v>
      </c>
      <c r="Q695" s="130">
        <f>SIM_Parametres!$B$12</f>
        <v>0.2</v>
      </c>
      <c r="R695" s="59">
        <f t="shared" si="402"/>
        <v>1.6569655245159708E-2</v>
      </c>
      <c r="S695" s="59">
        <f t="shared" si="403"/>
        <v>0.97695035460992907</v>
      </c>
      <c r="T695" s="59">
        <f t="shared" si="404"/>
        <v>0.89226519337016574</v>
      </c>
      <c r="U695" s="59">
        <f t="shared" si="405"/>
        <v>0.59340921006518599</v>
      </c>
      <c r="V695" s="59">
        <f t="shared" si="406"/>
        <v>0.82451294081719062</v>
      </c>
      <c r="W695" s="59">
        <f t="shared" si="407"/>
        <v>2.3293172690763048E-2</v>
      </c>
      <c r="X695" s="59">
        <f t="shared" si="408"/>
        <v>1.7657027278193845E-2</v>
      </c>
      <c r="Y695" s="59">
        <f t="shared" si="409"/>
        <v>1.516143291314161E-2</v>
      </c>
      <c r="Z695" s="59">
        <f t="shared" si="410"/>
        <v>3.0262386957075536E-2</v>
      </c>
      <c r="AA695" s="59">
        <f t="shared" si="393"/>
        <v>1.8355514135950213E-2</v>
      </c>
      <c r="AB695" s="59">
        <f t="shared" si="411"/>
        <v>1.4496662113093289E-2</v>
      </c>
      <c r="AC695" s="60">
        <f t="shared" si="394"/>
        <v>25970209.500562325</v>
      </c>
      <c r="AD695" s="60">
        <f t="shared" si="399"/>
        <v>21511606.48456179</v>
      </c>
      <c r="AE695" s="59">
        <f t="shared" si="397"/>
        <v>3.2000000000000028E-2</v>
      </c>
      <c r="AF695" s="60">
        <f t="shared" si="400"/>
        <v>21511606.48456179</v>
      </c>
      <c r="AG695" s="60">
        <f t="shared" si="412"/>
        <v>1.0000000000000002</v>
      </c>
      <c r="AH695" s="60">
        <f t="shared" si="401"/>
        <v>21511606.484561794</v>
      </c>
      <c r="AI695" s="60">
        <f t="shared" si="395"/>
        <v>67.510861637976916</v>
      </c>
      <c r="AJ695" s="60">
        <f t="shared" si="396"/>
        <v>0</v>
      </c>
      <c r="AK695" s="59">
        <f t="shared" si="398"/>
        <v>3.200000000000025E-2</v>
      </c>
    </row>
    <row r="696" spans="1:37" ht="12.75" customHeight="1" x14ac:dyDescent="0.25">
      <c r="A696" s="62" t="s">
        <v>652</v>
      </c>
      <c r="B696" s="62" t="s">
        <v>444</v>
      </c>
      <c r="C696" s="62" t="s">
        <v>446</v>
      </c>
      <c r="D696" s="124">
        <v>2025</v>
      </c>
      <c r="E696" s="62" t="s">
        <v>676</v>
      </c>
      <c r="F696" s="64">
        <f>SIM_Parametres!$C$31</f>
        <v>1483900660.492918</v>
      </c>
      <c r="G696" s="125">
        <f>SIM_Districts!D57*(1+SIM_Parametres!$B$6)^(2025-2023)</f>
        <v>160638.2953</v>
      </c>
      <c r="H696" s="125">
        <f>MAX(0,MIN(100,SIM_Districts!F57+(2025-2022)*SIM_Parametres!$B$7))</f>
        <v>60.309999999999995</v>
      </c>
      <c r="I696" s="125">
        <f>SIM_Districts!G57*(1+SIM_Parametres!$B$8)^(2025-2023)</f>
        <v>35.343999999999994</v>
      </c>
      <c r="J696" s="125">
        <f>SIM_Districts!H57*(1+SIM_Parametres!$B$9)^(2025-2023)</f>
        <v>19.035</v>
      </c>
      <c r="K696" s="125">
        <f>MAX(0,MIN(100,SIM_Districts!I57+(2025-2023)*SIM_Parametres!$B$10))</f>
        <v>89.6</v>
      </c>
      <c r="L696" s="125">
        <f>SIM_Districts!E57</f>
        <v>1360</v>
      </c>
      <c r="M696" s="61">
        <f t="shared" si="392"/>
        <v>118.11639360294117</v>
      </c>
      <c r="N696" s="125">
        <f>N625*(1+SIM_Parametres!$B$6)/(1+SIM_Parametres!$B$11)</f>
        <v>71159</v>
      </c>
      <c r="O696" s="132"/>
      <c r="P696" s="126">
        <f>SIM_Parametres!$D$31</f>
        <v>0</v>
      </c>
      <c r="Q696" s="126">
        <f>SIM_Parametres!$B$12</f>
        <v>0.2</v>
      </c>
      <c r="R696" s="66">
        <f t="shared" si="402"/>
        <v>8.3534016815705377E-3</v>
      </c>
      <c r="S696" s="66">
        <f t="shared" si="403"/>
        <v>0.94858156028368779</v>
      </c>
      <c r="T696" s="66">
        <f t="shared" si="404"/>
        <v>0.86464088397790051</v>
      </c>
      <c r="U696" s="66">
        <f t="shared" si="405"/>
        <v>0.54526424876049684</v>
      </c>
      <c r="V696" s="66">
        <f t="shared" si="406"/>
        <v>8.1455312710388056E-2</v>
      </c>
      <c r="W696" s="66">
        <f t="shared" si="407"/>
        <v>2.2616782921158311E-2</v>
      </c>
      <c r="X696" s="66">
        <f t="shared" si="408"/>
        <v>1.7110370086918493E-2</v>
      </c>
      <c r="Y696" s="66">
        <f t="shared" si="409"/>
        <v>1.3931343139431056E-2</v>
      </c>
      <c r="Z696" s="66">
        <f t="shared" si="410"/>
        <v>2.9896828429499429E-3</v>
      </c>
      <c r="AA696" s="66">
        <f t="shared" si="393"/>
        <v>1.1817165259272892E-2</v>
      </c>
      <c r="AB696" s="66">
        <f t="shared" si="411"/>
        <v>1.460167994932259E-2</v>
      </c>
      <c r="AC696" s="67">
        <f t="shared" si="394"/>
        <v>18208401.327254638</v>
      </c>
      <c r="AD696" s="67">
        <f t="shared" si="399"/>
        <v>21667442.52110599</v>
      </c>
      <c r="AE696" s="66">
        <f t="shared" si="397"/>
        <v>3.200000000000025E-2</v>
      </c>
      <c r="AF696" s="67">
        <f t="shared" si="400"/>
        <v>21667442.52110599</v>
      </c>
      <c r="AG696" s="67">
        <f t="shared" si="412"/>
        <v>1.0000000000000002</v>
      </c>
      <c r="AH696" s="67">
        <f t="shared" si="401"/>
        <v>21667442.521105994</v>
      </c>
      <c r="AI696" s="67">
        <f t="shared" si="395"/>
        <v>134.88341917872677</v>
      </c>
      <c r="AJ696" s="67">
        <f t="shared" si="396"/>
        <v>0</v>
      </c>
      <c r="AK696" s="66">
        <f t="shared" si="398"/>
        <v>3.200000000000025E-2</v>
      </c>
    </row>
    <row r="697" spans="1:37" ht="12.75" customHeight="1" x14ac:dyDescent="0.25">
      <c r="A697" s="55" t="s">
        <v>654</v>
      </c>
      <c r="B697" s="55" t="s">
        <v>444</v>
      </c>
      <c r="C697" s="55" t="s">
        <v>447</v>
      </c>
      <c r="D697" s="128">
        <v>2025</v>
      </c>
      <c r="E697" s="55" t="s">
        <v>676</v>
      </c>
      <c r="F697" s="57">
        <f>SIM_Parametres!$C$31</f>
        <v>1483900660.492918</v>
      </c>
      <c r="G697" s="129">
        <f>SIM_Districts!D58*(1+SIM_Parametres!$B$6)^(2025-2023)</f>
        <v>78775.007700000002</v>
      </c>
      <c r="H697" s="129">
        <f>MAX(0,MIN(100,SIM_Districts!F58+(2025-2022)*SIM_Parametres!$B$7))</f>
        <v>60.309999999999995</v>
      </c>
      <c r="I697" s="129">
        <f>SIM_Districts!G58*(1+SIM_Parametres!$B$8)^(2025-2023)</f>
        <v>35.343999999999994</v>
      </c>
      <c r="J697" s="129">
        <f>SIM_Districts!H58*(1+SIM_Parametres!$B$9)^(2025-2023)</f>
        <v>19.035</v>
      </c>
      <c r="K697" s="129">
        <f>MAX(0,MIN(100,SIM_Districts!I58+(2025-2023)*SIM_Parametres!$B$10))</f>
        <v>89.6</v>
      </c>
      <c r="L697" s="129">
        <f>SIM_Districts!E58</f>
        <v>6089</v>
      </c>
      <c r="M697" s="68">
        <f t="shared" si="392"/>
        <v>12.937265183117097</v>
      </c>
      <c r="N697" s="129">
        <f>N626*(1+SIM_Parametres!$B$6)/(1+SIM_Parametres!$B$11)</f>
        <v>71159</v>
      </c>
      <c r="O697" s="72"/>
      <c r="P697" s="130">
        <f>SIM_Parametres!$D$31</f>
        <v>0</v>
      </c>
      <c r="Q697" s="130">
        <f>SIM_Parametres!$B$12</f>
        <v>0.2</v>
      </c>
      <c r="R697" s="59">
        <f t="shared" si="402"/>
        <v>4.0964035416211995E-3</v>
      </c>
      <c r="S697" s="59">
        <f t="shared" si="403"/>
        <v>0.94858156028368779</v>
      </c>
      <c r="T697" s="59">
        <f t="shared" si="404"/>
        <v>0.86464088397790051</v>
      </c>
      <c r="U697" s="59">
        <f t="shared" si="405"/>
        <v>0.71048099676349064</v>
      </c>
      <c r="V697" s="59">
        <f t="shared" si="406"/>
        <v>8.1455312710388056E-2</v>
      </c>
      <c r="W697" s="59">
        <f t="shared" si="407"/>
        <v>2.2616782921158311E-2</v>
      </c>
      <c r="X697" s="59">
        <f t="shared" si="408"/>
        <v>1.7110370086918493E-2</v>
      </c>
      <c r="Y697" s="59">
        <f t="shared" si="409"/>
        <v>1.8152583050250179E-2</v>
      </c>
      <c r="Z697" s="59">
        <f t="shared" si="410"/>
        <v>2.9896828429499429E-3</v>
      </c>
      <c r="AA697" s="59">
        <f t="shared" si="393"/>
        <v>9.4740283708442466E-3</v>
      </c>
      <c r="AB697" s="59">
        <f t="shared" si="411"/>
        <v>1.2162745720733212E-2</v>
      </c>
      <c r="AC697" s="60">
        <f t="shared" si="394"/>
        <v>15426815.426162969</v>
      </c>
      <c r="AD697" s="60">
        <f t="shared" si="399"/>
        <v>18048306.408403426</v>
      </c>
      <c r="AE697" s="59">
        <f t="shared" si="397"/>
        <v>3.200000000000025E-2</v>
      </c>
      <c r="AF697" s="60">
        <f t="shared" si="400"/>
        <v>18048306.408403426</v>
      </c>
      <c r="AG697" s="60">
        <f t="shared" si="412"/>
        <v>1.0000000000000002</v>
      </c>
      <c r="AH697" s="60">
        <f t="shared" si="401"/>
        <v>18048306.40840343</v>
      </c>
      <c r="AI697" s="60">
        <f t="shared" si="395"/>
        <v>229.11208688340668</v>
      </c>
      <c r="AJ697" s="60">
        <f t="shared" si="396"/>
        <v>0</v>
      </c>
      <c r="AK697" s="59">
        <f t="shared" si="398"/>
        <v>3.2000000000000473E-2</v>
      </c>
    </row>
    <row r="698" spans="1:37" ht="12.75" customHeight="1" x14ac:dyDescent="0.25">
      <c r="A698" s="62" t="s">
        <v>655</v>
      </c>
      <c r="B698" s="62" t="s">
        <v>444</v>
      </c>
      <c r="C698" s="62" t="s">
        <v>448</v>
      </c>
      <c r="D698" s="124">
        <v>2025</v>
      </c>
      <c r="E698" s="62" t="s">
        <v>676</v>
      </c>
      <c r="F698" s="64">
        <f>SIM_Parametres!$C$31</f>
        <v>1483900660.492918</v>
      </c>
      <c r="G698" s="125">
        <f>SIM_Districts!D59*(1+SIM_Parametres!$B$6)^(2025-2023)</f>
        <v>138771.0245</v>
      </c>
      <c r="H698" s="125">
        <f>MAX(0,MIN(100,SIM_Districts!F59+(2025-2022)*SIM_Parametres!$B$7))</f>
        <v>60.309999999999995</v>
      </c>
      <c r="I698" s="125">
        <f>SIM_Districts!G59*(1+SIM_Parametres!$B$8)^(2025-2023)</f>
        <v>35.343999999999994</v>
      </c>
      <c r="J698" s="125">
        <f>SIM_Districts!H59*(1+SIM_Parametres!$B$9)^(2025-2023)</f>
        <v>19.035</v>
      </c>
      <c r="K698" s="125">
        <f>MAX(0,MIN(100,SIM_Districts!I59+(2025-2023)*SIM_Parametres!$B$10))</f>
        <v>89.6</v>
      </c>
      <c r="L698" s="125">
        <f>SIM_Districts!E59</f>
        <v>9596</v>
      </c>
      <c r="M698" s="61">
        <f t="shared" si="392"/>
        <v>14.461340610671114</v>
      </c>
      <c r="N698" s="125">
        <f>N627*(1+SIM_Parametres!$B$6)/(1+SIM_Parametres!$B$11)</f>
        <v>71159</v>
      </c>
      <c r="O698" s="132"/>
      <c r="P698" s="126">
        <f>SIM_Parametres!$D$31</f>
        <v>0</v>
      </c>
      <c r="Q698" s="126">
        <f>SIM_Parametres!$B$12</f>
        <v>0.2</v>
      </c>
      <c r="R698" s="66">
        <f t="shared" si="402"/>
        <v>7.2162749688465238E-3</v>
      </c>
      <c r="S698" s="66">
        <f t="shared" si="403"/>
        <v>0.94858156028368779</v>
      </c>
      <c r="T698" s="66">
        <f t="shared" si="404"/>
        <v>0.86464088397790051</v>
      </c>
      <c r="U698" s="66">
        <f t="shared" si="405"/>
        <v>0.83194467542502504</v>
      </c>
      <c r="V698" s="66">
        <f t="shared" si="406"/>
        <v>8.1455312710388056E-2</v>
      </c>
      <c r="W698" s="66">
        <f t="shared" si="407"/>
        <v>2.2616782921158311E-2</v>
      </c>
      <c r="X698" s="66">
        <f t="shared" si="408"/>
        <v>1.7110370086918493E-2</v>
      </c>
      <c r="Y698" s="66">
        <f t="shared" si="409"/>
        <v>2.1255944751036638E-2</v>
      </c>
      <c r="Z698" s="66">
        <f t="shared" si="410"/>
        <v>2.9896828429499429E-3</v>
      </c>
      <c r="AA698" s="66">
        <f t="shared" si="393"/>
        <v>1.1501119312218764E-2</v>
      </c>
      <c r="AB698" s="66">
        <f t="shared" si="411"/>
        <v>1.2786971739280201E-2</v>
      </c>
      <c r="AC698" s="67">
        <f t="shared" si="394"/>
        <v>17833216.695590854</v>
      </c>
      <c r="AD698" s="67">
        <f t="shared" si="399"/>
        <v>18974595.809622165</v>
      </c>
      <c r="AE698" s="66">
        <f t="shared" si="397"/>
        <v>3.2000000000000028E-2</v>
      </c>
      <c r="AF698" s="67">
        <f t="shared" si="400"/>
        <v>18974595.809622165</v>
      </c>
      <c r="AG698" s="67">
        <f t="shared" si="412"/>
        <v>1.0000000000000002</v>
      </c>
      <c r="AH698" s="67">
        <f t="shared" si="401"/>
        <v>18974595.809622169</v>
      </c>
      <c r="AI698" s="67">
        <f t="shared" si="395"/>
        <v>136.73312478587465</v>
      </c>
      <c r="AJ698" s="67">
        <f t="shared" si="396"/>
        <v>0</v>
      </c>
      <c r="AK698" s="66">
        <f t="shared" si="398"/>
        <v>3.200000000000025E-2</v>
      </c>
    </row>
    <row r="699" spans="1:37" ht="12.75" customHeight="1" x14ac:dyDescent="0.25">
      <c r="A699" s="55" t="s">
        <v>656</v>
      </c>
      <c r="B699" s="55" t="s">
        <v>444</v>
      </c>
      <c r="C699" s="55" t="s">
        <v>449</v>
      </c>
      <c r="D699" s="128">
        <v>2025</v>
      </c>
      <c r="E699" s="55" t="s">
        <v>676</v>
      </c>
      <c r="F699" s="57">
        <f>SIM_Parametres!$C$31</f>
        <v>1483900660.492918</v>
      </c>
      <c r="G699" s="129">
        <f>SIM_Districts!D60*(1+SIM_Parametres!$B$6)^(2025-2023)</f>
        <v>102408.677</v>
      </c>
      <c r="H699" s="129">
        <f>MAX(0,MIN(100,SIM_Districts!F60+(2025-2022)*SIM_Parametres!$B$7))</f>
        <v>60.309999999999995</v>
      </c>
      <c r="I699" s="129">
        <f>SIM_Districts!G60*(1+SIM_Parametres!$B$8)^(2025-2023)</f>
        <v>35.343999999999994</v>
      </c>
      <c r="J699" s="129">
        <f>SIM_Districts!H60*(1+SIM_Parametres!$B$9)^(2025-2023)</f>
        <v>19.035</v>
      </c>
      <c r="K699" s="129">
        <f>MAX(0,MIN(100,SIM_Districts!I60+(2025-2023)*SIM_Parametres!$B$10))</f>
        <v>89.6</v>
      </c>
      <c r="L699" s="129">
        <f>SIM_Districts!E60</f>
        <v>5363</v>
      </c>
      <c r="M699" s="68">
        <f t="shared" si="392"/>
        <v>19.09540872645907</v>
      </c>
      <c r="N699" s="129">
        <f>N628*(1+SIM_Parametres!$B$6)/(1+SIM_Parametres!$B$11)</f>
        <v>71159</v>
      </c>
      <c r="O699" s="72"/>
      <c r="P699" s="130">
        <f>SIM_Parametres!$D$31</f>
        <v>0</v>
      </c>
      <c r="Q699" s="130">
        <f>SIM_Parametres!$B$12</f>
        <v>0.2</v>
      </c>
      <c r="R699" s="59">
        <f t="shared" si="402"/>
        <v>5.3253852891155147E-3</v>
      </c>
      <c r="S699" s="59">
        <f t="shared" si="403"/>
        <v>0.94858156028368779</v>
      </c>
      <c r="T699" s="59">
        <f t="shared" si="404"/>
        <v>0.86464088397790051</v>
      </c>
      <c r="U699" s="59">
        <f t="shared" si="405"/>
        <v>0.68524994865574662</v>
      </c>
      <c r="V699" s="59">
        <f t="shared" si="406"/>
        <v>8.1455312710388056E-2</v>
      </c>
      <c r="W699" s="59">
        <f t="shared" si="407"/>
        <v>2.2616782921158311E-2</v>
      </c>
      <c r="X699" s="59">
        <f t="shared" si="408"/>
        <v>1.7110370086918493E-2</v>
      </c>
      <c r="Y699" s="59">
        <f t="shared" si="409"/>
        <v>1.7507937101509701E-2</v>
      </c>
      <c r="Z699" s="59">
        <f t="shared" si="410"/>
        <v>2.9896828429499429E-3</v>
      </c>
      <c r="AA699" s="59">
        <f t="shared" si="393"/>
        <v>1.017918512190381E-2</v>
      </c>
      <c r="AB699" s="59">
        <f t="shared" si="411"/>
        <v>1.3375911764854141E-2</v>
      </c>
      <c r="AC699" s="60">
        <f t="shared" si="394"/>
        <v>16263921.481081629</v>
      </c>
      <c r="AD699" s="60">
        <f t="shared" si="399"/>
        <v>19848524.302562051</v>
      </c>
      <c r="AE699" s="59">
        <f t="shared" si="397"/>
        <v>3.2000000000000028E-2</v>
      </c>
      <c r="AF699" s="60">
        <f t="shared" si="400"/>
        <v>19848524.302562051</v>
      </c>
      <c r="AG699" s="60">
        <f t="shared" si="412"/>
        <v>1.0000000000000002</v>
      </c>
      <c r="AH699" s="60">
        <f t="shared" si="401"/>
        <v>19848524.302562054</v>
      </c>
      <c r="AI699" s="60">
        <f t="shared" si="395"/>
        <v>193.81682181639798</v>
      </c>
      <c r="AJ699" s="60">
        <f t="shared" si="396"/>
        <v>0</v>
      </c>
      <c r="AK699" s="59">
        <f t="shared" si="398"/>
        <v>3.200000000000025E-2</v>
      </c>
    </row>
    <row r="700" spans="1:37" ht="12.75" customHeight="1" x14ac:dyDescent="0.25">
      <c r="A700" s="62" t="s">
        <v>657</v>
      </c>
      <c r="B700" s="62" t="s">
        <v>444</v>
      </c>
      <c r="C700" s="62" t="s">
        <v>450</v>
      </c>
      <c r="D700" s="124">
        <v>2025</v>
      </c>
      <c r="E700" s="62" t="s">
        <v>676</v>
      </c>
      <c r="F700" s="64">
        <f>SIM_Parametres!$C$31</f>
        <v>1483900660.492918</v>
      </c>
      <c r="G700" s="125">
        <f>SIM_Districts!D61*(1+SIM_Parametres!$B$6)^(2025-2023)</f>
        <v>130129.99399999999</v>
      </c>
      <c r="H700" s="125">
        <f>MAX(0,MIN(100,SIM_Districts!F61+(2025-2022)*SIM_Parametres!$B$7))</f>
        <v>60.309999999999995</v>
      </c>
      <c r="I700" s="125">
        <f>SIM_Districts!G61*(1+SIM_Parametres!$B$8)^(2025-2023)</f>
        <v>35.343999999999994</v>
      </c>
      <c r="J700" s="125">
        <f>SIM_Districts!H61*(1+SIM_Parametres!$B$9)^(2025-2023)</f>
        <v>19.035</v>
      </c>
      <c r="K700" s="125">
        <f>MAX(0,MIN(100,SIM_Districts!I61+(2025-2023)*SIM_Parametres!$B$10))</f>
        <v>89.6</v>
      </c>
      <c r="L700" s="125">
        <f>SIM_Districts!E61</f>
        <v>2477</v>
      </c>
      <c r="M700" s="61">
        <f t="shared" si="392"/>
        <v>52.535322567622117</v>
      </c>
      <c r="N700" s="125">
        <f>N629*(1+SIM_Parametres!$B$6)/(1+SIM_Parametres!$B$11)</f>
        <v>71159</v>
      </c>
      <c r="O700" s="132"/>
      <c r="P700" s="126">
        <f>SIM_Parametres!$D$31</f>
        <v>0</v>
      </c>
      <c r="Q700" s="126">
        <f>SIM_Parametres!$B$12</f>
        <v>0.2</v>
      </c>
      <c r="R700" s="66">
        <f t="shared" si="402"/>
        <v>6.7669300690242316E-3</v>
      </c>
      <c r="S700" s="66">
        <f t="shared" si="403"/>
        <v>0.94858156028368779</v>
      </c>
      <c r="T700" s="66">
        <f t="shared" si="404"/>
        <v>0.86464088397790051</v>
      </c>
      <c r="U700" s="66">
        <f t="shared" si="405"/>
        <v>0.58483187330804909</v>
      </c>
      <c r="V700" s="66">
        <f t="shared" si="406"/>
        <v>8.1455312710388056E-2</v>
      </c>
      <c r="W700" s="66">
        <f t="shared" si="407"/>
        <v>2.2616782921158311E-2</v>
      </c>
      <c r="X700" s="66">
        <f t="shared" si="408"/>
        <v>1.7110370086918493E-2</v>
      </c>
      <c r="Y700" s="66">
        <f t="shared" si="409"/>
        <v>1.4942284450982639E-2</v>
      </c>
      <c r="Z700" s="66">
        <f t="shared" si="410"/>
        <v>2.9896828429499429E-3</v>
      </c>
      <c r="AA700" s="66">
        <f t="shared" si="393"/>
        <v>1.0915829357322689E-2</v>
      </c>
      <c r="AB700" s="66">
        <f t="shared" si="411"/>
        <v>1.300288841056765E-2</v>
      </c>
      <c r="AC700" s="67">
        <f t="shared" si="394"/>
        <v>17138406.97507073</v>
      </c>
      <c r="AD700" s="67">
        <f t="shared" si="399"/>
        <v>19294994.700757045</v>
      </c>
      <c r="AE700" s="66">
        <f t="shared" si="397"/>
        <v>3.200000000000025E-2</v>
      </c>
      <c r="AF700" s="67">
        <f t="shared" si="400"/>
        <v>19294994.700757045</v>
      </c>
      <c r="AG700" s="67">
        <f t="shared" si="412"/>
        <v>1.0000000000000002</v>
      </c>
      <c r="AH700" s="67">
        <f t="shared" si="401"/>
        <v>19294994.700757049</v>
      </c>
      <c r="AI700" s="67">
        <f t="shared" si="395"/>
        <v>148.27476823488558</v>
      </c>
      <c r="AJ700" s="67">
        <f t="shared" si="396"/>
        <v>0</v>
      </c>
      <c r="AK700" s="66">
        <f t="shared" si="398"/>
        <v>3.2000000000000473E-2</v>
      </c>
    </row>
    <row r="701" spans="1:37" ht="12.75" customHeight="1" x14ac:dyDescent="0.25">
      <c r="A701" s="55" t="s">
        <v>658</v>
      </c>
      <c r="B701" s="55" t="s">
        <v>444</v>
      </c>
      <c r="C701" s="55" t="s">
        <v>451</v>
      </c>
      <c r="D701" s="128">
        <v>2025</v>
      </c>
      <c r="E701" s="55" t="s">
        <v>676</v>
      </c>
      <c r="F701" s="57">
        <f>SIM_Parametres!$C$31</f>
        <v>1483900660.492918</v>
      </c>
      <c r="G701" s="129">
        <f>SIM_Districts!D62*(1+SIM_Parametres!$B$6)^(2025-2023)</f>
        <v>436546.55829999998</v>
      </c>
      <c r="H701" s="129">
        <f>MAX(0,MIN(100,SIM_Districts!F62+(2025-2022)*SIM_Parametres!$B$7))</f>
        <v>60.309999999999995</v>
      </c>
      <c r="I701" s="129">
        <f>SIM_Districts!G62*(1+SIM_Parametres!$B$8)^(2025-2023)</f>
        <v>35.343999999999994</v>
      </c>
      <c r="J701" s="129">
        <f>SIM_Districts!H62*(1+SIM_Parametres!$B$9)^(2025-2023)</f>
        <v>19.035</v>
      </c>
      <c r="K701" s="129">
        <f>MAX(0,MIN(100,SIM_Districts!I62+(2025-2023)*SIM_Parametres!$B$10))</f>
        <v>89.6</v>
      </c>
      <c r="L701" s="129">
        <f>SIM_Districts!E62</f>
        <v>11599</v>
      </c>
      <c r="M701" s="68">
        <f t="shared" si="392"/>
        <v>37.636568523148547</v>
      </c>
      <c r="N701" s="129">
        <f>N630*(1+SIM_Parametres!$B$6)/(1+SIM_Parametres!$B$11)</f>
        <v>71159</v>
      </c>
      <c r="O701" s="72"/>
      <c r="P701" s="130">
        <f>SIM_Parametres!$D$31</f>
        <v>0</v>
      </c>
      <c r="Q701" s="130">
        <f>SIM_Parametres!$B$12</f>
        <v>0.2</v>
      </c>
      <c r="R701" s="59">
        <f t="shared" si="402"/>
        <v>2.2700992608124686E-2</v>
      </c>
      <c r="S701" s="59">
        <f t="shared" si="403"/>
        <v>0.94858156028368779</v>
      </c>
      <c r="T701" s="59">
        <f t="shared" si="404"/>
        <v>0.86464088397790051</v>
      </c>
      <c r="U701" s="59">
        <f t="shared" si="405"/>
        <v>0.90102051224376711</v>
      </c>
      <c r="V701" s="59">
        <f t="shared" si="406"/>
        <v>8.1455312710388056E-2</v>
      </c>
      <c r="W701" s="59">
        <f t="shared" si="407"/>
        <v>2.2616782921158311E-2</v>
      </c>
      <c r="X701" s="59">
        <f t="shared" si="408"/>
        <v>1.7110370086918493E-2</v>
      </c>
      <c r="Y701" s="59">
        <f t="shared" si="409"/>
        <v>2.3020812313054136E-2</v>
      </c>
      <c r="Z701" s="59">
        <f t="shared" si="410"/>
        <v>2.9896828429499429E-3</v>
      </c>
      <c r="AA701" s="59">
        <f t="shared" si="393"/>
        <v>2.0880193273886537E-2</v>
      </c>
      <c r="AB701" s="59">
        <f t="shared" si="411"/>
        <v>1.4405926702591167E-2</v>
      </c>
      <c r="AC701" s="60">
        <f t="shared" si="394"/>
        <v>28967307.932815447</v>
      </c>
      <c r="AD701" s="60">
        <f t="shared" si="399"/>
        <v>21376964.148987599</v>
      </c>
      <c r="AE701" s="59">
        <f t="shared" si="397"/>
        <v>3.200000000000025E-2</v>
      </c>
      <c r="AF701" s="60">
        <f t="shared" si="400"/>
        <v>21376964.148987599</v>
      </c>
      <c r="AG701" s="60">
        <f t="shared" si="412"/>
        <v>1.0000000000000002</v>
      </c>
      <c r="AH701" s="60">
        <f t="shared" si="401"/>
        <v>21376964.148987602</v>
      </c>
      <c r="AI701" s="60">
        <f t="shared" si="395"/>
        <v>48.968348833704695</v>
      </c>
      <c r="AJ701" s="60">
        <f t="shared" si="396"/>
        <v>0</v>
      </c>
      <c r="AK701" s="59">
        <f t="shared" si="398"/>
        <v>3.2000000000000473E-2</v>
      </c>
    </row>
    <row r="702" spans="1:37" ht="12.75" customHeight="1" x14ac:dyDescent="0.25">
      <c r="A702" s="62" t="s">
        <v>659</v>
      </c>
      <c r="B702" s="62" t="s">
        <v>452</v>
      </c>
      <c r="C702" s="62" t="s">
        <v>454</v>
      </c>
      <c r="D702" s="124">
        <v>2025</v>
      </c>
      <c r="E702" s="62" t="s">
        <v>676</v>
      </c>
      <c r="F702" s="64">
        <f>SIM_Parametres!$C$31</f>
        <v>1483900660.492918</v>
      </c>
      <c r="G702" s="125">
        <f>SIM_Districts!D63*(1+SIM_Parametres!$B$6)^(2025-2023)</f>
        <v>129501.9412</v>
      </c>
      <c r="H702" s="125">
        <f>MAX(0,MIN(100,SIM_Districts!F63+(2025-2022)*SIM_Parametres!$B$7))</f>
        <v>27.41</v>
      </c>
      <c r="I702" s="125">
        <f>SIM_Districts!G63*(1+SIM_Parametres!$B$8)^(2025-2023)</f>
        <v>35.343999999999994</v>
      </c>
      <c r="J702" s="125">
        <f>SIM_Districts!H63*(1+SIM_Parametres!$B$9)^(2025-2023)</f>
        <v>12.879000000000001</v>
      </c>
      <c r="K702" s="125">
        <f>MAX(0,MIN(100,SIM_Districts!I63+(2025-2023)*SIM_Parametres!$B$10))</f>
        <v>100</v>
      </c>
      <c r="L702" s="125">
        <f>SIM_Districts!E63</f>
        <v>393</v>
      </c>
      <c r="M702" s="61">
        <f t="shared" si="392"/>
        <v>329.52147888040713</v>
      </c>
      <c r="N702" s="125">
        <f>N631*(1+SIM_Parametres!$B$6)/(1+SIM_Parametres!$B$11)</f>
        <v>153373</v>
      </c>
      <c r="O702" s="132"/>
      <c r="P702" s="126">
        <f>SIM_Parametres!$D$31</f>
        <v>0</v>
      </c>
      <c r="Q702" s="126">
        <f>SIM_Parametres!$B$12</f>
        <v>0.2</v>
      </c>
      <c r="R702" s="66">
        <f t="shared" si="402"/>
        <v>6.7342705011059021E-3</v>
      </c>
      <c r="S702" s="66">
        <f t="shared" si="403"/>
        <v>0.36524822695035464</v>
      </c>
      <c r="T702" s="66">
        <f t="shared" si="404"/>
        <v>0.65469613259668513</v>
      </c>
      <c r="U702" s="66">
        <f t="shared" si="405"/>
        <v>0.5089487082445231</v>
      </c>
      <c r="V702" s="66">
        <f t="shared" si="406"/>
        <v>0.65207282116061327</v>
      </c>
      <c r="W702" s="66">
        <f t="shared" si="407"/>
        <v>8.7085182836609595E-3</v>
      </c>
      <c r="X702" s="66">
        <f t="shared" si="408"/>
        <v>1.2955775433225826E-2</v>
      </c>
      <c r="Y702" s="66">
        <f t="shared" si="409"/>
        <v>1.3003491630053692E-2</v>
      </c>
      <c r="Z702" s="66">
        <f t="shared" si="410"/>
        <v>2.3933256909947777E-2</v>
      </c>
      <c r="AA702" s="66">
        <f t="shared" si="393"/>
        <v>9.1370437851966326E-3</v>
      </c>
      <c r="AB702" s="66">
        <f t="shared" si="411"/>
        <v>1.4225296024276766E-2</v>
      </c>
      <c r="AC702" s="67">
        <f t="shared" si="394"/>
        <v>15026774.106788227</v>
      </c>
      <c r="AD702" s="67">
        <f t="shared" si="399"/>
        <v>21108926.166131575</v>
      </c>
      <c r="AE702" s="66">
        <f t="shared" si="397"/>
        <v>3.200000000000025E-2</v>
      </c>
      <c r="AF702" s="67">
        <f t="shared" si="400"/>
        <v>21108926.166131575</v>
      </c>
      <c r="AG702" s="67">
        <f t="shared" si="412"/>
        <v>1.0000000000000002</v>
      </c>
      <c r="AH702" s="67">
        <f t="shared" si="401"/>
        <v>21108926.166131578</v>
      </c>
      <c r="AI702" s="67">
        <f t="shared" si="395"/>
        <v>163.00084748174862</v>
      </c>
      <c r="AJ702" s="67">
        <f t="shared" si="396"/>
        <v>0</v>
      </c>
      <c r="AK702" s="66">
        <f t="shared" si="398"/>
        <v>3.2000000000000473E-2</v>
      </c>
    </row>
    <row r="703" spans="1:37" ht="12.75" customHeight="1" x14ac:dyDescent="0.25">
      <c r="A703" s="55" t="s">
        <v>661</v>
      </c>
      <c r="B703" s="55" t="s">
        <v>452</v>
      </c>
      <c r="C703" s="55" t="s">
        <v>455</v>
      </c>
      <c r="D703" s="128">
        <v>2025</v>
      </c>
      <c r="E703" s="55" t="s">
        <v>676</v>
      </c>
      <c r="F703" s="57">
        <f>SIM_Parametres!$C$31</f>
        <v>1483900660.492918</v>
      </c>
      <c r="G703" s="129">
        <f>SIM_Districts!D64*(1+SIM_Parametres!$B$6)^(2025-2023)</f>
        <v>224452.49119999999</v>
      </c>
      <c r="H703" s="129">
        <f>MAX(0,MIN(100,SIM_Districts!F64+(2025-2022)*SIM_Parametres!$B$7))</f>
        <v>27.41</v>
      </c>
      <c r="I703" s="129">
        <f>SIM_Districts!G64*(1+SIM_Parametres!$B$8)^(2025-2023)</f>
        <v>35.343999999999994</v>
      </c>
      <c r="J703" s="129">
        <f>SIM_Districts!H64*(1+SIM_Parametres!$B$9)^(2025-2023)</f>
        <v>12.879000000000001</v>
      </c>
      <c r="K703" s="129">
        <f>MAX(0,MIN(100,SIM_Districts!I64+(2025-2023)*SIM_Parametres!$B$10))</f>
        <v>100</v>
      </c>
      <c r="L703" s="129">
        <f>SIM_Districts!E64</f>
        <v>537</v>
      </c>
      <c r="M703" s="68">
        <f t="shared" si="392"/>
        <v>417.97484394785846</v>
      </c>
      <c r="N703" s="129">
        <f>N632*(1+SIM_Parametres!$B$6)/(1+SIM_Parametres!$B$11)</f>
        <v>153373</v>
      </c>
      <c r="O703" s="72"/>
      <c r="P703" s="130">
        <f>SIM_Parametres!$D$31</f>
        <v>0</v>
      </c>
      <c r="Q703" s="130">
        <f>SIM_Parametres!$B$12</f>
        <v>0.2</v>
      </c>
      <c r="R703" s="59">
        <f t="shared" si="402"/>
        <v>1.167182342119125E-2</v>
      </c>
      <c r="S703" s="59">
        <f t="shared" si="403"/>
        <v>0.36524822695035464</v>
      </c>
      <c r="T703" s="59">
        <f t="shared" si="404"/>
        <v>0.65469613259668513</v>
      </c>
      <c r="U703" s="59">
        <f t="shared" si="405"/>
        <v>0.51275775815315705</v>
      </c>
      <c r="V703" s="59">
        <f t="shared" si="406"/>
        <v>0.65207282116061327</v>
      </c>
      <c r="W703" s="59">
        <f t="shared" si="407"/>
        <v>8.7085182836609595E-3</v>
      </c>
      <c r="X703" s="59">
        <f t="shared" si="408"/>
        <v>1.2955775433225826E-2</v>
      </c>
      <c r="Y703" s="59">
        <f t="shared" si="409"/>
        <v>1.3100811748570588E-2</v>
      </c>
      <c r="Z703" s="59">
        <f t="shared" si="410"/>
        <v>2.3933256909947777E-2</v>
      </c>
      <c r="AA703" s="59">
        <f t="shared" si="393"/>
        <v>1.2104441543173687E-2</v>
      </c>
      <c r="AB703" s="59">
        <f t="shared" si="411"/>
        <v>1.4479859259296599E-2</v>
      </c>
      <c r="AC703" s="60">
        <f t="shared" si="394"/>
        <v>18549432.901194111</v>
      </c>
      <c r="AD703" s="60">
        <f t="shared" si="399"/>
        <v>21486672.718714718</v>
      </c>
      <c r="AE703" s="59">
        <f t="shared" si="397"/>
        <v>3.200000000000025E-2</v>
      </c>
      <c r="AF703" s="60">
        <f t="shared" si="400"/>
        <v>21486672.718714718</v>
      </c>
      <c r="AG703" s="60">
        <f t="shared" si="412"/>
        <v>1.0000000000000002</v>
      </c>
      <c r="AH703" s="60">
        <f t="shared" si="401"/>
        <v>21486672.718714722</v>
      </c>
      <c r="AI703" s="60">
        <f t="shared" si="395"/>
        <v>95.729268157549072</v>
      </c>
      <c r="AJ703" s="60">
        <f t="shared" si="396"/>
        <v>0</v>
      </c>
      <c r="AK703" s="59">
        <f t="shared" si="398"/>
        <v>3.2000000000000473E-2</v>
      </c>
    </row>
    <row r="704" spans="1:37" ht="12.75" customHeight="1" x14ac:dyDescent="0.25">
      <c r="A704" s="62" t="s">
        <v>662</v>
      </c>
      <c r="B704" s="62" t="s">
        <v>452</v>
      </c>
      <c r="C704" s="62" t="s">
        <v>456</v>
      </c>
      <c r="D704" s="124">
        <v>2025</v>
      </c>
      <c r="E704" s="62" t="s">
        <v>676</v>
      </c>
      <c r="F704" s="64">
        <f>SIM_Parametres!$C$31</f>
        <v>1483900660.492918</v>
      </c>
      <c r="G704" s="125">
        <f>SIM_Districts!D65*(1+SIM_Parametres!$B$6)^(2025-2023)</f>
        <v>584417.98300000001</v>
      </c>
      <c r="H704" s="125">
        <f>MAX(0,MIN(100,SIM_Districts!F65+(2025-2022)*SIM_Parametres!$B$7))</f>
        <v>27.41</v>
      </c>
      <c r="I704" s="125">
        <f>SIM_Districts!G65*(1+SIM_Parametres!$B$8)^(2025-2023)</f>
        <v>35.343999999999994</v>
      </c>
      <c r="J704" s="125">
        <f>SIM_Districts!H65*(1+SIM_Parametres!$B$9)^(2025-2023)</f>
        <v>12.879000000000001</v>
      </c>
      <c r="K704" s="125">
        <f>MAX(0,MIN(100,SIM_Districts!I65+(2025-2023)*SIM_Parametres!$B$10))</f>
        <v>100</v>
      </c>
      <c r="L704" s="125">
        <f>SIM_Districts!E65</f>
        <v>487</v>
      </c>
      <c r="M704" s="61">
        <f t="shared" si="392"/>
        <v>1200.0369260780287</v>
      </c>
      <c r="N704" s="125">
        <f>N633*(1+SIM_Parametres!$B$6)/(1+SIM_Parametres!$B$11)</f>
        <v>153373</v>
      </c>
      <c r="O704" s="132"/>
      <c r="P704" s="126">
        <f>SIM_Parametres!$D$31</f>
        <v>0</v>
      </c>
      <c r="Q704" s="126">
        <f>SIM_Parametres!$B$12</f>
        <v>0.2</v>
      </c>
      <c r="R704" s="66">
        <f t="shared" si="402"/>
        <v>3.0390500302652688E-2</v>
      </c>
      <c r="S704" s="66">
        <f t="shared" si="403"/>
        <v>0.36524822695035464</v>
      </c>
      <c r="T704" s="66">
        <f t="shared" si="404"/>
        <v>0.65469613259668513</v>
      </c>
      <c r="U704" s="66">
        <f t="shared" si="405"/>
        <v>0.50060006219339404</v>
      </c>
      <c r="V704" s="66">
        <f t="shared" si="406"/>
        <v>0.65207282116061327</v>
      </c>
      <c r="W704" s="66">
        <f t="shared" si="407"/>
        <v>8.7085182836609595E-3</v>
      </c>
      <c r="X704" s="66">
        <f t="shared" si="408"/>
        <v>1.2955775433225826E-2</v>
      </c>
      <c r="Y704" s="66">
        <f t="shared" si="409"/>
        <v>1.2790186148991385E-2</v>
      </c>
      <c r="Z704" s="66">
        <f t="shared" si="410"/>
        <v>2.3933256909947777E-2</v>
      </c>
      <c r="AA704" s="66">
        <f t="shared" si="393"/>
        <v>2.3320116392071589E-2</v>
      </c>
      <c r="AB704" s="66">
        <f t="shared" si="411"/>
        <v>1.3112947102935963E-2</v>
      </c>
      <c r="AC704" s="67">
        <f t="shared" si="394"/>
        <v>31863790.754116837</v>
      </c>
      <c r="AD704" s="67">
        <f t="shared" si="399"/>
        <v>19458310.867055371</v>
      </c>
      <c r="AE704" s="66">
        <f t="shared" si="397"/>
        <v>3.200000000000025E-2</v>
      </c>
      <c r="AF704" s="67">
        <f t="shared" si="400"/>
        <v>19458310.867055371</v>
      </c>
      <c r="AG704" s="67">
        <f t="shared" si="412"/>
        <v>1.0000000000000002</v>
      </c>
      <c r="AH704" s="67">
        <f t="shared" si="401"/>
        <v>19458310.867055375</v>
      </c>
      <c r="AI704" s="67">
        <f t="shared" si="395"/>
        <v>33.29519527645229</v>
      </c>
      <c r="AJ704" s="67">
        <f t="shared" si="396"/>
        <v>0</v>
      </c>
      <c r="AK704" s="66">
        <f t="shared" si="398"/>
        <v>3.200000000000025E-2</v>
      </c>
    </row>
    <row r="705" spans="1:37" ht="12.75" customHeight="1" x14ac:dyDescent="0.25">
      <c r="A705" s="55" t="s">
        <v>663</v>
      </c>
      <c r="B705" s="55" t="s">
        <v>452</v>
      </c>
      <c r="C705" s="55" t="s">
        <v>457</v>
      </c>
      <c r="D705" s="128">
        <v>2025</v>
      </c>
      <c r="E705" s="55" t="s">
        <v>676</v>
      </c>
      <c r="F705" s="57">
        <f>SIM_Parametres!$C$31</f>
        <v>1483900660.492918</v>
      </c>
      <c r="G705" s="129">
        <f>SIM_Districts!D66*(1+SIM_Parametres!$B$6)^(2025-2023)</f>
        <v>117139.2735</v>
      </c>
      <c r="H705" s="129">
        <f>MAX(0,MIN(100,SIM_Districts!F66+(2025-2022)*SIM_Parametres!$B$7))</f>
        <v>27.41</v>
      </c>
      <c r="I705" s="129">
        <f>SIM_Districts!G66*(1+SIM_Parametres!$B$8)^(2025-2023)</f>
        <v>35.343999999999994</v>
      </c>
      <c r="J705" s="129">
        <f>SIM_Districts!H66*(1+SIM_Parametres!$B$9)^(2025-2023)</f>
        <v>12.879000000000001</v>
      </c>
      <c r="K705" s="129">
        <f>MAX(0,MIN(100,SIM_Districts!I66+(2025-2023)*SIM_Parametres!$B$10))</f>
        <v>100</v>
      </c>
      <c r="L705" s="129">
        <f>SIM_Districts!E66</f>
        <v>230</v>
      </c>
      <c r="M705" s="68">
        <f t="shared" si="392"/>
        <v>509.30118913043475</v>
      </c>
      <c r="N705" s="129">
        <f>N634*(1+SIM_Parametres!$B$6)/(1+SIM_Parametres!$B$11)</f>
        <v>153373</v>
      </c>
      <c r="O705" s="72"/>
      <c r="P705" s="130">
        <f>SIM_Parametres!$D$31</f>
        <v>0</v>
      </c>
      <c r="Q705" s="130">
        <f>SIM_Parametres!$B$12</f>
        <v>0.2</v>
      </c>
      <c r="R705" s="59">
        <f t="shared" si="402"/>
        <v>6.0913955940918845E-3</v>
      </c>
      <c r="S705" s="59">
        <f t="shared" si="403"/>
        <v>0.36524822695035464</v>
      </c>
      <c r="T705" s="59">
        <f t="shared" si="404"/>
        <v>0.65469613259668513</v>
      </c>
      <c r="U705" s="59">
        <f t="shared" si="405"/>
        <v>0.50090567337352976</v>
      </c>
      <c r="V705" s="59">
        <f t="shared" si="406"/>
        <v>0.65207282116061327</v>
      </c>
      <c r="W705" s="59">
        <f t="shared" si="407"/>
        <v>8.7085182836609595E-3</v>
      </c>
      <c r="X705" s="59">
        <f t="shared" si="408"/>
        <v>1.2955775433225826E-2</v>
      </c>
      <c r="Y705" s="59">
        <f t="shared" si="409"/>
        <v>1.2797994425854201E-2</v>
      </c>
      <c r="Z705" s="59">
        <f t="shared" si="410"/>
        <v>2.3933256909947777E-2</v>
      </c>
      <c r="AA705" s="59">
        <f t="shared" si="393"/>
        <v>8.7410439807782472E-3</v>
      </c>
      <c r="AB705" s="59">
        <f t="shared" si="411"/>
        <v>1.2876026864402651E-2</v>
      </c>
      <c r="AC705" s="60">
        <f t="shared" si="394"/>
        <v>14556674.60972302</v>
      </c>
      <c r="AD705" s="60">
        <f t="shared" si="399"/>
        <v>19106744.768611651</v>
      </c>
      <c r="AE705" s="59">
        <f t="shared" si="397"/>
        <v>3.200000000000025E-2</v>
      </c>
      <c r="AF705" s="60">
        <f t="shared" si="400"/>
        <v>19106744.768611651</v>
      </c>
      <c r="AG705" s="60">
        <f t="shared" si="412"/>
        <v>1.0000000000000002</v>
      </c>
      <c r="AH705" s="60">
        <f t="shared" si="401"/>
        <v>19106744.768611655</v>
      </c>
      <c r="AI705" s="60">
        <f t="shared" si="395"/>
        <v>163.11134769511486</v>
      </c>
      <c r="AJ705" s="60">
        <f t="shared" si="396"/>
        <v>0</v>
      </c>
      <c r="AK705" s="59">
        <f t="shared" si="398"/>
        <v>3.2000000000000473E-2</v>
      </c>
    </row>
    <row r="706" spans="1:37" ht="12.75" customHeight="1" x14ac:dyDescent="0.25">
      <c r="A706" s="62" t="s">
        <v>664</v>
      </c>
      <c r="B706" s="62" t="s">
        <v>452</v>
      </c>
      <c r="C706" s="62" t="s">
        <v>458</v>
      </c>
      <c r="D706" s="124">
        <v>2025</v>
      </c>
      <c r="E706" s="62" t="s">
        <v>676</v>
      </c>
      <c r="F706" s="64">
        <f>SIM_Parametres!$C$31</f>
        <v>1483900660.492918</v>
      </c>
      <c r="G706" s="125">
        <f>SIM_Districts!D67*(1+SIM_Parametres!$B$6)^(2025-2023)</f>
        <v>194089.53320000001</v>
      </c>
      <c r="H706" s="125">
        <f>MAX(0,MIN(100,SIM_Districts!F67+(2025-2022)*SIM_Parametres!$B$7))</f>
        <v>27.41</v>
      </c>
      <c r="I706" s="125">
        <f>SIM_Districts!G67*(1+SIM_Parametres!$B$8)^(2025-2023)</f>
        <v>35.343999999999994</v>
      </c>
      <c r="J706" s="125">
        <f>SIM_Districts!H67*(1+SIM_Parametres!$B$9)^(2025-2023)</f>
        <v>12.879000000000001</v>
      </c>
      <c r="K706" s="125">
        <f>MAX(0,MIN(100,SIM_Districts!I67+(2025-2023)*SIM_Parametres!$B$10))</f>
        <v>100</v>
      </c>
      <c r="L706" s="125">
        <f>SIM_Districts!E67</f>
        <v>557</v>
      </c>
      <c r="M706" s="61">
        <f t="shared" si="392"/>
        <v>348.45517630161584</v>
      </c>
      <c r="N706" s="125">
        <f>N635*(1+SIM_Parametres!$B$6)/(1+SIM_Parametres!$B$11)</f>
        <v>153373</v>
      </c>
      <c r="O706" s="132"/>
      <c r="P706" s="126">
        <f>SIM_Parametres!$D$31</f>
        <v>0</v>
      </c>
      <c r="Q706" s="126">
        <f>SIM_Parametres!$B$12</f>
        <v>0.2</v>
      </c>
      <c r="R706" s="66">
        <f t="shared" si="402"/>
        <v>1.0092909850544963E-2</v>
      </c>
      <c r="S706" s="66">
        <f t="shared" si="403"/>
        <v>0.36524822695035464</v>
      </c>
      <c r="T706" s="66">
        <f t="shared" si="404"/>
        <v>0.65469613259668513</v>
      </c>
      <c r="U706" s="66">
        <f t="shared" si="405"/>
        <v>0.51437733390901996</v>
      </c>
      <c r="V706" s="66">
        <f t="shared" si="406"/>
        <v>0.65207282116061327</v>
      </c>
      <c r="W706" s="66">
        <f t="shared" si="407"/>
        <v>8.7085182836609595E-3</v>
      </c>
      <c r="X706" s="66">
        <f t="shared" si="408"/>
        <v>1.2955775433225826E-2</v>
      </c>
      <c r="Y706" s="66">
        <f t="shared" si="409"/>
        <v>1.3142191438595232E-2</v>
      </c>
      <c r="Z706" s="66">
        <f t="shared" si="410"/>
        <v>2.3933256909947777E-2</v>
      </c>
      <c r="AA706" s="66">
        <f t="shared" si="393"/>
        <v>1.1159162385287146E-2</v>
      </c>
      <c r="AB706" s="66">
        <f t="shared" si="411"/>
        <v>1.2245079704336989E-2</v>
      </c>
      <c r="AC706" s="67">
        <f t="shared" si="394"/>
        <v>17427272.607803687</v>
      </c>
      <c r="AD706" s="67">
        <f t="shared" si="399"/>
        <v>18170481.861054081</v>
      </c>
      <c r="AE706" s="66">
        <f t="shared" si="397"/>
        <v>3.200000000000025E-2</v>
      </c>
      <c r="AF706" s="67">
        <f t="shared" si="400"/>
        <v>18170481.861054081</v>
      </c>
      <c r="AG706" s="67">
        <f t="shared" si="412"/>
        <v>1.0000000000000002</v>
      </c>
      <c r="AH706" s="67">
        <f t="shared" si="401"/>
        <v>18170481.861054085</v>
      </c>
      <c r="AI706" s="67">
        <f t="shared" si="395"/>
        <v>93.619071371202025</v>
      </c>
      <c r="AJ706" s="67">
        <f t="shared" si="396"/>
        <v>0</v>
      </c>
      <c r="AK706" s="66">
        <f t="shared" si="398"/>
        <v>3.200000000000025E-2</v>
      </c>
    </row>
    <row r="707" spans="1:37" ht="12.75" customHeight="1" x14ac:dyDescent="0.25">
      <c r="A707" s="55" t="s">
        <v>665</v>
      </c>
      <c r="B707" s="55" t="s">
        <v>452</v>
      </c>
      <c r="C707" s="55" t="s">
        <v>459</v>
      </c>
      <c r="D707" s="128">
        <v>2025</v>
      </c>
      <c r="E707" s="55" t="s">
        <v>676</v>
      </c>
      <c r="F707" s="57">
        <f>SIM_Parametres!$C$31</f>
        <v>1483900660.492918</v>
      </c>
      <c r="G707" s="129">
        <f>SIM_Districts!D68*(1+SIM_Parametres!$B$6)^(2025-2023)</f>
        <v>246531.94199999998</v>
      </c>
      <c r="H707" s="129">
        <f>MAX(0,MIN(100,SIM_Districts!F68+(2025-2022)*SIM_Parametres!$B$7))</f>
        <v>27.41</v>
      </c>
      <c r="I707" s="129">
        <f>SIM_Districts!G68*(1+SIM_Parametres!$B$8)^(2025-2023)</f>
        <v>35.343999999999994</v>
      </c>
      <c r="J707" s="129">
        <f>SIM_Districts!H68*(1+SIM_Parametres!$B$9)^(2025-2023)</f>
        <v>12.879000000000001</v>
      </c>
      <c r="K707" s="129">
        <f>MAX(0,MIN(100,SIM_Districts!I68+(2025-2023)*SIM_Parametres!$B$10))</f>
        <v>100</v>
      </c>
      <c r="L707" s="129">
        <f>SIM_Districts!E68</f>
        <v>793</v>
      </c>
      <c r="M707" s="68">
        <f t="shared" si="392"/>
        <v>310.88517276166453</v>
      </c>
      <c r="N707" s="129">
        <f>N636*(1+SIM_Parametres!$B$6)/(1+SIM_Parametres!$B$11)</f>
        <v>153373</v>
      </c>
      <c r="O707" s="72"/>
      <c r="P707" s="130">
        <f>SIM_Parametres!$D$31</f>
        <v>0</v>
      </c>
      <c r="Q707" s="130">
        <f>SIM_Parametres!$B$12</f>
        <v>0.2</v>
      </c>
      <c r="R707" s="59">
        <f t="shared" ref="R707:R713" si="413">IFERROR(G707/SUM($G$643:$G$713),1/71)</f>
        <v>1.2819983771725508E-2</v>
      </c>
      <c r="S707" s="59">
        <f t="shared" ref="S707:S713" si="414">IF(MAX($H$643:$H$713)=MIN($H$643:$H$713),1,(H707-MIN($H$643:$H$713))/(MAX($H$643:$H$713)-MIN($H$643:$H$713)))</f>
        <v>0.36524822695035464</v>
      </c>
      <c r="T707" s="59">
        <f t="shared" ref="T707:T713" si="415">(IF(MAX($I$643:$I$713)=MIN($I$643:$I$713),1,(I707-MIN($I$643:$I$713))/(MAX($I$643:$I$713)-MIN($I$643:$I$713)))+IF(MAX($J$643:$J$713)=MIN($J$643:$J$713),1,(J707-MIN($J$643:$J$713))/(MAX($J$643:$J$713)-MIN($J$643:$J$713))))/2</f>
        <v>0.65469613259668513</v>
      </c>
      <c r="U707" s="59">
        <f t="shared" ref="U707:U713" si="416">(IF(MAX($L$643:$L$713)=MIN($L$643:$L$713),1,(L707-MIN($L$643:$L$713))/(MAX($L$643:$L$713)-MIN($L$643:$L$713)))+IF(MAX($M$643:$M$713)=MIN($M$643:$M$713),1,(MAX($M$643:$M$713)-M707)/(MAX($M$643:$M$713)-MIN($M$643:$M$713))))/2</f>
        <v>0.52305332187907938</v>
      </c>
      <c r="V707" s="59">
        <f t="shared" ref="V707:V713" si="417">IF(MAX($N$643:$N$713)=MIN($N$643:$N$713),1,(N707-MIN($N$643:$N$713))/(MAX($N$643:$N$713)-MIN($N$643:$N$713)))</f>
        <v>0.65207282116061327</v>
      </c>
      <c r="W707" s="59">
        <f t="shared" ref="W707:W713" si="418">IFERROR(S707/SUM($S$643:$S$713),1/71)</f>
        <v>8.7085182836609595E-3</v>
      </c>
      <c r="X707" s="59">
        <f t="shared" ref="X707:X713" si="419">IFERROR(T707/SUM($T$643:$T$713),1/71)</f>
        <v>1.2955775433225826E-2</v>
      </c>
      <c r="Y707" s="59">
        <f t="shared" ref="Y707:Y713" si="420">IFERROR(U707/SUM($U$643:$U$713),1/71)</f>
        <v>1.3363860410583095E-2</v>
      </c>
      <c r="Z707" s="59">
        <f t="shared" ref="Z707:Z713" si="421">IFERROR(V707/SUM($V$643:$V$713),1/71)</f>
        <v>2.3933256909947777E-2</v>
      </c>
      <c r="AA707" s="59">
        <f t="shared" si="393"/>
        <v>1.2806490186594865E-2</v>
      </c>
      <c r="AB707" s="59">
        <f t="shared" ref="AB707:AB713" si="422">IFERROR(AH636/SUM($AH$572:$AH$642),1/71)</f>
        <v>1.2935676995380901E-2</v>
      </c>
      <c r="AC707" s="60">
        <f t="shared" si="394"/>
        <v>19382849.257730786</v>
      </c>
      <c r="AD707" s="60">
        <f t="shared" si="399"/>
        <v>19195259.637368765</v>
      </c>
      <c r="AE707" s="59">
        <f t="shared" si="397"/>
        <v>3.200000000000025E-2</v>
      </c>
      <c r="AF707" s="60">
        <f t="shared" si="400"/>
        <v>19195259.637368765</v>
      </c>
      <c r="AG707" s="60">
        <f t="shared" ref="AG707:AG713" si="423">IFERROR(F707/SUM($AF$643:$AF$713),1)</f>
        <v>1.0000000000000002</v>
      </c>
      <c r="AH707" s="60">
        <f t="shared" si="401"/>
        <v>19195259.637368768</v>
      </c>
      <c r="AI707" s="60">
        <f t="shared" si="395"/>
        <v>77.86114643662998</v>
      </c>
      <c r="AJ707" s="60">
        <f t="shared" si="396"/>
        <v>0</v>
      </c>
      <c r="AK707" s="59">
        <f t="shared" si="398"/>
        <v>3.2000000000000473E-2</v>
      </c>
    </row>
    <row r="708" spans="1:37" ht="12.75" customHeight="1" x14ac:dyDescent="0.25">
      <c r="A708" s="62" t="s">
        <v>666</v>
      </c>
      <c r="B708" s="62" t="s">
        <v>452</v>
      </c>
      <c r="C708" s="62" t="s">
        <v>452</v>
      </c>
      <c r="D708" s="124">
        <v>2025</v>
      </c>
      <c r="E708" s="62" t="s">
        <v>676</v>
      </c>
      <c r="F708" s="64">
        <f>SIM_Parametres!$C$31</f>
        <v>1483900660.492918</v>
      </c>
      <c r="G708" s="125">
        <f>SIM_Districts!D69*(1+SIM_Parametres!$B$6)^(2025-2023)</f>
        <v>657326.21369999996</v>
      </c>
      <c r="H708" s="125">
        <f>MAX(0,MIN(100,SIM_Districts!F69+(2025-2022)*SIM_Parametres!$B$7))</f>
        <v>27.41</v>
      </c>
      <c r="I708" s="125">
        <f>SIM_Districts!G69*(1+SIM_Parametres!$B$8)^(2025-2023)</f>
        <v>35.343999999999994</v>
      </c>
      <c r="J708" s="125">
        <f>SIM_Districts!H69*(1+SIM_Parametres!$B$9)^(2025-2023)</f>
        <v>12.879000000000001</v>
      </c>
      <c r="K708" s="125">
        <f>MAX(0,MIN(100,SIM_Districts!I69+(2025-2023)*SIM_Parametres!$B$10))</f>
        <v>100</v>
      </c>
      <c r="L708" s="125">
        <f>SIM_Districts!E69</f>
        <v>503</v>
      </c>
      <c r="M708" s="61">
        <f t="shared" ref="M708:M771" si="424">IFERROR(G708/L708,0)</f>
        <v>1306.8115580516899</v>
      </c>
      <c r="N708" s="125">
        <f>N637*(1+SIM_Parametres!$B$6)/(1+SIM_Parametres!$B$11)</f>
        <v>153373</v>
      </c>
      <c r="O708" s="132"/>
      <c r="P708" s="126">
        <f>SIM_Parametres!$D$31</f>
        <v>0</v>
      </c>
      <c r="Q708" s="126">
        <f>SIM_Parametres!$B$12</f>
        <v>0.2</v>
      </c>
      <c r="R708" s="66">
        <f t="shared" si="413"/>
        <v>3.4181823758820569E-2</v>
      </c>
      <c r="S708" s="66">
        <f t="shared" si="414"/>
        <v>0.36524822695035464</v>
      </c>
      <c r="T708" s="66">
        <f t="shared" si="415"/>
        <v>0.65469613259668513</v>
      </c>
      <c r="U708" s="66">
        <f t="shared" si="416"/>
        <v>0.49973089584614422</v>
      </c>
      <c r="V708" s="66">
        <f t="shared" si="417"/>
        <v>0.65207282116061327</v>
      </c>
      <c r="W708" s="66">
        <f t="shared" si="418"/>
        <v>8.7085182836609595E-3</v>
      </c>
      <c r="X708" s="66">
        <f t="shared" si="419"/>
        <v>1.2955775433225826E-2</v>
      </c>
      <c r="Y708" s="66">
        <f t="shared" si="420"/>
        <v>1.2767979201339289E-2</v>
      </c>
      <c r="Z708" s="66">
        <f t="shared" si="421"/>
        <v>2.3933256909947777E-2</v>
      </c>
      <c r="AA708" s="66">
        <f t="shared" ref="AA708:AA771" si="425">0.6*R708+0.15*W708+0.15*X708+0.05*Y708+0.05*Z708</f>
        <v>2.5593800118389715E-2</v>
      </c>
      <c r="AB708" s="66">
        <f t="shared" si="422"/>
        <v>1.6176107350072345E-2</v>
      </c>
      <c r="AC708" s="67">
        <f t="shared" ref="AC708:AC771" si="426">F708*(Q708/71+(1-Q708)*AA708)</f>
        <v>34562927.380705208</v>
      </c>
      <c r="AD708" s="67">
        <f t="shared" si="399"/>
        <v>24003736.380976699</v>
      </c>
      <c r="AE708" s="66">
        <f t="shared" si="397"/>
        <v>3.200000000000025E-2</v>
      </c>
      <c r="AF708" s="67">
        <f t="shared" si="400"/>
        <v>24003736.380976699</v>
      </c>
      <c r="AG708" s="67">
        <f t="shared" si="423"/>
        <v>1.0000000000000002</v>
      </c>
      <c r="AH708" s="67">
        <f t="shared" si="401"/>
        <v>24003736.380976703</v>
      </c>
      <c r="AI708" s="67">
        <f t="shared" ref="AI708:AI771" si="427">IFERROR(AH708/G708,0)</f>
        <v>36.51723585746403</v>
      </c>
      <c r="AJ708" s="67">
        <f t="shared" ref="AJ708:AJ771" si="428">AH708-F708*AB708</f>
        <v>0</v>
      </c>
      <c r="AK708" s="66">
        <f t="shared" si="398"/>
        <v>3.200000000000025E-2</v>
      </c>
    </row>
    <row r="709" spans="1:37" ht="12.75" customHeight="1" x14ac:dyDescent="0.25">
      <c r="A709" s="55" t="s">
        <v>667</v>
      </c>
      <c r="B709" s="55" t="s">
        <v>452</v>
      </c>
      <c r="C709" s="55" t="s">
        <v>460</v>
      </c>
      <c r="D709" s="128">
        <v>2025</v>
      </c>
      <c r="E709" s="55" t="s">
        <v>676</v>
      </c>
      <c r="F709" s="57">
        <f>SIM_Parametres!$C$31</f>
        <v>1483900660.492918</v>
      </c>
      <c r="G709" s="129">
        <f>SIM_Districts!D70*(1+SIM_Parametres!$B$6)^(2025-2023)</f>
        <v>460255.5515</v>
      </c>
      <c r="H709" s="129">
        <f>MAX(0,MIN(100,SIM_Districts!F70+(2025-2022)*SIM_Parametres!$B$7))</f>
        <v>27.41</v>
      </c>
      <c r="I709" s="129">
        <f>SIM_Districts!G70*(1+SIM_Parametres!$B$8)^(2025-2023)</f>
        <v>35.343999999999994</v>
      </c>
      <c r="J709" s="129">
        <f>SIM_Districts!H70*(1+SIM_Parametres!$B$9)^(2025-2023)</f>
        <v>12.879000000000001</v>
      </c>
      <c r="K709" s="129">
        <f>MAX(0,MIN(100,SIM_Districts!I70+(2025-2023)*SIM_Parametres!$B$10))</f>
        <v>100</v>
      </c>
      <c r="L709" s="129">
        <f>SIM_Districts!E70</f>
        <v>1739</v>
      </c>
      <c r="M709" s="68">
        <f t="shared" si="424"/>
        <v>264.66679212190917</v>
      </c>
      <c r="N709" s="129">
        <f>N638*(1+SIM_Parametres!$B$6)/(1+SIM_Parametres!$B$11)</f>
        <v>153373</v>
      </c>
      <c r="O709" s="72"/>
      <c r="P709" s="130">
        <f>SIM_Parametres!$D$31</f>
        <v>0</v>
      </c>
      <c r="Q709" s="130">
        <f>SIM_Parametres!$B$12</f>
        <v>0.2</v>
      </c>
      <c r="R709" s="59">
        <f t="shared" si="413"/>
        <v>2.393389129704164E-2</v>
      </c>
      <c r="S709" s="59">
        <f t="shared" si="414"/>
        <v>0.36524822695035464</v>
      </c>
      <c r="T709" s="59">
        <f t="shared" si="415"/>
        <v>0.65469613259668513</v>
      </c>
      <c r="U709" s="59">
        <f t="shared" si="416"/>
        <v>0.55643930835847477</v>
      </c>
      <c r="V709" s="59">
        <f t="shared" si="417"/>
        <v>0.65207282116061327</v>
      </c>
      <c r="W709" s="59">
        <f t="shared" si="418"/>
        <v>8.7085182836609595E-3</v>
      </c>
      <c r="X709" s="59">
        <f t="shared" si="419"/>
        <v>1.2955775433225826E-2</v>
      </c>
      <c r="Y709" s="59">
        <f t="shared" si="420"/>
        <v>1.4216862665453392E-2</v>
      </c>
      <c r="Z709" s="59">
        <f t="shared" si="421"/>
        <v>2.3933256909947777E-2</v>
      </c>
      <c r="AA709" s="59">
        <f t="shared" si="425"/>
        <v>1.9517484814528061E-2</v>
      </c>
      <c r="AB709" s="59">
        <f t="shared" si="422"/>
        <v>1.4236217879244612E-2</v>
      </c>
      <c r="AC709" s="60">
        <f t="shared" si="426"/>
        <v>27349608.746494379</v>
      </c>
      <c r="AD709" s="60">
        <f t="shared" si="399"/>
        <v>21125133.113932166</v>
      </c>
      <c r="AE709" s="59">
        <f t="shared" si="397"/>
        <v>3.2000000000000028E-2</v>
      </c>
      <c r="AF709" s="60">
        <f t="shared" si="400"/>
        <v>21125133.113932166</v>
      </c>
      <c r="AG709" s="60">
        <f t="shared" si="423"/>
        <v>1.0000000000000002</v>
      </c>
      <c r="AH709" s="60">
        <f t="shared" si="401"/>
        <v>21125133.11393217</v>
      </c>
      <c r="AI709" s="60">
        <f t="shared" si="427"/>
        <v>45.898703546506098</v>
      </c>
      <c r="AJ709" s="60">
        <f t="shared" si="428"/>
        <v>0</v>
      </c>
      <c r="AK709" s="59">
        <f t="shared" si="398"/>
        <v>3.200000000000025E-2</v>
      </c>
    </row>
    <row r="710" spans="1:37" ht="12.75" customHeight="1" x14ac:dyDescent="0.25">
      <c r="A710" s="62" t="s">
        <v>668</v>
      </c>
      <c r="B710" s="62" t="s">
        <v>461</v>
      </c>
      <c r="C710" s="62" t="s">
        <v>463</v>
      </c>
      <c r="D710" s="124">
        <v>2025</v>
      </c>
      <c r="E710" s="62" t="s">
        <v>676</v>
      </c>
      <c r="F710" s="64">
        <f>SIM_Parametres!$C$31</f>
        <v>1483900660.492918</v>
      </c>
      <c r="G710" s="125">
        <f>SIM_Districts!D71*(1+SIM_Parametres!$B$6)^(2025-2023)</f>
        <v>169402.39019999999</v>
      </c>
      <c r="H710" s="125">
        <f>MAX(0,MIN(100,SIM_Districts!F71+(2025-2022)*SIM_Parametres!$B$7))</f>
        <v>45.809999999999995</v>
      </c>
      <c r="I710" s="125">
        <f>SIM_Districts!G71*(1+SIM_Parametres!$B$8)^(2025-2023)</f>
        <v>35.343999999999994</v>
      </c>
      <c r="J710" s="125">
        <f>SIM_Districts!H71*(1+SIM_Parametres!$B$9)^(2025-2023)</f>
        <v>8.3430000000000017</v>
      </c>
      <c r="K710" s="125">
        <f>MAX(0,MIN(100,SIM_Districts!I71+(2025-2023)*SIM_Parametres!$B$10))</f>
        <v>100</v>
      </c>
      <c r="L710" s="125">
        <f>SIM_Districts!E71</f>
        <v>2537</v>
      </c>
      <c r="M710" s="61">
        <f t="shared" si="424"/>
        <v>66.772719826566814</v>
      </c>
      <c r="N710" s="125">
        <f>N639*(1+SIM_Parametres!$B$6)/(1+SIM_Parametres!$B$11)</f>
        <v>69419</v>
      </c>
      <c r="O710" s="132"/>
      <c r="P710" s="126">
        <f>SIM_Parametres!$D$31</f>
        <v>0</v>
      </c>
      <c r="Q710" s="126">
        <f>SIM_Parametres!$B$12</f>
        <v>0.2</v>
      </c>
      <c r="R710" s="66">
        <f t="shared" si="413"/>
        <v>8.8091460913227726E-3</v>
      </c>
      <c r="S710" s="66">
        <f t="shared" si="414"/>
        <v>0.6914893617021276</v>
      </c>
      <c r="T710" s="66">
        <f t="shared" si="415"/>
        <v>0.5</v>
      </c>
      <c r="U710" s="66">
        <f t="shared" si="416"/>
        <v>0.58672050041788648</v>
      </c>
      <c r="V710" s="66">
        <f t="shared" si="417"/>
        <v>6.9378604793203735E-2</v>
      </c>
      <c r="W710" s="66">
        <f t="shared" si="418"/>
        <v>1.6487000634115404E-2</v>
      </c>
      <c r="X710" s="66">
        <f t="shared" si="419"/>
        <v>9.8944951620838582E-3</v>
      </c>
      <c r="Y710" s="66">
        <f t="shared" si="420"/>
        <v>1.4990538324933458E-2</v>
      </c>
      <c r="Z710" s="66">
        <f t="shared" si="421"/>
        <v>2.5464272067252584E-3</v>
      </c>
      <c r="AA710" s="66">
        <f t="shared" si="425"/>
        <v>1.0119560300806487E-2</v>
      </c>
      <c r="AB710" s="66">
        <f t="shared" si="422"/>
        <v>1.7832028591736025E-2</v>
      </c>
      <c r="AC710" s="67">
        <f t="shared" si="426"/>
        <v>16193139.631955158</v>
      </c>
      <c r="AD710" s="67">
        <f t="shared" si="399"/>
        <v>26460959.005205687</v>
      </c>
      <c r="AE710" s="66">
        <f t="shared" si="397"/>
        <v>3.200000000000025E-2</v>
      </c>
      <c r="AF710" s="67">
        <f t="shared" si="400"/>
        <v>26460959.005205687</v>
      </c>
      <c r="AG710" s="67">
        <f t="shared" si="423"/>
        <v>1.0000000000000002</v>
      </c>
      <c r="AH710" s="67">
        <f t="shared" si="401"/>
        <v>26460959.005205695</v>
      </c>
      <c r="AI710" s="67">
        <f t="shared" si="427"/>
        <v>156.20180431908508</v>
      </c>
      <c r="AJ710" s="67">
        <f t="shared" si="428"/>
        <v>0</v>
      </c>
      <c r="AK710" s="66">
        <f t="shared" si="398"/>
        <v>3.2000000000000695E-2</v>
      </c>
    </row>
    <row r="711" spans="1:37" ht="12.75" customHeight="1" x14ac:dyDescent="0.25">
      <c r="A711" s="55" t="s">
        <v>670</v>
      </c>
      <c r="B711" s="55" t="s">
        <v>461</v>
      </c>
      <c r="C711" s="55" t="s">
        <v>464</v>
      </c>
      <c r="D711" s="128">
        <v>2025</v>
      </c>
      <c r="E711" s="55" t="s">
        <v>676</v>
      </c>
      <c r="F711" s="57">
        <f>SIM_Parametres!$C$31</f>
        <v>1483900660.492918</v>
      </c>
      <c r="G711" s="129">
        <f>SIM_Districts!D72*(1+SIM_Parametres!$B$6)^(2025-2023)</f>
        <v>103457.9071</v>
      </c>
      <c r="H711" s="129">
        <f>MAX(0,MIN(100,SIM_Districts!F72+(2025-2022)*SIM_Parametres!$B$7))</f>
        <v>45.809999999999995</v>
      </c>
      <c r="I711" s="129">
        <f>SIM_Districts!G72*(1+SIM_Parametres!$B$8)^(2025-2023)</f>
        <v>35.343999999999994</v>
      </c>
      <c r="J711" s="129">
        <f>SIM_Districts!H72*(1+SIM_Parametres!$B$9)^(2025-2023)</f>
        <v>8.3430000000000017</v>
      </c>
      <c r="K711" s="129">
        <f>MAX(0,MIN(100,SIM_Districts!I72+(2025-2023)*SIM_Parametres!$B$10))</f>
        <v>100</v>
      </c>
      <c r="L711" s="129">
        <f>SIM_Districts!E72</f>
        <v>1893</v>
      </c>
      <c r="M711" s="68">
        <f t="shared" si="424"/>
        <v>54.65288277865821</v>
      </c>
      <c r="N711" s="129">
        <f>N640*(1+SIM_Parametres!$B$6)/(1+SIM_Parametres!$B$11)</f>
        <v>69419</v>
      </c>
      <c r="O711" s="72"/>
      <c r="P711" s="130">
        <f>SIM_Parametres!$D$31</f>
        <v>0</v>
      </c>
      <c r="Q711" s="130">
        <f>SIM_Parametres!$B$12</f>
        <v>0.2</v>
      </c>
      <c r="R711" s="59">
        <f t="shared" si="413"/>
        <v>5.3799466280871847E-3</v>
      </c>
      <c r="S711" s="59">
        <f t="shared" si="414"/>
        <v>0.6914893617021276</v>
      </c>
      <c r="T711" s="59">
        <f t="shared" si="415"/>
        <v>0.5</v>
      </c>
      <c r="U711" s="59">
        <f t="shared" si="416"/>
        <v>0.56457363162952034</v>
      </c>
      <c r="V711" s="59">
        <f t="shared" si="417"/>
        <v>6.9378604793203735E-2</v>
      </c>
      <c r="W711" s="59">
        <f t="shared" si="418"/>
        <v>1.6487000634115404E-2</v>
      </c>
      <c r="X711" s="59">
        <f t="shared" si="419"/>
        <v>9.8944951620838582E-3</v>
      </c>
      <c r="Y711" s="59">
        <f t="shared" si="420"/>
        <v>1.4424692261752069E-2</v>
      </c>
      <c r="Z711" s="59">
        <f t="shared" si="421"/>
        <v>2.5464272067252584E-3</v>
      </c>
      <c r="AA711" s="59">
        <f t="shared" si="425"/>
        <v>8.0337483197060657E-3</v>
      </c>
      <c r="AB711" s="59">
        <f t="shared" si="422"/>
        <v>1.2086292735958279E-2</v>
      </c>
      <c r="AC711" s="60">
        <f t="shared" si="426"/>
        <v>13717029.410819992</v>
      </c>
      <c r="AD711" s="60">
        <f t="shared" si="399"/>
        <v>17934857.773799248</v>
      </c>
      <c r="AE711" s="59">
        <f t="shared" si="397"/>
        <v>3.200000000000025E-2</v>
      </c>
      <c r="AF711" s="60">
        <f t="shared" si="400"/>
        <v>17934857.773799248</v>
      </c>
      <c r="AG711" s="60">
        <f t="shared" si="423"/>
        <v>1.0000000000000002</v>
      </c>
      <c r="AH711" s="60">
        <f t="shared" si="401"/>
        <v>17934857.773799252</v>
      </c>
      <c r="AI711" s="60">
        <f t="shared" si="427"/>
        <v>173.35415220089303</v>
      </c>
      <c r="AJ711" s="60">
        <f t="shared" si="428"/>
        <v>0</v>
      </c>
      <c r="AK711" s="59">
        <f t="shared" si="398"/>
        <v>3.2000000000000473E-2</v>
      </c>
    </row>
    <row r="712" spans="1:37" ht="12.75" customHeight="1" x14ac:dyDescent="0.25">
      <c r="A712" s="62" t="s">
        <v>671</v>
      </c>
      <c r="B712" s="62" t="s">
        <v>461</v>
      </c>
      <c r="C712" s="62" t="s">
        <v>465</v>
      </c>
      <c r="D712" s="124">
        <v>2025</v>
      </c>
      <c r="E712" s="62" t="s">
        <v>676</v>
      </c>
      <c r="F712" s="64">
        <f>SIM_Parametres!$C$31</f>
        <v>1483900660.492918</v>
      </c>
      <c r="G712" s="125">
        <f>SIM_Districts!D73*(1+SIM_Parametres!$B$6)^(2025-2023)</f>
        <v>62299.2307</v>
      </c>
      <c r="H712" s="125">
        <f>MAX(0,MIN(100,SIM_Districts!F73+(2025-2022)*SIM_Parametres!$B$7))</f>
        <v>45.809999999999995</v>
      </c>
      <c r="I712" s="125">
        <f>SIM_Districts!G73*(1+SIM_Parametres!$B$8)^(2025-2023)</f>
        <v>35.343999999999994</v>
      </c>
      <c r="J712" s="125">
        <f>SIM_Districts!H73*(1+SIM_Parametres!$B$9)^(2025-2023)</f>
        <v>8.3430000000000017</v>
      </c>
      <c r="K712" s="125">
        <f>MAX(0,MIN(100,SIM_Districts!I73+(2025-2023)*SIM_Parametres!$B$10))</f>
        <v>100</v>
      </c>
      <c r="L712" s="125">
        <f>SIM_Districts!E73</f>
        <v>877</v>
      </c>
      <c r="M712" s="61">
        <f t="shared" si="424"/>
        <v>71.036751083238315</v>
      </c>
      <c r="N712" s="125">
        <f>N641*(1+SIM_Parametres!$B$6)/(1+SIM_Parametres!$B$11)</f>
        <v>69419</v>
      </c>
      <c r="O712" s="132"/>
      <c r="P712" s="126">
        <f>SIM_Parametres!$D$31</f>
        <v>0</v>
      </c>
      <c r="Q712" s="126">
        <f>SIM_Parametres!$B$12</f>
        <v>0.2</v>
      </c>
      <c r="R712" s="66">
        <f t="shared" si="413"/>
        <v>3.2396415656555516E-3</v>
      </c>
      <c r="S712" s="66">
        <f t="shared" si="414"/>
        <v>0.6914893617021276</v>
      </c>
      <c r="T712" s="66">
        <f t="shared" si="415"/>
        <v>0.5</v>
      </c>
      <c r="U712" s="66">
        <f t="shared" si="416"/>
        <v>0.52916053895252124</v>
      </c>
      <c r="V712" s="66">
        <f t="shared" si="417"/>
        <v>6.9378604793203735E-2</v>
      </c>
      <c r="W712" s="66">
        <f t="shared" si="418"/>
        <v>1.6487000634115404E-2</v>
      </c>
      <c r="X712" s="66">
        <f t="shared" si="419"/>
        <v>9.8944951620838582E-3</v>
      </c>
      <c r="Y712" s="66">
        <f t="shared" si="420"/>
        <v>1.3519898032471051E-2</v>
      </c>
      <c r="Z712" s="66">
        <f t="shared" si="421"/>
        <v>2.5464272067252584E-3</v>
      </c>
      <c r="AA712" s="66">
        <f t="shared" si="425"/>
        <v>6.7043255707830368E-3</v>
      </c>
      <c r="AB712" s="66">
        <f t="shared" si="422"/>
        <v>1.3454885177698581E-2</v>
      </c>
      <c r="AC712" s="67">
        <f t="shared" si="426"/>
        <v>12138844.374659037</v>
      </c>
      <c r="AD712" s="67">
        <f t="shared" si="399"/>
        <v>19965713.002043296</v>
      </c>
      <c r="AE712" s="66">
        <f t="shared" si="397"/>
        <v>3.2000000000000028E-2</v>
      </c>
      <c r="AF712" s="67">
        <f t="shared" si="400"/>
        <v>19965713.002043296</v>
      </c>
      <c r="AG712" s="67">
        <f t="shared" si="423"/>
        <v>1.0000000000000002</v>
      </c>
      <c r="AH712" s="67">
        <f t="shared" si="401"/>
        <v>19965713.002043299</v>
      </c>
      <c r="AI712" s="67">
        <f t="shared" si="427"/>
        <v>320.48089162107902</v>
      </c>
      <c r="AJ712" s="67">
        <f t="shared" si="428"/>
        <v>0</v>
      </c>
      <c r="AK712" s="66">
        <f t="shared" si="398"/>
        <v>3.200000000000025E-2</v>
      </c>
    </row>
    <row r="713" spans="1:37" ht="12.75" customHeight="1" x14ac:dyDescent="0.25">
      <c r="A713" s="55" t="s">
        <v>672</v>
      </c>
      <c r="B713" s="55" t="s">
        <v>461</v>
      </c>
      <c r="C713" s="55" t="s">
        <v>461</v>
      </c>
      <c r="D713" s="128">
        <v>2025</v>
      </c>
      <c r="E713" s="55" t="s">
        <v>676</v>
      </c>
      <c r="F713" s="57">
        <f>SIM_Parametres!$C$31</f>
        <v>1483900660.492918</v>
      </c>
      <c r="G713" s="129">
        <f>SIM_Districts!D74*(1+SIM_Parametres!$B$6)^(2025-2023)</f>
        <v>320017.30229999998</v>
      </c>
      <c r="H713" s="129">
        <f>MAX(0,MIN(100,SIM_Districts!F74+(2025-2022)*SIM_Parametres!$B$7))</f>
        <v>45.809999999999995</v>
      </c>
      <c r="I713" s="129">
        <f>SIM_Districts!G74*(1+SIM_Parametres!$B$8)^(2025-2023)</f>
        <v>35.343999999999994</v>
      </c>
      <c r="J713" s="129">
        <f>SIM_Districts!H74*(1+SIM_Parametres!$B$9)^(2025-2023)</f>
        <v>8.3430000000000017</v>
      </c>
      <c r="K713" s="129">
        <f>MAX(0,MIN(100,SIM_Districts!I74+(2025-2023)*SIM_Parametres!$B$10))</f>
        <v>100</v>
      </c>
      <c r="L713" s="129">
        <f>SIM_Districts!E74</f>
        <v>1136</v>
      </c>
      <c r="M713" s="68">
        <f t="shared" si="424"/>
        <v>281.70537174295771</v>
      </c>
      <c r="N713" s="129">
        <f>N642*(1+SIM_Parametres!$B$6)/(1+SIM_Parametres!$B$11)</f>
        <v>69419</v>
      </c>
      <c r="O713" s="72"/>
      <c r="P713" s="130">
        <f>SIM_Parametres!$D$31</f>
        <v>0</v>
      </c>
      <c r="Q713" s="130">
        <f>SIM_Parametres!$B$12</f>
        <v>0.2</v>
      </c>
      <c r="R713" s="59">
        <f t="shared" si="413"/>
        <v>1.6641318722737261E-2</v>
      </c>
      <c r="S713" s="59">
        <f t="shared" si="414"/>
        <v>0.6914893617021276</v>
      </c>
      <c r="T713" s="59">
        <f t="shared" si="415"/>
        <v>0.5</v>
      </c>
      <c r="U713" s="59">
        <f t="shared" si="416"/>
        <v>0.53532398626606015</v>
      </c>
      <c r="V713" s="59">
        <f t="shared" si="417"/>
        <v>6.9378604793203735E-2</v>
      </c>
      <c r="W713" s="59">
        <f t="shared" si="418"/>
        <v>1.6487000634115404E-2</v>
      </c>
      <c r="X713" s="59">
        <f t="shared" si="419"/>
        <v>9.8944951620838582E-3</v>
      </c>
      <c r="Y713" s="59">
        <f t="shared" si="420"/>
        <v>1.3677372320656833E-2</v>
      </c>
      <c r="Z713" s="59">
        <f t="shared" si="421"/>
        <v>2.5464272067252584E-3</v>
      </c>
      <c r="AA713" s="59">
        <f t="shared" si="425"/>
        <v>1.4753205579441351E-2</v>
      </c>
      <c r="AB713" s="59">
        <f t="shared" si="422"/>
        <v>1.6014799953624124E-2</v>
      </c>
      <c r="AC713" s="60">
        <f t="shared" si="426"/>
        <v>21693835.063520089</v>
      </c>
      <c r="AD713" s="60">
        <f t="shared" si="399"/>
        <v>23764372.228844792</v>
      </c>
      <c r="AE713" s="59">
        <f t="shared" si="397"/>
        <v>3.200000000000025E-2</v>
      </c>
      <c r="AF713" s="60">
        <f t="shared" si="400"/>
        <v>23764372.228844792</v>
      </c>
      <c r="AG713" s="60">
        <f t="shared" si="423"/>
        <v>1.0000000000000002</v>
      </c>
      <c r="AH713" s="60">
        <f t="shared" si="401"/>
        <v>23764372.228844795</v>
      </c>
      <c r="AI713" s="60">
        <f t="shared" si="427"/>
        <v>74.259648019177732</v>
      </c>
      <c r="AJ713" s="60">
        <f t="shared" si="428"/>
        <v>0</v>
      </c>
      <c r="AK713" s="59">
        <f t="shared" si="398"/>
        <v>3.2000000000000473E-2</v>
      </c>
    </row>
    <row r="714" spans="1:37" ht="12.75" customHeight="1" x14ac:dyDescent="0.25">
      <c r="A714" s="62" t="s">
        <v>587</v>
      </c>
      <c r="B714" s="62" t="s">
        <v>376</v>
      </c>
      <c r="C714" s="62" t="s">
        <v>379</v>
      </c>
      <c r="D714" s="124">
        <v>2026</v>
      </c>
      <c r="E714" s="62" t="s">
        <v>676</v>
      </c>
      <c r="F714" s="64">
        <f>SIM_Parametres!$C$32</f>
        <v>1531385481.6286914</v>
      </c>
      <c r="G714" s="125">
        <f>SIM_Districts!D4*(1+SIM_Parametres!$B$6)^(2026-2023)</f>
        <v>496057.62710099999</v>
      </c>
      <c r="H714" s="125">
        <f>MAX(0,MIN(100,SIM_Districts!F4+(2026-2022)*SIM_Parametres!$B$7))</f>
        <v>5.98</v>
      </c>
      <c r="I714" s="125">
        <f>SIM_Districts!G4*(1+SIM_Parametres!$B$8)^(2026-2023)</f>
        <v>33.223359999999992</v>
      </c>
      <c r="J714" s="125">
        <f>SIM_Districts!H4*(1+SIM_Parametres!$B$9)^(2026-2023)</f>
        <v>7.5816000000000008</v>
      </c>
      <c r="K714" s="125">
        <f>MAX(0,MIN(100,SIM_Districts!I4+(2026-2023)*SIM_Parametres!$B$10))</f>
        <v>100</v>
      </c>
      <c r="L714" s="125">
        <f>SIM_Districts!E4</f>
        <v>13</v>
      </c>
      <c r="M714" s="61">
        <f t="shared" si="424"/>
        <v>38158.279007769233</v>
      </c>
      <c r="N714" s="125">
        <f>N643*(1+SIM_Parametres!$B$6)/(1+SIM_Parametres!$B$11)</f>
        <v>73189</v>
      </c>
      <c r="O714" s="132"/>
      <c r="P714" s="126">
        <f>SIM_Parametres!$D$32</f>
        <v>0.5</v>
      </c>
      <c r="Q714" s="126">
        <f>SIM_Parametres!$B$12</f>
        <v>0.2</v>
      </c>
      <c r="R714" s="66">
        <f t="shared" ref="R714:R745" si="429">IFERROR(G714/SUM($G$714:$G$784),1/71)</f>
        <v>2.5044316606264848E-2</v>
      </c>
      <c r="S714" s="66">
        <f t="shared" ref="S714:S745" si="430">IF(MAX($H$714:$H$784)=MIN($H$714:$H$784),1,(H714-MIN($H$714:$H$784))/(MAX($H$714:$H$784)-MIN($H$714:$H$784)))</f>
        <v>0</v>
      </c>
      <c r="T714" s="66">
        <f t="shared" ref="T714:T745" si="431">(IF(MAX($I$714:$I$784)=MIN($I$714:$I$784),1,(I714-MIN($I$714:$I$784))/(MAX($I$714:$I$784)-MIN($I$714:$I$784)))+IF(MAX($J$714:$J$784)=MIN($J$714:$J$784),1,(J714-MIN($J$714:$J$784))/(MAX($J$714:$J$784)-MIN($J$714:$J$784))))/2</f>
        <v>0.50276243093922646</v>
      </c>
      <c r="U714" s="66">
        <f t="shared" ref="U714:U745" si="432">(IF(MAX($L$714:$L$784)=MIN($L$714:$L$784),1,(L714-MIN($L$714:$L$784))/(MAX($L$714:$L$784)-MIN($L$714:$L$784)))+IF(MAX($M$714:$M$784)=MIN($M$714:$M$784),1,(MAX($M$714:$M$784)-M714)/(MAX($M$714:$M$784)-MIN($M$714:$M$784))))/2</f>
        <v>6.3061112543855661E-3</v>
      </c>
      <c r="V714" s="66">
        <f t="shared" ref="V714:V745" si="433">IF(MAX($N$714:$N$784)=MIN($N$714:$N$784),1,(N714-MIN($N$714:$N$784))/(MAX($N$714:$N$784)-MIN($N$714:$N$784)))</f>
        <v>9.5544805280436421E-2</v>
      </c>
      <c r="W714" s="66">
        <f t="shared" ref="W714:W745" si="434">IFERROR(S714/SUM($S$714:$S$784),1/71)</f>
        <v>0</v>
      </c>
      <c r="X714" s="66">
        <f t="shared" ref="X714:X745" si="435">IFERROR(T714/SUM($T$714:$T$784),1/71)</f>
        <v>9.9491608812113923E-3</v>
      </c>
      <c r="Y714" s="66">
        <f t="shared" ref="Y714:Y745" si="436">IFERROR(U714/SUM($U$714:$U$784),1/71)</f>
        <v>1.6111931042605716E-4</v>
      </c>
      <c r="Z714" s="66">
        <f t="shared" ref="Z714:Z745" si="437">IFERROR(V714/SUM($V$714:$V$784),1/71)</f>
        <v>3.506814418545408E-3</v>
      </c>
      <c r="AA714" s="66">
        <f t="shared" si="425"/>
        <v>1.6702360782389188E-2</v>
      </c>
      <c r="AB714" s="66">
        <f t="shared" ref="AB714:AB745" si="438">IFERROR(AH643/SUM($AH$643:$AH$713),1/71)</f>
        <v>1.5515755195862469E-2</v>
      </c>
      <c r="AC714" s="67">
        <f t="shared" si="426"/>
        <v>24775964.16894101</v>
      </c>
      <c r="AD714" s="67">
        <f t="shared" si="399"/>
        <v>24268283.206194863</v>
      </c>
      <c r="AE714" s="66">
        <f t="shared" si="397"/>
        <v>5.4050230384984355E-2</v>
      </c>
      <c r="AF714" s="64">
        <f>MIN(MAX(AD714,AH643*(1-SIM_Parametres!$E$32)),AH643*(1+SIM_Parametres!$F$32))</f>
        <v>24268283.206194863</v>
      </c>
      <c r="AG714" s="64">
        <f>IF(F714-SUM($AF$714:$AF$784)&gt;=0,IFERROR((F714-SUM($AF$714:$AF$784))/(SUM($AH$643:$AH$713)*(1+SIM_Parametres!$F$32)-SUM($AF$714:$AF$784)),0),IFERROR((F714-SUM($AF$714:$AF$784))/(SUM($AF$714:$AF$784)-SUM($AH$643:$AH$713)*(1-SIM_Parametres!$E$32)),0))</f>
        <v>7.0211825131946848E-2</v>
      </c>
      <c r="AH714" s="67">
        <f>AF714+IF(AG714&gt;=0,AG714*(AH643*(1+SIM_Parametres!$F$32)-AF714),AG714*(AF714-AH643*(1-SIM_Parametres!$E$32)))</f>
        <v>24423390.401803035</v>
      </c>
      <c r="AI714" s="67">
        <f t="shared" si="427"/>
        <v>49.234986153796811</v>
      </c>
      <c r="AJ714" s="67">
        <f t="shared" si="428"/>
        <v>662788.15835431591</v>
      </c>
      <c r="AK714" s="66">
        <f t="shared" si="398"/>
        <v>6.0787038830644402E-2</v>
      </c>
    </row>
    <row r="715" spans="1:37" ht="12.75" customHeight="1" x14ac:dyDescent="0.25">
      <c r="A715" s="55" t="s">
        <v>590</v>
      </c>
      <c r="B715" s="55" t="s">
        <v>376</v>
      </c>
      <c r="C715" s="55" t="s">
        <v>381</v>
      </c>
      <c r="D715" s="128">
        <v>2026</v>
      </c>
      <c r="E715" s="55" t="s">
        <v>676</v>
      </c>
      <c r="F715" s="57">
        <f>SIM_Parametres!$C$32</f>
        <v>1531385481.6286914</v>
      </c>
      <c r="G715" s="129">
        <f>SIM_Districts!D5*(1+SIM_Parametres!$B$6)^(2026-2023)</f>
        <v>260003.46238000001</v>
      </c>
      <c r="H715" s="129">
        <f>MAX(0,MIN(100,SIM_Districts!F5+(2026-2022)*SIM_Parametres!$B$7))</f>
        <v>5.98</v>
      </c>
      <c r="I715" s="129">
        <f>SIM_Districts!G5*(1+SIM_Parametres!$B$8)^(2026-2023)</f>
        <v>33.223359999999992</v>
      </c>
      <c r="J715" s="129">
        <f>SIM_Districts!H5*(1+SIM_Parametres!$B$9)^(2026-2023)</f>
        <v>7.5816000000000008</v>
      </c>
      <c r="K715" s="129">
        <f>MAX(0,MIN(100,SIM_Districts!I5+(2026-2023)*SIM_Parametres!$B$10))</f>
        <v>100</v>
      </c>
      <c r="L715" s="129">
        <f>SIM_Districts!E5</f>
        <v>10</v>
      </c>
      <c r="M715" s="68">
        <f t="shared" si="424"/>
        <v>26000.346238000002</v>
      </c>
      <c r="N715" s="129">
        <f>N644*(1+SIM_Parametres!$B$6)/(1+SIM_Parametres!$B$11)</f>
        <v>73189</v>
      </c>
      <c r="O715" s="72"/>
      <c r="P715" s="130">
        <f>SIM_Parametres!$D$32</f>
        <v>0.5</v>
      </c>
      <c r="Q715" s="130">
        <f>SIM_Parametres!$B$12</f>
        <v>0.2</v>
      </c>
      <c r="R715" s="59">
        <f t="shared" si="429"/>
        <v>1.3126718902850361E-2</v>
      </c>
      <c r="S715" s="59">
        <f t="shared" si="430"/>
        <v>0</v>
      </c>
      <c r="T715" s="59">
        <f t="shared" si="431"/>
        <v>0.50276243093922646</v>
      </c>
      <c r="U715" s="59">
        <f t="shared" si="432"/>
        <v>0.16355896203869913</v>
      </c>
      <c r="V715" s="59">
        <f t="shared" si="433"/>
        <v>9.5544805280436421E-2</v>
      </c>
      <c r="W715" s="59">
        <f t="shared" si="434"/>
        <v>0</v>
      </c>
      <c r="X715" s="59">
        <f t="shared" si="435"/>
        <v>9.9491608812113923E-3</v>
      </c>
      <c r="Y715" s="59">
        <f t="shared" si="436"/>
        <v>4.1788839610703175E-3</v>
      </c>
      <c r="Z715" s="59">
        <f t="shared" si="437"/>
        <v>3.506814418545408E-3</v>
      </c>
      <c r="AA715" s="59">
        <f t="shared" si="425"/>
        <v>9.7526903928727114E-3</v>
      </c>
      <c r="AB715" s="59">
        <f t="shared" si="438"/>
        <v>1.4020301207957159E-2</v>
      </c>
      <c r="AC715" s="60">
        <f t="shared" si="426"/>
        <v>16261864.699652733</v>
      </c>
      <c r="AD715" s="60">
        <f t="shared" si="399"/>
        <v>18866175.208789766</v>
      </c>
      <c r="AE715" s="59">
        <f t="shared" ref="AE715:AE778" si="439">IFERROR(AD715/AH644-1,0)</f>
        <v>-9.3178744474577191E-2</v>
      </c>
      <c r="AF715" s="57">
        <f>MIN(MAX(AD715,AH644*(1-SIM_Parametres!$E$32)),AH644*(1+SIM_Parametres!$F$32))</f>
        <v>19764497.511657421</v>
      </c>
      <c r="AG715" s="57">
        <f>IF(F715-SUM($AF$714:$AF$784)&gt;=0,IFERROR((F715-SUM($AF$714:$AF$784))/(SUM($AH$643:$AH$713)*(1+SIM_Parametres!$F$32)-SUM($AF$714:$AF$784)),0),IFERROR((F715-SUM($AF$714:$AF$784))/(SUM($AF$714:$AF$784)-SUM($AH$643:$AH$713)*(1-SIM_Parametres!$E$32)),0))</f>
        <v>7.0211825131946848E-2</v>
      </c>
      <c r="AH715" s="60">
        <f>AF715+IF(AG715&gt;=0,AG715*(AH644*(1+SIM_Parametres!$F$32)-AF715),AG715*(AF715-AH644*(1-SIM_Parametres!$E$32)))</f>
        <v>20056645.183890954</v>
      </c>
      <c r="AI715" s="60">
        <f t="shared" si="427"/>
        <v>77.139915754574773</v>
      </c>
      <c r="AJ715" s="60">
        <f t="shared" si="428"/>
        <v>-1413840.5340358429</v>
      </c>
      <c r="AK715" s="59">
        <f t="shared" ref="AK715:AK778" si="440">IFERROR(AH715/AH644-1,0)</f>
        <v>-3.5957634973610708E-2</v>
      </c>
    </row>
    <row r="716" spans="1:37" ht="12.75" customHeight="1" x14ac:dyDescent="0.25">
      <c r="A716" s="62" t="s">
        <v>591</v>
      </c>
      <c r="B716" s="62" t="s">
        <v>376</v>
      </c>
      <c r="C716" s="62" t="s">
        <v>382</v>
      </c>
      <c r="D716" s="124">
        <v>2026</v>
      </c>
      <c r="E716" s="62" t="s">
        <v>676</v>
      </c>
      <c r="F716" s="64">
        <f>SIM_Parametres!$C$32</f>
        <v>1531385481.6286914</v>
      </c>
      <c r="G716" s="125">
        <f>SIM_Districts!D6*(1+SIM_Parametres!$B$6)^(2026-2023)</f>
        <v>198161.67054200001</v>
      </c>
      <c r="H716" s="125">
        <f>MAX(0,MIN(100,SIM_Districts!F6+(2026-2022)*SIM_Parametres!$B$7))</f>
        <v>5.98</v>
      </c>
      <c r="I716" s="125">
        <f>SIM_Districts!G6*(1+SIM_Parametres!$B$8)^(2026-2023)</f>
        <v>33.223359999999992</v>
      </c>
      <c r="J716" s="125">
        <f>SIM_Districts!H6*(1+SIM_Parametres!$B$9)^(2026-2023)</f>
        <v>7.5816000000000008</v>
      </c>
      <c r="K716" s="125">
        <f>MAX(0,MIN(100,SIM_Districts!I6+(2026-2023)*SIM_Parametres!$B$10))</f>
        <v>100</v>
      </c>
      <c r="L716" s="125">
        <f>SIM_Districts!E6</f>
        <v>169</v>
      </c>
      <c r="M716" s="61">
        <f t="shared" si="424"/>
        <v>1172.5542635621302</v>
      </c>
      <c r="N716" s="125">
        <f>N645*(1+SIM_Parametres!$B$6)/(1+SIM_Parametres!$B$11)</f>
        <v>73189</v>
      </c>
      <c r="O716" s="132"/>
      <c r="P716" s="126">
        <f>SIM_Parametres!$D$32</f>
        <v>0.5</v>
      </c>
      <c r="Q716" s="126">
        <f>SIM_Parametres!$B$12</f>
        <v>0.2</v>
      </c>
      <c r="R716" s="66">
        <f t="shared" si="429"/>
        <v>1.0004530411684885E-2</v>
      </c>
      <c r="S716" s="66">
        <f t="shared" si="430"/>
        <v>0</v>
      </c>
      <c r="T716" s="66">
        <f t="shared" si="431"/>
        <v>0.50276243093922646</v>
      </c>
      <c r="U716" s="66">
        <f t="shared" si="432"/>
        <v>0.49040605765544509</v>
      </c>
      <c r="V716" s="66">
        <f t="shared" si="433"/>
        <v>9.5544805280436421E-2</v>
      </c>
      <c r="W716" s="66">
        <f t="shared" si="434"/>
        <v>0</v>
      </c>
      <c r="X716" s="66">
        <f t="shared" si="435"/>
        <v>9.9491608812113923E-3</v>
      </c>
      <c r="Y716" s="66">
        <f t="shared" si="436"/>
        <v>1.2529732294725465E-2</v>
      </c>
      <c r="Z716" s="66">
        <f t="shared" si="437"/>
        <v>3.506814418545408E-3</v>
      </c>
      <c r="AA716" s="66">
        <f t="shared" si="425"/>
        <v>8.2969197148561828E-3</v>
      </c>
      <c r="AB716" s="66">
        <f t="shared" si="438"/>
        <v>1.2123259014310999E-2</v>
      </c>
      <c r="AC716" s="67">
        <f t="shared" si="426"/>
        <v>14478387.834936518</v>
      </c>
      <c r="AD716" s="67">
        <f t="shared" si="399"/>
        <v>16521885.33973827</v>
      </c>
      <c r="AE716" s="66">
        <f t="shared" si="439"/>
        <v>-8.1592563246042693E-2</v>
      </c>
      <c r="AF716" s="64">
        <f>MIN(MAX(AD716,AH645*(1-SIM_Parametres!$E$32)),AH645*(1+SIM_Parametres!$F$32))</f>
        <v>17090226.455729671</v>
      </c>
      <c r="AG716" s="64">
        <f>IF(F716-SUM($AF$714:$AF$784)&gt;=0,IFERROR((F716-SUM($AF$714:$AF$784))/(SUM($AH$643:$AH$713)*(1+SIM_Parametres!$F$32)-SUM($AF$714:$AF$784)),0),IFERROR((F716-SUM($AF$714:$AF$784))/(SUM($AF$714:$AF$784)-SUM($AH$643:$AH$713)*(1-SIM_Parametres!$E$32)),0))</f>
        <v>7.0211825131946848E-2</v>
      </c>
      <c r="AH716" s="67">
        <f>AF716+IF(AG716&gt;=0,AG716*(AH645*(1+SIM_Parametres!$F$32)-AF716),AG716*(AF716-AH645*(1-SIM_Parametres!$E$32)))</f>
        <v>17342844.559177052</v>
      </c>
      <c r="AI716" s="67">
        <f t="shared" si="427"/>
        <v>87.518663481903118</v>
      </c>
      <c r="AJ716" s="67">
        <f t="shared" si="428"/>
        <v>-1222538.2853629738</v>
      </c>
      <c r="AK716" s="66">
        <f t="shared" si="440"/>
        <v>-3.5957634973610708E-2</v>
      </c>
    </row>
    <row r="717" spans="1:37" ht="12.75" customHeight="1" x14ac:dyDescent="0.25">
      <c r="A717" s="55" t="s">
        <v>592</v>
      </c>
      <c r="B717" s="55" t="s">
        <v>376</v>
      </c>
      <c r="C717" s="55" t="s">
        <v>383</v>
      </c>
      <c r="D717" s="128">
        <v>2026</v>
      </c>
      <c r="E717" s="55" t="s">
        <v>676</v>
      </c>
      <c r="F717" s="57">
        <f>SIM_Parametres!$C$32</f>
        <v>1531385481.6286914</v>
      </c>
      <c r="G717" s="129">
        <f>SIM_Districts!D7*(1+SIM_Parametres!$B$6)^(2026-2023)</f>
        <v>502287.26372799999</v>
      </c>
      <c r="H717" s="129">
        <f>MAX(0,MIN(100,SIM_Districts!F7+(2026-2022)*SIM_Parametres!$B$7))</f>
        <v>5.98</v>
      </c>
      <c r="I717" s="129">
        <f>SIM_Districts!G7*(1+SIM_Parametres!$B$8)^(2026-2023)</f>
        <v>33.223359999999992</v>
      </c>
      <c r="J717" s="129">
        <f>SIM_Districts!H7*(1+SIM_Parametres!$B$9)^(2026-2023)</f>
        <v>7.5816000000000008</v>
      </c>
      <c r="K717" s="129">
        <f>MAX(0,MIN(100,SIM_Districts!I7+(2026-2023)*SIM_Parametres!$B$10))</f>
        <v>100</v>
      </c>
      <c r="L717" s="129">
        <f>SIM_Districts!E7</f>
        <v>13</v>
      </c>
      <c r="M717" s="68">
        <f t="shared" si="424"/>
        <v>38637.481825230767</v>
      </c>
      <c r="N717" s="129">
        <f>N646*(1+SIM_Parametres!$B$6)/(1+SIM_Parametres!$B$11)</f>
        <v>73189</v>
      </c>
      <c r="O717" s="72"/>
      <c r="P717" s="130">
        <f>SIM_Parametres!$D$32</f>
        <v>0.5</v>
      </c>
      <c r="Q717" s="130">
        <f>SIM_Parametres!$B$12</f>
        <v>0.2</v>
      </c>
      <c r="R717" s="59">
        <f t="shared" si="429"/>
        <v>2.5358830452045927E-2</v>
      </c>
      <c r="S717" s="59">
        <f t="shared" si="430"/>
        <v>0</v>
      </c>
      <c r="T717" s="59">
        <f t="shared" si="431"/>
        <v>0.50276243093922646</v>
      </c>
      <c r="U717" s="59">
        <f t="shared" si="432"/>
        <v>1.0392129693778578E-4</v>
      </c>
      <c r="V717" s="59">
        <f t="shared" si="433"/>
        <v>9.5544805280436421E-2</v>
      </c>
      <c r="W717" s="59">
        <f t="shared" si="434"/>
        <v>0</v>
      </c>
      <c r="X717" s="59">
        <f t="shared" si="435"/>
        <v>9.9491608812113923E-3</v>
      </c>
      <c r="Y717" s="59">
        <f t="shared" si="436"/>
        <v>2.6551589443578551E-6</v>
      </c>
      <c r="Z717" s="59">
        <f t="shared" si="437"/>
        <v>3.506814418545408E-3</v>
      </c>
      <c r="AA717" s="59">
        <f t="shared" si="425"/>
        <v>1.6883145882283752E-2</v>
      </c>
      <c r="AB717" s="59">
        <f t="shared" si="438"/>
        <v>1.6212233485735226E-2</v>
      </c>
      <c r="AC717" s="60">
        <f t="shared" si="426"/>
        <v>24997445.510759674</v>
      </c>
      <c r="AD717" s="60">
        <f t="shared" si="399"/>
        <v>24912312.247794557</v>
      </c>
      <c r="AE717" s="59">
        <f t="shared" si="439"/>
        <v>3.5538764006723733E-2</v>
      </c>
      <c r="AF717" s="57">
        <f>MIN(MAX(AD717,AH646*(1-SIM_Parametres!$E$32)),AH646*(1+SIM_Parametres!$F$32))</f>
        <v>24912312.247794557</v>
      </c>
      <c r="AG717" s="57">
        <f>IF(F717-SUM($AF$714:$AF$784)&gt;=0,IFERROR((F717-SUM($AF$714:$AF$784))/(SUM($AH$643:$AH$713)*(1+SIM_Parametres!$F$32)-SUM($AF$714:$AF$784)),0),IFERROR((F717-SUM($AF$714:$AF$784))/(SUM($AF$714:$AF$784)-SUM($AH$643:$AH$713)*(1-SIM_Parametres!$E$32)),0))</f>
        <v>7.0211825131946848E-2</v>
      </c>
      <c r="AH717" s="60">
        <f>AF717+IF(AG717&gt;=0,AG717*(AH646*(1+SIM_Parametres!$F$32)-AF717),AG717*(AF717-AH646*(1-SIM_Parametres!$E$32)))</f>
        <v>25105649.86938424</v>
      </c>
      <c r="AI717" s="60">
        <f t="shared" si="427"/>
        <v>49.982652721569949</v>
      </c>
      <c r="AJ717" s="60">
        <f t="shared" si="428"/>
        <v>278470.88455480337</v>
      </c>
      <c r="AK717" s="59">
        <f t="shared" si="440"/>
        <v>4.3575296292670096E-2</v>
      </c>
    </row>
    <row r="718" spans="1:37" ht="12.75" customHeight="1" x14ac:dyDescent="0.25">
      <c r="A718" s="62" t="s">
        <v>593</v>
      </c>
      <c r="B718" s="62" t="s">
        <v>376</v>
      </c>
      <c r="C718" s="62" t="s">
        <v>384</v>
      </c>
      <c r="D718" s="124">
        <v>2026</v>
      </c>
      <c r="E718" s="62" t="s">
        <v>676</v>
      </c>
      <c r="F718" s="64">
        <f>SIM_Parametres!$C$32</f>
        <v>1531385481.6286914</v>
      </c>
      <c r="G718" s="125">
        <f>SIM_Districts!D8*(1+SIM_Parametres!$B$6)^(2026-2023)</f>
        <v>356204.96200599999</v>
      </c>
      <c r="H718" s="125">
        <f>MAX(0,MIN(100,SIM_Districts!F8+(2026-2022)*SIM_Parametres!$B$7))</f>
        <v>5.98</v>
      </c>
      <c r="I718" s="125">
        <f>SIM_Districts!G8*(1+SIM_Parametres!$B$8)^(2026-2023)</f>
        <v>33.223359999999992</v>
      </c>
      <c r="J718" s="125">
        <f>SIM_Districts!H8*(1+SIM_Parametres!$B$9)^(2026-2023)</f>
        <v>7.5816000000000008</v>
      </c>
      <c r="K718" s="125">
        <f>MAX(0,MIN(100,SIM_Districts!I8+(2026-2023)*SIM_Parametres!$B$10))</f>
        <v>100</v>
      </c>
      <c r="L718" s="125">
        <f>SIM_Districts!E8</f>
        <v>34</v>
      </c>
      <c r="M718" s="61">
        <f t="shared" si="424"/>
        <v>10476.616529588235</v>
      </c>
      <c r="N718" s="125">
        <f>N647*(1+SIM_Parametres!$B$6)/(1+SIM_Parametres!$B$11)</f>
        <v>73189</v>
      </c>
      <c r="O718" s="132"/>
      <c r="P718" s="126">
        <f>SIM_Parametres!$D$32</f>
        <v>0.5</v>
      </c>
      <c r="Q718" s="126">
        <f>SIM_Parametres!$B$12</f>
        <v>0.2</v>
      </c>
      <c r="R718" s="66">
        <f t="shared" si="429"/>
        <v>1.7983615930542804E-2</v>
      </c>
      <c r="S718" s="66">
        <f t="shared" si="430"/>
        <v>0</v>
      </c>
      <c r="T718" s="66">
        <f t="shared" si="431"/>
        <v>0.50276243093922646</v>
      </c>
      <c r="U718" s="66">
        <f t="shared" si="432"/>
        <v>0.36530968637307898</v>
      </c>
      <c r="V718" s="66">
        <f t="shared" si="433"/>
        <v>9.5544805280436421E-2</v>
      </c>
      <c r="W718" s="66">
        <f t="shared" si="434"/>
        <v>0</v>
      </c>
      <c r="X718" s="66">
        <f t="shared" si="435"/>
        <v>9.9491608812113923E-3</v>
      </c>
      <c r="Y718" s="66">
        <f t="shared" si="436"/>
        <v>9.333556352888123E-3</v>
      </c>
      <c r="Z718" s="66">
        <f t="shared" si="437"/>
        <v>3.506814418545408E-3</v>
      </c>
      <c r="AA718" s="66">
        <f t="shared" si="425"/>
        <v>1.2924562229079067E-2</v>
      </c>
      <c r="AB718" s="66">
        <f t="shared" si="438"/>
        <v>1.1514995706870861E-2</v>
      </c>
      <c r="AC718" s="67">
        <f t="shared" si="426"/>
        <v>20147751.483295415</v>
      </c>
      <c r="AD718" s="67">
        <f t="shared" si="399"/>
        <v>18890824.364907082</v>
      </c>
      <c r="AE718" s="66">
        <f t="shared" si="439"/>
        <v>0.10555996057155448</v>
      </c>
      <c r="AF718" s="64">
        <f>MIN(MAX(AD718,AH647*(1-SIM_Parametres!$E$32)),AH647*(1+SIM_Parametres!$F$32))</f>
        <v>18890824.364907082</v>
      </c>
      <c r="AG718" s="64">
        <f>IF(F718-SUM($AF$714:$AF$784)&gt;=0,IFERROR((F718-SUM($AF$714:$AF$784))/(SUM($AH$643:$AH$713)*(1+SIM_Parametres!$F$32)-SUM($AF$714:$AF$784)),0),IFERROR((F718-SUM($AF$714:$AF$784))/(SUM($AF$714:$AF$784)-SUM($AH$643:$AH$713)*(1-SIM_Parametres!$E$32)),0))</f>
        <v>7.0211825131946848E-2</v>
      </c>
      <c r="AH718" s="67">
        <f>AF718+IF(AG718&gt;=0,AG718*(AH647*(1+SIM_Parametres!$F$32)-AF718),AG718*(AF718-AH647*(1-SIM_Parametres!$E$32)))</f>
        <v>18944139.842832644</v>
      </c>
      <c r="AI718" s="67">
        <f t="shared" si="427"/>
        <v>53.183256449171935</v>
      </c>
      <c r="AJ718" s="67">
        <f t="shared" si="428"/>
        <v>1310242.5963138975</v>
      </c>
      <c r="AK718" s="66">
        <f t="shared" si="440"/>
        <v>0.1086801768487613</v>
      </c>
    </row>
    <row r="719" spans="1:37" ht="12.75" customHeight="1" x14ac:dyDescent="0.25">
      <c r="A719" s="55" t="s">
        <v>594</v>
      </c>
      <c r="B719" s="55" t="s">
        <v>376</v>
      </c>
      <c r="C719" s="55" t="s">
        <v>385</v>
      </c>
      <c r="D719" s="128">
        <v>2026</v>
      </c>
      <c r="E719" s="55" t="s">
        <v>676</v>
      </c>
      <c r="F719" s="57">
        <f>SIM_Parametres!$C$32</f>
        <v>1531385481.6286914</v>
      </c>
      <c r="G719" s="129">
        <f>SIM_Districts!D9*(1+SIM_Parametres!$B$6)^(2026-2023)</f>
        <v>522615.26410899998</v>
      </c>
      <c r="H719" s="129">
        <f>MAX(0,MIN(100,SIM_Districts!F9+(2026-2022)*SIM_Parametres!$B$7))</f>
        <v>5.98</v>
      </c>
      <c r="I719" s="129">
        <f>SIM_Districts!G9*(1+SIM_Parametres!$B$8)^(2026-2023)</f>
        <v>33.223359999999992</v>
      </c>
      <c r="J719" s="129">
        <f>SIM_Districts!H9*(1+SIM_Parametres!$B$9)^(2026-2023)</f>
        <v>7.5816000000000008</v>
      </c>
      <c r="K719" s="129">
        <f>MAX(0,MIN(100,SIM_Districts!I9+(2026-2023)*SIM_Parametres!$B$10))</f>
        <v>100</v>
      </c>
      <c r="L719" s="129">
        <f>SIM_Districts!E9</f>
        <v>28</v>
      </c>
      <c r="M719" s="68">
        <f t="shared" si="424"/>
        <v>18664.830861035713</v>
      </c>
      <c r="N719" s="129">
        <f>N648*(1+SIM_Parametres!$B$6)/(1+SIM_Parametres!$B$11)</f>
        <v>73189</v>
      </c>
      <c r="O719" s="72"/>
      <c r="P719" s="130">
        <f>SIM_Parametres!$D$32</f>
        <v>0.5</v>
      </c>
      <c r="Q719" s="130">
        <f>SIM_Parametres!$B$12</f>
        <v>0.2</v>
      </c>
      <c r="R719" s="59">
        <f t="shared" si="429"/>
        <v>2.6385124272966014E-2</v>
      </c>
      <c r="S719" s="59">
        <f t="shared" si="430"/>
        <v>0</v>
      </c>
      <c r="T719" s="59">
        <f t="shared" si="431"/>
        <v>0.50276243093922646</v>
      </c>
      <c r="U719" s="59">
        <f t="shared" si="432"/>
        <v>0.25912404305391834</v>
      </c>
      <c r="V719" s="59">
        <f t="shared" si="433"/>
        <v>9.5544805280436421E-2</v>
      </c>
      <c r="W719" s="59">
        <f t="shared" si="434"/>
        <v>0</v>
      </c>
      <c r="X719" s="59">
        <f t="shared" si="435"/>
        <v>9.9491608812113923E-3</v>
      </c>
      <c r="Y719" s="59">
        <f t="shared" si="436"/>
        <v>6.6205440163499231E-3</v>
      </c>
      <c r="Z719" s="59">
        <f t="shared" si="437"/>
        <v>3.506814418545408E-3</v>
      </c>
      <c r="AA719" s="59">
        <f t="shared" si="425"/>
        <v>1.7829816617706079E-2</v>
      </c>
      <c r="AB719" s="59">
        <f t="shared" si="438"/>
        <v>1.1432661723267085E-2</v>
      </c>
      <c r="AC719" s="60">
        <f t="shared" si="426"/>
        <v>26157219.766846482</v>
      </c>
      <c r="AD719" s="60">
        <f t="shared" si="399"/>
        <v>21832515.973114874</v>
      </c>
      <c r="AE719" s="59">
        <f t="shared" si="439"/>
        <v>0.28692016189130909</v>
      </c>
      <c r="AF719" s="57">
        <f>MIN(MAX(AD719,AH648*(1-SIM_Parametres!$E$32)),AH648*(1+SIM_Parametres!$F$32))</f>
        <v>19509674.42470035</v>
      </c>
      <c r="AG719" s="57">
        <f>IF(F719-SUM($AF$714:$AF$784)&gt;=0,IFERROR((F719-SUM($AF$714:$AF$784))/(SUM($AH$643:$AH$713)*(1+SIM_Parametres!$F$32)-SUM($AF$714:$AF$784)),0),IFERROR((F719-SUM($AF$714:$AF$784))/(SUM($AF$714:$AF$784)-SUM($AH$643:$AH$713)*(1-SIM_Parametres!$E$32)),0))</f>
        <v>7.0211825131946848E-2</v>
      </c>
      <c r="AH719" s="60">
        <f>AF719+IF(AG719&gt;=0,AG719*(AH648*(1+SIM_Parametres!$F$32)-AF719),AG719*(AF719-AH648*(1-SIM_Parametres!$E$32)))</f>
        <v>19509674.42470035</v>
      </c>
      <c r="AI719" s="60">
        <f t="shared" si="427"/>
        <v>37.330854578008051</v>
      </c>
      <c r="AJ719" s="60">
        <f t="shared" si="428"/>
        <v>2001862.2453170791</v>
      </c>
      <c r="AK719" s="59">
        <f t="shared" si="440"/>
        <v>0.14999999999999991</v>
      </c>
    </row>
    <row r="720" spans="1:37" ht="12.75" customHeight="1" x14ac:dyDescent="0.25">
      <c r="A720" s="62" t="s">
        <v>595</v>
      </c>
      <c r="B720" s="62" t="s">
        <v>376</v>
      </c>
      <c r="C720" s="62" t="s">
        <v>386</v>
      </c>
      <c r="D720" s="124">
        <v>2026</v>
      </c>
      <c r="E720" s="62" t="s">
        <v>676</v>
      </c>
      <c r="F720" s="64">
        <f>SIM_Parametres!$C$32</f>
        <v>1531385481.6286914</v>
      </c>
      <c r="G720" s="125">
        <f>SIM_Districts!D10*(1+SIM_Parametres!$B$6)^(2026-2023)</f>
        <v>668167.59323600004</v>
      </c>
      <c r="H720" s="125">
        <f>MAX(0,MIN(100,SIM_Districts!F10+(2026-2022)*SIM_Parametres!$B$7))</f>
        <v>5.98</v>
      </c>
      <c r="I720" s="125">
        <f>SIM_Districts!G10*(1+SIM_Parametres!$B$8)^(2026-2023)</f>
        <v>33.223359999999992</v>
      </c>
      <c r="J720" s="125">
        <f>SIM_Districts!H10*(1+SIM_Parametres!$B$9)^(2026-2023)</f>
        <v>7.5816000000000008</v>
      </c>
      <c r="K720" s="125">
        <f>MAX(0,MIN(100,SIM_Districts!I10+(2026-2023)*SIM_Parametres!$B$10))</f>
        <v>100</v>
      </c>
      <c r="L720" s="125">
        <f>SIM_Districts!E10</f>
        <v>22</v>
      </c>
      <c r="M720" s="61">
        <f t="shared" si="424"/>
        <v>30371.254238000001</v>
      </c>
      <c r="N720" s="125">
        <f>N649*(1+SIM_Parametres!$B$6)/(1+SIM_Parametres!$B$11)</f>
        <v>73189</v>
      </c>
      <c r="O720" s="132"/>
      <c r="P720" s="126">
        <f>SIM_Parametres!$D$32</f>
        <v>0.5</v>
      </c>
      <c r="Q720" s="126">
        <f>SIM_Parametres!$B$12</f>
        <v>0.2</v>
      </c>
      <c r="R720" s="66">
        <f t="shared" si="429"/>
        <v>3.3733582222779293E-2</v>
      </c>
      <c r="S720" s="66">
        <f t="shared" si="430"/>
        <v>0</v>
      </c>
      <c r="T720" s="66">
        <f t="shared" si="431"/>
        <v>0.50276243093922646</v>
      </c>
      <c r="U720" s="66">
        <f t="shared" si="432"/>
        <v>0.10740318997556658</v>
      </c>
      <c r="V720" s="66">
        <f t="shared" si="433"/>
        <v>9.5544805280436421E-2</v>
      </c>
      <c r="W720" s="66">
        <f t="shared" si="434"/>
        <v>0</v>
      </c>
      <c r="X720" s="66">
        <f t="shared" si="435"/>
        <v>9.9491608812113923E-3</v>
      </c>
      <c r="Y720" s="66">
        <f t="shared" si="436"/>
        <v>2.744120299873806E-3</v>
      </c>
      <c r="Z720" s="66">
        <f t="shared" si="437"/>
        <v>3.506814418545408E-3</v>
      </c>
      <c r="AA720" s="66">
        <f t="shared" si="425"/>
        <v>2.2045070201770243E-2</v>
      </c>
      <c r="AB720" s="66">
        <f t="shared" si="438"/>
        <v>1.8445332755315177E-2</v>
      </c>
      <c r="AC720" s="67">
        <f t="shared" si="426"/>
        <v>31321362.27886181</v>
      </c>
      <c r="AD720" s="67">
        <f t="shared" si="399"/>
        <v>29784138.532080811</v>
      </c>
      <c r="AE720" s="66">
        <f t="shared" si="439"/>
        <v>8.8162413443594545E-2</v>
      </c>
      <c r="AF720" s="64">
        <f>MIN(MAX(AD720,AH649*(1-SIM_Parametres!$E$32)),AH649*(1+SIM_Parametres!$F$32))</f>
        <v>29784138.532080811</v>
      </c>
      <c r="AG720" s="64">
        <f>IF(F720-SUM($AF$714:$AF$784)&gt;=0,IFERROR((F720-SUM($AF$714:$AF$784))/(SUM($AH$643:$AH$713)*(1+SIM_Parametres!$F$32)-SUM($AF$714:$AF$784)),0),IFERROR((F720-SUM($AF$714:$AF$784))/(SUM($AF$714:$AF$784)-SUM($AH$643:$AH$713)*(1-SIM_Parametres!$E$32)),0))</f>
        <v>7.0211825131946848E-2</v>
      </c>
      <c r="AH720" s="67">
        <f>AF720+IF(AG720&gt;=0,AG720*(AH649*(1+SIM_Parametres!$F$32)-AF720),AG720*(AF720-AH649*(1-SIM_Parametres!$E$32)))</f>
        <v>29902976.198818661</v>
      </c>
      <c r="AI720" s="67">
        <f t="shared" si="427"/>
        <v>44.753706258029766</v>
      </c>
      <c r="AJ720" s="67">
        <f t="shared" si="428"/>
        <v>1656061.4135188498</v>
      </c>
      <c r="AK720" s="66">
        <f t="shared" si="440"/>
        <v>9.2504143257474469E-2</v>
      </c>
    </row>
    <row r="721" spans="1:37" ht="12.75" customHeight="1" x14ac:dyDescent="0.25">
      <c r="A721" s="55" t="s">
        <v>596</v>
      </c>
      <c r="B721" s="55" t="s">
        <v>376</v>
      </c>
      <c r="C721" s="55" t="s">
        <v>387</v>
      </c>
      <c r="D721" s="128">
        <v>2026</v>
      </c>
      <c r="E721" s="55" t="s">
        <v>676</v>
      </c>
      <c r="F721" s="57">
        <f>SIM_Parametres!$C$32</f>
        <v>1531385481.6286914</v>
      </c>
      <c r="G721" s="129">
        <f>SIM_Districts!D11*(1+SIM_Parametres!$B$6)^(2026-2023)</f>
        <v>321973.10327700002</v>
      </c>
      <c r="H721" s="129">
        <f>MAX(0,MIN(100,SIM_Districts!F11+(2026-2022)*SIM_Parametres!$B$7))</f>
        <v>5.98</v>
      </c>
      <c r="I721" s="129">
        <f>SIM_Districts!G11*(1+SIM_Parametres!$B$8)^(2026-2023)</f>
        <v>33.223359999999992</v>
      </c>
      <c r="J721" s="129">
        <f>SIM_Districts!H11*(1+SIM_Parametres!$B$9)^(2026-2023)</f>
        <v>7.5816000000000008</v>
      </c>
      <c r="K721" s="129">
        <f>MAX(0,MIN(100,SIM_Districts!I11+(2026-2023)*SIM_Parametres!$B$10))</f>
        <v>100</v>
      </c>
      <c r="L721" s="129">
        <f>SIM_Districts!E11</f>
        <v>34</v>
      </c>
      <c r="M721" s="68">
        <f t="shared" si="424"/>
        <v>9469.7971552058825</v>
      </c>
      <c r="N721" s="129">
        <f>N650*(1+SIM_Parametres!$B$6)/(1+SIM_Parametres!$B$11)</f>
        <v>73189</v>
      </c>
      <c r="O721" s="72"/>
      <c r="P721" s="130">
        <f>SIM_Parametres!$D$32</f>
        <v>0.5</v>
      </c>
      <c r="Q721" s="130">
        <f>SIM_Parametres!$B$12</f>
        <v>0.2</v>
      </c>
      <c r="R721" s="59">
        <f t="shared" si="429"/>
        <v>1.6255362072134832E-2</v>
      </c>
      <c r="S721" s="59">
        <f t="shared" si="430"/>
        <v>0</v>
      </c>
      <c r="T721" s="59">
        <f t="shared" si="431"/>
        <v>0.50276243093922646</v>
      </c>
      <c r="U721" s="59">
        <f t="shared" si="432"/>
        <v>0.37834067197086158</v>
      </c>
      <c r="V721" s="59">
        <f t="shared" si="433"/>
        <v>9.5544805280436421E-2</v>
      </c>
      <c r="W721" s="59">
        <f t="shared" si="434"/>
        <v>0</v>
      </c>
      <c r="X721" s="59">
        <f t="shared" si="435"/>
        <v>9.9491608812113923E-3</v>
      </c>
      <c r="Y721" s="59">
        <f t="shared" si="436"/>
        <v>9.6664942490006425E-3</v>
      </c>
      <c r="Z721" s="59">
        <f t="shared" si="437"/>
        <v>3.506814418545408E-3</v>
      </c>
      <c r="AA721" s="59">
        <f t="shared" si="425"/>
        <v>1.190425680883991E-2</v>
      </c>
      <c r="AB721" s="59">
        <f t="shared" si="438"/>
        <v>1.2725641322922292E-2</v>
      </c>
      <c r="AC721" s="60">
        <f t="shared" si="426"/>
        <v>18897766.757390369</v>
      </c>
      <c r="AD721" s="60">
        <f t="shared" si="399"/>
        <v>19192814.561863851</v>
      </c>
      <c r="AE721" s="59">
        <f t="shared" si="439"/>
        <v>1.6375436951843625E-2</v>
      </c>
      <c r="AF721" s="57">
        <f>MIN(MAX(AD721,AH650*(1-SIM_Parametres!$E$32)),AH650*(1+SIM_Parametres!$F$32))</f>
        <v>19192814.561863851</v>
      </c>
      <c r="AG721" s="57">
        <f>IF(F721-SUM($AF$714:$AF$784)&gt;=0,IFERROR((F721-SUM($AF$714:$AF$784))/(SUM($AH$643:$AH$713)*(1+SIM_Parametres!$F$32)-SUM($AF$714:$AF$784)),0),IFERROR((F721-SUM($AF$714:$AF$784))/(SUM($AF$714:$AF$784)-SUM($AH$643:$AH$713)*(1-SIM_Parametres!$E$32)),0))</f>
        <v>7.0211825131946848E-2</v>
      </c>
      <c r="AH721" s="60">
        <f>AF721+IF(AG721&gt;=0,AG721*(AH650*(1+SIM_Parametres!$F$32)-AF721),AG721*(AF721-AH650*(1-SIM_Parametres!$E$32)))</f>
        <v>19369980.8421725</v>
      </c>
      <c r="AI721" s="60">
        <f t="shared" si="427"/>
        <v>60.160245203799249</v>
      </c>
      <c r="AJ721" s="60">
        <f t="shared" si="428"/>
        <v>-117881.52416483313</v>
      </c>
      <c r="AK721" s="59">
        <f t="shared" si="440"/>
        <v>2.5757461405913507E-2</v>
      </c>
    </row>
    <row r="722" spans="1:37" ht="12.75" customHeight="1" x14ac:dyDescent="0.25">
      <c r="A722" s="62" t="s">
        <v>597</v>
      </c>
      <c r="B722" s="62" t="s">
        <v>376</v>
      </c>
      <c r="C722" s="62" t="s">
        <v>388</v>
      </c>
      <c r="D722" s="124">
        <v>2026</v>
      </c>
      <c r="E722" s="62" t="s">
        <v>676</v>
      </c>
      <c r="F722" s="64">
        <f>SIM_Parametres!$C$32</f>
        <v>1531385481.6286914</v>
      </c>
      <c r="G722" s="125">
        <f>SIM_Districts!D12*(1+SIM_Parametres!$B$6)^(2026-2023)</f>
        <v>500785.85683</v>
      </c>
      <c r="H722" s="125">
        <f>MAX(0,MIN(100,SIM_Districts!F12+(2026-2022)*SIM_Parametres!$B$7))</f>
        <v>5.98</v>
      </c>
      <c r="I722" s="125">
        <f>SIM_Districts!G12*(1+SIM_Parametres!$B$8)^(2026-2023)</f>
        <v>33.223359999999992</v>
      </c>
      <c r="J722" s="125">
        <f>SIM_Districts!H12*(1+SIM_Parametres!$B$9)^(2026-2023)</f>
        <v>7.5816000000000008</v>
      </c>
      <c r="K722" s="125">
        <f>MAX(0,MIN(100,SIM_Districts!I12+(2026-2023)*SIM_Parametres!$B$10))</f>
        <v>100</v>
      </c>
      <c r="L722" s="125">
        <f>SIM_Districts!E12</f>
        <v>18</v>
      </c>
      <c r="M722" s="61">
        <f t="shared" si="424"/>
        <v>27821.436490555556</v>
      </c>
      <c r="N722" s="125">
        <f>N651*(1+SIM_Parametres!$B$6)/(1+SIM_Parametres!$B$11)</f>
        <v>73189</v>
      </c>
      <c r="O722" s="132"/>
      <c r="P722" s="126">
        <f>SIM_Parametres!$D$32</f>
        <v>0.5</v>
      </c>
      <c r="Q722" s="126">
        <f>SIM_Parametres!$B$12</f>
        <v>0.2</v>
      </c>
      <c r="R722" s="66">
        <f t="shared" si="429"/>
        <v>2.5283029360289533E-2</v>
      </c>
      <c r="S722" s="66">
        <f t="shared" si="430"/>
        <v>0</v>
      </c>
      <c r="T722" s="66">
        <f t="shared" si="431"/>
        <v>0.50276243093922646</v>
      </c>
      <c r="U722" s="66">
        <f t="shared" si="432"/>
        <v>0.14026621640536643</v>
      </c>
      <c r="V722" s="66">
        <f t="shared" si="433"/>
        <v>9.5544805280436421E-2</v>
      </c>
      <c r="W722" s="66">
        <f t="shared" si="434"/>
        <v>0</v>
      </c>
      <c r="X722" s="66">
        <f t="shared" si="435"/>
        <v>9.9491608812113923E-3</v>
      </c>
      <c r="Y722" s="66">
        <f t="shared" si="436"/>
        <v>3.5837610774132667E-3</v>
      </c>
      <c r="Z722" s="66">
        <f t="shared" si="437"/>
        <v>3.506814418545408E-3</v>
      </c>
      <c r="AA722" s="66">
        <f t="shared" si="425"/>
        <v>1.7016720523153357E-2</v>
      </c>
      <c r="AB722" s="66">
        <f t="shared" si="438"/>
        <v>1.7623673204657093E-2</v>
      </c>
      <c r="AC722" s="67">
        <f t="shared" si="426"/>
        <v>25161088.923352852</v>
      </c>
      <c r="AD722" s="67">
        <f t="shared" si="399"/>
        <v>26074863.100966658</v>
      </c>
      <c r="AE722" s="66">
        <f t="shared" si="439"/>
        <v>-2.9411843793191172E-3</v>
      </c>
      <c r="AF722" s="64">
        <f>MIN(MAX(AD722,AH651*(1-SIM_Parametres!$E$32)),AH651*(1+SIM_Parametres!$F$32))</f>
        <v>26074863.100966658</v>
      </c>
      <c r="AG722" s="64">
        <f>IF(F722-SUM($AF$714:$AF$784)&gt;=0,IFERROR((F722-SUM($AF$714:$AF$784))/(SUM($AH$643:$AH$713)*(1+SIM_Parametres!$F$32)-SUM($AF$714:$AF$784)),0),IFERROR((F722-SUM($AF$714:$AF$784))/(SUM($AF$714:$AF$784)-SUM($AH$643:$AH$713)*(1-SIM_Parametres!$E$32)),0))</f>
        <v>7.0211825131946848E-2</v>
      </c>
      <c r="AH722" s="67">
        <f>AF722+IF(AG722&gt;=0,AG722*(AH651*(1+SIM_Parametres!$F$32)-AF722),AG722*(AF722-AH651*(1-SIM_Parametres!$E$32)))</f>
        <v>26355688.23239436</v>
      </c>
      <c r="AI722" s="67">
        <f t="shared" si="427"/>
        <v>52.628659282087575</v>
      </c>
      <c r="AJ722" s="67">
        <f t="shared" si="428"/>
        <v>-632949.04618610442</v>
      </c>
      <c r="AK722" s="66">
        <f t="shared" si="440"/>
        <v>7.7970953137944665E-3</v>
      </c>
    </row>
    <row r="723" spans="1:37" ht="12.75" customHeight="1" x14ac:dyDescent="0.25">
      <c r="A723" s="55" t="s">
        <v>598</v>
      </c>
      <c r="B723" s="55" t="s">
        <v>376</v>
      </c>
      <c r="C723" s="55" t="s">
        <v>389</v>
      </c>
      <c r="D723" s="128">
        <v>2026</v>
      </c>
      <c r="E723" s="55" t="s">
        <v>676</v>
      </c>
      <c r="F723" s="57">
        <f>SIM_Parametres!$C$32</f>
        <v>1531385481.6286914</v>
      </c>
      <c r="G723" s="129">
        <f>SIM_Districts!D13*(1+SIM_Parametres!$B$6)^(2026-2023)</f>
        <v>549487.60649300006</v>
      </c>
      <c r="H723" s="129">
        <f>MAX(0,MIN(100,SIM_Districts!F13+(2026-2022)*SIM_Parametres!$B$7))</f>
        <v>5.98</v>
      </c>
      <c r="I723" s="129">
        <f>SIM_Districts!G13*(1+SIM_Parametres!$B$8)^(2026-2023)</f>
        <v>33.223359999999992</v>
      </c>
      <c r="J723" s="129">
        <f>SIM_Districts!H13*(1+SIM_Parametres!$B$9)^(2026-2023)</f>
        <v>7.5816000000000008</v>
      </c>
      <c r="K723" s="129">
        <f>MAX(0,MIN(100,SIM_Districts!I13+(2026-2023)*SIM_Parametres!$B$10))</f>
        <v>100</v>
      </c>
      <c r="L723" s="129">
        <f>SIM_Districts!E13</f>
        <v>203</v>
      </c>
      <c r="M723" s="68">
        <f t="shared" si="424"/>
        <v>2706.8354999655176</v>
      </c>
      <c r="N723" s="129">
        <f>N652*(1+SIM_Parametres!$B$6)/(1+SIM_Parametres!$B$11)</f>
        <v>73189</v>
      </c>
      <c r="O723" s="72"/>
      <c r="P723" s="130">
        <f>SIM_Parametres!$D$32</f>
        <v>0.5</v>
      </c>
      <c r="Q723" s="130">
        <f>SIM_Parametres!$B$12</f>
        <v>0.2</v>
      </c>
      <c r="R723" s="59">
        <f t="shared" si="429"/>
        <v>2.7741820378113936E-2</v>
      </c>
      <c r="S723" s="59">
        <f t="shared" si="430"/>
        <v>0</v>
      </c>
      <c r="T723" s="59">
        <f t="shared" si="431"/>
        <v>0.50276243093922646</v>
      </c>
      <c r="U723" s="59">
        <f t="shared" si="432"/>
        <v>0.47172605328939676</v>
      </c>
      <c r="V723" s="59">
        <f t="shared" si="433"/>
        <v>9.5544805280436421E-2</v>
      </c>
      <c r="W723" s="59">
        <f t="shared" si="434"/>
        <v>0</v>
      </c>
      <c r="X723" s="59">
        <f t="shared" si="435"/>
        <v>9.9491608812113923E-3</v>
      </c>
      <c r="Y723" s="59">
        <f t="shared" si="436"/>
        <v>1.2052463610301233E-2</v>
      </c>
      <c r="Z723" s="59">
        <f t="shared" si="437"/>
        <v>3.506814418545408E-3</v>
      </c>
      <c r="AA723" s="59">
        <f t="shared" si="425"/>
        <v>1.8915430260492399E-2</v>
      </c>
      <c r="AB723" s="59">
        <f t="shared" si="438"/>
        <v>1.9934905744391634E-2</v>
      </c>
      <c r="AC723" s="60">
        <f t="shared" si="426"/>
        <v>27487214.143823281</v>
      </c>
      <c r="AD723" s="60">
        <f t="shared" si="399"/>
        <v>29007619.689210512</v>
      </c>
      <c r="AE723" s="59">
        <f t="shared" si="439"/>
        <v>-1.9397314788032749E-2</v>
      </c>
      <c r="AF723" s="57">
        <f>MIN(MAX(AD723,AH652*(1-SIM_Parametres!$E$32)),AH652*(1+SIM_Parametres!$F$32))</f>
        <v>29007619.689210512</v>
      </c>
      <c r="AG723" s="57">
        <f>IF(F723-SUM($AF$714:$AF$784)&gt;=0,IFERROR((F723-SUM($AF$714:$AF$784))/(SUM($AH$643:$AH$713)*(1+SIM_Parametres!$F$32)-SUM($AF$714:$AF$784)),0),IFERROR((F723-SUM($AF$714:$AF$784))/(SUM($AF$714:$AF$784)-SUM($AH$643:$AH$713)*(1-SIM_Parametres!$E$32)),0))</f>
        <v>7.0211825131946848E-2</v>
      </c>
      <c r="AH723" s="60">
        <f>AF723+IF(AG723&gt;=0,AG723*(AH652*(1+SIM_Parametres!$F$32)-AF723),AG723*(AF723-AH652*(1-SIM_Parametres!$E$32)))</f>
        <v>29359452.063450865</v>
      </c>
      <c r="AI723" s="60">
        <f t="shared" si="427"/>
        <v>53.430599191912577</v>
      </c>
      <c r="AJ723" s="60">
        <f t="shared" si="428"/>
        <v>-1168573.1711468846</v>
      </c>
      <c r="AK723" s="59">
        <f t="shared" si="440"/>
        <v>-7.5036201443140493E-3</v>
      </c>
    </row>
    <row r="724" spans="1:37" ht="12.75" customHeight="1" x14ac:dyDescent="0.25">
      <c r="A724" s="62" t="s">
        <v>599</v>
      </c>
      <c r="B724" s="62" t="s">
        <v>390</v>
      </c>
      <c r="C724" s="62" t="s">
        <v>392</v>
      </c>
      <c r="D724" s="124">
        <v>2026</v>
      </c>
      <c r="E724" s="62" t="s">
        <v>676</v>
      </c>
      <c r="F724" s="64">
        <f>SIM_Parametres!$C$32</f>
        <v>1531385481.6286914</v>
      </c>
      <c r="G724" s="125">
        <f>SIM_Districts!D14*(1+SIM_Parametres!$B$6)^(2026-2023)</f>
        <v>948540.579623</v>
      </c>
      <c r="H724" s="125">
        <f>MAX(0,MIN(100,SIM_Districts!F14+(2026-2022)*SIM_Parametres!$B$7))</f>
        <v>34.08</v>
      </c>
      <c r="I724" s="125">
        <f>SIM_Districts!G14*(1+SIM_Parametres!$B$8)^(2026-2023)</f>
        <v>33.223359999999992</v>
      </c>
      <c r="J724" s="125">
        <f>SIM_Districts!H14*(1+SIM_Parametres!$B$9)^(2026-2023)</f>
        <v>12.757500000000002</v>
      </c>
      <c r="K724" s="125">
        <f>MAX(0,MIN(100,SIM_Districts!I14+(2026-2023)*SIM_Parametres!$B$10))</f>
        <v>100</v>
      </c>
      <c r="L724" s="125">
        <f>SIM_Districts!E14</f>
        <v>1335</v>
      </c>
      <c r="M724" s="61">
        <f t="shared" si="424"/>
        <v>710.51728810711609</v>
      </c>
      <c r="N724" s="125">
        <f>N653*(1+SIM_Parametres!$B$6)/(1+SIM_Parametres!$B$11)</f>
        <v>203502</v>
      </c>
      <c r="O724" s="132"/>
      <c r="P724" s="126">
        <f>SIM_Parametres!$D$32</f>
        <v>0.5</v>
      </c>
      <c r="Q724" s="126">
        <f>SIM_Parametres!$B$12</f>
        <v>0.2</v>
      </c>
      <c r="R724" s="66">
        <f t="shared" si="429"/>
        <v>4.7888691337733685E-2</v>
      </c>
      <c r="S724" s="66">
        <f t="shared" si="430"/>
        <v>0.49822695035460984</v>
      </c>
      <c r="T724" s="66">
        <f t="shared" si="431"/>
        <v>0.69889502762430944</v>
      </c>
      <c r="U724" s="66">
        <f t="shared" si="432"/>
        <v>0.53677681892865114</v>
      </c>
      <c r="V724" s="66">
        <f t="shared" si="433"/>
        <v>1</v>
      </c>
      <c r="W724" s="66">
        <f t="shared" si="434"/>
        <v>1.1879095328683148E-2</v>
      </c>
      <c r="X724" s="66">
        <f t="shared" si="435"/>
        <v>1.3830426939266388E-2</v>
      </c>
      <c r="Y724" s="66">
        <f t="shared" si="436"/>
        <v>1.3714491773092492E-2</v>
      </c>
      <c r="Z724" s="66">
        <f t="shared" si="437"/>
        <v>3.6703349891733537E-2</v>
      </c>
      <c r="AA724" s="66">
        <f t="shared" si="425"/>
        <v>3.5110535226073943E-2</v>
      </c>
      <c r="AB724" s="66">
        <f t="shared" si="438"/>
        <v>1.317595780467355E-2</v>
      </c>
      <c r="AC724" s="67">
        <f t="shared" si="426"/>
        <v>47327973.038018726</v>
      </c>
      <c r="AD724" s="67">
        <f t="shared" si="399"/>
        <v>33752721.763324022</v>
      </c>
      <c r="AE724" s="66">
        <f t="shared" si="439"/>
        <v>0.72632188357702443</v>
      </c>
      <c r="AF724" s="64">
        <f>MIN(MAX(AD724,AH653*(1-SIM_Parametres!$E$32)),AH653*(1+SIM_Parametres!$F$32))</f>
        <v>22484584.362329181</v>
      </c>
      <c r="AG724" s="64">
        <f>IF(F724-SUM($AF$714:$AF$784)&gt;=0,IFERROR((F724-SUM($AF$714:$AF$784))/(SUM($AH$643:$AH$713)*(1+SIM_Parametres!$F$32)-SUM($AF$714:$AF$784)),0),IFERROR((F724-SUM($AF$714:$AF$784))/(SUM($AF$714:$AF$784)-SUM($AH$643:$AH$713)*(1-SIM_Parametres!$E$32)),0))</f>
        <v>7.0211825131946848E-2</v>
      </c>
      <c r="AH724" s="67">
        <f>AF724+IF(AG724&gt;=0,AG724*(AH653*(1+SIM_Parametres!$F$32)-AF724),AG724*(AF724-AH653*(1-SIM_Parametres!$E$32)))</f>
        <v>22484584.362329181</v>
      </c>
      <c r="AI724" s="67">
        <f t="shared" si="427"/>
        <v>23.704398994996861</v>
      </c>
      <c r="AJ724" s="67">
        <f t="shared" si="428"/>
        <v>2307113.8736998588</v>
      </c>
      <c r="AK724" s="66">
        <f t="shared" si="440"/>
        <v>0.14999999999999991</v>
      </c>
    </row>
    <row r="725" spans="1:37" ht="12.75" customHeight="1" x14ac:dyDescent="0.25">
      <c r="A725" s="55" t="s">
        <v>601</v>
      </c>
      <c r="B725" s="55" t="s">
        <v>390</v>
      </c>
      <c r="C725" s="55" t="s">
        <v>390</v>
      </c>
      <c r="D725" s="128">
        <v>2026</v>
      </c>
      <c r="E725" s="55" t="s">
        <v>676</v>
      </c>
      <c r="F725" s="57">
        <f>SIM_Parametres!$C$32</f>
        <v>1531385481.6286914</v>
      </c>
      <c r="G725" s="129">
        <f>SIM_Districts!D15*(1+SIM_Parametres!$B$6)^(2026-2023)</f>
        <v>849524.21524499997</v>
      </c>
      <c r="H725" s="129">
        <f>MAX(0,MIN(100,SIM_Districts!F15+(2026-2022)*SIM_Parametres!$B$7))</f>
        <v>34.08</v>
      </c>
      <c r="I725" s="129">
        <f>SIM_Districts!G15*(1+SIM_Parametres!$B$8)^(2026-2023)</f>
        <v>33.223359999999992</v>
      </c>
      <c r="J725" s="129">
        <f>SIM_Districts!H15*(1+SIM_Parametres!$B$9)^(2026-2023)</f>
        <v>12.757500000000002</v>
      </c>
      <c r="K725" s="129">
        <f>MAX(0,MIN(100,SIM_Districts!I15+(2026-2023)*SIM_Parametres!$B$10))</f>
        <v>100</v>
      </c>
      <c r="L725" s="129">
        <f>SIM_Districts!E15</f>
        <v>1292</v>
      </c>
      <c r="M725" s="68">
        <f t="shared" si="424"/>
        <v>657.5264823877709</v>
      </c>
      <c r="N725" s="129">
        <f>N654*(1+SIM_Parametres!$B$6)/(1+SIM_Parametres!$B$11)</f>
        <v>203502</v>
      </c>
      <c r="O725" s="72"/>
      <c r="P725" s="130">
        <f>SIM_Parametres!$D$32</f>
        <v>0.5</v>
      </c>
      <c r="Q725" s="130">
        <f>SIM_Parametres!$B$12</f>
        <v>0.2</v>
      </c>
      <c r="R725" s="59">
        <f t="shared" si="429"/>
        <v>4.2889681055045259E-2</v>
      </c>
      <c r="S725" s="59">
        <f t="shared" si="430"/>
        <v>0.49822695035460984</v>
      </c>
      <c r="T725" s="59">
        <f t="shared" si="431"/>
        <v>0.69889502762430944</v>
      </c>
      <c r="U725" s="59">
        <f t="shared" si="432"/>
        <v>0.53597312572887268</v>
      </c>
      <c r="V725" s="59">
        <f t="shared" si="433"/>
        <v>1</v>
      </c>
      <c r="W725" s="59">
        <f t="shared" si="434"/>
        <v>1.1879095328683148E-2</v>
      </c>
      <c r="X725" s="59">
        <f t="shared" si="435"/>
        <v>1.3830426939266388E-2</v>
      </c>
      <c r="Y725" s="59">
        <f t="shared" si="436"/>
        <v>1.3693957645336282E-2</v>
      </c>
      <c r="Z725" s="59">
        <f t="shared" si="437"/>
        <v>3.6703349891733537E-2</v>
      </c>
      <c r="AA725" s="59">
        <f t="shared" si="425"/>
        <v>3.2110102350073076E-2</v>
      </c>
      <c r="AB725" s="59">
        <f t="shared" si="438"/>
        <v>1.3421279470105206E-2</v>
      </c>
      <c r="AC725" s="60">
        <f t="shared" si="426"/>
        <v>43652117.56209141</v>
      </c>
      <c r="AD725" s="60">
        <f t="shared" si="399"/>
        <v>32102635.043745868</v>
      </c>
      <c r="AE725" s="59">
        <f t="shared" si="439"/>
        <v>0.61191424644966674</v>
      </c>
      <c r="AF725" s="57">
        <f>MIN(MAX(AD725,AH654*(1-SIM_Parametres!$E$32)),AH654*(1+SIM_Parametres!$F$32))</f>
        <v>22903222.290901527</v>
      </c>
      <c r="AG725" s="57">
        <f>IF(F725-SUM($AF$714:$AF$784)&gt;=0,IFERROR((F725-SUM($AF$714:$AF$784))/(SUM($AH$643:$AH$713)*(1+SIM_Parametres!$F$32)-SUM($AF$714:$AF$784)),0),IFERROR((F725-SUM($AF$714:$AF$784))/(SUM($AF$714:$AF$784)-SUM($AH$643:$AH$713)*(1-SIM_Parametres!$E$32)),0))</f>
        <v>7.0211825131946848E-2</v>
      </c>
      <c r="AH725" s="60">
        <f>AF725+IF(AG725&gt;=0,AG725*(AH654*(1+SIM_Parametres!$F$32)-AF725),AG725*(AF725-AH654*(1-SIM_Parametres!$E$32)))</f>
        <v>22903222.290901527</v>
      </c>
      <c r="AI725" s="60">
        <f t="shared" si="427"/>
        <v>26.960058206576623</v>
      </c>
      <c r="AJ725" s="60">
        <f t="shared" si="428"/>
        <v>2350069.7655011974</v>
      </c>
      <c r="AK725" s="59">
        <f t="shared" si="440"/>
        <v>0.14999999999999991</v>
      </c>
    </row>
    <row r="726" spans="1:37" ht="12.75" customHeight="1" x14ac:dyDescent="0.25">
      <c r="A726" s="62" t="s">
        <v>602</v>
      </c>
      <c r="B726" s="62" t="s">
        <v>390</v>
      </c>
      <c r="C726" s="62" t="s">
        <v>393</v>
      </c>
      <c r="D726" s="124">
        <v>2026</v>
      </c>
      <c r="E726" s="62" t="s">
        <v>676</v>
      </c>
      <c r="F726" s="64">
        <f>SIM_Parametres!$C$32</f>
        <v>1531385481.6286914</v>
      </c>
      <c r="G726" s="125">
        <f>SIM_Districts!D16*(1+SIM_Parametres!$B$6)^(2026-2023)</f>
        <v>475171.24322300003</v>
      </c>
      <c r="H726" s="125">
        <f>MAX(0,MIN(100,SIM_Districts!F16+(2026-2022)*SIM_Parametres!$B$7))</f>
        <v>34.08</v>
      </c>
      <c r="I726" s="125">
        <f>SIM_Districts!G16*(1+SIM_Parametres!$B$8)^(2026-2023)</f>
        <v>33.223359999999992</v>
      </c>
      <c r="J726" s="125">
        <f>SIM_Districts!H16*(1+SIM_Parametres!$B$9)^(2026-2023)</f>
        <v>12.757500000000002</v>
      </c>
      <c r="K726" s="125">
        <f>MAX(0,MIN(100,SIM_Districts!I16+(2026-2023)*SIM_Parametres!$B$10))</f>
        <v>100</v>
      </c>
      <c r="L726" s="125">
        <f>SIM_Districts!E16</f>
        <v>1729</v>
      </c>
      <c r="M726" s="61">
        <f t="shared" si="424"/>
        <v>274.82431649681899</v>
      </c>
      <c r="N726" s="125">
        <f>N655*(1+SIM_Parametres!$B$6)/(1+SIM_Parametres!$B$11)</f>
        <v>203502</v>
      </c>
      <c r="O726" s="132"/>
      <c r="P726" s="126">
        <f>SIM_Parametres!$D$32</f>
        <v>0.5</v>
      </c>
      <c r="Q726" s="126">
        <f>SIM_Parametres!$B$12</f>
        <v>0.2</v>
      </c>
      <c r="R726" s="66">
        <f t="shared" si="429"/>
        <v>2.3989831840739585E-2</v>
      </c>
      <c r="S726" s="66">
        <f t="shared" si="430"/>
        <v>0.49822695035460984</v>
      </c>
      <c r="T726" s="66">
        <f t="shared" si="431"/>
        <v>0.69889502762430944</v>
      </c>
      <c r="U726" s="66">
        <f t="shared" si="432"/>
        <v>0.55606420327741413</v>
      </c>
      <c r="V726" s="66">
        <f t="shared" si="433"/>
        <v>1</v>
      </c>
      <c r="W726" s="66">
        <f t="shared" si="434"/>
        <v>1.1879095328683148E-2</v>
      </c>
      <c r="X726" s="66">
        <f t="shared" si="435"/>
        <v>1.3830426939266388E-2</v>
      </c>
      <c r="Y726" s="66">
        <f t="shared" si="436"/>
        <v>1.4207278839612109E-2</v>
      </c>
      <c r="Z726" s="66">
        <f t="shared" si="437"/>
        <v>3.6703349891733537E-2</v>
      </c>
      <c r="AA726" s="66">
        <f t="shared" si="425"/>
        <v>2.0795858881203465E-2</v>
      </c>
      <c r="AB726" s="66">
        <f t="shared" si="438"/>
        <v>1.2249280417786163E-2</v>
      </c>
      <c r="AC726" s="67">
        <f t="shared" si="426"/>
        <v>29790943.015020076</v>
      </c>
      <c r="AD726" s="67">
        <f t="shared" si="399"/>
        <v>24274656.603608221</v>
      </c>
      <c r="AE726" s="66">
        <f t="shared" si="439"/>
        <v>0.33548092708743416</v>
      </c>
      <c r="AF726" s="64">
        <f>MIN(MAX(AD726,AH655*(1-SIM_Parametres!$E$32)),AH655*(1+SIM_Parametres!$F$32))</f>
        <v>20903222.597893231</v>
      </c>
      <c r="AG726" s="64">
        <f>IF(F726-SUM($AF$714:$AF$784)&gt;=0,IFERROR((F726-SUM($AF$714:$AF$784))/(SUM($AH$643:$AH$713)*(1+SIM_Parametres!$F$32)-SUM($AF$714:$AF$784)),0),IFERROR((F726-SUM($AF$714:$AF$784))/(SUM($AF$714:$AF$784)-SUM($AH$643:$AH$713)*(1-SIM_Parametres!$E$32)),0))</f>
        <v>7.0211825131946848E-2</v>
      </c>
      <c r="AH726" s="67">
        <f>AF726+IF(AG726&gt;=0,AG726*(AH655*(1+SIM_Parametres!$F$32)-AF726),AG726*(AF726-AH655*(1-SIM_Parametres!$E$32)))</f>
        <v>20903222.597893231</v>
      </c>
      <c r="AI726" s="67">
        <f t="shared" si="427"/>
        <v>43.990925158076649</v>
      </c>
      <c r="AJ726" s="67">
        <f t="shared" si="428"/>
        <v>2144852.4056968689</v>
      </c>
      <c r="AK726" s="66">
        <f t="shared" si="440"/>
        <v>0.14999999999999991</v>
      </c>
    </row>
    <row r="727" spans="1:37" ht="12.75" customHeight="1" x14ac:dyDescent="0.25">
      <c r="A727" s="55" t="s">
        <v>603</v>
      </c>
      <c r="B727" s="55" t="s">
        <v>394</v>
      </c>
      <c r="C727" s="55" t="s">
        <v>396</v>
      </c>
      <c r="D727" s="128">
        <v>2026</v>
      </c>
      <c r="E727" s="55" t="s">
        <v>676</v>
      </c>
      <c r="F727" s="57">
        <f>SIM_Parametres!$C$32</f>
        <v>1531385481.6286914</v>
      </c>
      <c r="G727" s="129">
        <f>SIM_Districts!D17*(1+SIM_Parametres!$B$6)^(2026-2023)</f>
        <v>105297.359174</v>
      </c>
      <c r="H727" s="129">
        <f>MAX(0,MIN(100,SIM_Districts!F17+(2026-2022)*SIM_Parametres!$B$7))</f>
        <v>43.18</v>
      </c>
      <c r="I727" s="129">
        <f>SIM_Districts!G17*(1+SIM_Parametres!$B$8)^(2026-2023)</f>
        <v>33.223359999999992</v>
      </c>
      <c r="J727" s="129">
        <f>SIM_Districts!H17*(1+SIM_Parametres!$B$9)^(2026-2023)</f>
        <v>11.591100000000001</v>
      </c>
      <c r="K727" s="129">
        <f>MAX(0,MIN(100,SIM_Districts!I17+(2026-2023)*SIM_Parametres!$B$10))</f>
        <v>97.5</v>
      </c>
      <c r="L727" s="129">
        <f>SIM_Districts!E17</f>
        <v>978</v>
      </c>
      <c r="M727" s="68">
        <f t="shared" si="424"/>
        <v>107.66601142535787</v>
      </c>
      <c r="N727" s="129">
        <f>N656*(1+SIM_Parametres!$B$6)/(1+SIM_Parametres!$B$11)</f>
        <v>95110</v>
      </c>
      <c r="O727" s="72"/>
      <c r="P727" s="130">
        <f>SIM_Parametres!$D$32</f>
        <v>0.5</v>
      </c>
      <c r="Q727" s="130">
        <f>SIM_Parametres!$B$12</f>
        <v>0.2</v>
      </c>
      <c r="R727" s="59">
        <f t="shared" si="429"/>
        <v>5.3161170333549061E-3</v>
      </c>
      <c r="S727" s="59">
        <f t="shared" si="430"/>
        <v>0.65957446808510634</v>
      </c>
      <c r="T727" s="59">
        <f t="shared" si="431"/>
        <v>0.65469613259668513</v>
      </c>
      <c r="U727" s="59">
        <f t="shared" si="432"/>
        <v>0.53221272247018281</v>
      </c>
      <c r="V727" s="59">
        <f t="shared" si="433"/>
        <v>0.24769050312675686</v>
      </c>
      <c r="W727" s="59">
        <f t="shared" si="434"/>
        <v>1.5726062143310078E-2</v>
      </c>
      <c r="X727" s="59">
        <f t="shared" si="435"/>
        <v>1.2955775433225826E-2</v>
      </c>
      <c r="Y727" s="59">
        <f t="shared" si="436"/>
        <v>1.3597880434592076E-2</v>
      </c>
      <c r="Z727" s="59">
        <f t="shared" si="437"/>
        <v>9.0910712011208778E-3</v>
      </c>
      <c r="AA727" s="59">
        <f t="shared" si="425"/>
        <v>8.6263934382789769E-3</v>
      </c>
      <c r="AB727" s="59">
        <f t="shared" si="438"/>
        <v>1.1797283650655235E-2</v>
      </c>
      <c r="AC727" s="60">
        <f t="shared" si="426"/>
        <v>14882028.856238768</v>
      </c>
      <c r="AD727" s="60">
        <f t="shared" si="399"/>
        <v>16474108.88075386</v>
      </c>
      <c r="AE727" s="59">
        <f t="shared" si="439"/>
        <v>-5.8944835898422032E-2</v>
      </c>
      <c r="AF727" s="57">
        <f>MIN(MAX(AD727,AH656*(1-SIM_Parametres!$E$32)),AH656*(1+SIM_Parametres!$F$32))</f>
        <v>16630697.151168125</v>
      </c>
      <c r="AG727" s="57">
        <f>IF(F727-SUM($AF$714:$AF$784)&gt;=0,IFERROR((F727-SUM($AF$714:$AF$784))/(SUM($AH$643:$AH$713)*(1+SIM_Parametres!$F$32)-SUM($AF$714:$AF$784)),0),IFERROR((F727-SUM($AF$714:$AF$784))/(SUM($AF$714:$AF$784)-SUM($AH$643:$AH$713)*(1-SIM_Parametres!$E$32)),0))</f>
        <v>7.0211825131946848E-2</v>
      </c>
      <c r="AH727" s="60">
        <f>AF727+IF(AG727&gt;=0,AG727*(AH656*(1+SIM_Parametres!$F$32)-AF727),AG727*(AF727-AH656*(1-SIM_Parametres!$E$32)))</f>
        <v>16876522.751210269</v>
      </c>
      <c r="AI727" s="60">
        <f t="shared" si="427"/>
        <v>160.27489087663099</v>
      </c>
      <c r="AJ727" s="60">
        <f t="shared" si="428"/>
        <v>-1189666.1540586874</v>
      </c>
      <c r="AK727" s="59">
        <f t="shared" si="440"/>
        <v>-3.5957634973610708E-2</v>
      </c>
    </row>
    <row r="728" spans="1:37" ht="12.75" customHeight="1" x14ac:dyDescent="0.25">
      <c r="A728" s="62" t="s">
        <v>605</v>
      </c>
      <c r="B728" s="62" t="s">
        <v>394</v>
      </c>
      <c r="C728" s="62" t="s">
        <v>394</v>
      </c>
      <c r="D728" s="124">
        <v>2026</v>
      </c>
      <c r="E728" s="62" t="s">
        <v>676</v>
      </c>
      <c r="F728" s="64">
        <f>SIM_Parametres!$C$32</f>
        <v>1531385481.6286914</v>
      </c>
      <c r="G728" s="125">
        <f>SIM_Districts!D18*(1+SIM_Parametres!$B$6)^(2026-2023)</f>
        <v>257396.21575800001</v>
      </c>
      <c r="H728" s="125">
        <f>MAX(0,MIN(100,SIM_Districts!F18+(2026-2022)*SIM_Parametres!$B$7))</f>
        <v>43.18</v>
      </c>
      <c r="I728" s="125">
        <f>SIM_Districts!G18*(1+SIM_Parametres!$B$8)^(2026-2023)</f>
        <v>33.223359999999992</v>
      </c>
      <c r="J728" s="125">
        <f>SIM_Districts!H18*(1+SIM_Parametres!$B$9)^(2026-2023)</f>
        <v>11.591100000000001</v>
      </c>
      <c r="K728" s="125">
        <f>MAX(0,MIN(100,SIM_Districts!I18+(2026-2023)*SIM_Parametres!$B$10))</f>
        <v>97.5</v>
      </c>
      <c r="L728" s="125">
        <f>SIM_Districts!E18</f>
        <v>1155</v>
      </c>
      <c r="M728" s="61">
        <f t="shared" si="424"/>
        <v>222.85386645714286</v>
      </c>
      <c r="N728" s="125">
        <f>N657*(1+SIM_Parametres!$B$6)/(1+SIM_Parametres!$B$11)</f>
        <v>95110</v>
      </c>
      <c r="O728" s="132"/>
      <c r="P728" s="126">
        <f>SIM_Parametres!$D$32</f>
        <v>0.5</v>
      </c>
      <c r="Q728" s="126">
        <f>SIM_Parametres!$B$12</f>
        <v>0.2</v>
      </c>
      <c r="R728" s="66">
        <f t="shared" si="429"/>
        <v>1.2995087603774118E-2</v>
      </c>
      <c r="S728" s="66">
        <f t="shared" si="430"/>
        <v>0.65957446808510634</v>
      </c>
      <c r="T728" s="66">
        <f t="shared" si="431"/>
        <v>0.65469613259668513</v>
      </c>
      <c r="U728" s="66">
        <f t="shared" si="432"/>
        <v>0.5368532343373823</v>
      </c>
      <c r="V728" s="66">
        <f t="shared" si="433"/>
        <v>0.24769050312675686</v>
      </c>
      <c r="W728" s="66">
        <f t="shared" si="434"/>
        <v>1.5726062143310078E-2</v>
      </c>
      <c r="X728" s="66">
        <f t="shared" si="435"/>
        <v>1.2955775433225826E-2</v>
      </c>
      <c r="Y728" s="66">
        <f t="shared" si="436"/>
        <v>1.3716444164584495E-2</v>
      </c>
      <c r="Z728" s="66">
        <f t="shared" si="437"/>
        <v>9.0910712011208778E-3</v>
      </c>
      <c r="AA728" s="66">
        <f t="shared" si="425"/>
        <v>1.3239703967030125E-2</v>
      </c>
      <c r="AB728" s="66">
        <f t="shared" si="438"/>
        <v>1.3643077140221501E-2</v>
      </c>
      <c r="AC728" s="67">
        <f t="shared" si="426"/>
        <v>20533834.269018199</v>
      </c>
      <c r="AD728" s="67">
        <f t="shared" si="399"/>
        <v>20713322.263146844</v>
      </c>
      <c r="AE728" s="66">
        <f t="shared" si="439"/>
        <v>2.313419364557423E-2</v>
      </c>
      <c r="AF728" s="64">
        <f>MIN(MAX(AD728,AH657*(1-SIM_Parametres!$E$32)),AH657*(1+SIM_Parametres!$F$32))</f>
        <v>20713322.263146844</v>
      </c>
      <c r="AG728" s="64">
        <f>IF(F728-SUM($AF$714:$AF$784)&gt;=0,IFERROR((F728-SUM($AF$714:$AF$784))/(SUM($AH$643:$AH$713)*(1+SIM_Parametres!$F$32)-SUM($AF$714:$AF$784)),0),IFERROR((F728-SUM($AF$714:$AF$784))/(SUM($AF$714:$AF$784)-SUM($AH$643:$AH$713)*(1-SIM_Parametres!$E$32)),0))</f>
        <v>7.0211825131946848E-2</v>
      </c>
      <c r="AH728" s="67">
        <f>AF728+IF(AG728&gt;=0,AG728*(AH657*(1+SIM_Parametres!$F$32)-AF728),AG728*(AF728-AH657*(1-SIM_Parametres!$E$32)))</f>
        <v>20893653.93520239</v>
      </c>
      <c r="AI728" s="67">
        <f t="shared" si="427"/>
        <v>81.173120100748818</v>
      </c>
      <c r="AJ728" s="67">
        <f t="shared" si="428"/>
        <v>843.67792689800262</v>
      </c>
      <c r="AK728" s="66">
        <f t="shared" si="440"/>
        <v>3.2041673456554509E-2</v>
      </c>
    </row>
    <row r="729" spans="1:37" ht="12.75" customHeight="1" x14ac:dyDescent="0.25">
      <c r="A729" s="55" t="s">
        <v>606</v>
      </c>
      <c r="B729" s="55" t="s">
        <v>394</v>
      </c>
      <c r="C729" s="55" t="s">
        <v>397</v>
      </c>
      <c r="D729" s="128">
        <v>2026</v>
      </c>
      <c r="E729" s="55" t="s">
        <v>676</v>
      </c>
      <c r="F729" s="57">
        <f>SIM_Parametres!$C$32</f>
        <v>1531385481.6286914</v>
      </c>
      <c r="G729" s="129">
        <f>SIM_Districts!D19*(1+SIM_Parametres!$B$6)^(2026-2023)</f>
        <v>70326.816993</v>
      </c>
      <c r="H729" s="129">
        <f>MAX(0,MIN(100,SIM_Districts!F19+(2026-2022)*SIM_Parametres!$B$7))</f>
        <v>43.18</v>
      </c>
      <c r="I729" s="129">
        <f>SIM_Districts!G19*(1+SIM_Parametres!$B$8)^(2026-2023)</f>
        <v>33.223359999999992</v>
      </c>
      <c r="J729" s="129">
        <f>SIM_Districts!H19*(1+SIM_Parametres!$B$9)^(2026-2023)</f>
        <v>11.591100000000001</v>
      </c>
      <c r="K729" s="129">
        <f>MAX(0,MIN(100,SIM_Districts!I19+(2026-2023)*SIM_Parametres!$B$10))</f>
        <v>97.5</v>
      </c>
      <c r="L729" s="129">
        <f>SIM_Districts!E19</f>
        <v>733</v>
      </c>
      <c r="M729" s="68">
        <f t="shared" si="424"/>
        <v>95.943815815825374</v>
      </c>
      <c r="N729" s="129">
        <f>N658*(1+SIM_Parametres!$B$6)/(1+SIM_Parametres!$B$11)</f>
        <v>95110</v>
      </c>
      <c r="O729" s="72"/>
      <c r="P729" s="130">
        <f>SIM_Parametres!$D$32</f>
        <v>0.5</v>
      </c>
      <c r="Q729" s="130">
        <f>SIM_Parametres!$B$12</f>
        <v>0.2</v>
      </c>
      <c r="R729" s="59">
        <f t="shared" si="429"/>
        <v>3.5505694791482991E-3</v>
      </c>
      <c r="S729" s="59">
        <f t="shared" si="430"/>
        <v>0.65957446808510634</v>
      </c>
      <c r="T729" s="59">
        <f t="shared" si="431"/>
        <v>0.65469613259668513</v>
      </c>
      <c r="U729" s="59">
        <f t="shared" si="432"/>
        <v>0.52387753369973955</v>
      </c>
      <c r="V729" s="59">
        <f t="shared" si="433"/>
        <v>0.24769050312675686</v>
      </c>
      <c r="W729" s="59">
        <f t="shared" si="434"/>
        <v>1.5726062143310078E-2</v>
      </c>
      <c r="X729" s="59">
        <f t="shared" si="435"/>
        <v>1.2955775433225826E-2</v>
      </c>
      <c r="Y729" s="59">
        <f t="shared" si="436"/>
        <v>1.3384918783141528E-2</v>
      </c>
      <c r="Z729" s="59">
        <f t="shared" si="437"/>
        <v>9.0910712011208778E-3</v>
      </c>
      <c r="AA729" s="59">
        <f t="shared" si="425"/>
        <v>7.5564168231824855E-3</v>
      </c>
      <c r="AB729" s="59">
        <f t="shared" si="438"/>
        <v>1.2735723035200304E-2</v>
      </c>
      <c r="AC729" s="60">
        <f t="shared" si="426"/>
        <v>13571191.533005986</v>
      </c>
      <c r="AD729" s="60">
        <f t="shared" ref="AD729:AD792" si="441">F729*((1-P729)*AB729+P729*(Q729/71+(1-Q729)*AA729))</f>
        <v>16537246.443577912</v>
      </c>
      <c r="AE729" s="59">
        <f t="shared" si="439"/>
        <v>-0.12494618116839618</v>
      </c>
      <c r="AF729" s="57">
        <f>MIN(MAX(AD729,AH658*(1-SIM_Parametres!$E$32)),AH658*(1+SIM_Parametres!$F$32))</f>
        <v>17953620.432599172</v>
      </c>
      <c r="AG729" s="57">
        <f>IF(F729-SUM($AF$714:$AF$784)&gt;=0,IFERROR((F729-SUM($AF$714:$AF$784))/(SUM($AH$643:$AH$713)*(1+SIM_Parametres!$F$32)-SUM($AF$714:$AF$784)),0),IFERROR((F729-SUM($AF$714:$AF$784))/(SUM($AF$714:$AF$784)-SUM($AH$643:$AH$713)*(1-SIM_Parametres!$E$32)),0))</f>
        <v>7.0211825131946848E-2</v>
      </c>
      <c r="AH729" s="57">
        <f>AF729+IF(AG729&gt;=0,AG729*(AH658*(1+SIM_Parametres!$F$32)-AF729),AG729*(AF729-AH658*(1-SIM_Parametres!$E$32)))</f>
        <v>18219000.739609487</v>
      </c>
      <c r="AI729" s="60">
        <f t="shared" si="427"/>
        <v>259.06192713688324</v>
      </c>
      <c r="AJ729" s="60">
        <f t="shared" si="428"/>
        <v>-1284300.6145403497</v>
      </c>
      <c r="AK729" s="59">
        <f t="shared" si="440"/>
        <v>-3.5957634973610708E-2</v>
      </c>
    </row>
    <row r="730" spans="1:37" ht="12.75" customHeight="1" x14ac:dyDescent="0.25">
      <c r="A730" s="62" t="s">
        <v>607</v>
      </c>
      <c r="B730" s="62" t="s">
        <v>394</v>
      </c>
      <c r="C730" s="62" t="s">
        <v>398</v>
      </c>
      <c r="D730" s="124">
        <v>2026</v>
      </c>
      <c r="E730" s="62" t="s">
        <v>676</v>
      </c>
      <c r="F730" s="64">
        <f>SIM_Parametres!$C$32</f>
        <v>1531385481.6286914</v>
      </c>
      <c r="G730" s="125">
        <f>SIM_Districts!D20*(1+SIM_Parametres!$B$6)^(2026-2023)</f>
        <v>132778.35049700001</v>
      </c>
      <c r="H730" s="125">
        <f>MAX(0,MIN(100,SIM_Districts!F20+(2026-2022)*SIM_Parametres!$B$7))</f>
        <v>43.18</v>
      </c>
      <c r="I730" s="125">
        <f>SIM_Districts!G20*(1+SIM_Parametres!$B$8)^(2026-2023)</f>
        <v>33.223359999999992</v>
      </c>
      <c r="J730" s="125">
        <f>SIM_Districts!H20*(1+SIM_Parametres!$B$9)^(2026-2023)</f>
        <v>11.591100000000001</v>
      </c>
      <c r="K730" s="125">
        <f>MAX(0,MIN(100,SIM_Districts!I20+(2026-2023)*SIM_Parametres!$B$10))</f>
        <v>97.5</v>
      </c>
      <c r="L730" s="125">
        <f>SIM_Districts!E20</f>
        <v>1476</v>
      </c>
      <c r="M730" s="61">
        <f t="shared" si="424"/>
        <v>89.958232044037942</v>
      </c>
      <c r="N730" s="125">
        <f>N659*(1+SIM_Parametres!$B$6)/(1+SIM_Parametres!$B$11)</f>
        <v>95110</v>
      </c>
      <c r="O730" s="132"/>
      <c r="P730" s="126">
        <f>SIM_Parametres!$D$32</f>
        <v>0.5</v>
      </c>
      <c r="Q730" s="126">
        <f>SIM_Parametres!$B$12</f>
        <v>0.2</v>
      </c>
      <c r="R730" s="66">
        <f t="shared" si="429"/>
        <v>6.7035418198043636E-3</v>
      </c>
      <c r="S730" s="66">
        <f t="shared" si="430"/>
        <v>0.65957446808510634</v>
      </c>
      <c r="T730" s="66">
        <f t="shared" si="431"/>
        <v>0.65469613259668513</v>
      </c>
      <c r="U730" s="66">
        <f t="shared" si="432"/>
        <v>0.54969284466862123</v>
      </c>
      <c r="V730" s="66">
        <f t="shared" si="433"/>
        <v>0.24769050312675686</v>
      </c>
      <c r="W730" s="66">
        <f t="shared" si="434"/>
        <v>1.5726062143310078E-2</v>
      </c>
      <c r="X730" s="66">
        <f t="shared" si="435"/>
        <v>1.2955775433225826E-2</v>
      </c>
      <c r="Y730" s="66">
        <f t="shared" si="436"/>
        <v>1.4044492478237353E-2</v>
      </c>
      <c r="Z730" s="66">
        <f t="shared" si="437"/>
        <v>9.0910712011208778E-3</v>
      </c>
      <c r="AA730" s="66">
        <f t="shared" si="425"/>
        <v>9.4811789123309155E-3</v>
      </c>
      <c r="AB730" s="66">
        <f t="shared" si="438"/>
        <v>1.3484290171842788E-2</v>
      </c>
      <c r="AC730" s="67">
        <f t="shared" si="426"/>
        <v>15929233.70813496</v>
      </c>
      <c r="AD730" s="67">
        <f t="shared" si="441"/>
        <v>18289439.95368173</v>
      </c>
      <c r="AE730" s="66">
        <f t="shared" si="439"/>
        <v>-8.5955185377232568E-2</v>
      </c>
      <c r="AF730" s="64">
        <f>MIN(MAX(AD730,AH659*(1-SIM_Parametres!$E$32)),AH659*(1+SIM_Parametres!$F$32))</f>
        <v>19008879.737661891</v>
      </c>
      <c r="AG730" s="64">
        <f>IF(F730-SUM($AF$714:$AF$784)&gt;=0,IFERROR((F730-SUM($AF$714:$AF$784))/(SUM($AH$643:$AH$713)*(1+SIM_Parametres!$F$32)-SUM($AF$714:$AF$784)),0),IFERROR((F730-SUM($AF$714:$AF$784))/(SUM($AF$714:$AF$784)-SUM($AH$643:$AH$713)*(1-SIM_Parametres!$E$32)),0))</f>
        <v>7.0211825131946848E-2</v>
      </c>
      <c r="AH730" s="64">
        <f>AF730+IF(AG730&gt;=0,AG730*(AH659*(1+SIM_Parametres!$F$32)-AF730),AG730*(AF730-AH659*(1-SIM_Parametres!$E$32)))</f>
        <v>19289858.293471348</v>
      </c>
      <c r="AI730" s="67">
        <f t="shared" si="427"/>
        <v>145.27864084218444</v>
      </c>
      <c r="AJ730" s="67">
        <f t="shared" si="428"/>
        <v>-1359787.9057571515</v>
      </c>
      <c r="AK730" s="66">
        <f t="shared" si="440"/>
        <v>-3.5957634973610708E-2</v>
      </c>
    </row>
    <row r="731" spans="1:37" ht="12.75" customHeight="1" x14ac:dyDescent="0.25">
      <c r="A731" s="55" t="s">
        <v>608</v>
      </c>
      <c r="B731" s="55" t="s">
        <v>394</v>
      </c>
      <c r="C731" s="55" t="s">
        <v>399</v>
      </c>
      <c r="D731" s="128">
        <v>2026</v>
      </c>
      <c r="E731" s="55" t="s">
        <v>676</v>
      </c>
      <c r="F731" s="57">
        <f>SIM_Parametres!$C$32</f>
        <v>1531385481.6286914</v>
      </c>
      <c r="G731" s="129">
        <f>SIM_Districts!D21*(1+SIM_Parametres!$B$6)^(2026-2023)</f>
        <v>107901.327615</v>
      </c>
      <c r="H731" s="129">
        <f>MAX(0,MIN(100,SIM_Districts!F21+(2026-2022)*SIM_Parametres!$B$7))</f>
        <v>43.18</v>
      </c>
      <c r="I731" s="129">
        <f>SIM_Districts!G21*(1+SIM_Parametres!$B$8)^(2026-2023)</f>
        <v>33.223359999999992</v>
      </c>
      <c r="J731" s="129">
        <f>SIM_Districts!H21*(1+SIM_Parametres!$B$9)^(2026-2023)</f>
        <v>11.591100000000001</v>
      </c>
      <c r="K731" s="129">
        <f>MAX(0,MIN(100,SIM_Districts!I21+(2026-2023)*SIM_Parametres!$B$10))</f>
        <v>97.5</v>
      </c>
      <c r="L731" s="129">
        <f>SIM_Districts!E21</f>
        <v>406</v>
      </c>
      <c r="M731" s="68">
        <f t="shared" si="424"/>
        <v>265.7668167857143</v>
      </c>
      <c r="N731" s="129">
        <f>N660*(1+SIM_Parametres!$B$6)/(1+SIM_Parametres!$B$11)</f>
        <v>95110</v>
      </c>
      <c r="O731" s="72"/>
      <c r="P731" s="130">
        <f>SIM_Parametres!$D$32</f>
        <v>0.5</v>
      </c>
      <c r="Q731" s="130">
        <f>SIM_Parametres!$B$12</f>
        <v>0.2</v>
      </c>
      <c r="R731" s="59">
        <f t="shared" si="429"/>
        <v>5.4475828278639947E-3</v>
      </c>
      <c r="S731" s="59">
        <f t="shared" si="430"/>
        <v>0.65957446808510634</v>
      </c>
      <c r="T731" s="59">
        <f t="shared" si="431"/>
        <v>0.65469613259668513</v>
      </c>
      <c r="U731" s="59">
        <f t="shared" si="432"/>
        <v>0.51035214004959606</v>
      </c>
      <c r="V731" s="59">
        <f t="shared" si="433"/>
        <v>0.24769050312675686</v>
      </c>
      <c r="W731" s="59">
        <f t="shared" si="434"/>
        <v>1.5726062143310078E-2</v>
      </c>
      <c r="X731" s="59">
        <f t="shared" si="435"/>
        <v>1.2955775433225826E-2</v>
      </c>
      <c r="Y731" s="59">
        <f t="shared" si="436"/>
        <v>1.3039348904932265E-2</v>
      </c>
      <c r="Z731" s="59">
        <f t="shared" si="437"/>
        <v>9.0910712011208778E-3</v>
      </c>
      <c r="AA731" s="59">
        <f t="shared" si="425"/>
        <v>8.6773463385014394E-3</v>
      </c>
      <c r="AB731" s="59">
        <f t="shared" si="438"/>
        <v>1.1049556656702582E-2</v>
      </c>
      <c r="AC731" s="60">
        <f t="shared" si="426"/>
        <v>14944451.681556813</v>
      </c>
      <c r="AD731" s="60">
        <f t="shared" si="441"/>
        <v>15932791.162032405</v>
      </c>
      <c r="AE731" s="59">
        <f t="shared" si="439"/>
        <v>-2.8277670883795847E-2</v>
      </c>
      <c r="AF731" s="57">
        <f>MIN(MAX(AD731,AH660*(1-SIM_Parametres!$E$32)),AH660*(1+SIM_Parametres!$F$32))</f>
        <v>15932791.162032405</v>
      </c>
      <c r="AG731" s="57">
        <f>IF(F731-SUM($AF$714:$AF$784)&gt;=0,IFERROR((F731-SUM($AF$714:$AF$784))/(SUM($AH$643:$AH$713)*(1+SIM_Parametres!$F$32)-SUM($AF$714:$AF$784)),0),IFERROR((F731-SUM($AF$714:$AF$784))/(SUM($AF$714:$AF$784)-SUM($AH$643:$AH$713)*(1-SIM_Parametres!$E$32)),0))</f>
        <v>7.0211825131946848E-2</v>
      </c>
      <c r="AH731" s="57">
        <f>AF731+IF(AG731&gt;=0,AG731*(AH660*(1+SIM_Parametres!$F$32)-AF731),AG731*(AF731-AH660*(1-SIM_Parametres!$E$32)))</f>
        <v>16138028.746846652</v>
      </c>
      <c r="AI731" s="60">
        <f t="shared" si="427"/>
        <v>149.56283767358585</v>
      </c>
      <c r="AJ731" s="60">
        <f t="shared" si="428"/>
        <v>-783101.89566134475</v>
      </c>
      <c r="AK731" s="59">
        <f t="shared" si="440"/>
        <v>-1.5760470230771984E-2</v>
      </c>
    </row>
    <row r="732" spans="1:37" ht="12.75" customHeight="1" x14ac:dyDescent="0.25">
      <c r="A732" s="62" t="s">
        <v>609</v>
      </c>
      <c r="B732" s="62" t="s">
        <v>394</v>
      </c>
      <c r="C732" s="62" t="s">
        <v>400</v>
      </c>
      <c r="D732" s="124">
        <v>2026</v>
      </c>
      <c r="E732" s="62" t="s">
        <v>676</v>
      </c>
      <c r="F732" s="64">
        <f>SIM_Parametres!$C$32</f>
        <v>1531385481.6286914</v>
      </c>
      <c r="G732" s="125">
        <f>SIM_Districts!D22*(1+SIM_Parametres!$B$6)^(2026-2023)</f>
        <v>113393.373517</v>
      </c>
      <c r="H732" s="125">
        <f>MAX(0,MIN(100,SIM_Districts!F22+(2026-2022)*SIM_Parametres!$B$7))</f>
        <v>43.18</v>
      </c>
      <c r="I732" s="125">
        <f>SIM_Districts!G22*(1+SIM_Parametres!$B$8)^(2026-2023)</f>
        <v>33.223359999999992</v>
      </c>
      <c r="J732" s="125">
        <f>SIM_Districts!H22*(1+SIM_Parametres!$B$9)^(2026-2023)</f>
        <v>11.591100000000001</v>
      </c>
      <c r="K732" s="125">
        <f>MAX(0,MIN(100,SIM_Districts!I22+(2026-2023)*SIM_Parametres!$B$10))</f>
        <v>97.5</v>
      </c>
      <c r="L732" s="125">
        <f>SIM_Districts!E22</f>
        <v>866</v>
      </c>
      <c r="M732" s="61">
        <f t="shared" si="424"/>
        <v>130.93923038914551</v>
      </c>
      <c r="N732" s="125">
        <f>N661*(1+SIM_Parametres!$B$6)/(1+SIM_Parametres!$B$11)</f>
        <v>95110</v>
      </c>
      <c r="O732" s="132"/>
      <c r="P732" s="126">
        <f>SIM_Parametres!$D$32</f>
        <v>0.5</v>
      </c>
      <c r="Q732" s="126">
        <f>SIM_Parametres!$B$12</f>
        <v>0.2</v>
      </c>
      <c r="R732" s="66">
        <f t="shared" si="429"/>
        <v>5.7248581460354912E-3</v>
      </c>
      <c r="S732" s="66">
        <f t="shared" si="430"/>
        <v>0.65957446808510634</v>
      </c>
      <c r="T732" s="66">
        <f t="shared" si="431"/>
        <v>0.65469613259668513</v>
      </c>
      <c r="U732" s="66">
        <f t="shared" si="432"/>
        <v>0.52803177519419775</v>
      </c>
      <c r="V732" s="66">
        <f t="shared" si="433"/>
        <v>0.24769050312675686</v>
      </c>
      <c r="W732" s="66">
        <f t="shared" si="434"/>
        <v>1.5726062143310078E-2</v>
      </c>
      <c r="X732" s="66">
        <f t="shared" si="435"/>
        <v>1.2955775433225826E-2</v>
      </c>
      <c r="Y732" s="66">
        <f t="shared" si="436"/>
        <v>1.3491058446387231E-2</v>
      </c>
      <c r="Z732" s="66">
        <f t="shared" si="437"/>
        <v>9.0910712011208778E-3</v>
      </c>
      <c r="AA732" s="66">
        <f t="shared" si="425"/>
        <v>8.8662970064770849E-3</v>
      </c>
      <c r="AB732" s="66">
        <f t="shared" si="438"/>
        <v>1.2519806363912851E-2</v>
      </c>
      <c r="AC732" s="67">
        <f t="shared" si="426"/>
        <v>15175936.729302371</v>
      </c>
      <c r="AD732" s="67">
        <f t="shared" si="441"/>
        <v>17174293.213900506</v>
      </c>
      <c r="AE732" s="66">
        <f t="shared" si="439"/>
        <v>-7.556488667639738E-2</v>
      </c>
      <c r="AF732" s="64">
        <f>MIN(MAX(AD732,AH661*(1-SIM_Parametres!$E$32)),AH661*(1+SIM_Parametres!$F$32))</f>
        <v>17649241.486021031</v>
      </c>
      <c r="AG732" s="64">
        <f>IF(F732-SUM($AF$714:$AF$784)&gt;=0,IFERROR((F732-SUM($AF$714:$AF$784))/(SUM($AH$643:$AH$713)*(1+SIM_Parametres!$F$32)-SUM($AF$714:$AF$784)),0),IFERROR((F732-SUM($AF$714:$AF$784))/(SUM($AF$714:$AF$784)-SUM($AH$643:$AH$713)*(1-SIM_Parametres!$E$32)),0))</f>
        <v>7.0211825131946848E-2</v>
      </c>
      <c r="AH732" s="64">
        <f>AF732+IF(AG732&gt;=0,AG732*(AH661*(1+SIM_Parametres!$F$32)-AF732),AG732*(AF732-AH661*(1-SIM_Parametres!$E$32)))</f>
        <v>17910122.63484798</v>
      </c>
      <c r="AI732" s="67">
        <f t="shared" si="427"/>
        <v>157.94681893085124</v>
      </c>
      <c r="AJ732" s="67">
        <f t="shared" si="428"/>
        <v>-1262527.0636506565</v>
      </c>
      <c r="AK732" s="66">
        <f t="shared" si="440"/>
        <v>-3.5957634973610708E-2</v>
      </c>
    </row>
    <row r="733" spans="1:37" ht="12.75" customHeight="1" x14ac:dyDescent="0.25">
      <c r="A733" s="55" t="s">
        <v>610</v>
      </c>
      <c r="B733" s="55" t="s">
        <v>394</v>
      </c>
      <c r="C733" s="55" t="s">
        <v>401</v>
      </c>
      <c r="D733" s="128">
        <v>2026</v>
      </c>
      <c r="E733" s="55" t="s">
        <v>676</v>
      </c>
      <c r="F733" s="57">
        <f>SIM_Parametres!$C$32</f>
        <v>1531385481.6286914</v>
      </c>
      <c r="G733" s="129">
        <f>SIM_Districts!D23*(1+SIM_Parametres!$B$6)^(2026-2023)</f>
        <v>203920.34183200001</v>
      </c>
      <c r="H733" s="129">
        <f>MAX(0,MIN(100,SIM_Districts!F23+(2026-2022)*SIM_Parametres!$B$7))</f>
        <v>43.18</v>
      </c>
      <c r="I733" s="129">
        <f>SIM_Districts!G23*(1+SIM_Parametres!$B$8)^(2026-2023)</f>
        <v>33.223359999999992</v>
      </c>
      <c r="J733" s="129">
        <f>SIM_Districts!H23*(1+SIM_Parametres!$B$9)^(2026-2023)</f>
        <v>11.591100000000001</v>
      </c>
      <c r="K733" s="129">
        <f>MAX(0,MIN(100,SIM_Districts!I23+(2026-2023)*SIM_Parametres!$B$10))</f>
        <v>97.5</v>
      </c>
      <c r="L733" s="129">
        <f>SIM_Districts!E23</f>
        <v>1459</v>
      </c>
      <c r="M733" s="68">
        <f t="shared" si="424"/>
        <v>139.76719796572996</v>
      </c>
      <c r="N733" s="129">
        <f>N662*(1+SIM_Parametres!$B$6)/(1+SIM_Parametres!$B$11)</f>
        <v>95110</v>
      </c>
      <c r="O733" s="72"/>
      <c r="P733" s="130">
        <f>SIM_Parametres!$D$32</f>
        <v>0.5</v>
      </c>
      <c r="Q733" s="130">
        <f>SIM_Parametres!$B$12</f>
        <v>0.2</v>
      </c>
      <c r="R733" s="59">
        <f t="shared" si="429"/>
        <v>1.0295266767984883E-2</v>
      </c>
      <c r="S733" s="59">
        <f t="shared" si="430"/>
        <v>0.65957446808510634</v>
      </c>
      <c r="T733" s="59">
        <f t="shared" si="431"/>
        <v>0.65469613259668513</v>
      </c>
      <c r="U733" s="59">
        <f t="shared" si="432"/>
        <v>0.54845929360495993</v>
      </c>
      <c r="V733" s="59">
        <f t="shared" si="433"/>
        <v>0.24769050312675686</v>
      </c>
      <c r="W733" s="59">
        <f t="shared" si="434"/>
        <v>1.5726062143310078E-2</v>
      </c>
      <c r="X733" s="59">
        <f t="shared" si="435"/>
        <v>1.2955775433225826E-2</v>
      </c>
      <c r="Y733" s="59">
        <f t="shared" si="436"/>
        <v>1.4012975606946155E-2</v>
      </c>
      <c r="Z733" s="59">
        <f t="shared" si="437"/>
        <v>9.0910712011208778E-3</v>
      </c>
      <c r="AA733" s="59">
        <f t="shared" si="425"/>
        <v>1.1634638037674666E-2</v>
      </c>
      <c r="AB733" s="59">
        <f t="shared" si="438"/>
        <v>1.3653158852499511E-2</v>
      </c>
      <c r="AC733" s="60">
        <f t="shared" si="426"/>
        <v>18567454.540000752</v>
      </c>
      <c r="AD733" s="60">
        <f t="shared" si="441"/>
        <v>19737851.892544374</v>
      </c>
      <c r="AE733" s="59">
        <f t="shared" si="439"/>
        <v>-2.5769067781166721E-2</v>
      </c>
      <c r="AF733" s="57">
        <f>MIN(MAX(AD733,AH662*(1-SIM_Parametres!$E$32)),AH662*(1+SIM_Parametres!$F$32))</f>
        <v>19737851.892544374</v>
      </c>
      <c r="AG733" s="57">
        <f>IF(F733-SUM($AF$714:$AF$784)&gt;=0,IFERROR((F733-SUM($AF$714:$AF$784))/(SUM($AH$643:$AH$713)*(1+SIM_Parametres!$F$32)-SUM($AF$714:$AF$784)),0),IFERROR((F733-SUM($AF$714:$AF$784))/(SUM($AF$714:$AF$784)-SUM($AH$643:$AH$713)*(1-SIM_Parametres!$E$32)),0))</f>
        <v>7.0211825131946848E-2</v>
      </c>
      <c r="AH733" s="57">
        <f>AF733+IF(AG733&gt;=0,AG733*(AH662*(1+SIM_Parametres!$F$32)-AF733),AG733*(AF733-AH662*(1-SIM_Parametres!$E$32)))</f>
        <v>19987881.064875256</v>
      </c>
      <c r="AI733" s="60">
        <f t="shared" si="427"/>
        <v>98.018083361895762</v>
      </c>
      <c r="AJ733" s="60">
        <f t="shared" si="428"/>
        <v>-920368.18021273986</v>
      </c>
      <c r="AK733" s="59">
        <f t="shared" si="440"/>
        <v>-1.3428000730510092E-2</v>
      </c>
    </row>
    <row r="734" spans="1:37" ht="12.75" customHeight="1" x14ac:dyDescent="0.25">
      <c r="A734" s="62" t="s">
        <v>611</v>
      </c>
      <c r="B734" s="62" t="s">
        <v>402</v>
      </c>
      <c r="C734" s="62" t="s">
        <v>404</v>
      </c>
      <c r="D734" s="124">
        <v>2026</v>
      </c>
      <c r="E734" s="62" t="s">
        <v>676</v>
      </c>
      <c r="F734" s="64">
        <f>SIM_Parametres!$C$32</f>
        <v>1531385481.6286914</v>
      </c>
      <c r="G734" s="125">
        <f>SIM_Districts!D24*(1+SIM_Parametres!$B$6)^(2026-2023)</f>
        <v>160032.054604</v>
      </c>
      <c r="H734" s="125">
        <f>MAX(0,MIN(100,SIM_Districts!F24+(2026-2022)*SIM_Parametres!$B$7))</f>
        <v>54.88</v>
      </c>
      <c r="I734" s="125">
        <f>SIM_Districts!G24*(1+SIM_Parametres!$B$8)^(2026-2023)</f>
        <v>33.223359999999992</v>
      </c>
      <c r="J734" s="125">
        <f>SIM_Districts!H24*(1+SIM_Parametres!$B$9)^(2026-2023)</f>
        <v>20.703600000000002</v>
      </c>
      <c r="K734" s="125">
        <f>MAX(0,MIN(100,SIM_Districts!I24+(2026-2023)*SIM_Parametres!$B$10))</f>
        <v>91.4</v>
      </c>
      <c r="L734" s="125">
        <f>SIM_Districts!E24</f>
        <v>1150</v>
      </c>
      <c r="M734" s="61">
        <f t="shared" si="424"/>
        <v>139.15830835130436</v>
      </c>
      <c r="N734" s="125">
        <f>N663*(1+SIM_Parametres!$B$6)/(1+SIM_Parametres!$B$11)</f>
        <v>169739</v>
      </c>
      <c r="O734" s="132"/>
      <c r="P734" s="126">
        <f>SIM_Parametres!$D$32</f>
        <v>0.5</v>
      </c>
      <c r="Q734" s="126">
        <f>SIM_Parametres!$B$12</f>
        <v>0.2</v>
      </c>
      <c r="R734" s="66">
        <f t="shared" si="429"/>
        <v>8.0794916229311627E-3</v>
      </c>
      <c r="S734" s="66">
        <f t="shared" si="430"/>
        <v>0.86702127659574468</v>
      </c>
      <c r="T734" s="66">
        <f t="shared" si="431"/>
        <v>1</v>
      </c>
      <c r="U734" s="66">
        <f t="shared" si="432"/>
        <v>0.53776328071078583</v>
      </c>
      <c r="V734" s="66">
        <f t="shared" si="433"/>
        <v>0.76566328194948607</v>
      </c>
      <c r="W734" s="66">
        <f t="shared" si="434"/>
        <v>2.06721623335447E-2</v>
      </c>
      <c r="X734" s="66">
        <f t="shared" si="435"/>
        <v>1.9788990324167716E-2</v>
      </c>
      <c r="Y734" s="66">
        <f t="shared" si="436"/>
        <v>1.3739695585027883E-2</v>
      </c>
      <c r="Z734" s="66">
        <f t="shared" si="437"/>
        <v>2.8102407336645013E-2</v>
      </c>
      <c r="AA734" s="66">
        <f t="shared" si="425"/>
        <v>1.3008973018499206E-2</v>
      </c>
      <c r="AB734" s="66">
        <f t="shared" si="438"/>
        <v>1.1367130593459998E-2</v>
      </c>
      <c r="AC734" s="67">
        <f t="shared" si="426"/>
        <v>20251163.849224068</v>
      </c>
      <c r="AD734" s="67">
        <f t="shared" si="441"/>
        <v>18829311.30391302</v>
      </c>
      <c r="AE734" s="66">
        <f t="shared" si="439"/>
        <v>0.1162944307442868</v>
      </c>
      <c r="AF734" s="64">
        <f>MIN(MAX(AD734,AH663*(1-SIM_Parametres!$E$32)),AH663*(1+SIM_Parametres!$F$32))</f>
        <v>18829311.30391302</v>
      </c>
      <c r="AG734" s="64">
        <f>IF(F734-SUM($AF$714:$AF$784)&gt;=0,IFERROR((F734-SUM($AF$714:$AF$784))/(SUM($AH$643:$AH$713)*(1+SIM_Parametres!$F$32)-SUM($AF$714:$AF$784)),0),IFERROR((F734-SUM($AF$714:$AF$784))/(SUM($AF$714:$AF$784)-SUM($AH$643:$AH$713)*(1-SIM_Parametres!$E$32)),0))</f>
        <v>7.0211825131946848E-2</v>
      </c>
      <c r="AH734" s="64">
        <f>AF734+IF(AG734&gt;=0,AG734*(AH663*(1+SIM_Parametres!$F$32)-AF734),AG734*(AF734-AH663*(1-SIM_Parametres!$E$32)))</f>
        <v>18869229.196620166</v>
      </c>
      <c r="AI734" s="67">
        <f t="shared" si="427"/>
        <v>117.90906042737596</v>
      </c>
      <c r="AJ734" s="67">
        <f t="shared" si="428"/>
        <v>1461770.4380181953</v>
      </c>
      <c r="AK734" s="66">
        <f t="shared" si="440"/>
        <v>0.11866096027884154</v>
      </c>
    </row>
    <row r="735" spans="1:37" ht="12.75" customHeight="1" x14ac:dyDescent="0.25">
      <c r="A735" s="55" t="s">
        <v>613</v>
      </c>
      <c r="B735" s="55" t="s">
        <v>402</v>
      </c>
      <c r="C735" s="55" t="s">
        <v>402</v>
      </c>
      <c r="D735" s="128">
        <v>2026</v>
      </c>
      <c r="E735" s="55" t="s">
        <v>676</v>
      </c>
      <c r="F735" s="57">
        <f>SIM_Parametres!$C$32</f>
        <v>1531385481.6286914</v>
      </c>
      <c r="G735" s="129">
        <f>SIM_Districts!D25*(1+SIM_Parametres!$B$6)^(2026-2023)</f>
        <v>328360.09259200003</v>
      </c>
      <c r="H735" s="129">
        <f>MAX(0,MIN(100,SIM_Districts!F25+(2026-2022)*SIM_Parametres!$B$7))</f>
        <v>54.88</v>
      </c>
      <c r="I735" s="129">
        <f>SIM_Districts!G25*(1+SIM_Parametres!$B$8)^(2026-2023)</f>
        <v>33.223359999999992</v>
      </c>
      <c r="J735" s="129">
        <f>SIM_Districts!H25*(1+SIM_Parametres!$B$9)^(2026-2023)</f>
        <v>20.703600000000002</v>
      </c>
      <c r="K735" s="129">
        <f>MAX(0,MIN(100,SIM_Districts!I25+(2026-2023)*SIM_Parametres!$B$10))</f>
        <v>91.4</v>
      </c>
      <c r="L735" s="129">
        <f>SIM_Districts!E25</f>
        <v>2609</v>
      </c>
      <c r="M735" s="68">
        <f t="shared" si="424"/>
        <v>125.85668554695286</v>
      </c>
      <c r="N735" s="129">
        <f>N664*(1+SIM_Parametres!$B$6)/(1+SIM_Parametres!$B$11)</f>
        <v>169739</v>
      </c>
      <c r="O735" s="72"/>
      <c r="P735" s="130">
        <f>SIM_Parametres!$D$32</f>
        <v>0.5</v>
      </c>
      <c r="Q735" s="130">
        <f>SIM_Parametres!$B$12</f>
        <v>0.2</v>
      </c>
      <c r="R735" s="59">
        <f t="shared" si="429"/>
        <v>1.657782013713929E-2</v>
      </c>
      <c r="S735" s="59">
        <f t="shared" si="430"/>
        <v>0.86702127659574468</v>
      </c>
      <c r="T735" s="59">
        <f t="shared" si="431"/>
        <v>1</v>
      </c>
      <c r="U735" s="59">
        <f t="shared" si="432"/>
        <v>0.58847583069176324</v>
      </c>
      <c r="V735" s="59">
        <f t="shared" si="433"/>
        <v>0.76566328194948607</v>
      </c>
      <c r="W735" s="59">
        <f t="shared" si="434"/>
        <v>2.06721623335447E-2</v>
      </c>
      <c r="X735" s="59">
        <f t="shared" si="435"/>
        <v>1.9788990324167716E-2</v>
      </c>
      <c r="Y735" s="59">
        <f t="shared" si="436"/>
        <v>1.5035386503452404E-2</v>
      </c>
      <c r="Z735" s="59">
        <f t="shared" si="437"/>
        <v>2.8102407336645013E-2</v>
      </c>
      <c r="AA735" s="59">
        <f t="shared" si="425"/>
        <v>1.817275467294531E-2</v>
      </c>
      <c r="AB735" s="59">
        <f t="shared" si="438"/>
        <v>1.3225526223373781E-2</v>
      </c>
      <c r="AC735" s="60">
        <f t="shared" si="426"/>
        <v>26577356.053959548</v>
      </c>
      <c r="AD735" s="60">
        <f t="shared" si="441"/>
        <v>23415367.44966685</v>
      </c>
      <c r="AE735" s="59">
        <f t="shared" si="439"/>
        <v>0.19311742463037862</v>
      </c>
      <c r="AF735" s="57">
        <f>MIN(MAX(AD735,AH664*(1-SIM_Parametres!$E$32)),AH664*(1+SIM_Parametres!$F$32))</f>
        <v>22569172.162965372</v>
      </c>
      <c r="AG735" s="57">
        <f>IF(F735-SUM($AF$714:$AF$784)&gt;=0,IFERROR((F735-SUM($AF$714:$AF$784))/(SUM($AH$643:$AH$713)*(1+SIM_Parametres!$F$32)-SUM($AF$714:$AF$784)),0),IFERROR((F735-SUM($AF$714:$AF$784))/(SUM($AF$714:$AF$784)-SUM($AH$643:$AH$713)*(1-SIM_Parametres!$E$32)),0))</f>
        <v>7.0211825131946848E-2</v>
      </c>
      <c r="AH735" s="57">
        <f>AF735+IF(AG735&gt;=0,AG735*(AH664*(1+SIM_Parametres!$F$32)-AF735),AG735*(AF735-AH664*(1-SIM_Parametres!$E$32)))</f>
        <v>22569172.162965372</v>
      </c>
      <c r="AI735" s="60">
        <f t="shared" si="427"/>
        <v>68.732993661956456</v>
      </c>
      <c r="AJ735" s="60">
        <f t="shared" si="428"/>
        <v>2315793.3175912276</v>
      </c>
      <c r="AK735" s="59">
        <f t="shared" si="440"/>
        <v>0.14999999999999991</v>
      </c>
    </row>
    <row r="736" spans="1:37" ht="12.75" customHeight="1" x14ac:dyDescent="0.25">
      <c r="A736" s="62" t="s">
        <v>614</v>
      </c>
      <c r="B736" s="62" t="s">
        <v>402</v>
      </c>
      <c r="C736" s="62" t="s">
        <v>405</v>
      </c>
      <c r="D736" s="124">
        <v>2026</v>
      </c>
      <c r="E736" s="62" t="s">
        <v>676</v>
      </c>
      <c r="F736" s="64">
        <f>SIM_Parametres!$C$32</f>
        <v>1531385481.6286914</v>
      </c>
      <c r="G736" s="125">
        <f>SIM_Districts!D26*(1+SIM_Parametres!$B$6)^(2026-2023)</f>
        <v>258412.451868</v>
      </c>
      <c r="H736" s="125">
        <f>MAX(0,MIN(100,SIM_Districts!F26+(2026-2022)*SIM_Parametres!$B$7))</f>
        <v>54.88</v>
      </c>
      <c r="I736" s="125">
        <f>SIM_Districts!G26*(1+SIM_Parametres!$B$8)^(2026-2023)</f>
        <v>33.223359999999992</v>
      </c>
      <c r="J736" s="125">
        <f>SIM_Districts!H26*(1+SIM_Parametres!$B$9)^(2026-2023)</f>
        <v>20.703600000000002</v>
      </c>
      <c r="K736" s="125">
        <f>MAX(0,MIN(100,SIM_Districts!I26+(2026-2023)*SIM_Parametres!$B$10))</f>
        <v>91.4</v>
      </c>
      <c r="L736" s="125">
        <f>SIM_Districts!E26</f>
        <v>4537</v>
      </c>
      <c r="M736" s="61">
        <f t="shared" si="424"/>
        <v>56.95667883359048</v>
      </c>
      <c r="N736" s="125">
        <f>N665*(1+SIM_Parametres!$B$6)/(1+SIM_Parametres!$B$11)</f>
        <v>169739</v>
      </c>
      <c r="O736" s="132"/>
      <c r="P736" s="126">
        <f>SIM_Parametres!$D$32</f>
        <v>0.5</v>
      </c>
      <c r="Q736" s="126">
        <f>SIM_Parametres!$B$12</f>
        <v>0.2</v>
      </c>
      <c r="R736" s="66">
        <f t="shared" si="429"/>
        <v>1.3046394019591765E-2</v>
      </c>
      <c r="S736" s="66">
        <f t="shared" si="430"/>
        <v>0.86702127659574468</v>
      </c>
      <c r="T736" s="66">
        <f t="shared" si="431"/>
        <v>1</v>
      </c>
      <c r="U736" s="66">
        <f t="shared" si="432"/>
        <v>0.65615433798264988</v>
      </c>
      <c r="V736" s="66">
        <f t="shared" si="433"/>
        <v>0.76566328194948607</v>
      </c>
      <c r="W736" s="66">
        <f t="shared" si="434"/>
        <v>2.06721623335447E-2</v>
      </c>
      <c r="X736" s="66">
        <f t="shared" si="435"/>
        <v>1.9788990324167716E-2</v>
      </c>
      <c r="Y736" s="66">
        <f t="shared" si="436"/>
        <v>1.6764552702001338E-2</v>
      </c>
      <c r="Z736" s="66">
        <f t="shared" si="437"/>
        <v>2.8102407336645013E-2</v>
      </c>
      <c r="AA736" s="66">
        <f t="shared" si="425"/>
        <v>1.6140357312344238E-2</v>
      </c>
      <c r="AB736" s="66">
        <f t="shared" si="438"/>
        <v>1.9379571426411071E-2</v>
      </c>
      <c r="AC736" s="67">
        <f t="shared" si="426"/>
        <v>24087449.005219582</v>
      </c>
      <c r="AD736" s="67">
        <f t="shared" si="441"/>
        <v>26882521.663905863</v>
      </c>
      <c r="AE736" s="66">
        <f t="shared" si="439"/>
        <v>-6.5195040555170447E-2</v>
      </c>
      <c r="AF736" s="64">
        <f>MIN(MAX(AD736,AH665*(1-SIM_Parametres!$E$32)),AH665*(1+SIM_Parametres!$F$32))</f>
        <v>27319490.897735015</v>
      </c>
      <c r="AG736" s="64">
        <f>IF(F736-SUM($AF$714:$AF$784)&gt;=0,IFERROR((F736-SUM($AF$714:$AF$784))/(SUM($AH$643:$AH$713)*(1+SIM_Parametres!$F$32)-SUM($AF$714:$AF$784)),0),IFERROR((F736-SUM($AF$714:$AF$784))/(SUM($AF$714:$AF$784)-SUM($AH$643:$AH$713)*(1-SIM_Parametres!$E$32)),0))</f>
        <v>7.0211825131946848E-2</v>
      </c>
      <c r="AH736" s="64">
        <f>AF736+IF(AG736&gt;=0,AG736*(AH665*(1+SIM_Parametres!$F$32)-AF736),AG736*(AF736-AH665*(1-SIM_Parametres!$E$32)))</f>
        <v>27723312.227757242</v>
      </c>
      <c r="AI736" s="67">
        <f t="shared" si="427"/>
        <v>107.2831902153021</v>
      </c>
      <c r="AJ736" s="67">
        <f t="shared" si="428"/>
        <v>-1954282.0948349051</v>
      </c>
      <c r="AK736" s="66">
        <f t="shared" si="440"/>
        <v>-3.5957634973610708E-2</v>
      </c>
    </row>
    <row r="737" spans="1:37" ht="12.75" customHeight="1" x14ac:dyDescent="0.25">
      <c r="A737" s="55" t="s">
        <v>615</v>
      </c>
      <c r="B737" s="55" t="s">
        <v>402</v>
      </c>
      <c r="C737" s="55" t="s">
        <v>406</v>
      </c>
      <c r="D737" s="128">
        <v>2026</v>
      </c>
      <c r="E737" s="55" t="s">
        <v>676</v>
      </c>
      <c r="F737" s="57">
        <f>SIM_Parametres!$C$32</f>
        <v>1531385481.6286914</v>
      </c>
      <c r="G737" s="129">
        <f>SIM_Districts!D27*(1+SIM_Parametres!$B$6)^(2026-2023)</f>
        <v>149674.095371</v>
      </c>
      <c r="H737" s="129">
        <f>MAX(0,MIN(100,SIM_Districts!F27+(2026-2022)*SIM_Parametres!$B$7))</f>
        <v>54.88</v>
      </c>
      <c r="I737" s="129">
        <f>SIM_Districts!G27*(1+SIM_Parametres!$B$8)^(2026-2023)</f>
        <v>33.223359999999992</v>
      </c>
      <c r="J737" s="129">
        <f>SIM_Districts!H27*(1+SIM_Parametres!$B$9)^(2026-2023)</f>
        <v>20.703600000000002</v>
      </c>
      <c r="K737" s="129">
        <f>MAX(0,MIN(100,SIM_Districts!I27+(2026-2023)*SIM_Parametres!$B$10))</f>
        <v>91.4</v>
      </c>
      <c r="L737" s="129">
        <f>SIM_Districts!E27</f>
        <v>2765</v>
      </c>
      <c r="M737" s="68">
        <f t="shared" si="424"/>
        <v>54.131680061844484</v>
      </c>
      <c r="N737" s="129">
        <f>N666*(1+SIM_Parametres!$B$6)/(1+SIM_Parametres!$B$11)</f>
        <v>169739</v>
      </c>
      <c r="O737" s="72"/>
      <c r="P737" s="130">
        <f>SIM_Parametres!$D$32</f>
        <v>0.5</v>
      </c>
      <c r="Q737" s="130">
        <f>SIM_Parametres!$B$12</f>
        <v>0.2</v>
      </c>
      <c r="R737" s="59">
        <f t="shared" si="429"/>
        <v>7.5565523589145268E-3</v>
      </c>
      <c r="S737" s="59">
        <f t="shared" si="430"/>
        <v>0.86702127659574468</v>
      </c>
      <c r="T737" s="59">
        <f t="shared" si="431"/>
        <v>1</v>
      </c>
      <c r="U737" s="59">
        <f t="shared" si="432"/>
        <v>0.59480805510502444</v>
      </c>
      <c r="V737" s="59">
        <f t="shared" si="433"/>
        <v>0.76566328194948607</v>
      </c>
      <c r="W737" s="59">
        <f t="shared" si="434"/>
        <v>2.06721623335447E-2</v>
      </c>
      <c r="X737" s="59">
        <f t="shared" si="435"/>
        <v>1.9788990324167716E-2</v>
      </c>
      <c r="Y737" s="59">
        <f t="shared" si="436"/>
        <v>1.519717299750104E-2</v>
      </c>
      <c r="Z737" s="59">
        <f t="shared" si="437"/>
        <v>2.8102407336645013E-2</v>
      </c>
      <c r="AA737" s="59">
        <f t="shared" si="425"/>
        <v>1.276808333071288E-2</v>
      </c>
      <c r="AB737" s="59">
        <f t="shared" si="438"/>
        <v>1.2841581014119445E-2</v>
      </c>
      <c r="AC737" s="60">
        <f t="shared" si="426"/>
        <v>19956047.87278403</v>
      </c>
      <c r="AD737" s="60">
        <f t="shared" si="441"/>
        <v>19810729.299482599</v>
      </c>
      <c r="AE737" s="59">
        <f t="shared" si="439"/>
        <v>3.9626017566336547E-2</v>
      </c>
      <c r="AF737" s="57">
        <f>MIN(MAX(AD737,AH666*(1-SIM_Parametres!$E$32)),AH666*(1+SIM_Parametres!$F$32))</f>
        <v>19810729.299482599</v>
      </c>
      <c r="AG737" s="57">
        <f>IF(F737-SUM($AF$714:$AF$784)&gt;=0,IFERROR((F737-SUM($AF$714:$AF$784))/(SUM($AH$643:$AH$713)*(1+SIM_Parametres!$F$32)-SUM($AF$714:$AF$784)),0),IFERROR((F737-SUM($AF$714:$AF$784))/(SUM($AF$714:$AF$784)-SUM($AH$643:$AH$713)*(1-SIM_Parametres!$E$32)),0))</f>
        <v>7.0211825131946848E-2</v>
      </c>
      <c r="AH737" s="57">
        <f>AF737+IF(AG737&gt;=0,AG737*(AH666*(1+SIM_Parametres!$F$32)-AF737),AG737*(AF737-AH666*(1-SIM_Parametres!$E$32)))</f>
        <v>19958402.028008904</v>
      </c>
      <c r="AI737" s="60">
        <f t="shared" si="427"/>
        <v>133.34573346535109</v>
      </c>
      <c r="AJ737" s="60">
        <f t="shared" si="428"/>
        <v>292991.30182773992</v>
      </c>
      <c r="AK737" s="59">
        <f t="shared" si="440"/>
        <v>4.7375576320085599E-2</v>
      </c>
    </row>
    <row r="738" spans="1:37" ht="12.75" customHeight="1" x14ac:dyDescent="0.25">
      <c r="A738" s="62" t="s">
        <v>616</v>
      </c>
      <c r="B738" s="62" t="s">
        <v>407</v>
      </c>
      <c r="C738" s="62" t="s">
        <v>409</v>
      </c>
      <c r="D738" s="124">
        <v>2026</v>
      </c>
      <c r="E738" s="62" t="s">
        <v>676</v>
      </c>
      <c r="F738" s="64">
        <f>SIM_Parametres!$C$32</f>
        <v>1531385481.6286914</v>
      </c>
      <c r="G738" s="125">
        <f>SIM_Districts!D28*(1+SIM_Parametres!$B$6)^(2026-2023)</f>
        <v>175095.29629900001</v>
      </c>
      <c r="H738" s="125">
        <f>MAX(0,MIN(100,SIM_Districts!F28+(2026-2022)*SIM_Parametres!$B$7))</f>
        <v>46.28</v>
      </c>
      <c r="I738" s="125">
        <f>SIM_Districts!G28*(1+SIM_Parametres!$B$8)^(2026-2023)</f>
        <v>33.223359999999992</v>
      </c>
      <c r="J738" s="125">
        <f>SIM_Districts!H28*(1+SIM_Parametres!$B$9)^(2026-2023)</f>
        <v>10.643400000000002</v>
      </c>
      <c r="K738" s="125">
        <f>MAX(0,MIN(100,SIM_Districts!I28+(2026-2023)*SIM_Parametres!$B$10))</f>
        <v>99.1</v>
      </c>
      <c r="L738" s="125">
        <f>SIM_Districts!E28</f>
        <v>1066</v>
      </c>
      <c r="M738" s="61">
        <f t="shared" si="424"/>
        <v>164.25449934240152</v>
      </c>
      <c r="N738" s="125">
        <f>N667*(1+SIM_Parametres!$B$6)/(1+SIM_Parametres!$B$11)</f>
        <v>190293</v>
      </c>
      <c r="O738" s="132"/>
      <c r="P738" s="126">
        <f>SIM_Parametres!$D$32</f>
        <v>0.5</v>
      </c>
      <c r="Q738" s="126">
        <f>SIM_Parametres!$B$12</f>
        <v>0.2</v>
      </c>
      <c r="R738" s="66">
        <f t="shared" si="429"/>
        <v>8.8399851090024094E-3</v>
      </c>
      <c r="S738" s="66">
        <f t="shared" si="430"/>
        <v>0.71453900709219842</v>
      </c>
      <c r="T738" s="66">
        <f t="shared" si="431"/>
        <v>0.61878453038674031</v>
      </c>
      <c r="U738" s="66">
        <f t="shared" si="432"/>
        <v>0.53452867131516979</v>
      </c>
      <c r="V738" s="66">
        <f t="shared" si="433"/>
        <v>0.90832112938040932</v>
      </c>
      <c r="W738" s="66">
        <f t="shared" si="434"/>
        <v>1.7036567321919247E-2</v>
      </c>
      <c r="X738" s="66">
        <f t="shared" si="435"/>
        <v>1.2245121084567868E-2</v>
      </c>
      <c r="Y738" s="66">
        <f t="shared" si="436"/>
        <v>1.3657052254725573E-2</v>
      </c>
      <c r="Z738" s="66">
        <f t="shared" si="437"/>
        <v>3.333842822570373E-2</v>
      </c>
      <c r="AA738" s="66">
        <f t="shared" si="425"/>
        <v>1.204601835039598E-2</v>
      </c>
      <c r="AB738" s="66">
        <f t="shared" si="438"/>
        <v>1.2106456160514305E-2</v>
      </c>
      <c r="AC738" s="67">
        <f t="shared" si="426"/>
        <v>19071440.010664184</v>
      </c>
      <c r="AD738" s="67">
        <f t="shared" si="441"/>
        <v>18805545.604425013</v>
      </c>
      <c r="AE738" s="66">
        <f t="shared" si="439"/>
        <v>4.6800873236799712E-2</v>
      </c>
      <c r="AF738" s="64">
        <f>MIN(MAX(AD738,AH667*(1-SIM_Parametres!$E$32)),AH667*(1+SIM_Parametres!$F$32))</f>
        <v>18805545.604425013</v>
      </c>
      <c r="AG738" s="64">
        <f>IF(F738-SUM($AF$714:$AF$784)&gt;=0,IFERROR((F738-SUM($AF$714:$AF$784))/(SUM($AH$643:$AH$713)*(1+SIM_Parametres!$F$32)-SUM($AF$714:$AF$784)),0),IFERROR((F738-SUM($AF$714:$AF$784))/(SUM($AF$714:$AF$784)-SUM($AH$643:$AH$713)*(1-SIM_Parametres!$E$32)),0))</f>
        <v>7.0211825131946848E-2</v>
      </c>
      <c r="AH738" s="64">
        <f>AF738+IF(AG738&gt;=0,AG738*(AH667*(1+SIM_Parametres!$F$32)-AF738),AG738*(AF738-AH667*(1-SIM_Parametres!$E$32)))</f>
        <v>18935714.77777005</v>
      </c>
      <c r="AI738" s="67">
        <f t="shared" si="427"/>
        <v>108.14519394875484</v>
      </c>
      <c r="AJ738" s="67">
        <f t="shared" si="428"/>
        <v>396063.57958421111</v>
      </c>
      <c r="AK738" s="66">
        <f t="shared" si="440"/>
        <v>5.4046672278867058E-2</v>
      </c>
    </row>
    <row r="739" spans="1:37" ht="12.75" customHeight="1" x14ac:dyDescent="0.25">
      <c r="A739" s="55" t="s">
        <v>618</v>
      </c>
      <c r="B739" s="55" t="s">
        <v>407</v>
      </c>
      <c r="C739" s="55" t="s">
        <v>410</v>
      </c>
      <c r="D739" s="128">
        <v>2026</v>
      </c>
      <c r="E739" s="55" t="s">
        <v>676</v>
      </c>
      <c r="F739" s="57">
        <f>SIM_Parametres!$C$32</f>
        <v>1531385481.6286914</v>
      </c>
      <c r="G739" s="129">
        <f>SIM_Districts!D29*(1+SIM_Parametres!$B$6)^(2026-2023)</f>
        <v>475976.58302199998</v>
      </c>
      <c r="H739" s="129">
        <f>MAX(0,MIN(100,SIM_Districts!F29+(2026-2022)*SIM_Parametres!$B$7))</f>
        <v>46.28</v>
      </c>
      <c r="I739" s="129">
        <f>SIM_Districts!G29*(1+SIM_Parametres!$B$8)^(2026-2023)</f>
        <v>33.223359999999992</v>
      </c>
      <c r="J739" s="129">
        <f>SIM_Districts!H29*(1+SIM_Parametres!$B$9)^(2026-2023)</f>
        <v>10.643400000000002</v>
      </c>
      <c r="K739" s="129">
        <f>MAX(0,MIN(100,SIM_Districts!I29+(2026-2023)*SIM_Parametres!$B$10))</f>
        <v>99.1</v>
      </c>
      <c r="L739" s="129">
        <f>SIM_Districts!E29</f>
        <v>535</v>
      </c>
      <c r="M739" s="68">
        <f t="shared" si="424"/>
        <v>889.67585611588777</v>
      </c>
      <c r="N739" s="129">
        <f>N668*(1+SIM_Parametres!$B$6)/(1+SIM_Parametres!$B$11)</f>
        <v>190293</v>
      </c>
      <c r="O739" s="72"/>
      <c r="P739" s="130">
        <f>SIM_Parametres!$D$32</f>
        <v>0.5</v>
      </c>
      <c r="Q739" s="130">
        <f>SIM_Parametres!$B$12</f>
        <v>0.2</v>
      </c>
      <c r="R739" s="59">
        <f t="shared" si="429"/>
        <v>2.403049079607034E-2</v>
      </c>
      <c r="S739" s="59">
        <f t="shared" si="430"/>
        <v>0.71453900709219842</v>
      </c>
      <c r="T739" s="59">
        <f t="shared" si="431"/>
        <v>0.61878453038674031</v>
      </c>
      <c r="U739" s="59">
        <f t="shared" si="432"/>
        <v>0.50674567312414043</v>
      </c>
      <c r="V739" s="59">
        <f t="shared" si="433"/>
        <v>0.90832112938040932</v>
      </c>
      <c r="W739" s="59">
        <f t="shared" si="434"/>
        <v>1.7036567321919247E-2</v>
      </c>
      <c r="X739" s="59">
        <f t="shared" si="435"/>
        <v>1.2245121084567868E-2</v>
      </c>
      <c r="Y739" s="59">
        <f t="shared" si="436"/>
        <v>1.2947204722778851E-2</v>
      </c>
      <c r="Z739" s="59">
        <f t="shared" si="437"/>
        <v>3.333842822570373E-2</v>
      </c>
      <c r="AA739" s="59">
        <f t="shared" si="425"/>
        <v>2.11248293860394E-2</v>
      </c>
      <c r="AB739" s="59">
        <f t="shared" si="438"/>
        <v>1.4237898164624289E-2</v>
      </c>
      <c r="AC739" s="60">
        <f t="shared" si="426"/>
        <v>30193967.539011925</v>
      </c>
      <c r="AD739" s="60">
        <f t="shared" si="441"/>
        <v>25998839.038612675</v>
      </c>
      <c r="AE739" s="59">
        <f t="shared" si="439"/>
        <v>0.23056127721124886</v>
      </c>
      <c r="AF739" s="57">
        <f>MIN(MAX(AD739,AH668*(1-SIM_Parametres!$E$32)),AH668*(1+SIM_Parametres!$F$32))</f>
        <v>24296770.464094415</v>
      </c>
      <c r="AG739" s="57">
        <f>IF(F739-SUM($AF$714:$AF$784)&gt;=0,IFERROR((F739-SUM($AF$714:$AF$784))/(SUM($AH$643:$AH$713)*(1+SIM_Parametres!$F$32)-SUM($AF$714:$AF$784)),0),IFERROR((F739-SUM($AF$714:$AF$784))/(SUM($AF$714:$AF$784)-SUM($AH$643:$AH$713)*(1-SIM_Parametres!$E$32)),0))</f>
        <v>7.0211825131946848E-2</v>
      </c>
      <c r="AH739" s="57">
        <f>AF739+IF(AG739&gt;=0,AG739*(AH668*(1+SIM_Parametres!$F$32)-AF739),AG739*(AF739-AH668*(1-SIM_Parametres!$E$32)))</f>
        <v>24296770.464094415</v>
      </c>
      <c r="AI739" s="60">
        <f t="shared" si="427"/>
        <v>51.046146660898657</v>
      </c>
      <c r="AJ739" s="60">
        <f t="shared" si="428"/>
        <v>2493059.9258809872</v>
      </c>
      <c r="AK739" s="59">
        <f t="shared" si="440"/>
        <v>0.14999999999999991</v>
      </c>
    </row>
    <row r="740" spans="1:37" ht="12.75" customHeight="1" x14ac:dyDescent="0.25">
      <c r="A740" s="62" t="s">
        <v>619</v>
      </c>
      <c r="B740" s="62" t="s">
        <v>407</v>
      </c>
      <c r="C740" s="62" t="s">
        <v>411</v>
      </c>
      <c r="D740" s="124">
        <v>2026</v>
      </c>
      <c r="E740" s="62" t="s">
        <v>676</v>
      </c>
      <c r="F740" s="64">
        <f>SIM_Parametres!$C$32</f>
        <v>1531385481.6286914</v>
      </c>
      <c r="G740" s="125">
        <f>SIM_Districts!D30*(1+SIM_Parametres!$B$6)^(2026-2023)</f>
        <v>267014.398812</v>
      </c>
      <c r="H740" s="125">
        <f>MAX(0,MIN(100,SIM_Districts!F30+(2026-2022)*SIM_Parametres!$B$7))</f>
        <v>46.28</v>
      </c>
      <c r="I740" s="125">
        <f>SIM_Districts!G30*(1+SIM_Parametres!$B$8)^(2026-2023)</f>
        <v>33.223359999999992</v>
      </c>
      <c r="J740" s="125">
        <f>SIM_Districts!H30*(1+SIM_Parametres!$B$9)^(2026-2023)</f>
        <v>10.643400000000002</v>
      </c>
      <c r="K740" s="125">
        <f>MAX(0,MIN(100,SIM_Districts!I30+(2026-2023)*SIM_Parametres!$B$10))</f>
        <v>99.1</v>
      </c>
      <c r="L740" s="125">
        <f>SIM_Districts!E30</f>
        <v>1359</v>
      </c>
      <c r="M740" s="61">
        <f t="shared" si="424"/>
        <v>196.4785863222958</v>
      </c>
      <c r="N740" s="125">
        <f>N669*(1+SIM_Parametres!$B$6)/(1+SIM_Parametres!$B$11)</f>
        <v>190293</v>
      </c>
      <c r="O740" s="132"/>
      <c r="P740" s="126">
        <f>SIM_Parametres!$D$32</f>
        <v>0.5</v>
      </c>
      <c r="Q740" s="126">
        <f>SIM_Parametres!$B$12</f>
        <v>0.2</v>
      </c>
      <c r="R740" s="66">
        <f t="shared" si="429"/>
        <v>1.348067800380307E-2</v>
      </c>
      <c r="S740" s="66">
        <f t="shared" si="430"/>
        <v>0.71453900709219842</v>
      </c>
      <c r="T740" s="66">
        <f t="shared" si="431"/>
        <v>0.61878453038674031</v>
      </c>
      <c r="U740" s="66">
        <f t="shared" si="432"/>
        <v>0.54426125050867202</v>
      </c>
      <c r="V740" s="66">
        <f t="shared" si="433"/>
        <v>0.90832112938040932</v>
      </c>
      <c r="W740" s="66">
        <f t="shared" si="434"/>
        <v>1.7036567321919247E-2</v>
      </c>
      <c r="X740" s="66">
        <f t="shared" si="435"/>
        <v>1.2245121084567868E-2</v>
      </c>
      <c r="Y740" s="66">
        <f t="shared" si="436"/>
        <v>1.3905716825499445E-2</v>
      </c>
      <c r="Z740" s="66">
        <f t="shared" si="437"/>
        <v>3.333842822570373E-2</v>
      </c>
      <c r="AA740" s="66">
        <f t="shared" si="425"/>
        <v>1.4842867315815068E-2</v>
      </c>
      <c r="AB740" s="66">
        <f t="shared" si="438"/>
        <v>1.3021371549744016E-2</v>
      </c>
      <c r="AC740" s="67">
        <f t="shared" si="426"/>
        <v>22497883.130624995</v>
      </c>
      <c r="AD740" s="67">
        <f t="shared" si="441"/>
        <v>21219311.236397937</v>
      </c>
      <c r="AE740" s="66">
        <f t="shared" si="439"/>
        <v>9.8170374738907551E-2</v>
      </c>
      <c r="AF740" s="64">
        <f>MIN(MAX(AD740,AH669*(1-SIM_Parametres!$E$32)),AH669*(1+SIM_Parametres!$F$32))</f>
        <v>21219311.236397937</v>
      </c>
      <c r="AG740" s="64">
        <f>IF(F740-SUM($AF$714:$AF$784)&gt;=0,IFERROR((F740-SUM($AF$714:$AF$784))/(SUM($AH$643:$AH$713)*(1+SIM_Parametres!$F$32)-SUM($AF$714:$AF$784)),0),IFERROR((F740-SUM($AF$714:$AF$784))/(SUM($AF$714:$AF$784)-SUM($AH$643:$AH$713)*(1-SIM_Parametres!$E$32)),0))</f>
        <v>7.0211825131946848E-2</v>
      </c>
      <c r="AH740" s="64">
        <f>AF740+IF(AG740&gt;=0,AG740*(AH669*(1+SIM_Parametres!$F$32)-AF740),AG740*(AF740-AH669*(1-SIM_Parametres!$E$32)))</f>
        <v>21289626.545564249</v>
      </c>
      <c r="AI740" s="67">
        <f t="shared" si="427"/>
        <v>79.732129204589782</v>
      </c>
      <c r="AJ740" s="67">
        <f t="shared" si="428"/>
        <v>1348887.2033933699</v>
      </c>
      <c r="AK740" s="66">
        <f t="shared" si="440"/>
        <v>0.10180942732439369</v>
      </c>
    </row>
    <row r="741" spans="1:37" ht="12.75" customHeight="1" x14ac:dyDescent="0.25">
      <c r="A741" s="55" t="s">
        <v>620</v>
      </c>
      <c r="B741" s="55" t="s">
        <v>407</v>
      </c>
      <c r="C741" s="55" t="s">
        <v>412</v>
      </c>
      <c r="D741" s="128">
        <v>2026</v>
      </c>
      <c r="E741" s="55" t="s">
        <v>676</v>
      </c>
      <c r="F741" s="57">
        <f>SIM_Parametres!$C$32</f>
        <v>1531385481.6286914</v>
      </c>
      <c r="G741" s="129">
        <f>SIM_Districts!D31*(1+SIM_Parametres!$B$6)^(2026-2023)</f>
        <v>542583.75730699999</v>
      </c>
      <c r="H741" s="129">
        <f>MAX(0,MIN(100,SIM_Districts!F31+(2026-2022)*SIM_Parametres!$B$7))</f>
        <v>46.28</v>
      </c>
      <c r="I741" s="129">
        <f>SIM_Districts!G31*(1+SIM_Parametres!$B$8)^(2026-2023)</f>
        <v>33.223359999999992</v>
      </c>
      <c r="J741" s="129">
        <f>SIM_Districts!H31*(1+SIM_Parametres!$B$9)^(2026-2023)</f>
        <v>10.643400000000002</v>
      </c>
      <c r="K741" s="129">
        <f>MAX(0,MIN(100,SIM_Districts!I31+(2026-2023)*SIM_Parametres!$B$10))</f>
        <v>99.1</v>
      </c>
      <c r="L741" s="129">
        <f>SIM_Districts!E31</f>
        <v>2302</v>
      </c>
      <c r="M741" s="68">
        <f t="shared" si="424"/>
        <v>235.70102402562989</v>
      </c>
      <c r="N741" s="129">
        <f>N670*(1+SIM_Parametres!$B$6)/(1+SIM_Parametres!$B$11)</f>
        <v>190293</v>
      </c>
      <c r="O741" s="72"/>
      <c r="P741" s="130">
        <f>SIM_Parametres!$D$32</f>
        <v>0.5</v>
      </c>
      <c r="Q741" s="130">
        <f>SIM_Parametres!$B$12</f>
        <v>0.2</v>
      </c>
      <c r="R741" s="59">
        <f t="shared" si="429"/>
        <v>2.7393267759688242E-2</v>
      </c>
      <c r="S741" s="59">
        <f t="shared" si="430"/>
        <v>0.71453900709219842</v>
      </c>
      <c r="T741" s="59">
        <f t="shared" si="431"/>
        <v>0.61878453038674031</v>
      </c>
      <c r="U741" s="59">
        <f t="shared" si="432"/>
        <v>0.5764195329812869</v>
      </c>
      <c r="V741" s="59">
        <f t="shared" si="433"/>
        <v>0.90832112938040932</v>
      </c>
      <c r="W741" s="59">
        <f t="shared" si="434"/>
        <v>1.7036567321919247E-2</v>
      </c>
      <c r="X741" s="59">
        <f t="shared" si="435"/>
        <v>1.2245121084567868E-2</v>
      </c>
      <c r="Y741" s="59">
        <f t="shared" si="436"/>
        <v>1.4727351599683098E-2</v>
      </c>
      <c r="Z741" s="59">
        <f t="shared" si="437"/>
        <v>3.333842822570373E-2</v>
      </c>
      <c r="AA741" s="59">
        <f t="shared" si="425"/>
        <v>2.3231502908055354E-2</v>
      </c>
      <c r="AB741" s="59">
        <f t="shared" si="438"/>
        <v>1.7670721195287821E-2</v>
      </c>
      <c r="AC741" s="60">
        <f t="shared" si="426"/>
        <v>32774870.935929377</v>
      </c>
      <c r="AD741" s="60">
        <f t="shared" si="441"/>
        <v>29917778.412150774</v>
      </c>
      <c r="AE741" s="59">
        <f t="shared" si="439"/>
        <v>0.14095952514664423</v>
      </c>
      <c r="AF741" s="57">
        <f>MIN(MAX(AD741,AH670*(1-SIM_Parametres!$E$32)),AH670*(1+SIM_Parametres!$F$32))</f>
        <v>29917778.412150774</v>
      </c>
      <c r="AG741" s="57">
        <f>IF(F741-SUM($AF$714:$AF$784)&gt;=0,IFERROR((F741-SUM($AF$714:$AF$784))/(SUM($AH$643:$AH$713)*(1+SIM_Parametres!$F$32)-SUM($AF$714:$AF$784)),0),IFERROR((F741-SUM($AF$714:$AF$784))/(SUM($AF$714:$AF$784)-SUM($AH$643:$AH$713)*(1-SIM_Parametres!$E$32)),0))</f>
        <v>7.0211825131946848E-2</v>
      </c>
      <c r="AH741" s="57">
        <f>AF741+IF(AG741&gt;=0,AG741*(AH670*(1+SIM_Parametres!$F$32)-AF741),AG741*(AF741-AH670*(1-SIM_Parametres!$E$32)))</f>
        <v>29934422.523321003</v>
      </c>
      <c r="AI741" s="60">
        <f t="shared" si="427"/>
        <v>55.170141236616061</v>
      </c>
      <c r="AJ741" s="60">
        <f t="shared" si="428"/>
        <v>2873736.6349488385</v>
      </c>
      <c r="AK741" s="59">
        <f t="shared" si="440"/>
        <v>0.14159427338615793</v>
      </c>
    </row>
    <row r="742" spans="1:37" ht="12.75" customHeight="1" x14ac:dyDescent="0.25">
      <c r="A742" s="62" t="s">
        <v>621</v>
      </c>
      <c r="B742" s="62" t="s">
        <v>413</v>
      </c>
      <c r="C742" s="62" t="s">
        <v>413</v>
      </c>
      <c r="D742" s="124">
        <v>2026</v>
      </c>
      <c r="E742" s="62" t="s">
        <v>676</v>
      </c>
      <c r="F742" s="64">
        <f>SIM_Parametres!$C$32</f>
        <v>1531385481.6286914</v>
      </c>
      <c r="G742" s="125">
        <f>SIM_Districts!D32*(1+SIM_Parametres!$B$6)^(2026-2023)</f>
        <v>138971.92713299999</v>
      </c>
      <c r="H742" s="125">
        <f>MAX(0,MIN(100,SIM_Districts!F32+(2026-2022)*SIM_Parametres!$B$7))</f>
        <v>62.38</v>
      </c>
      <c r="I742" s="125">
        <f>SIM_Districts!G32*(1+SIM_Parametres!$B$8)^(2026-2023)</f>
        <v>33.223359999999992</v>
      </c>
      <c r="J742" s="125">
        <f>SIM_Districts!H32*(1+SIM_Parametres!$B$9)^(2026-2023)</f>
        <v>15.527700000000003</v>
      </c>
      <c r="K742" s="125">
        <f>MAX(0,MIN(100,SIM_Districts!I32+(2026-2023)*SIM_Parametres!$B$10))</f>
        <v>93.6</v>
      </c>
      <c r="L742" s="125">
        <f>SIM_Districts!E32</f>
        <v>7061</v>
      </c>
      <c r="M742" s="61">
        <f t="shared" si="424"/>
        <v>19.681621177311992</v>
      </c>
      <c r="N742" s="125">
        <f>N671*(1+SIM_Parametres!$B$6)/(1+SIM_Parametres!$B$11)</f>
        <v>59423</v>
      </c>
      <c r="O742" s="132"/>
      <c r="P742" s="126">
        <f>SIM_Parametres!$D$32</f>
        <v>0.5</v>
      </c>
      <c r="Q742" s="126">
        <f>SIM_Parametres!$B$12</f>
        <v>0.2</v>
      </c>
      <c r="R742" s="66">
        <f t="shared" si="429"/>
        <v>7.0162351153467504E-3</v>
      </c>
      <c r="S742" s="66">
        <f t="shared" si="430"/>
        <v>1</v>
      </c>
      <c r="T742" s="66">
        <f t="shared" si="431"/>
        <v>0.80386740331491713</v>
      </c>
      <c r="U742" s="66">
        <f t="shared" si="432"/>
        <v>0.74406922993471691</v>
      </c>
      <c r="V742" s="66">
        <f t="shared" si="433"/>
        <v>0</v>
      </c>
      <c r="W742" s="66">
        <f t="shared" si="434"/>
        <v>2.3842739378566891E-2</v>
      </c>
      <c r="X742" s="66">
        <f t="shared" si="435"/>
        <v>1.590772426611272E-2</v>
      </c>
      <c r="Y742" s="66">
        <f t="shared" si="436"/>
        <v>1.9010752649337742E-2</v>
      </c>
      <c r="Z742" s="66">
        <f t="shared" si="437"/>
        <v>0</v>
      </c>
      <c r="AA742" s="66">
        <f t="shared" si="425"/>
        <v>1.1122848248376879E-2</v>
      </c>
      <c r="AB742" s="66">
        <f t="shared" si="438"/>
        <v>1.7768177747308617E-2</v>
      </c>
      <c r="AC742" s="67">
        <f t="shared" si="426"/>
        <v>17940456.577619601</v>
      </c>
      <c r="AD742" s="67">
        <f t="shared" si="441"/>
        <v>22575193.007423002</v>
      </c>
      <c r="AE742" s="66">
        <f t="shared" si="439"/>
        <v>-0.14378318262793188</v>
      </c>
      <c r="AF742" s="64">
        <f>MIN(MAX(AD742,AH671*(1-SIM_Parametres!$E$32)),AH671*(1+SIM_Parametres!$F$32))</f>
        <v>25047900.16023748</v>
      </c>
      <c r="AG742" s="64">
        <f>IF(F742-SUM($AF$714:$AF$784)&gt;=0,IFERROR((F742-SUM($AF$714:$AF$784))/(SUM($AH$643:$AH$713)*(1+SIM_Parametres!$F$32)-SUM($AF$714:$AF$784)),0),IFERROR((F742-SUM($AF$714:$AF$784))/(SUM($AF$714:$AF$784)-SUM($AH$643:$AH$713)*(1-SIM_Parametres!$E$32)),0))</f>
        <v>7.0211825131946848E-2</v>
      </c>
      <c r="AH742" s="64">
        <f>AF742+IF(AG742&gt;=0,AG742*(AH671*(1+SIM_Parametres!$F$32)-AF742),AG742*(AF742-AH671*(1-SIM_Parametres!$E$32)))</f>
        <v>25418144.115179177</v>
      </c>
      <c r="AI742" s="67">
        <f t="shared" si="427"/>
        <v>182.90128545784148</v>
      </c>
      <c r="AJ742" s="67">
        <f t="shared" si="428"/>
        <v>-1791785.3220472261</v>
      </c>
      <c r="AK742" s="66">
        <f t="shared" si="440"/>
        <v>-3.5957634973610708E-2</v>
      </c>
    </row>
    <row r="743" spans="1:37" ht="12.75" customHeight="1" x14ac:dyDescent="0.25">
      <c r="A743" s="55" t="s">
        <v>623</v>
      </c>
      <c r="B743" s="55" t="s">
        <v>413</v>
      </c>
      <c r="C743" s="55" t="s">
        <v>415</v>
      </c>
      <c r="D743" s="128">
        <v>2026</v>
      </c>
      <c r="E743" s="55" t="s">
        <v>676</v>
      </c>
      <c r="F743" s="57">
        <f>SIM_Parametres!$C$32</f>
        <v>1531385481.6286914</v>
      </c>
      <c r="G743" s="129">
        <f>SIM_Districts!D33*(1+SIM_Parametres!$B$6)^(2026-2023)</f>
        <v>39132.739324000002</v>
      </c>
      <c r="H743" s="129">
        <f>MAX(0,MIN(100,SIM_Districts!F33+(2026-2022)*SIM_Parametres!$B$7))</f>
        <v>62.38</v>
      </c>
      <c r="I743" s="129">
        <f>SIM_Districts!G33*(1+SIM_Parametres!$B$8)^(2026-2023)</f>
        <v>33.223359999999992</v>
      </c>
      <c r="J743" s="129">
        <f>SIM_Districts!H33*(1+SIM_Parametres!$B$9)^(2026-2023)</f>
        <v>15.527700000000003</v>
      </c>
      <c r="K743" s="129">
        <f>MAX(0,MIN(100,SIM_Districts!I33+(2026-2023)*SIM_Parametres!$B$10))</f>
        <v>93.6</v>
      </c>
      <c r="L743" s="129">
        <f>SIM_Districts!E33</f>
        <v>1931</v>
      </c>
      <c r="M743" s="68">
        <f t="shared" si="424"/>
        <v>20.265530462972553</v>
      </c>
      <c r="N743" s="129">
        <f>N672*(1+SIM_Parametres!$B$6)/(1+SIM_Parametres!$B$11)</f>
        <v>59423</v>
      </c>
      <c r="O743" s="72"/>
      <c r="P743" s="130">
        <f>SIM_Parametres!$D$32</f>
        <v>0.5</v>
      </c>
      <c r="Q743" s="130">
        <f>SIM_Parametres!$B$12</f>
        <v>0.2</v>
      </c>
      <c r="R743" s="59">
        <f t="shared" si="429"/>
        <v>1.9756831863027534E-3</v>
      </c>
      <c r="S743" s="59">
        <f t="shared" si="430"/>
        <v>1</v>
      </c>
      <c r="T743" s="59">
        <f t="shared" si="431"/>
        <v>0.80386740331491713</v>
      </c>
      <c r="U743" s="59">
        <f t="shared" si="432"/>
        <v>0.56635625479419383</v>
      </c>
      <c r="V743" s="59">
        <f t="shared" si="433"/>
        <v>0</v>
      </c>
      <c r="W743" s="59">
        <f t="shared" si="434"/>
        <v>2.3842739378566891E-2</v>
      </c>
      <c r="X743" s="59">
        <f t="shared" si="435"/>
        <v>1.590772426611272E-2</v>
      </c>
      <c r="Y743" s="59">
        <f t="shared" si="436"/>
        <v>1.447023776570143E-2</v>
      </c>
      <c r="Z743" s="59">
        <f t="shared" si="437"/>
        <v>0</v>
      </c>
      <c r="AA743" s="59">
        <f t="shared" si="425"/>
        <v>7.8714913467686654E-3</v>
      </c>
      <c r="AB743" s="59">
        <f t="shared" si="438"/>
        <v>1.2869305722883978E-2</v>
      </c>
      <c r="AC743" s="60">
        <f t="shared" si="426"/>
        <v>13957191.97384675</v>
      </c>
      <c r="AD743" s="60">
        <f t="shared" si="441"/>
        <v>16832529.958256152</v>
      </c>
      <c r="AE743" s="59">
        <f t="shared" si="439"/>
        <v>-0.11856670810577596</v>
      </c>
      <c r="AF743" s="57">
        <f>MIN(MAX(AD743,AH672*(1-SIM_Parametres!$E$32)),AH672*(1+SIM_Parametres!$F$32))</f>
        <v>18141932.699159183</v>
      </c>
      <c r="AG743" s="57">
        <f>IF(F743-SUM($AF$714:$AF$784)&gt;=0,IFERROR((F743-SUM($AF$714:$AF$784))/(SUM($AH$643:$AH$713)*(1+SIM_Parametres!$F$32)-SUM($AF$714:$AF$784)),0),IFERROR((F743-SUM($AF$714:$AF$784))/(SUM($AF$714:$AF$784)-SUM($AH$643:$AH$713)*(1-SIM_Parametres!$E$32)),0))</f>
        <v>7.0211825131946848E-2</v>
      </c>
      <c r="AH743" s="57">
        <f>AF743+IF(AG743&gt;=0,AG743*(AH672*(1+SIM_Parametres!$F$32)-AF743),AG743*(AF743-AH672*(1-SIM_Parametres!$E$32)))</f>
        <v>18410096.532049481</v>
      </c>
      <c r="AI743" s="60">
        <f t="shared" si="427"/>
        <v>470.4525379535242</v>
      </c>
      <c r="AJ743" s="60">
        <f t="shared" si="428"/>
        <v>-1297771.4106160738</v>
      </c>
      <c r="AK743" s="59">
        <f t="shared" si="440"/>
        <v>-3.5957634973610597E-2</v>
      </c>
    </row>
    <row r="744" spans="1:37" ht="12.75" customHeight="1" x14ac:dyDescent="0.25">
      <c r="A744" s="62" t="s">
        <v>624</v>
      </c>
      <c r="B744" s="62" t="s">
        <v>413</v>
      </c>
      <c r="C744" s="62" t="s">
        <v>416</v>
      </c>
      <c r="D744" s="124">
        <v>2026</v>
      </c>
      <c r="E744" s="62" t="s">
        <v>676</v>
      </c>
      <c r="F744" s="64">
        <f>SIM_Parametres!$C$32</f>
        <v>1531385481.6286914</v>
      </c>
      <c r="G744" s="125">
        <f>SIM_Districts!D34*(1+SIM_Parametres!$B$6)^(2026-2023)</f>
        <v>89774.079412000006</v>
      </c>
      <c r="H744" s="125">
        <f>MAX(0,MIN(100,SIM_Districts!F34+(2026-2022)*SIM_Parametres!$B$7))</f>
        <v>62.38</v>
      </c>
      <c r="I744" s="125">
        <f>SIM_Districts!G34*(1+SIM_Parametres!$B$8)^(2026-2023)</f>
        <v>33.223359999999992</v>
      </c>
      <c r="J744" s="125">
        <f>SIM_Districts!H34*(1+SIM_Parametres!$B$9)^(2026-2023)</f>
        <v>15.527700000000003</v>
      </c>
      <c r="K744" s="125">
        <f>MAX(0,MIN(100,SIM_Districts!I34+(2026-2023)*SIM_Parametres!$B$10))</f>
        <v>93.6</v>
      </c>
      <c r="L744" s="125">
        <f>SIM_Districts!E34</f>
        <v>7918</v>
      </c>
      <c r="M744" s="61">
        <f t="shared" si="424"/>
        <v>11.337974161656986</v>
      </c>
      <c r="N744" s="125">
        <f>N673*(1+SIM_Parametres!$B$6)/(1+SIM_Parametres!$B$11)</f>
        <v>59423</v>
      </c>
      <c r="O744" s="132"/>
      <c r="P744" s="126">
        <f>SIM_Parametres!$D$32</f>
        <v>0.5</v>
      </c>
      <c r="Q744" s="126">
        <f>SIM_Parametres!$B$12</f>
        <v>0.2</v>
      </c>
      <c r="R744" s="66">
        <f t="shared" si="429"/>
        <v>4.532397739693092E-3</v>
      </c>
      <c r="S744" s="66">
        <f t="shared" si="430"/>
        <v>1</v>
      </c>
      <c r="T744" s="66">
        <f t="shared" si="431"/>
        <v>0.80386740331491713</v>
      </c>
      <c r="U744" s="66">
        <f t="shared" si="432"/>
        <v>0.77386406994971746</v>
      </c>
      <c r="V744" s="66">
        <f t="shared" si="433"/>
        <v>0</v>
      </c>
      <c r="W744" s="66">
        <f t="shared" si="434"/>
        <v>2.3842739378566891E-2</v>
      </c>
      <c r="X744" s="66">
        <f t="shared" si="435"/>
        <v>1.590772426611272E-2</v>
      </c>
      <c r="Y744" s="66">
        <f t="shared" si="436"/>
        <v>1.9772002155383654E-2</v>
      </c>
      <c r="Z744" s="66">
        <f t="shared" si="437"/>
        <v>0</v>
      </c>
      <c r="AA744" s="66">
        <f t="shared" si="425"/>
        <v>9.6706082982869809E-3</v>
      </c>
      <c r="AB744" s="66">
        <f t="shared" si="438"/>
        <v>1.2918874141584208E-2</v>
      </c>
      <c r="AC744" s="67">
        <f t="shared" si="426"/>
        <v>16161305.237292524</v>
      </c>
      <c r="AD744" s="67">
        <f t="shared" si="441"/>
        <v>17972540.768351454</v>
      </c>
      <c r="AE744" s="66">
        <f t="shared" si="439"/>
        <v>-6.2481207215657752E-2</v>
      </c>
      <c r="AF744" s="64">
        <f>MIN(MAX(AD744,AH673*(1-SIM_Parametres!$E$32)),AH673*(1+SIM_Parametres!$F$32))</f>
        <v>18211809.577945601</v>
      </c>
      <c r="AG744" s="64">
        <f>IF(F744-SUM($AF$714:$AF$784)&gt;=0,IFERROR((F744-SUM($AF$714:$AF$784))/(SUM($AH$643:$AH$713)*(1+SIM_Parametres!$F$32)-SUM($AF$714:$AF$784)),0),IFERROR((F744-SUM($AF$714:$AF$784))/(SUM($AF$714:$AF$784)-SUM($AH$643:$AH$713)*(1-SIM_Parametres!$E$32)),0))</f>
        <v>7.0211825131946848E-2</v>
      </c>
      <c r="AH744" s="64">
        <f>AF744+IF(AG744&gt;=0,AG744*(AH673*(1+SIM_Parametres!$F$32)-AF744),AG744*(AF744-AH673*(1-SIM_Parametres!$E$32)))</f>
        <v>18481006.291508343</v>
      </c>
      <c r="AI744" s="67">
        <f t="shared" si="427"/>
        <v>205.86127323782958</v>
      </c>
      <c r="AJ744" s="67">
        <f t="shared" si="428"/>
        <v>-1302770.0079020374</v>
      </c>
      <c r="AK744" s="66">
        <f t="shared" si="440"/>
        <v>-3.5957634973610708E-2</v>
      </c>
    </row>
    <row r="745" spans="1:37" ht="12.75" customHeight="1" x14ac:dyDescent="0.25">
      <c r="A745" s="55" t="s">
        <v>625</v>
      </c>
      <c r="B745" s="55" t="s">
        <v>417</v>
      </c>
      <c r="C745" s="55" t="s">
        <v>417</v>
      </c>
      <c r="D745" s="128">
        <v>2026</v>
      </c>
      <c r="E745" s="55" t="s">
        <v>676</v>
      </c>
      <c r="F745" s="57">
        <f>SIM_Parametres!$C$32</f>
        <v>1531385481.6286914</v>
      </c>
      <c r="G745" s="129">
        <f>SIM_Districts!D35*(1+SIM_Parametres!$B$6)^(2026-2023)</f>
        <v>371189.52735699998</v>
      </c>
      <c r="H745" s="129">
        <f>MAX(0,MIN(100,SIM_Districts!F35+(2026-2022)*SIM_Parametres!$B$7))</f>
        <v>59.18</v>
      </c>
      <c r="I745" s="129">
        <f>SIM_Districts!G35*(1+SIM_Parametres!$B$8)^(2026-2023)</f>
        <v>33.223359999999992</v>
      </c>
      <c r="J745" s="129">
        <f>SIM_Districts!H35*(1+SIM_Parametres!$B$9)^(2026-2023)</f>
        <v>13.049100000000001</v>
      </c>
      <c r="K745" s="129">
        <f>MAX(0,MIN(100,SIM_Districts!I35+(2026-2023)*SIM_Parametres!$B$10))</f>
        <v>94.5</v>
      </c>
      <c r="L745" s="129">
        <f>SIM_Districts!E35</f>
        <v>3571</v>
      </c>
      <c r="M745" s="68">
        <f t="shared" si="424"/>
        <v>103.94554112489499</v>
      </c>
      <c r="N745" s="129">
        <f>N674*(1+SIM_Parametres!$B$6)/(1+SIM_Parametres!$B$11)</f>
        <v>155501</v>
      </c>
      <c r="O745" s="72"/>
      <c r="P745" s="130">
        <f>SIM_Parametres!$D$32</f>
        <v>0.5</v>
      </c>
      <c r="Q745" s="130">
        <f>SIM_Parametres!$B$12</f>
        <v>0.2</v>
      </c>
      <c r="R745" s="59">
        <f t="shared" si="429"/>
        <v>1.8740137307002361E-2</v>
      </c>
      <c r="S745" s="59">
        <f t="shared" si="430"/>
        <v>0.94326241134751765</v>
      </c>
      <c r="T745" s="59">
        <f t="shared" si="431"/>
        <v>0.70994475138121549</v>
      </c>
      <c r="U745" s="59">
        <f t="shared" si="432"/>
        <v>0.62208351647816396</v>
      </c>
      <c r="V745" s="59">
        <f t="shared" si="433"/>
        <v>0.66684249613059499</v>
      </c>
      <c r="W745" s="59">
        <f t="shared" si="434"/>
        <v>2.2489959839357421E-2</v>
      </c>
      <c r="X745" s="59">
        <f t="shared" si="435"/>
        <v>1.4049089815776529E-2</v>
      </c>
      <c r="Y745" s="59">
        <f t="shared" si="436"/>
        <v>1.5894053111206074E-2</v>
      </c>
      <c r="Z745" s="59">
        <f t="shared" si="437"/>
        <v>2.4475353458158197E-2</v>
      </c>
      <c r="AA745" s="59">
        <f t="shared" si="425"/>
        <v>1.8743410160939725E-2</v>
      </c>
      <c r="AB745" s="59">
        <f t="shared" si="438"/>
        <v>1.4750385205423287E-2</v>
      </c>
      <c r="AC745" s="60">
        <f t="shared" si="426"/>
        <v>27276470.877420656</v>
      </c>
      <c r="AD745" s="60">
        <f t="shared" si="441"/>
        <v>24932498.314718261</v>
      </c>
      <c r="AE745" s="59">
        <f t="shared" si="439"/>
        <v>0.13908886942269771</v>
      </c>
      <c r="AF745" s="57">
        <f>MIN(MAX(AD745,AH674*(1-SIM_Parametres!$E$32)),AH674*(1+SIM_Parametres!$F$32))</f>
        <v>24932498.314718261</v>
      </c>
      <c r="AG745" s="57">
        <f>IF(F745-SUM($AF$714:$AF$784)&gt;=0,IFERROR((F745-SUM($AF$714:$AF$784))/(SUM($AH$643:$AH$713)*(1+SIM_Parametres!$F$32)-SUM($AF$714:$AF$784)),0),IFERROR((F745-SUM($AF$714:$AF$784))/(SUM($AF$714:$AF$784)-SUM($AH$643:$AH$713)*(1-SIM_Parametres!$E$32)),0))</f>
        <v>7.0211825131946848E-2</v>
      </c>
      <c r="AH745" s="57">
        <f>AF745+IF(AG745&gt;=0,AG745*(AH674*(1+SIM_Parametres!$F$32)-AF745),AG745*(AF745-AH674*(1-SIM_Parametres!$E$32)))</f>
        <v>24949266.582693059</v>
      </c>
      <c r="AI745" s="60">
        <f t="shared" si="427"/>
        <v>67.214360168888959</v>
      </c>
      <c r="AJ745" s="60">
        <f t="shared" si="428"/>
        <v>2360740.8306771927</v>
      </c>
      <c r="AK745" s="59">
        <f t="shared" si="440"/>
        <v>0.13985495981478313</v>
      </c>
    </row>
    <row r="746" spans="1:37" ht="12.75" customHeight="1" x14ac:dyDescent="0.25">
      <c r="A746" s="62" t="s">
        <v>627</v>
      </c>
      <c r="B746" s="62" t="s">
        <v>417</v>
      </c>
      <c r="C746" s="62" t="s">
        <v>419</v>
      </c>
      <c r="D746" s="124">
        <v>2026</v>
      </c>
      <c r="E746" s="62" t="s">
        <v>676</v>
      </c>
      <c r="F746" s="64">
        <f>SIM_Parametres!$C$32</f>
        <v>1531385481.6286914</v>
      </c>
      <c r="G746" s="125">
        <f>SIM_Districts!D36*(1+SIM_Parametres!$B$6)^(2026-2023)</f>
        <v>208365.555268</v>
      </c>
      <c r="H746" s="125">
        <f>MAX(0,MIN(100,SIM_Districts!F36+(2026-2022)*SIM_Parametres!$B$7))</f>
        <v>59.18</v>
      </c>
      <c r="I746" s="125">
        <f>SIM_Districts!G36*(1+SIM_Parametres!$B$8)^(2026-2023)</f>
        <v>33.223359999999992</v>
      </c>
      <c r="J746" s="125">
        <f>SIM_Districts!H36*(1+SIM_Parametres!$B$9)^(2026-2023)</f>
        <v>13.049100000000001</v>
      </c>
      <c r="K746" s="125">
        <f>MAX(0,MIN(100,SIM_Districts!I36+(2026-2023)*SIM_Parametres!$B$10))</f>
        <v>94.5</v>
      </c>
      <c r="L746" s="125">
        <f>SIM_Districts!E36</f>
        <v>4702</v>
      </c>
      <c r="M746" s="61">
        <f t="shared" si="424"/>
        <v>44.314239742237348</v>
      </c>
      <c r="N746" s="125">
        <f>N675*(1+SIM_Parametres!$B$6)/(1+SIM_Parametres!$B$11)</f>
        <v>155501</v>
      </c>
      <c r="O746" s="132"/>
      <c r="P746" s="126">
        <f>SIM_Parametres!$D$32</f>
        <v>0.5</v>
      </c>
      <c r="Q746" s="126">
        <f>SIM_Parametres!$B$12</f>
        <v>0.2</v>
      </c>
      <c r="R746" s="66">
        <f t="shared" ref="R746:R777" si="442">IFERROR(G746/SUM($G$714:$G$784),1/71)</f>
        <v>1.0519690961045297E-2</v>
      </c>
      <c r="S746" s="66">
        <f t="shared" ref="S746:S777" si="443">IF(MAX($H$714:$H$784)=MIN($H$714:$H$784),1,(H746-MIN($H$714:$H$784))/(MAX($H$714:$H$784)-MIN($H$714:$H$784)))</f>
        <v>0.94326241134751765</v>
      </c>
      <c r="T746" s="66">
        <f t="shared" ref="T746:T777" si="444">(IF(MAX($I$714:$I$784)=MIN($I$714:$I$784),1,(I746-MIN($I$714:$I$784))/(MAX($I$714:$I$784)-MIN($I$714:$I$784)))+IF(MAX($J$714:$J$784)=MIN($J$714:$J$784),1,(J746-MIN($J$714:$J$784))/(MAX($J$714:$J$784)-MIN($J$714:$J$784))))/2</f>
        <v>0.70994475138121549</v>
      </c>
      <c r="U746" s="66">
        <f t="shared" ref="U746:U777" si="445">(IF(MAX($L$714:$L$784)=MIN($L$714:$L$784),1,(L746-MIN($L$714:$L$784))/(MAX($L$714:$L$784)-MIN($L$714:$L$784)))+IF(MAX($M$714:$M$784)=MIN($M$714:$M$784),1,(MAX($M$714:$M$784)-M746)/(MAX($M$714:$M$784)-MIN($M$714:$M$784))))/2</f>
        <v>0.66203363691805861</v>
      </c>
      <c r="V746" s="66">
        <f t="shared" ref="V746:V777" si="446">IF(MAX($N$714:$N$784)=MIN($N$714:$N$784),1,(N746-MIN($N$714:$N$784))/(MAX($N$714:$N$784)-MIN($N$714:$N$784)))</f>
        <v>0.66684249613059499</v>
      </c>
      <c r="W746" s="66">
        <f t="shared" ref="W746:W777" si="447">IFERROR(S746/SUM($S$714:$S$784),1/71)</f>
        <v>2.2489959839357421E-2</v>
      </c>
      <c r="X746" s="66">
        <f t="shared" ref="X746:X777" si="448">IFERROR(T746/SUM($T$714:$T$784),1/71)</f>
        <v>1.4049089815776529E-2</v>
      </c>
      <c r="Y746" s="66">
        <f t="shared" ref="Y746:Y777" si="449">IFERROR(U746/SUM($U$714:$U$784),1/71)</f>
        <v>1.6914767081679927E-2</v>
      </c>
      <c r="Z746" s="66">
        <f t="shared" ref="Z746:Z777" si="450">IFERROR(V746/SUM($V$714:$V$784),1/71)</f>
        <v>2.4475353458158197E-2</v>
      </c>
      <c r="AA746" s="66">
        <f t="shared" si="425"/>
        <v>1.386217805188918E-2</v>
      </c>
      <c r="AB746" s="66">
        <f t="shared" ref="AB746:AB777" si="451">IFERROR(AH675/SUM($AH$643:$AH$713),1/71)</f>
        <v>1.3806064822049378E-2</v>
      </c>
      <c r="AC746" s="67">
        <f t="shared" si="426"/>
        <v>21296432.49001281</v>
      </c>
      <c r="AD746" s="67">
        <f t="shared" si="441"/>
        <v>21219419.858461916</v>
      </c>
      <c r="AE746" s="66">
        <f t="shared" si="439"/>
        <v>3.5759128982217447E-2</v>
      </c>
      <c r="AF746" s="64">
        <f>MIN(MAX(AD746,AH675*(1-SIM_Parametres!$E$32)),AH675*(1+SIM_Parametres!$F$32))</f>
        <v>21219419.858461916</v>
      </c>
      <c r="AG746" s="64">
        <f>IF(F746-SUM($AF$714:$AF$784)&gt;=0,IFERROR((F746-SUM($AF$714:$AF$784))/(SUM($AH$643:$AH$713)*(1+SIM_Parametres!$F$32)-SUM($AF$714:$AF$784)),0),IFERROR((F746-SUM($AF$714:$AF$784))/(SUM($AF$714:$AF$784)-SUM($AH$643:$AH$713)*(1-SIM_Parametres!$E$32)),0))</f>
        <v>7.0211825131946848E-2</v>
      </c>
      <c r="AH746" s="64">
        <f>AF746+IF(AG746&gt;=0,AG746*(AH675*(1+SIM_Parametres!$F$32)-AF746),AG746*(AF746-AH675*(1-SIM_Parametres!$E$32)))</f>
        <v>21383745.94194556</v>
      </c>
      <c r="AI746" s="67">
        <f t="shared" si="427"/>
        <v>102.62610782497983</v>
      </c>
      <c r="AJ746" s="67">
        <f t="shared" si="428"/>
        <v>241338.71503454074</v>
      </c>
      <c r="AK746" s="66">
        <f t="shared" si="440"/>
        <v>4.3780189041039197E-2</v>
      </c>
    </row>
    <row r="747" spans="1:37" ht="12.75" customHeight="1" x14ac:dyDescent="0.25">
      <c r="A747" s="55" t="s">
        <v>628</v>
      </c>
      <c r="B747" s="55" t="s">
        <v>417</v>
      </c>
      <c r="C747" s="55" t="s">
        <v>420</v>
      </c>
      <c r="D747" s="128">
        <v>2026</v>
      </c>
      <c r="E747" s="55" t="s">
        <v>676</v>
      </c>
      <c r="F747" s="57">
        <f>SIM_Parametres!$C$32</f>
        <v>1531385481.6286914</v>
      </c>
      <c r="G747" s="129">
        <f>SIM_Districts!D37*(1+SIM_Parametres!$B$6)^(2026-2023)</f>
        <v>420069.39152100001</v>
      </c>
      <c r="H747" s="129">
        <f>MAX(0,MIN(100,SIM_Districts!F37+(2026-2022)*SIM_Parametres!$B$7))</f>
        <v>59.18</v>
      </c>
      <c r="I747" s="129">
        <f>SIM_Districts!G37*(1+SIM_Parametres!$B$8)^(2026-2023)</f>
        <v>33.223359999999992</v>
      </c>
      <c r="J747" s="129">
        <f>SIM_Districts!H37*(1+SIM_Parametres!$B$9)^(2026-2023)</f>
        <v>13.049100000000001</v>
      </c>
      <c r="K747" s="129">
        <f>MAX(0,MIN(100,SIM_Districts!I37+(2026-2023)*SIM_Parametres!$B$10))</f>
        <v>94.5</v>
      </c>
      <c r="L747" s="129">
        <f>SIM_Districts!E37</f>
        <v>5498</v>
      </c>
      <c r="M747" s="68">
        <f t="shared" si="424"/>
        <v>76.404036289741725</v>
      </c>
      <c r="N747" s="129">
        <f>N676*(1+SIM_Parametres!$B$6)/(1+SIM_Parametres!$B$11)</f>
        <v>155501</v>
      </c>
      <c r="O747" s="72"/>
      <c r="P747" s="130">
        <f>SIM_Parametres!$D$32</f>
        <v>0.5</v>
      </c>
      <c r="Q747" s="130">
        <f>SIM_Parametres!$B$12</f>
        <v>0.2</v>
      </c>
      <c r="R747" s="59">
        <f t="shared" si="442"/>
        <v>2.1207920739642113E-2</v>
      </c>
      <c r="S747" s="59">
        <f t="shared" si="443"/>
        <v>0.94326241134751765</v>
      </c>
      <c r="T747" s="59">
        <f t="shared" si="444"/>
        <v>0.70994475138121549</v>
      </c>
      <c r="U747" s="59">
        <f t="shared" si="445"/>
        <v>0.68919209164884077</v>
      </c>
      <c r="V747" s="59">
        <f t="shared" si="446"/>
        <v>0.66684249613059499</v>
      </c>
      <c r="W747" s="59">
        <f t="shared" si="447"/>
        <v>2.2489959839357421E-2</v>
      </c>
      <c r="X747" s="59">
        <f t="shared" si="448"/>
        <v>1.4049089815776529E-2</v>
      </c>
      <c r="Y747" s="59">
        <f t="shared" si="449"/>
        <v>1.7608657709666835E-2</v>
      </c>
      <c r="Z747" s="59">
        <f t="shared" si="450"/>
        <v>2.4475353458158197E-2</v>
      </c>
      <c r="AA747" s="59">
        <f t="shared" si="425"/>
        <v>2.0309810450446615E-2</v>
      </c>
      <c r="AB747" s="59">
        <f t="shared" si="451"/>
        <v>1.8667130425431465E-2</v>
      </c>
      <c r="AC747" s="60">
        <f t="shared" si="426"/>
        <v>29195481.006836515</v>
      </c>
      <c r="AD747" s="60">
        <f t="shared" si="441"/>
        <v>28891026.762005739</v>
      </c>
      <c r="AE747" s="59">
        <f t="shared" si="439"/>
        <v>4.2991061641845629E-2</v>
      </c>
      <c r="AF747" s="57">
        <f>MIN(MAX(AD747,AH676*(1-SIM_Parametres!$E$32)),AH676*(1+SIM_Parametres!$F$32))</f>
        <v>28891026.762005739</v>
      </c>
      <c r="AG747" s="57">
        <f>IF(F747-SUM($AF$714:$AF$784)&gt;=0,IFERROR((F747-SUM($AF$714:$AF$784))/(SUM($AH$643:$AH$713)*(1+SIM_Parametres!$F$32)-SUM($AF$714:$AF$784)),0),IFERROR((F747-SUM($AF$714:$AF$784))/(SUM($AF$714:$AF$784)-SUM($AH$643:$AH$713)*(1-SIM_Parametres!$E$32)),0))</f>
        <v>7.0211825131946848E-2</v>
      </c>
      <c r="AH747" s="57">
        <f>AF747+IF(AG747&gt;=0,AG747*(AH676*(1+SIM_Parametres!$F$32)-AF747),AG747*(AF747-AH676*(1-SIM_Parametres!$E$32)))</f>
        <v>29099146.230417773</v>
      </c>
      <c r="AI747" s="60">
        <f t="shared" si="427"/>
        <v>69.272236487059203</v>
      </c>
      <c r="AJ747" s="60">
        <f t="shared" si="428"/>
        <v>512573.71324281022</v>
      </c>
      <c r="AK747" s="59">
        <f t="shared" si="440"/>
        <v>5.0504354509403715E-2</v>
      </c>
    </row>
    <row r="748" spans="1:37" ht="12.75" customHeight="1" x14ac:dyDescent="0.25">
      <c r="A748" s="62" t="s">
        <v>629</v>
      </c>
      <c r="B748" s="62" t="s">
        <v>421</v>
      </c>
      <c r="C748" s="62" t="s">
        <v>423</v>
      </c>
      <c r="D748" s="124">
        <v>2026</v>
      </c>
      <c r="E748" s="62" t="s">
        <v>676</v>
      </c>
      <c r="F748" s="64">
        <f>SIM_Parametres!$C$32</f>
        <v>1531385481.6286914</v>
      </c>
      <c r="G748" s="125">
        <f>SIM_Districts!D38*(1+SIM_Parametres!$B$6)^(2026-2023)</f>
        <v>89290.001350999999</v>
      </c>
      <c r="H748" s="125">
        <f>MAX(0,MIN(100,SIM_Districts!F38+(2026-2022)*SIM_Parametres!$B$7))</f>
        <v>43.68</v>
      </c>
      <c r="I748" s="125">
        <f>SIM_Districts!G38*(1+SIM_Parametres!$B$8)^(2026-2023)</f>
        <v>33.223359999999992</v>
      </c>
      <c r="J748" s="125">
        <f>SIM_Districts!H38*(1+SIM_Parametres!$B$9)^(2026-2023)</f>
        <v>13.122000000000002</v>
      </c>
      <c r="K748" s="125">
        <f>MAX(0,MIN(100,SIM_Districts!I38+(2026-2023)*SIM_Parametres!$B$10))</f>
        <v>99.8</v>
      </c>
      <c r="L748" s="125">
        <f>SIM_Districts!E38</f>
        <v>822</v>
      </c>
      <c r="M748" s="61">
        <f t="shared" si="424"/>
        <v>108.62530577980534</v>
      </c>
      <c r="N748" s="125">
        <f>N677*(1+SIM_Parametres!$B$6)/(1+SIM_Parametres!$B$11)</f>
        <v>97480</v>
      </c>
      <c r="O748" s="132"/>
      <c r="P748" s="126">
        <f>SIM_Parametres!$D$32</f>
        <v>0.5</v>
      </c>
      <c r="Q748" s="126">
        <f>SIM_Parametres!$B$12</f>
        <v>0.2</v>
      </c>
      <c r="R748" s="66">
        <f t="shared" si="442"/>
        <v>4.5079582319433953E-3</v>
      </c>
      <c r="S748" s="66">
        <f t="shared" si="443"/>
        <v>0.66843971631205668</v>
      </c>
      <c r="T748" s="66">
        <f t="shared" si="444"/>
        <v>0.71270718232044206</v>
      </c>
      <c r="U748" s="66">
        <f t="shared" si="445"/>
        <v>0.52679639914705134</v>
      </c>
      <c r="V748" s="66">
        <f t="shared" si="446"/>
        <v>0.26413981218637</v>
      </c>
      <c r="W748" s="66">
        <f t="shared" si="447"/>
        <v>1.5937433946311558E-2</v>
      </c>
      <c r="X748" s="66">
        <f t="shared" si="448"/>
        <v>1.4103755534904065E-2</v>
      </c>
      <c r="Y748" s="66">
        <f t="shared" si="449"/>
        <v>1.3459494947298206E-2</v>
      </c>
      <c r="Z748" s="66">
        <f t="shared" si="450"/>
        <v>9.6948159470131197E-3</v>
      </c>
      <c r="AA748" s="66">
        <f t="shared" si="425"/>
        <v>8.3686689060639453E-3</v>
      </c>
      <c r="AB748" s="66">
        <f t="shared" si="451"/>
        <v>1.1122649070718174E-2</v>
      </c>
      <c r="AC748" s="67">
        <f t="shared" si="426"/>
        <v>14566288.370723851</v>
      </c>
      <c r="AD748" s="67">
        <f t="shared" si="441"/>
        <v>15799675.837436263</v>
      </c>
      <c r="AE748" s="66">
        <f t="shared" si="439"/>
        <v>-4.272853490406392E-2</v>
      </c>
      <c r="AF748" s="64">
        <f>MIN(MAX(AD748,AH677*(1-SIM_Parametres!$E$32)),AH677*(1+SIM_Parametres!$F$32))</f>
        <v>15799675.837436263</v>
      </c>
      <c r="AG748" s="64">
        <f>IF(F748-SUM($AF$714:$AF$784)&gt;=0,IFERROR((F748-SUM($AF$714:$AF$784))/(SUM($AH$643:$AH$713)*(1+SIM_Parametres!$F$32)-SUM($AF$714:$AF$784)),0),IFERROR((F748-SUM($AF$714:$AF$784))/(SUM($AF$714:$AF$784)-SUM($AH$643:$AH$713)*(1-SIM_Parametres!$E$32)),0))</f>
        <v>7.0211825131946848E-2</v>
      </c>
      <c r="AH748" s="64">
        <f>AF748+IF(AG748&gt;=0,AG748*(AH677*(1+SIM_Parametres!$F$32)-AF748),AG748*(AF748-AH677*(1-SIM_Parametres!$E$32)))</f>
        <v>16023017.294794133</v>
      </c>
      <c r="AI748" s="67">
        <f t="shared" si="427"/>
        <v>179.44917742589647</v>
      </c>
      <c r="AJ748" s="67">
        <f t="shared" si="428"/>
        <v>-1010046.0093545374</v>
      </c>
      <c r="AK748" s="66">
        <f t="shared" si="440"/>
        <v>-2.9196712713443485E-2</v>
      </c>
    </row>
    <row r="749" spans="1:37" ht="12.75" customHeight="1" x14ac:dyDescent="0.25">
      <c r="A749" s="55" t="s">
        <v>631</v>
      </c>
      <c r="B749" s="55" t="s">
        <v>421</v>
      </c>
      <c r="C749" s="55" t="s">
        <v>424</v>
      </c>
      <c r="D749" s="128">
        <v>2026</v>
      </c>
      <c r="E749" s="55" t="s">
        <v>676</v>
      </c>
      <c r="F749" s="57">
        <f>SIM_Parametres!$C$32</f>
        <v>1531385481.6286914</v>
      </c>
      <c r="G749" s="129">
        <f>SIM_Districts!D39*(1+SIM_Parametres!$B$6)^(2026-2023)</f>
        <v>185510.07733599999</v>
      </c>
      <c r="H749" s="129">
        <f>MAX(0,MIN(100,SIM_Districts!F39+(2026-2022)*SIM_Parametres!$B$7))</f>
        <v>43.68</v>
      </c>
      <c r="I749" s="129">
        <f>SIM_Districts!G39*(1+SIM_Parametres!$B$8)^(2026-2023)</f>
        <v>33.223359999999992</v>
      </c>
      <c r="J749" s="129">
        <f>SIM_Districts!H39*(1+SIM_Parametres!$B$9)^(2026-2023)</f>
        <v>13.122000000000002</v>
      </c>
      <c r="K749" s="129">
        <f>MAX(0,MIN(100,SIM_Districts!I39+(2026-2023)*SIM_Parametres!$B$10))</f>
        <v>99.8</v>
      </c>
      <c r="L749" s="129">
        <f>SIM_Districts!E39</f>
        <v>6832</v>
      </c>
      <c r="M749" s="68">
        <f t="shared" si="424"/>
        <v>27.153114364168616</v>
      </c>
      <c r="N749" s="129">
        <f>N678*(1+SIM_Parametres!$B$6)/(1+SIM_Parametres!$B$11)</f>
        <v>97480</v>
      </c>
      <c r="O749" s="72"/>
      <c r="P749" s="130">
        <f>SIM_Parametres!$D$32</f>
        <v>0.5</v>
      </c>
      <c r="Q749" s="130">
        <f>SIM_Parametres!$B$12</f>
        <v>0.2</v>
      </c>
      <c r="R749" s="59">
        <f t="shared" si="442"/>
        <v>9.3657931188497086E-3</v>
      </c>
      <c r="S749" s="59">
        <f t="shared" si="443"/>
        <v>0.66843971631205668</v>
      </c>
      <c r="T749" s="59">
        <f t="shared" si="444"/>
        <v>0.71270718232044206</v>
      </c>
      <c r="U749" s="59">
        <f t="shared" si="445"/>
        <v>0.73603986945859257</v>
      </c>
      <c r="V749" s="59">
        <f t="shared" si="446"/>
        <v>0.26413981218637</v>
      </c>
      <c r="W749" s="59">
        <f t="shared" si="447"/>
        <v>1.5937433946311558E-2</v>
      </c>
      <c r="X749" s="59">
        <f t="shared" si="448"/>
        <v>1.4103755534904065E-2</v>
      </c>
      <c r="Y749" s="59">
        <f t="shared" si="449"/>
        <v>1.8805604821954314E-2</v>
      </c>
      <c r="Z749" s="59">
        <f t="shared" si="450"/>
        <v>9.6948159470131197E-3</v>
      </c>
      <c r="AA749" s="59">
        <f t="shared" si="425"/>
        <v>1.1550675331940541E-2</v>
      </c>
      <c r="AB749" s="59">
        <f t="shared" si="451"/>
        <v>1.7022971181425466E-2</v>
      </c>
      <c r="AC749" s="60">
        <f t="shared" si="426"/>
        <v>18464591.12515315</v>
      </c>
      <c r="AD749" s="60">
        <f t="shared" si="441"/>
        <v>22266661.023285862</v>
      </c>
      <c r="AE749" s="59">
        <f t="shared" si="439"/>
        <v>-0.11851504220518605</v>
      </c>
      <c r="AF749" s="57">
        <f>MIN(MAX(AD749,AH678*(1-SIM_Parametres!$E$32)),AH678*(1+SIM_Parametres!$F$32))</f>
        <v>23997378.270685699</v>
      </c>
      <c r="AG749" s="57">
        <f>IF(F749-SUM($AF$714:$AF$784)&gt;=0,IFERROR((F749-SUM($AF$714:$AF$784))/(SUM($AH$643:$AH$713)*(1+SIM_Parametres!$F$32)-SUM($AF$714:$AF$784)),0),IFERROR((F749-SUM($AF$714:$AF$784))/(SUM($AF$714:$AF$784)-SUM($AH$643:$AH$713)*(1-SIM_Parametres!$E$32)),0))</f>
        <v>7.0211825131946848E-2</v>
      </c>
      <c r="AH749" s="57">
        <f>AF749+IF(AG749&gt;=0,AG749*(AH678*(1+SIM_Parametres!$F$32)-AF749),AG749*(AF749-AH678*(1-SIM_Parametres!$E$32)))</f>
        <v>24352094.002636556</v>
      </c>
      <c r="AI749" s="60">
        <f t="shared" si="427"/>
        <v>131.2710034535186</v>
      </c>
      <c r="AJ749" s="60">
        <f t="shared" si="428"/>
        <v>-1716636.9187820181</v>
      </c>
      <c r="AK749" s="59">
        <f t="shared" si="440"/>
        <v>-3.5957634973610597E-2</v>
      </c>
    </row>
    <row r="750" spans="1:37" ht="12.75" customHeight="1" x14ac:dyDescent="0.25">
      <c r="A750" s="62" t="s">
        <v>632</v>
      </c>
      <c r="B750" s="62" t="s">
        <v>421</v>
      </c>
      <c r="C750" s="62" t="s">
        <v>425</v>
      </c>
      <c r="D750" s="124">
        <v>2026</v>
      </c>
      <c r="E750" s="62" t="s">
        <v>676</v>
      </c>
      <c r="F750" s="64">
        <f>SIM_Parametres!$C$32</f>
        <v>1531385481.6286914</v>
      </c>
      <c r="G750" s="125">
        <f>SIM_Districts!D40*(1+SIM_Parametres!$B$6)^(2026-2023)</f>
        <v>116635.49452599999</v>
      </c>
      <c r="H750" s="125">
        <f>MAX(0,MIN(100,SIM_Districts!F40+(2026-2022)*SIM_Parametres!$B$7))</f>
        <v>43.68</v>
      </c>
      <c r="I750" s="125">
        <f>SIM_Districts!G40*(1+SIM_Parametres!$B$8)^(2026-2023)</f>
        <v>33.223359999999992</v>
      </c>
      <c r="J750" s="125">
        <f>SIM_Districts!H40*(1+SIM_Parametres!$B$9)^(2026-2023)</f>
        <v>13.122000000000002</v>
      </c>
      <c r="K750" s="125">
        <f>MAX(0,MIN(100,SIM_Districts!I40+(2026-2023)*SIM_Parametres!$B$10))</f>
        <v>99.8</v>
      </c>
      <c r="L750" s="125">
        <f>SIM_Districts!E40</f>
        <v>1601</v>
      </c>
      <c r="M750" s="61">
        <f t="shared" si="424"/>
        <v>72.851651796377254</v>
      </c>
      <c r="N750" s="125">
        <f>N679*(1+SIM_Parametres!$B$6)/(1+SIM_Parametres!$B$11)</f>
        <v>97480</v>
      </c>
      <c r="O750" s="132"/>
      <c r="P750" s="126">
        <f>SIM_Parametres!$D$32</f>
        <v>0.5</v>
      </c>
      <c r="Q750" s="126">
        <f>SIM_Parametres!$B$12</f>
        <v>0.2</v>
      </c>
      <c r="R750" s="66">
        <f t="shared" si="442"/>
        <v>5.8885421629504987E-3</v>
      </c>
      <c r="S750" s="66">
        <f t="shared" si="443"/>
        <v>0.66843971631205668</v>
      </c>
      <c r="T750" s="66">
        <f t="shared" si="444"/>
        <v>0.71270718232044206</v>
      </c>
      <c r="U750" s="66">
        <f t="shared" si="445"/>
        <v>0.55424430445981598</v>
      </c>
      <c r="V750" s="66">
        <f t="shared" si="446"/>
        <v>0.26413981218637</v>
      </c>
      <c r="W750" s="66">
        <f t="shared" si="447"/>
        <v>1.5937433946311558E-2</v>
      </c>
      <c r="X750" s="66">
        <f t="shared" si="448"/>
        <v>1.4103755534904065E-2</v>
      </c>
      <c r="Y750" s="66">
        <f t="shared" si="449"/>
        <v>1.4160780953560275E-2</v>
      </c>
      <c r="Z750" s="66">
        <f t="shared" si="450"/>
        <v>9.6948159470131197E-3</v>
      </c>
      <c r="AA750" s="66">
        <f t="shared" si="425"/>
        <v>9.2320835649813138E-3</v>
      </c>
      <c r="AB750" s="66">
        <f t="shared" si="451"/>
        <v>1.7858913157810737E-2</v>
      </c>
      <c r="AC750" s="67">
        <f t="shared" si="426"/>
        <v>15624064.909357009</v>
      </c>
      <c r="AD750" s="67">
        <f t="shared" si="441"/>
        <v>21486472.618447989</v>
      </c>
      <c r="AE750" s="66">
        <f t="shared" si="439"/>
        <v>-0.18921581151861033</v>
      </c>
      <c r="AF750" s="64">
        <f>MIN(MAX(AD750,AH679*(1-SIM_Parametres!$E$32)),AH679*(1+SIM_Parametres!$F$32))</f>
        <v>25175810.379032962</v>
      </c>
      <c r="AG750" s="64">
        <f>IF(F750-SUM($AF$714:$AF$784)&gt;=0,IFERROR((F750-SUM($AF$714:$AF$784))/(SUM($AH$643:$AH$713)*(1+SIM_Parametres!$F$32)-SUM($AF$714:$AF$784)),0),IFERROR((F750-SUM($AF$714:$AF$784))/(SUM($AF$714:$AF$784)-SUM($AH$643:$AH$713)*(1-SIM_Parametres!$E$32)),0))</f>
        <v>7.0211825131946848E-2</v>
      </c>
      <c r="AH750" s="64">
        <f>AF750+IF(AG750&gt;=0,AG750*(AH679*(1+SIM_Parametres!$F$32)-AF750),AG750*(AF750-AH679*(1-SIM_Parametres!$E$32)))</f>
        <v>25547945.030798797</v>
      </c>
      <c r="AI750" s="67">
        <f t="shared" si="427"/>
        <v>219.0409114705964</v>
      </c>
      <c r="AJ750" s="67">
        <f t="shared" si="428"/>
        <v>-1800935.2967401743</v>
      </c>
      <c r="AK750" s="66">
        <f t="shared" si="440"/>
        <v>-3.5957634973610708E-2</v>
      </c>
    </row>
    <row r="751" spans="1:37" ht="12.75" customHeight="1" x14ac:dyDescent="0.25">
      <c r="A751" s="55" t="s">
        <v>633</v>
      </c>
      <c r="B751" s="55" t="s">
        <v>421</v>
      </c>
      <c r="C751" s="55" t="s">
        <v>426</v>
      </c>
      <c r="D751" s="128">
        <v>2026</v>
      </c>
      <c r="E751" s="55" t="s">
        <v>676</v>
      </c>
      <c r="F751" s="57">
        <f>SIM_Parametres!$C$32</f>
        <v>1531385481.6286914</v>
      </c>
      <c r="G751" s="129">
        <f>SIM_Districts!D41*(1+SIM_Parametres!$B$6)^(2026-2023)</f>
        <v>247991.11446899999</v>
      </c>
      <c r="H751" s="129">
        <f>MAX(0,MIN(100,SIM_Districts!F41+(2026-2022)*SIM_Parametres!$B$7))</f>
        <v>43.68</v>
      </c>
      <c r="I751" s="129">
        <f>SIM_Districts!G41*(1+SIM_Parametres!$B$8)^(2026-2023)</f>
        <v>33.223359999999992</v>
      </c>
      <c r="J751" s="129">
        <f>SIM_Districts!H41*(1+SIM_Parametres!$B$9)^(2026-2023)</f>
        <v>13.122000000000002</v>
      </c>
      <c r="K751" s="129">
        <f>MAX(0,MIN(100,SIM_Districts!I41+(2026-2023)*SIM_Parametres!$B$10))</f>
        <v>99.8</v>
      </c>
      <c r="L751" s="129">
        <f>SIM_Districts!E41</f>
        <v>2260</v>
      </c>
      <c r="M751" s="68">
        <f t="shared" si="424"/>
        <v>109.73058162345133</v>
      </c>
      <c r="N751" s="129">
        <f>N680*(1+SIM_Parametres!$B$6)/(1+SIM_Parametres!$B$11)</f>
        <v>97480</v>
      </c>
      <c r="O751" s="72"/>
      <c r="P751" s="130">
        <f>SIM_Parametres!$D$32</f>
        <v>0.5</v>
      </c>
      <c r="Q751" s="130">
        <f>SIM_Parametres!$B$12</f>
        <v>0.2</v>
      </c>
      <c r="R751" s="59">
        <f t="shared" si="442"/>
        <v>1.2520255000610157E-2</v>
      </c>
      <c r="S751" s="59">
        <f t="shared" si="443"/>
        <v>0.66843971631205668</v>
      </c>
      <c r="T751" s="59">
        <f t="shared" si="444"/>
        <v>0.71270718232044206</v>
      </c>
      <c r="U751" s="59">
        <f t="shared" si="445"/>
        <v>0.57659503553202685</v>
      </c>
      <c r="V751" s="59">
        <f t="shared" si="446"/>
        <v>0.26413981218637</v>
      </c>
      <c r="W751" s="59">
        <f t="shared" si="447"/>
        <v>1.5937433946311558E-2</v>
      </c>
      <c r="X751" s="59">
        <f t="shared" si="448"/>
        <v>1.4103755534904065E-2</v>
      </c>
      <c r="Y751" s="59">
        <f t="shared" si="449"/>
        <v>1.4731835638865497E-2</v>
      </c>
      <c r="Z751" s="59">
        <f t="shared" si="450"/>
        <v>9.6948159470131197E-3</v>
      </c>
      <c r="AA751" s="59">
        <f t="shared" si="425"/>
        <v>1.3239664001842368E-2</v>
      </c>
      <c r="AB751" s="59">
        <f t="shared" si="451"/>
        <v>1.3885878377583653E-2</v>
      </c>
      <c r="AC751" s="60">
        <f t="shared" si="426"/>
        <v>20533785.307331558</v>
      </c>
      <c r="AD751" s="60">
        <f t="shared" si="441"/>
        <v>20899208.927212466</v>
      </c>
      <c r="AE751" s="59">
        <f t="shared" si="439"/>
        <v>1.4265521170802264E-2</v>
      </c>
      <c r="AF751" s="57">
        <f>MIN(MAX(AD751,AH680*(1-SIM_Parametres!$E$32)),AH680*(1+SIM_Parametres!$F$32))</f>
        <v>20899208.927212466</v>
      </c>
      <c r="AG751" s="57">
        <f>IF(F751-SUM($AF$714:$AF$784)&gt;=0,IFERROR((F751-SUM($AF$714:$AF$784))/(SUM($AH$643:$AH$713)*(1+SIM_Parametres!$F$32)-SUM($AF$714:$AF$784)),0),IFERROR((F751-SUM($AF$714:$AF$784))/(SUM($AF$714:$AF$784)-SUM($AH$643:$AH$713)*(1-SIM_Parametres!$E$32)),0))</f>
        <v>7.0211825131946848E-2</v>
      </c>
      <c r="AH751" s="57">
        <f>AF751+IF(AG751&gt;=0,AG751*(AH680*(1+SIM_Parametres!$F$32)-AF751),AG751*(AF751-AH680*(1-SIM_Parametres!$E$32)))</f>
        <v>21095580.504052497</v>
      </c>
      <c r="AI751" s="60">
        <f t="shared" si="427"/>
        <v>85.06587241733429</v>
      </c>
      <c r="AJ751" s="60">
        <f t="shared" si="428"/>
        <v>-169052.04304087535</v>
      </c>
      <c r="AK751" s="59">
        <f t="shared" si="440"/>
        <v>2.3795686662733795E-2</v>
      </c>
    </row>
    <row r="752" spans="1:37" ht="12.75" customHeight="1" x14ac:dyDescent="0.25">
      <c r="A752" s="62" t="s">
        <v>634</v>
      </c>
      <c r="B752" s="62" t="s">
        <v>421</v>
      </c>
      <c r="C752" s="62" t="s">
        <v>427</v>
      </c>
      <c r="D752" s="124">
        <v>2026</v>
      </c>
      <c r="E752" s="62" t="s">
        <v>676</v>
      </c>
      <c r="F752" s="64">
        <f>SIM_Parametres!$C$32</f>
        <v>1531385481.6286914</v>
      </c>
      <c r="G752" s="125">
        <f>SIM_Districts!D42*(1+SIM_Parametres!$B$6)^(2026-2023)</f>
        <v>106470.94797199999</v>
      </c>
      <c r="H752" s="125">
        <f>MAX(0,MIN(100,SIM_Districts!F42+(2026-2022)*SIM_Parametres!$B$7))</f>
        <v>43.68</v>
      </c>
      <c r="I752" s="125">
        <f>SIM_Districts!G42*(1+SIM_Parametres!$B$8)^(2026-2023)</f>
        <v>33.223359999999992</v>
      </c>
      <c r="J752" s="125">
        <f>SIM_Districts!H42*(1+SIM_Parametres!$B$9)^(2026-2023)</f>
        <v>13.122000000000002</v>
      </c>
      <c r="K752" s="125">
        <f>MAX(0,MIN(100,SIM_Districts!I42+(2026-2023)*SIM_Parametres!$B$10))</f>
        <v>99.8</v>
      </c>
      <c r="L752" s="125">
        <f>SIM_Districts!E42</f>
        <v>2889</v>
      </c>
      <c r="M752" s="61">
        <f t="shared" si="424"/>
        <v>36.853910686050533</v>
      </c>
      <c r="N752" s="125">
        <f>N681*(1+SIM_Parametres!$B$6)/(1+SIM_Parametres!$B$11)</f>
        <v>97480</v>
      </c>
      <c r="O752" s="132"/>
      <c r="P752" s="126">
        <f>SIM_Parametres!$D$32</f>
        <v>0.5</v>
      </c>
      <c r="Q752" s="126">
        <f>SIM_Parametres!$B$12</f>
        <v>0.2</v>
      </c>
      <c r="R752" s="66">
        <f t="shared" si="442"/>
        <v>5.3753676683959304E-3</v>
      </c>
      <c r="S752" s="66">
        <f t="shared" si="443"/>
        <v>0.66843971631205668</v>
      </c>
      <c r="T752" s="66">
        <f t="shared" si="444"/>
        <v>0.71270718232044206</v>
      </c>
      <c r="U752" s="66">
        <f t="shared" si="445"/>
        <v>0.59932709011759788</v>
      </c>
      <c r="V752" s="66">
        <f t="shared" si="446"/>
        <v>0.26413981218637</v>
      </c>
      <c r="W752" s="66">
        <f t="shared" si="447"/>
        <v>1.5937433946311558E-2</v>
      </c>
      <c r="X752" s="66">
        <f t="shared" si="448"/>
        <v>1.4103755534904065E-2</v>
      </c>
      <c r="Y752" s="66">
        <f t="shared" si="449"/>
        <v>1.5312633029150606E-2</v>
      </c>
      <c r="Z752" s="66">
        <f t="shared" si="450"/>
        <v>9.6948159470131197E-3</v>
      </c>
      <c r="AA752" s="66">
        <f t="shared" si="425"/>
        <v>8.9817714720280863E-3</v>
      </c>
      <c r="AB752" s="66">
        <f t="shared" si="451"/>
        <v>1.2318172118352589E-2</v>
      </c>
      <c r="AC752" s="67">
        <f t="shared" si="426"/>
        <v>15317405.46533728</v>
      </c>
      <c r="AD752" s="67">
        <f t="shared" si="441"/>
        <v>17090637.703792889</v>
      </c>
      <c r="AE752" s="66">
        <f t="shared" si="439"/>
        <v>-6.5009557195243373E-2</v>
      </c>
      <c r="AF752" s="64">
        <f>MIN(MAX(AD752,AH681*(1-SIM_Parametres!$E$32)),AH681*(1+SIM_Parametres!$F$32))</f>
        <v>17364996.555364411</v>
      </c>
      <c r="AG752" s="64">
        <f>IF(F752-SUM($AF$714:$AF$784)&gt;=0,IFERROR((F752-SUM($AF$714:$AF$784))/(SUM($AH$643:$AH$713)*(1+SIM_Parametres!$F$32)-SUM($AF$714:$AF$784)),0),IFERROR((F752-SUM($AF$714:$AF$784))/(SUM($AF$714:$AF$784)-SUM($AH$643:$AH$713)*(1-SIM_Parametres!$E$32)),0))</f>
        <v>7.0211825131946848E-2</v>
      </c>
      <c r="AH752" s="64">
        <f>AF752+IF(AG752&gt;=0,AG752*(AH681*(1+SIM_Parametres!$F$32)-AF752),AG752*(AF752-AH681*(1-SIM_Parametres!$E$32)))</f>
        <v>17621676.155693274</v>
      </c>
      <c r="AI752" s="67">
        <f t="shared" si="427"/>
        <v>165.50689640076718</v>
      </c>
      <c r="AJ752" s="67">
        <f t="shared" si="428"/>
        <v>-1242193.7865552232</v>
      </c>
      <c r="AK752" s="66">
        <f t="shared" si="440"/>
        <v>-3.5957634973610708E-2</v>
      </c>
    </row>
    <row r="753" spans="1:37" ht="12.75" customHeight="1" x14ac:dyDescent="0.25">
      <c r="A753" s="55" t="s">
        <v>635</v>
      </c>
      <c r="B753" s="55" t="s">
        <v>421</v>
      </c>
      <c r="C753" s="55" t="s">
        <v>428</v>
      </c>
      <c r="D753" s="128">
        <v>2026</v>
      </c>
      <c r="E753" s="55" t="s">
        <v>676</v>
      </c>
      <c r="F753" s="57">
        <f>SIM_Parametres!$C$32</f>
        <v>1531385481.6286914</v>
      </c>
      <c r="G753" s="129">
        <f>SIM_Districts!D43*(1+SIM_Parametres!$B$6)^(2026-2023)</f>
        <v>154929.01951400001</v>
      </c>
      <c r="H753" s="129">
        <f>MAX(0,MIN(100,SIM_Districts!F43+(2026-2022)*SIM_Parametres!$B$7))</f>
        <v>43.68</v>
      </c>
      <c r="I753" s="129">
        <f>SIM_Districts!G43*(1+SIM_Parametres!$B$8)^(2026-2023)</f>
        <v>33.223359999999992</v>
      </c>
      <c r="J753" s="129">
        <f>SIM_Districts!H43*(1+SIM_Parametres!$B$9)^(2026-2023)</f>
        <v>13.122000000000002</v>
      </c>
      <c r="K753" s="129">
        <f>MAX(0,MIN(100,SIM_Districts!I43+(2026-2023)*SIM_Parametres!$B$10))</f>
        <v>99.8</v>
      </c>
      <c r="L753" s="129">
        <f>SIM_Districts!E43</f>
        <v>8907</v>
      </c>
      <c r="M753" s="68">
        <f t="shared" si="424"/>
        <v>17.394074269001909</v>
      </c>
      <c r="N753" s="129">
        <f>N682*(1+SIM_Parametres!$B$6)/(1+SIM_Parametres!$B$11)</f>
        <v>97480</v>
      </c>
      <c r="O753" s="72"/>
      <c r="P753" s="130">
        <f>SIM_Parametres!$D$32</f>
        <v>0.5</v>
      </c>
      <c r="Q753" s="130">
        <f>SIM_Parametres!$B$12</f>
        <v>0.2</v>
      </c>
      <c r="R753" s="59">
        <f t="shared" si="442"/>
        <v>7.8218561800619067E-3</v>
      </c>
      <c r="S753" s="59">
        <f t="shared" si="443"/>
        <v>0.66843971631205668</v>
      </c>
      <c r="T753" s="59">
        <f t="shared" si="444"/>
        <v>0.71270718232044206</v>
      </c>
      <c r="U753" s="59">
        <f t="shared" si="445"/>
        <v>0.80804507507275991</v>
      </c>
      <c r="V753" s="59">
        <f t="shared" si="446"/>
        <v>0.26413981218637</v>
      </c>
      <c r="W753" s="59">
        <f t="shared" si="447"/>
        <v>1.5937433946311558E-2</v>
      </c>
      <c r="X753" s="59">
        <f t="shared" si="448"/>
        <v>1.4103755534904065E-2</v>
      </c>
      <c r="Y753" s="59">
        <f t="shared" si="449"/>
        <v>2.0645316905621235E-2</v>
      </c>
      <c r="Z753" s="59">
        <f t="shared" si="450"/>
        <v>9.6948159470131197E-3</v>
      </c>
      <c r="AA753" s="59">
        <f t="shared" si="425"/>
        <v>1.0716298772851206E-2</v>
      </c>
      <c r="AB753" s="59">
        <f t="shared" si="451"/>
        <v>1.3706927984648915E-2</v>
      </c>
      <c r="AC753" s="60">
        <f t="shared" si="426"/>
        <v>17442389.406112578</v>
      </c>
      <c r="AD753" s="60">
        <f t="shared" si="441"/>
        <v>19216489.959766973</v>
      </c>
      <c r="AE753" s="59">
        <f t="shared" si="439"/>
        <v>-5.5223452346453872E-2</v>
      </c>
      <c r="AF753" s="57">
        <f>MIN(MAX(AD753,AH682*(1-SIM_Parametres!$E$32)),AH682*(1+SIM_Parametres!$F$32))</f>
        <v>19322733.515261918</v>
      </c>
      <c r="AG753" s="57">
        <f>IF(F753-SUM($AF$714:$AF$784)&gt;=0,IFERROR((F753-SUM($AF$714:$AF$784))/(SUM($AH$643:$AH$713)*(1+SIM_Parametres!$F$32)-SUM($AF$714:$AF$784)),0),IFERROR((F753-SUM($AF$714:$AF$784))/(SUM($AF$714:$AF$784)-SUM($AH$643:$AH$713)*(1-SIM_Parametres!$E$32)),0))</f>
        <v>7.0211825131946848E-2</v>
      </c>
      <c r="AH753" s="57">
        <f>AF753+IF(AG753&gt;=0,AG753*(AH682*(1+SIM_Parametres!$F$32)-AF753),AG753*(AF753-AH682*(1-SIM_Parametres!$E$32)))</f>
        <v>19608351.280871347</v>
      </c>
      <c r="AI753" s="60">
        <f t="shared" si="427"/>
        <v>126.56345042640289</v>
      </c>
      <c r="AJ753" s="60">
        <f t="shared" si="428"/>
        <v>-1382239.2325500213</v>
      </c>
      <c r="AK753" s="59">
        <f t="shared" si="440"/>
        <v>-3.5957634973610486E-2</v>
      </c>
    </row>
    <row r="754" spans="1:37" ht="12.75" customHeight="1" x14ac:dyDescent="0.25">
      <c r="A754" s="62" t="s">
        <v>636</v>
      </c>
      <c r="B754" s="62" t="s">
        <v>421</v>
      </c>
      <c r="C754" s="62" t="s">
        <v>421</v>
      </c>
      <c r="D754" s="124">
        <v>2026</v>
      </c>
      <c r="E754" s="62" t="s">
        <v>676</v>
      </c>
      <c r="F754" s="64">
        <f>SIM_Parametres!$C$32</f>
        <v>1531385481.6286914</v>
      </c>
      <c r="G754" s="125">
        <f>SIM_Districts!D44*(1+SIM_Parametres!$B$6)^(2026-2023)</f>
        <v>228576.63386</v>
      </c>
      <c r="H754" s="125">
        <f>MAX(0,MIN(100,SIM_Districts!F44+(2026-2022)*SIM_Parametres!$B$7))</f>
        <v>43.68</v>
      </c>
      <c r="I754" s="125">
        <f>SIM_Districts!G44*(1+SIM_Parametres!$B$8)^(2026-2023)</f>
        <v>33.223359999999992</v>
      </c>
      <c r="J754" s="125">
        <f>SIM_Districts!H44*(1+SIM_Parametres!$B$9)^(2026-2023)</f>
        <v>13.122000000000002</v>
      </c>
      <c r="K754" s="125">
        <f>MAX(0,MIN(100,SIM_Districts!I44+(2026-2023)*SIM_Parametres!$B$10))</f>
        <v>99.8</v>
      </c>
      <c r="L754" s="125">
        <f>SIM_Districts!E44</f>
        <v>759</v>
      </c>
      <c r="M754" s="61">
        <f t="shared" si="424"/>
        <v>301.15498532279315</v>
      </c>
      <c r="N754" s="125">
        <f>N683*(1+SIM_Parametres!$B$6)/(1+SIM_Parametres!$B$11)</f>
        <v>97480</v>
      </c>
      <c r="O754" s="132"/>
      <c r="P754" s="126">
        <f>SIM_Parametres!$D$32</f>
        <v>0.5</v>
      </c>
      <c r="Q754" s="126">
        <f>SIM_Parametres!$B$12</f>
        <v>0.2</v>
      </c>
      <c r="R754" s="66">
        <f t="shared" si="442"/>
        <v>1.1540081785736902E-2</v>
      </c>
      <c r="S754" s="66">
        <f t="shared" si="443"/>
        <v>0.66843971631205668</v>
      </c>
      <c r="T754" s="66">
        <f t="shared" si="444"/>
        <v>0.71270718232044206</v>
      </c>
      <c r="U754" s="66">
        <f t="shared" si="445"/>
        <v>0.52212219334654875</v>
      </c>
      <c r="V754" s="66">
        <f t="shared" si="446"/>
        <v>0.26413981218637</v>
      </c>
      <c r="W754" s="66">
        <f t="shared" si="447"/>
        <v>1.5937433946311558E-2</v>
      </c>
      <c r="X754" s="66">
        <f t="shared" si="448"/>
        <v>1.4103755534904065E-2</v>
      </c>
      <c r="Y754" s="66">
        <f t="shared" si="449"/>
        <v>1.3340070347099039E-2</v>
      </c>
      <c r="Z754" s="66">
        <f t="shared" si="450"/>
        <v>9.6948159470131197E-3</v>
      </c>
      <c r="AA754" s="66">
        <f t="shared" si="425"/>
        <v>1.2581971808330095E-2</v>
      </c>
      <c r="AB754" s="66">
        <f t="shared" si="451"/>
        <v>1.6193750346558865E-2</v>
      </c>
      <c r="AC754" s="67">
        <f t="shared" si="426"/>
        <v>19728041.086111382</v>
      </c>
      <c r="AD754" s="67">
        <f t="shared" si="441"/>
        <v>22263457.629975609</v>
      </c>
      <c r="AE754" s="66">
        <f t="shared" si="439"/>
        <v>-7.3510833069513448E-2</v>
      </c>
      <c r="AF754" s="64">
        <f>MIN(MAX(AD754,AH683*(1-SIM_Parametres!$E$32)),AH683*(1+SIM_Parametres!$F$32))</f>
        <v>22828420.993360315</v>
      </c>
      <c r="AG754" s="64">
        <f>IF(F754-SUM($AF$714:$AF$784)&gt;=0,IFERROR((F754-SUM($AF$714:$AF$784))/(SUM($AH$643:$AH$713)*(1+SIM_Parametres!$F$32)-SUM($AF$714:$AF$784)),0),IFERROR((F754-SUM($AF$714:$AF$784))/(SUM($AF$714:$AF$784)-SUM($AH$643:$AH$713)*(1-SIM_Parametres!$E$32)),0))</f>
        <v>7.0211825131946848E-2</v>
      </c>
      <c r="AH754" s="64">
        <f>AF754+IF(AG754&gt;=0,AG754*(AH683*(1+SIM_Parametres!$F$32)-AF754),AG754*(AF754-AH683*(1-SIM_Parametres!$E$32)))</f>
        <v>23165857.857112795</v>
      </c>
      <c r="AI754" s="67">
        <f t="shared" si="427"/>
        <v>101.34832010563932</v>
      </c>
      <c r="AJ754" s="67">
        <f t="shared" si="428"/>
        <v>-1633016.3167270422</v>
      </c>
      <c r="AK754" s="66">
        <f t="shared" si="440"/>
        <v>-3.5957634973610597E-2</v>
      </c>
    </row>
    <row r="755" spans="1:37" ht="12.75" customHeight="1" x14ac:dyDescent="0.25">
      <c r="A755" s="55" t="s">
        <v>637</v>
      </c>
      <c r="B755" s="55" t="s">
        <v>421</v>
      </c>
      <c r="C755" s="55" t="s">
        <v>429</v>
      </c>
      <c r="D755" s="128">
        <v>2026</v>
      </c>
      <c r="E755" s="55" t="s">
        <v>676</v>
      </c>
      <c r="F755" s="57">
        <f>SIM_Parametres!$C$32</f>
        <v>1531385481.6286914</v>
      </c>
      <c r="G755" s="129">
        <f>SIM_Districts!D45*(1+SIM_Parametres!$B$6)^(2026-2023)</f>
        <v>100906.78208800001</v>
      </c>
      <c r="H755" s="129">
        <f>MAX(0,MIN(100,SIM_Districts!F45+(2026-2022)*SIM_Parametres!$B$7))</f>
        <v>43.68</v>
      </c>
      <c r="I755" s="129">
        <f>SIM_Districts!G45*(1+SIM_Parametres!$B$8)^(2026-2023)</f>
        <v>33.223359999999992</v>
      </c>
      <c r="J755" s="129">
        <f>SIM_Districts!H45*(1+SIM_Parametres!$B$9)^(2026-2023)</f>
        <v>13.122000000000002</v>
      </c>
      <c r="K755" s="129">
        <f>MAX(0,MIN(100,SIM_Districts!I45+(2026-2023)*SIM_Parametres!$B$10))</f>
        <v>99.8</v>
      </c>
      <c r="L755" s="129">
        <f>SIM_Districts!E45</f>
        <v>1185</v>
      </c>
      <c r="M755" s="68">
        <f t="shared" si="424"/>
        <v>85.153402605907175</v>
      </c>
      <c r="N755" s="129">
        <f>N684*(1+SIM_Parametres!$B$6)/(1+SIM_Parametres!$B$11)</f>
        <v>97480</v>
      </c>
      <c r="O755" s="72"/>
      <c r="P755" s="130">
        <f>SIM_Parametres!$D$32</f>
        <v>0.5</v>
      </c>
      <c r="Q755" s="130">
        <f>SIM_Parametres!$B$12</f>
        <v>0.2</v>
      </c>
      <c r="R755" s="59">
        <f t="shared" si="442"/>
        <v>5.0944512497470527E-3</v>
      </c>
      <c r="S755" s="59">
        <f t="shared" si="443"/>
        <v>0.66843971631205668</v>
      </c>
      <c r="T755" s="59">
        <f t="shared" si="444"/>
        <v>0.71270718232044206</v>
      </c>
      <c r="U755" s="59">
        <f t="shared" si="445"/>
        <v>0.53967466644845496</v>
      </c>
      <c r="V755" s="59">
        <f t="shared" si="446"/>
        <v>0.26413981218637</v>
      </c>
      <c r="W755" s="59">
        <f t="shared" si="447"/>
        <v>1.5937433946311558E-2</v>
      </c>
      <c r="X755" s="59">
        <f t="shared" si="448"/>
        <v>1.4103755534904065E-2</v>
      </c>
      <c r="Y755" s="59">
        <f t="shared" si="449"/>
        <v>1.3788530935307707E-2</v>
      </c>
      <c r="Z755" s="59">
        <f t="shared" si="450"/>
        <v>9.6948159470131197E-3</v>
      </c>
      <c r="AA755" s="59">
        <f t="shared" si="425"/>
        <v>8.7370165161466153E-3</v>
      </c>
      <c r="AB755" s="59">
        <f t="shared" si="451"/>
        <v>1.2926435425792717E-2</v>
      </c>
      <c r="AC755" s="60">
        <f t="shared" si="426"/>
        <v>15017554.116542436</v>
      </c>
      <c r="AD755" s="60">
        <f t="shared" si="441"/>
        <v>17406454.828406096</v>
      </c>
      <c r="AE755" s="59">
        <f t="shared" si="439"/>
        <v>-9.2541614300790886E-2</v>
      </c>
      <c r="AF755" s="57">
        <f>MIN(MAX(AD755,AH684*(1-SIM_Parametres!$E$32)),AH684*(1+SIM_Parametres!$F$32))</f>
        <v>18222468.762845222</v>
      </c>
      <c r="AG755" s="57">
        <f>IF(F755-SUM($AF$714:$AF$784)&gt;=0,IFERROR((F755-SUM($AF$714:$AF$784))/(SUM($AH$643:$AH$713)*(1+SIM_Parametres!$F$32)-SUM($AF$714:$AF$784)),0),IFERROR((F755-SUM($AF$714:$AF$784))/(SUM($AF$714:$AF$784)-SUM($AH$643:$AH$713)*(1-SIM_Parametres!$E$32)),0))</f>
        <v>7.0211825131946848E-2</v>
      </c>
      <c r="AH755" s="57">
        <f>AF755+IF(AG755&gt;=0,AG755*(AH684*(1+SIM_Parametres!$F$32)-AF755),AG755*(AF755-AH684*(1-SIM_Parametres!$E$32)))</f>
        <v>18491823.034476645</v>
      </c>
      <c r="AI755" s="60">
        <f t="shared" si="427"/>
        <v>183.25649328852913</v>
      </c>
      <c r="AJ755" s="60">
        <f t="shared" si="428"/>
        <v>-1303532.5057931133</v>
      </c>
      <c r="AK755" s="59">
        <f t="shared" si="440"/>
        <v>-3.5957634973610597E-2</v>
      </c>
    </row>
    <row r="756" spans="1:37" ht="12.75" customHeight="1" x14ac:dyDescent="0.25">
      <c r="A756" s="62" t="s">
        <v>638</v>
      </c>
      <c r="B756" s="62" t="s">
        <v>430</v>
      </c>
      <c r="C756" s="62" t="s">
        <v>432</v>
      </c>
      <c r="D756" s="124">
        <v>2026</v>
      </c>
      <c r="E756" s="62" t="s">
        <v>676</v>
      </c>
      <c r="F756" s="64">
        <f>SIM_Parametres!$C$32</f>
        <v>1531385481.6286914</v>
      </c>
      <c r="G756" s="125">
        <f>SIM_Districts!D46*(1+SIM_Parametres!$B$6)^(2026-2023)</f>
        <v>385451.80016099999</v>
      </c>
      <c r="H756" s="125">
        <f>MAX(0,MIN(100,SIM_Districts!F46+(2026-2022)*SIM_Parametres!$B$7))</f>
        <v>41.38</v>
      </c>
      <c r="I756" s="125">
        <f>SIM_Districts!G46*(1+SIM_Parametres!$B$8)^(2026-2023)</f>
        <v>33.223359999999992</v>
      </c>
      <c r="J756" s="125">
        <f>SIM_Districts!H46*(1+SIM_Parametres!$B$9)^(2026-2023)</f>
        <v>18.443700000000003</v>
      </c>
      <c r="K756" s="125">
        <f>MAX(0,MIN(100,SIM_Districts!I46+(2026-2023)*SIM_Parametres!$B$10))</f>
        <v>87.7</v>
      </c>
      <c r="L756" s="125">
        <f>SIM_Districts!E46</f>
        <v>8704</v>
      </c>
      <c r="M756" s="61">
        <f t="shared" si="424"/>
        <v>44.284443952320771</v>
      </c>
      <c r="N756" s="125">
        <f>N685*(1+SIM_Parametres!$B$6)/(1+SIM_Parametres!$B$11)</f>
        <v>133963</v>
      </c>
      <c r="O756" s="132"/>
      <c r="P756" s="126">
        <f>SIM_Parametres!$D$32</f>
        <v>0.5</v>
      </c>
      <c r="Q756" s="126">
        <f>SIM_Parametres!$B$12</f>
        <v>0.2</v>
      </c>
      <c r="R756" s="66">
        <f t="shared" si="442"/>
        <v>1.9460192510499054E-2</v>
      </c>
      <c r="S756" s="66">
        <f t="shared" si="443"/>
        <v>0.62765957446808518</v>
      </c>
      <c r="T756" s="66">
        <f t="shared" si="444"/>
        <v>0.91436464088397795</v>
      </c>
      <c r="U756" s="66">
        <f t="shared" si="445"/>
        <v>0.80066503267175948</v>
      </c>
      <c r="V756" s="66">
        <f t="shared" si="446"/>
        <v>0.51735506215340199</v>
      </c>
      <c r="W756" s="66">
        <f t="shared" si="447"/>
        <v>1.4965123652504754E-2</v>
      </c>
      <c r="X756" s="66">
        <f t="shared" si="448"/>
        <v>1.8094353031214129E-2</v>
      </c>
      <c r="Y756" s="66">
        <f t="shared" si="449"/>
        <v>2.0456758966409916E-2</v>
      </c>
      <c r="Z756" s="66">
        <f t="shared" si="450"/>
        <v>1.8988663864475865E-2</v>
      </c>
      <c r="AA756" s="66">
        <f t="shared" si="425"/>
        <v>1.8607308150401555E-2</v>
      </c>
      <c r="AB756" s="66">
        <f t="shared" si="451"/>
        <v>1.6362619027215593E-2</v>
      </c>
      <c r="AC756" s="67">
        <f t="shared" si="426"/>
        <v>27109731.163053751</v>
      </c>
      <c r="AD756" s="67">
        <f t="shared" si="441"/>
        <v>26083604.191376545</v>
      </c>
      <c r="AE756" s="66">
        <f t="shared" si="439"/>
        <v>7.4261358774711628E-2</v>
      </c>
      <c r="AF756" s="64">
        <f>MIN(MAX(AD756,AH685*(1-SIM_Parametres!$E$32)),AH685*(1+SIM_Parametres!$F$32))</f>
        <v>26083604.191376545</v>
      </c>
      <c r="AG756" s="64">
        <f>IF(F756-SUM($AF$714:$AF$784)&gt;=0,IFERROR((F756-SUM($AF$714:$AF$784))/(SUM($AH$643:$AH$713)*(1+SIM_Parametres!$F$32)-SUM($AF$714:$AF$784)),0),IFERROR((F756-SUM($AF$714:$AF$784))/(SUM($AF$714:$AF$784)-SUM($AH$643:$AH$713)*(1-SIM_Parametres!$E$32)),0))</f>
        <v>7.0211825131946848E-2</v>
      </c>
      <c r="AH756" s="64">
        <f>AF756+IF(AG756&gt;=0,AG756*(AH685*(1+SIM_Parametres!$F$32)-AF756),AG756*(AF756-AH685*(1-SIM_Parametres!$E$32)))</f>
        <v>26212721.783643551</v>
      </c>
      <c r="AI756" s="67">
        <f t="shared" si="427"/>
        <v>68.005187088748102</v>
      </c>
      <c r="AJ756" s="67">
        <f t="shared" si="428"/>
        <v>1155244.5639442094</v>
      </c>
      <c r="AK756" s="66">
        <f t="shared" si="440"/>
        <v>7.957910700815285E-2</v>
      </c>
    </row>
    <row r="757" spans="1:37" ht="12.75" customHeight="1" x14ac:dyDescent="0.25">
      <c r="A757" s="55" t="s">
        <v>640</v>
      </c>
      <c r="B757" s="55" t="s">
        <v>430</v>
      </c>
      <c r="C757" s="55" t="s">
        <v>430</v>
      </c>
      <c r="D757" s="128">
        <v>2026</v>
      </c>
      <c r="E757" s="55" t="s">
        <v>676</v>
      </c>
      <c r="F757" s="57">
        <f>SIM_Parametres!$C$32</f>
        <v>1531385481.6286914</v>
      </c>
      <c r="G757" s="129">
        <f>SIM_Districts!D47*(1+SIM_Parametres!$B$6)^(2026-2023)</f>
        <v>312688.20195800002</v>
      </c>
      <c r="H757" s="129">
        <f>MAX(0,MIN(100,SIM_Districts!F47+(2026-2022)*SIM_Parametres!$B$7))</f>
        <v>41.38</v>
      </c>
      <c r="I757" s="129">
        <f>SIM_Districts!G47*(1+SIM_Parametres!$B$8)^(2026-2023)</f>
        <v>33.223359999999992</v>
      </c>
      <c r="J757" s="129">
        <f>SIM_Districts!H47*(1+SIM_Parametres!$B$9)^(2026-2023)</f>
        <v>18.443700000000003</v>
      </c>
      <c r="K757" s="129">
        <f>MAX(0,MIN(100,SIM_Districts!I47+(2026-2023)*SIM_Parametres!$B$10))</f>
        <v>87.7</v>
      </c>
      <c r="L757" s="129">
        <f>SIM_Districts!E47</f>
        <v>3957</v>
      </c>
      <c r="M757" s="68">
        <f t="shared" si="424"/>
        <v>79.021531958049039</v>
      </c>
      <c r="N757" s="129">
        <f>N686*(1+SIM_Parametres!$B$6)/(1+SIM_Parametres!$B$11)</f>
        <v>133963</v>
      </c>
      <c r="O757" s="72"/>
      <c r="P757" s="130">
        <f>SIM_Parametres!$D$32</f>
        <v>0.5</v>
      </c>
      <c r="Q757" s="130">
        <f>SIM_Parametres!$B$12</f>
        <v>0.2</v>
      </c>
      <c r="R757" s="59">
        <f t="shared" si="442"/>
        <v>1.5786597969766506E-2</v>
      </c>
      <c r="S757" s="59">
        <f t="shared" si="443"/>
        <v>0.62765957446808518</v>
      </c>
      <c r="T757" s="59">
        <f t="shared" si="444"/>
        <v>0.91436464088397795</v>
      </c>
      <c r="U757" s="59">
        <f t="shared" si="445"/>
        <v>0.63577730793030052</v>
      </c>
      <c r="V757" s="59">
        <f t="shared" si="446"/>
        <v>0.51735506215340199</v>
      </c>
      <c r="W757" s="59">
        <f t="shared" si="447"/>
        <v>1.4965123652504754E-2</v>
      </c>
      <c r="X757" s="59">
        <f t="shared" si="448"/>
        <v>1.8094353031214129E-2</v>
      </c>
      <c r="Y757" s="59">
        <f t="shared" si="449"/>
        <v>1.6243925504331406E-2</v>
      </c>
      <c r="Z757" s="59">
        <f t="shared" si="450"/>
        <v>1.8988663864475865E-2</v>
      </c>
      <c r="AA757" s="59">
        <f t="shared" si="425"/>
        <v>1.61925097528581E-2</v>
      </c>
      <c r="AB757" s="59">
        <f t="shared" si="451"/>
        <v>1.4458855692050743E-2</v>
      </c>
      <c r="AC757" s="60">
        <f t="shared" si="426"/>
        <v>24151341.397407129</v>
      </c>
      <c r="AD757" s="60">
        <f t="shared" si="441"/>
        <v>23146711.542589001</v>
      </c>
      <c r="AE757" s="59">
        <f t="shared" si="439"/>
        <v>7.8823872515334514E-2</v>
      </c>
      <c r="AF757" s="57">
        <f>MIN(MAX(AD757,AH686*(1-SIM_Parametres!$E$32)),AH686*(1+SIM_Parametres!$F$32))</f>
        <v>23146711.542589001</v>
      </c>
      <c r="AG757" s="57">
        <f>IF(F757-SUM($AF$714:$AF$784)&gt;=0,IFERROR((F757-SUM($AF$714:$AF$784))/(SUM($AH$643:$AH$713)*(1+SIM_Parametres!$F$32)-SUM($AF$714:$AF$784)),0),IFERROR((F757-SUM($AF$714:$AF$784))/(SUM($AF$714:$AF$784)-SUM($AH$643:$AH$713)*(1-SIM_Parametres!$E$32)),0))</f>
        <v>7.0211825131946848E-2</v>
      </c>
      <c r="AH757" s="57">
        <f>AF757+IF(AG757&gt;=0,AG757*(AH686*(1+SIM_Parametres!$F$32)-AF757),AG757*(AF757-AH686*(1-SIM_Parametres!$E$32)))</f>
        <v>23253933.410628133</v>
      </c>
      <c r="AI757" s="60">
        <f t="shared" si="427"/>
        <v>74.367799184670162</v>
      </c>
      <c r="AJ757" s="60">
        <f t="shared" si="428"/>
        <v>1111851.7228572592</v>
      </c>
      <c r="AK757" s="59">
        <f t="shared" si="440"/>
        <v>8.3821278331857041E-2</v>
      </c>
    </row>
    <row r="758" spans="1:37" ht="12.75" customHeight="1" x14ac:dyDescent="0.25">
      <c r="A758" s="62" t="s">
        <v>641</v>
      </c>
      <c r="B758" s="62" t="s">
        <v>430</v>
      </c>
      <c r="C758" s="62" t="s">
        <v>433</v>
      </c>
      <c r="D758" s="124">
        <v>2026</v>
      </c>
      <c r="E758" s="62" t="s">
        <v>676</v>
      </c>
      <c r="F758" s="64">
        <f>SIM_Parametres!$C$32</f>
        <v>1531385481.6286914</v>
      </c>
      <c r="G758" s="125">
        <f>SIM_Districts!D48*(1+SIM_Parametres!$B$6)^(2026-2023)</f>
        <v>82890.992039000004</v>
      </c>
      <c r="H758" s="125">
        <f>MAX(0,MIN(100,SIM_Districts!F48+(2026-2022)*SIM_Parametres!$B$7))</f>
        <v>41.38</v>
      </c>
      <c r="I758" s="125">
        <f>SIM_Districts!G48*(1+SIM_Parametres!$B$8)^(2026-2023)</f>
        <v>33.223359999999992</v>
      </c>
      <c r="J758" s="125">
        <f>SIM_Districts!H48*(1+SIM_Parametres!$B$9)^(2026-2023)</f>
        <v>18.443700000000003</v>
      </c>
      <c r="K758" s="125">
        <f>MAX(0,MIN(100,SIM_Districts!I48+(2026-2023)*SIM_Parametres!$B$10))</f>
        <v>87.7</v>
      </c>
      <c r="L758" s="125">
        <f>SIM_Districts!E48</f>
        <v>14444</v>
      </c>
      <c r="M758" s="61">
        <f t="shared" si="424"/>
        <v>5.7387837191221269</v>
      </c>
      <c r="N758" s="125">
        <f>N687*(1+SIM_Parametres!$B$6)/(1+SIM_Parametres!$B$11)</f>
        <v>133963</v>
      </c>
      <c r="O758" s="132"/>
      <c r="P758" s="126">
        <f>SIM_Parametres!$D$32</f>
        <v>0.5</v>
      </c>
      <c r="Q758" s="126">
        <f>SIM_Parametres!$B$12</f>
        <v>0.2</v>
      </c>
      <c r="R758" s="66">
        <f t="shared" si="442"/>
        <v>4.1848933168593758E-3</v>
      </c>
      <c r="S758" s="66">
        <f t="shared" si="443"/>
        <v>0.62765957446808518</v>
      </c>
      <c r="T758" s="66">
        <f t="shared" si="444"/>
        <v>0.91436464088397795</v>
      </c>
      <c r="U758" s="66">
        <f t="shared" si="445"/>
        <v>1</v>
      </c>
      <c r="V758" s="66">
        <f t="shared" si="446"/>
        <v>0.51735506215340199</v>
      </c>
      <c r="W758" s="66">
        <f t="shared" si="447"/>
        <v>1.4965123652504754E-2</v>
      </c>
      <c r="X758" s="66">
        <f t="shared" si="448"/>
        <v>1.8094353031214129E-2</v>
      </c>
      <c r="Y758" s="66">
        <f t="shared" si="449"/>
        <v>2.5549709468574187E-2</v>
      </c>
      <c r="Z758" s="66">
        <f t="shared" si="450"/>
        <v>1.8988663864475865E-2</v>
      </c>
      <c r="AA758" s="66">
        <f t="shared" si="425"/>
        <v>9.6967761593259594E-3</v>
      </c>
      <c r="AB758" s="66">
        <f t="shared" si="451"/>
        <v>1.3574185439655072E-2</v>
      </c>
      <c r="AC758" s="67">
        <f t="shared" si="426"/>
        <v>16193363.70327682</v>
      </c>
      <c r="AD758" s="67">
        <f t="shared" si="441"/>
        <v>18490337.105250087</v>
      </c>
      <c r="AE758" s="66">
        <f t="shared" si="439"/>
        <v>-8.2034788195072039E-2</v>
      </c>
      <c r="AF758" s="64">
        <f>MIN(MAX(AD758,AH687*(1-SIM_Parametres!$E$32)),AH687*(1+SIM_Parametres!$F$32))</f>
        <v>19135605.602579635</v>
      </c>
      <c r="AG758" s="64">
        <f>IF(F758-SUM($AF$714:$AF$784)&gt;=0,IFERROR((F758-SUM($AF$714:$AF$784))/(SUM($AH$643:$AH$713)*(1+SIM_Parametres!$F$32)-SUM($AF$714:$AF$784)),0),IFERROR((F758-SUM($AF$714:$AF$784))/(SUM($AF$714:$AF$784)-SUM($AH$643:$AH$713)*(1-SIM_Parametres!$E$32)),0))</f>
        <v>7.0211825131946848E-2</v>
      </c>
      <c r="AH758" s="64">
        <f>AF758+IF(AG758&gt;=0,AG758*(AH687*(1+SIM_Parametres!$F$32)-AF758),AG758*(AF758-AH687*(1-SIM_Parametres!$E$32)))</f>
        <v>19418457.348761156</v>
      </c>
      <c r="AI758" s="67">
        <f t="shared" si="427"/>
        <v>234.26498912722411</v>
      </c>
      <c r="AJ758" s="67">
        <f t="shared" si="428"/>
        <v>-1368853.1584621966</v>
      </c>
      <c r="AK758" s="66">
        <f t="shared" si="440"/>
        <v>-3.5957634973610708E-2</v>
      </c>
    </row>
    <row r="759" spans="1:37" ht="12.75" customHeight="1" x14ac:dyDescent="0.25">
      <c r="A759" s="55" t="s">
        <v>642</v>
      </c>
      <c r="B759" s="55" t="s">
        <v>430</v>
      </c>
      <c r="C759" s="55" t="s">
        <v>434</v>
      </c>
      <c r="D759" s="128">
        <v>2026</v>
      </c>
      <c r="E759" s="55" t="s">
        <v>676</v>
      </c>
      <c r="F759" s="57">
        <f>SIM_Parametres!$C$32</f>
        <v>1531385481.6286914</v>
      </c>
      <c r="G759" s="129">
        <f>SIM_Districts!D49*(1+SIM_Parametres!$B$6)^(2026-2023)</f>
        <v>127713.560852</v>
      </c>
      <c r="H759" s="129">
        <f>MAX(0,MIN(100,SIM_Districts!F49+(2026-2022)*SIM_Parametres!$B$7))</f>
        <v>41.38</v>
      </c>
      <c r="I759" s="129">
        <f>SIM_Districts!G49*(1+SIM_Parametres!$B$8)^(2026-2023)</f>
        <v>33.223359999999992</v>
      </c>
      <c r="J759" s="129">
        <f>SIM_Districts!H49*(1+SIM_Parametres!$B$9)^(2026-2023)</f>
        <v>18.443700000000003</v>
      </c>
      <c r="K759" s="129">
        <f>MAX(0,MIN(100,SIM_Districts!I49+(2026-2023)*SIM_Parametres!$B$10))</f>
        <v>87.7</v>
      </c>
      <c r="L759" s="129">
        <f>SIM_Districts!E49</f>
        <v>1898</v>
      </c>
      <c r="M759" s="68">
        <f t="shared" si="424"/>
        <v>67.288493599578501</v>
      </c>
      <c r="N759" s="129">
        <f>N688*(1+SIM_Parametres!$B$6)/(1+SIM_Parametres!$B$11)</f>
        <v>133963</v>
      </c>
      <c r="O759" s="72"/>
      <c r="P759" s="130">
        <f>SIM_Parametres!$D$32</f>
        <v>0.5</v>
      </c>
      <c r="Q759" s="130">
        <f>SIM_Parametres!$B$12</f>
        <v>0.2</v>
      </c>
      <c r="R759" s="59">
        <f t="shared" si="442"/>
        <v>6.4478372635518979E-3</v>
      </c>
      <c r="S759" s="59">
        <f t="shared" si="443"/>
        <v>0.62765957446808518</v>
      </c>
      <c r="T759" s="59">
        <f t="shared" si="444"/>
        <v>0.91436464088397795</v>
      </c>
      <c r="U759" s="59">
        <f t="shared" si="445"/>
        <v>0.5646045152795196</v>
      </c>
      <c r="V759" s="59">
        <f t="shared" si="446"/>
        <v>0.51735506215340199</v>
      </c>
      <c r="W759" s="59">
        <f t="shared" si="447"/>
        <v>1.4965123652504754E-2</v>
      </c>
      <c r="X759" s="59">
        <f t="shared" si="448"/>
        <v>1.8094353031214129E-2</v>
      </c>
      <c r="Y759" s="59">
        <f t="shared" si="449"/>
        <v>1.4425481330036882E-2</v>
      </c>
      <c r="Z759" s="59">
        <f t="shared" si="450"/>
        <v>1.8988663864475865E-2</v>
      </c>
      <c r="AA759" s="59">
        <f t="shared" si="425"/>
        <v>1.0498331120414608E-2</v>
      </c>
      <c r="AB759" s="59">
        <f t="shared" si="451"/>
        <v>1.2930636139241895E-2</v>
      </c>
      <c r="AC759" s="60">
        <f t="shared" si="426"/>
        <v>17175355.407387707</v>
      </c>
      <c r="AD759" s="60">
        <f t="shared" si="441"/>
        <v>18488571.929623011</v>
      </c>
      <c r="AE759" s="59">
        <f t="shared" si="439"/>
        <v>-3.644025499220227E-2</v>
      </c>
      <c r="AF759" s="57">
        <f>MIN(MAX(AD759,AH688*(1-SIM_Parametres!$E$32)),AH688*(1+SIM_Parametres!$F$32))</f>
        <v>18488571.929623011</v>
      </c>
      <c r="AG759" s="57">
        <f>IF(F759-SUM($AF$714:$AF$784)&gt;=0,IFERROR((F759-SUM($AF$714:$AF$784))/(SUM($AH$643:$AH$713)*(1+SIM_Parametres!$F$32)-SUM($AF$714:$AF$784)),0),IFERROR((F759-SUM($AF$714:$AF$784))/(SUM($AF$714:$AF$784)-SUM($AH$643:$AH$713)*(1-SIM_Parametres!$E$32)),0))</f>
        <v>7.0211825131946848E-2</v>
      </c>
      <c r="AH759" s="57">
        <f>AF759+IF(AG759&gt;=0,AG759*(AH688*(1+SIM_Parametres!$F$32)-AF759),AG759*(AF759-AH688*(1-SIM_Parametres!$E$32)))</f>
        <v>18739745.922738742</v>
      </c>
      <c r="AI759" s="60">
        <f t="shared" si="427"/>
        <v>146.73262414517728</v>
      </c>
      <c r="AJ759" s="60">
        <f t="shared" si="428"/>
        <v>-1062042.5291195698</v>
      </c>
      <c r="AK759" s="59">
        <f t="shared" si="440"/>
        <v>-2.3349944411134138E-2</v>
      </c>
    </row>
    <row r="760" spans="1:37" ht="12.75" customHeight="1" x14ac:dyDescent="0.25">
      <c r="A760" s="62" t="s">
        <v>643</v>
      </c>
      <c r="B760" s="62" t="s">
        <v>435</v>
      </c>
      <c r="C760" s="62" t="s">
        <v>437</v>
      </c>
      <c r="D760" s="124">
        <v>2026</v>
      </c>
      <c r="E760" s="62" t="s">
        <v>676</v>
      </c>
      <c r="F760" s="64">
        <f>SIM_Parametres!$C$32</f>
        <v>1531385481.6286914</v>
      </c>
      <c r="G760" s="125">
        <f>SIM_Districts!D50*(1+SIM_Parametres!$B$6)^(2026-2023)</f>
        <v>107469.70045</v>
      </c>
      <c r="H760" s="125">
        <f>MAX(0,MIN(100,SIM_Districts!F50+(2026-2022)*SIM_Parametres!$B$7))</f>
        <v>33.979999999999997</v>
      </c>
      <c r="I760" s="125">
        <f>SIM_Districts!G50*(1+SIM_Parametres!$B$8)^(2026-2023)</f>
        <v>33.223359999999992</v>
      </c>
      <c r="J760" s="125">
        <f>SIM_Districts!H50*(1+SIM_Parametres!$B$9)^(2026-2023)</f>
        <v>16.694100000000002</v>
      </c>
      <c r="K760" s="125">
        <f>MAX(0,MIN(100,SIM_Districts!I50+(2026-2023)*SIM_Parametres!$B$10))</f>
        <v>91.9</v>
      </c>
      <c r="L760" s="125">
        <f>SIM_Districts!E50</f>
        <v>2448</v>
      </c>
      <c r="M760" s="61">
        <f t="shared" si="424"/>
        <v>43.901021425653596</v>
      </c>
      <c r="N760" s="125">
        <f>N689*(1+SIM_Parametres!$B$6)/(1+SIM_Parametres!$B$11)</f>
        <v>89545</v>
      </c>
      <c r="O760" s="132"/>
      <c r="P760" s="126">
        <f>SIM_Parametres!$D$32</f>
        <v>0.5</v>
      </c>
      <c r="Q760" s="126">
        <f>SIM_Parametres!$B$12</f>
        <v>0.2</v>
      </c>
      <c r="R760" s="66">
        <f t="shared" si="442"/>
        <v>5.4257913931887577E-3</v>
      </c>
      <c r="S760" s="66">
        <f t="shared" si="443"/>
        <v>0.49645390070921974</v>
      </c>
      <c r="T760" s="66">
        <f t="shared" si="444"/>
        <v>0.84806629834254155</v>
      </c>
      <c r="U760" s="66">
        <f t="shared" si="445"/>
        <v>0.58395945065622235</v>
      </c>
      <c r="V760" s="66">
        <f t="shared" si="446"/>
        <v>0.20906585970196906</v>
      </c>
      <c r="W760" s="66">
        <f t="shared" si="447"/>
        <v>1.1836820968082851E-2</v>
      </c>
      <c r="X760" s="66">
        <f t="shared" si="448"/>
        <v>1.6782375772153284E-2</v>
      </c>
      <c r="Y760" s="66">
        <f t="shared" si="449"/>
        <v>1.4919994305694665E-2</v>
      </c>
      <c r="Z760" s="66">
        <f t="shared" si="450"/>
        <v>7.6734173990574452E-3</v>
      </c>
      <c r="AA760" s="66">
        <f t="shared" si="425"/>
        <v>8.6780249321862808E-3</v>
      </c>
      <c r="AB760" s="66">
        <f t="shared" si="451"/>
        <v>1.2822257732253249E-2</v>
      </c>
      <c r="AC760" s="67">
        <f t="shared" si="426"/>
        <v>14945283.032370327</v>
      </c>
      <c r="AD760" s="67">
        <f t="shared" si="441"/>
        <v>17290551.182622094</v>
      </c>
      <c r="AE760" s="66">
        <f t="shared" si="439"/>
        <v>-9.1260287234756543E-2</v>
      </c>
      <c r="AF760" s="64">
        <f>MIN(MAX(AD760,AH689*(1-SIM_Parametres!$E$32)),AH689*(1+SIM_Parametres!$F$32))</f>
        <v>18075608.882005971</v>
      </c>
      <c r="AG760" s="64">
        <f>IF(F760-SUM($AF$714:$AF$784)&gt;=0,IFERROR((F760-SUM($AF$714:$AF$784))/(SUM($AH$643:$AH$713)*(1+SIM_Parametres!$F$32)-SUM($AF$714:$AF$784)),0),IFERROR((F760-SUM($AF$714:$AF$784))/(SUM($AF$714:$AF$784)-SUM($AH$643:$AH$713)*(1-SIM_Parametres!$E$32)),0))</f>
        <v>7.0211825131946848E-2</v>
      </c>
      <c r="AH760" s="64">
        <f>AF760+IF(AG760&gt;=0,AG760*(AH689*(1+SIM_Parametres!$F$32)-AF760),AG760*(AF760-AH689*(1-SIM_Parametres!$E$32)))</f>
        <v>18342792.35358005</v>
      </c>
      <c r="AI760" s="67">
        <f t="shared" si="427"/>
        <v>170.67873341764812</v>
      </c>
      <c r="AJ760" s="67">
        <f t="shared" si="428"/>
        <v>-1293026.9792938046</v>
      </c>
      <c r="AK760" s="66">
        <f t="shared" si="440"/>
        <v>-3.5957634973610486E-2</v>
      </c>
    </row>
    <row r="761" spans="1:37" ht="12.75" customHeight="1" x14ac:dyDescent="0.25">
      <c r="A761" s="55" t="s">
        <v>645</v>
      </c>
      <c r="B761" s="55" t="s">
        <v>435</v>
      </c>
      <c r="C761" s="55" t="s">
        <v>438</v>
      </c>
      <c r="D761" s="128">
        <v>2026</v>
      </c>
      <c r="E761" s="55" t="s">
        <v>676</v>
      </c>
      <c r="F761" s="57">
        <f>SIM_Parametres!$C$32</f>
        <v>1531385481.6286914</v>
      </c>
      <c r="G761" s="129">
        <f>SIM_Districts!D51*(1+SIM_Parametres!$B$6)^(2026-2023)</f>
        <v>202674.63305199999</v>
      </c>
      <c r="H761" s="129">
        <f>MAX(0,MIN(100,SIM_Districts!F51+(2026-2022)*SIM_Parametres!$B$7))</f>
        <v>33.979999999999997</v>
      </c>
      <c r="I761" s="129">
        <f>SIM_Districts!G51*(1+SIM_Parametres!$B$8)^(2026-2023)</f>
        <v>33.223359999999992</v>
      </c>
      <c r="J761" s="129">
        <f>SIM_Districts!H51*(1+SIM_Parametres!$B$9)^(2026-2023)</f>
        <v>16.694100000000002</v>
      </c>
      <c r="K761" s="129">
        <f>MAX(0,MIN(100,SIM_Districts!I51+(2026-2023)*SIM_Parametres!$B$10))</f>
        <v>91.9</v>
      </c>
      <c r="L761" s="129">
        <f>SIM_Districts!E51</f>
        <v>6989</v>
      </c>
      <c r="M761" s="68">
        <f t="shared" si="424"/>
        <v>28.99908900443554</v>
      </c>
      <c r="N761" s="129">
        <f>N690*(1+SIM_Parametres!$B$6)/(1+SIM_Parametres!$B$11)</f>
        <v>89545</v>
      </c>
      <c r="O761" s="72"/>
      <c r="P761" s="130">
        <f>SIM_Parametres!$D$32</f>
        <v>0.5</v>
      </c>
      <c r="Q761" s="130">
        <f>SIM_Parametres!$B$12</f>
        <v>0.2</v>
      </c>
      <c r="R761" s="59">
        <f t="shared" si="442"/>
        <v>1.0232375032466476E-2</v>
      </c>
      <c r="S761" s="59">
        <f t="shared" si="443"/>
        <v>0.49645390070921974</v>
      </c>
      <c r="T761" s="59">
        <f t="shared" si="444"/>
        <v>0.84806629834254155</v>
      </c>
      <c r="U761" s="59">
        <f t="shared" si="445"/>
        <v>0.74145452539080825</v>
      </c>
      <c r="V761" s="59">
        <f t="shared" si="446"/>
        <v>0.20906585970196906</v>
      </c>
      <c r="W761" s="59">
        <f t="shared" si="447"/>
        <v>1.1836820968082851E-2</v>
      </c>
      <c r="X761" s="59">
        <f t="shared" si="448"/>
        <v>1.6782375772153284E-2</v>
      </c>
      <c r="Y761" s="59">
        <f t="shared" si="449"/>
        <v>1.8943947707894714E-2</v>
      </c>
      <c r="Z761" s="59">
        <f t="shared" si="450"/>
        <v>7.6734173990574452E-3</v>
      </c>
      <c r="AA761" s="59">
        <f t="shared" si="425"/>
        <v>1.1763172785862913E-2</v>
      </c>
      <c r="AB761" s="59">
        <f t="shared" si="451"/>
        <v>1.2647508052767684E-2</v>
      </c>
      <c r="AC761" s="60">
        <f t="shared" si="426"/>
        <v>18724923.537808977</v>
      </c>
      <c r="AD761" s="60">
        <f t="shared" si="441"/>
        <v>19046566.874299686</v>
      </c>
      <c r="AE761" s="59">
        <f t="shared" si="439"/>
        <v>1.4861817398414967E-2</v>
      </c>
      <c r="AF761" s="57">
        <f>MIN(MAX(AD761,AH690*(1-SIM_Parametres!$E$32)),AH690*(1+SIM_Parametres!$F$32))</f>
        <v>19046566.874299686</v>
      </c>
      <c r="AG761" s="57">
        <f>IF(F761-SUM($AF$714:$AF$784)&gt;=0,IFERROR((F761-SUM($AF$714:$AF$784))/(SUM($AH$643:$AH$713)*(1+SIM_Parametres!$F$32)-SUM($AF$714:$AF$784)),0),IFERROR((F761-SUM($AF$714:$AF$784))/(SUM($AF$714:$AF$784)-SUM($AH$643:$AH$713)*(1-SIM_Parametres!$E$32)),0))</f>
        <v>7.0211825131946848E-2</v>
      </c>
      <c r="AH761" s="57">
        <f>AF761+IF(AG761&gt;=0,AG761*(AH690*(1+SIM_Parametres!$F$32)-AF761),AG761*(AF761-AH690*(1-SIM_Parametres!$E$32)))</f>
        <v>19224639.896426246</v>
      </c>
      <c r="AI761" s="60">
        <f t="shared" si="427"/>
        <v>94.854692010192522</v>
      </c>
      <c r="AJ761" s="60">
        <f t="shared" si="428"/>
        <v>-143570.31436414644</v>
      </c>
      <c r="AK761" s="59">
        <f t="shared" si="440"/>
        <v>2.4350115843886577E-2</v>
      </c>
    </row>
    <row r="762" spans="1:37" ht="12.75" customHeight="1" x14ac:dyDescent="0.25">
      <c r="A762" s="62" t="s">
        <v>646</v>
      </c>
      <c r="B762" s="62" t="s">
        <v>435</v>
      </c>
      <c r="C762" s="62" t="s">
        <v>439</v>
      </c>
      <c r="D762" s="124">
        <v>2026</v>
      </c>
      <c r="E762" s="62" t="s">
        <v>676</v>
      </c>
      <c r="F762" s="64">
        <f>SIM_Parametres!$C$32</f>
        <v>1531385481.6286914</v>
      </c>
      <c r="G762" s="125">
        <f>SIM_Districts!D52*(1+SIM_Parametres!$B$6)^(2026-2023)</f>
        <v>333271.90045700001</v>
      </c>
      <c r="H762" s="125">
        <f>MAX(0,MIN(100,SIM_Districts!F52+(2026-2022)*SIM_Parametres!$B$7))</f>
        <v>33.979999999999997</v>
      </c>
      <c r="I762" s="125">
        <f>SIM_Districts!G52*(1+SIM_Parametres!$B$8)^(2026-2023)</f>
        <v>33.223359999999992</v>
      </c>
      <c r="J762" s="125">
        <f>SIM_Districts!H52*(1+SIM_Parametres!$B$9)^(2026-2023)</f>
        <v>16.694100000000002</v>
      </c>
      <c r="K762" s="125">
        <f>MAX(0,MIN(100,SIM_Districts!I52+(2026-2023)*SIM_Parametres!$B$10))</f>
        <v>91.9</v>
      </c>
      <c r="L762" s="125">
        <f>SIM_Districts!E52</f>
        <v>5859</v>
      </c>
      <c r="M762" s="61">
        <f t="shared" si="424"/>
        <v>56.882044795528252</v>
      </c>
      <c r="N762" s="125">
        <f>N691*(1+SIM_Parametres!$B$6)/(1+SIM_Parametres!$B$11)</f>
        <v>89545</v>
      </c>
      <c r="O762" s="132"/>
      <c r="P762" s="126">
        <f>SIM_Parametres!$D$32</f>
        <v>0.5</v>
      </c>
      <c r="Q762" s="126">
        <f>SIM_Parametres!$B$12</f>
        <v>0.2</v>
      </c>
      <c r="R762" s="66">
        <f t="shared" si="442"/>
        <v>1.6825801146924578E-2</v>
      </c>
      <c r="S762" s="66">
        <f t="shared" si="443"/>
        <v>0.49645390070921974</v>
      </c>
      <c r="T762" s="66">
        <f t="shared" si="444"/>
        <v>0.84806629834254155</v>
      </c>
      <c r="U762" s="66">
        <f t="shared" si="445"/>
        <v>0.70194995546768002</v>
      </c>
      <c r="V762" s="66">
        <f t="shared" si="446"/>
        <v>0.20906585970196906</v>
      </c>
      <c r="W762" s="66">
        <f t="shared" si="447"/>
        <v>1.1836820968082851E-2</v>
      </c>
      <c r="X762" s="66">
        <f t="shared" si="448"/>
        <v>1.6782375772153284E-2</v>
      </c>
      <c r="Y762" s="66">
        <f t="shared" si="449"/>
        <v>1.7934617423677815E-2</v>
      </c>
      <c r="Z762" s="66">
        <f t="shared" si="450"/>
        <v>7.6734173990574452E-3</v>
      </c>
      <c r="AA762" s="66">
        <f t="shared" si="425"/>
        <v>1.5668761940326931E-2</v>
      </c>
      <c r="AB762" s="66">
        <f t="shared" si="451"/>
        <v>1.5369570367831277E-2</v>
      </c>
      <c r="AC762" s="67">
        <f t="shared" si="426"/>
        <v>23509693.560491115</v>
      </c>
      <c r="AD762" s="67">
        <f t="shared" si="441"/>
        <v>23523215.24032924</v>
      </c>
      <c r="AE762" s="66">
        <f t="shared" si="439"/>
        <v>3.1407123696021388E-2</v>
      </c>
      <c r="AF762" s="64">
        <f>MIN(MAX(AD762,AH691*(1-SIM_Parametres!$E$32)),AH691*(1+SIM_Parametres!$F$32))</f>
        <v>23523215.24032924</v>
      </c>
      <c r="AG762" s="64">
        <f>IF(F762-SUM($AF$714:$AF$784)&gt;=0,IFERROR((F762-SUM($AF$714:$AF$784))/(SUM($AH$643:$AH$713)*(1+SIM_Parametres!$F$32)-SUM($AF$714:$AF$784)),0),IFERROR((F762-SUM($AF$714:$AF$784))/(SUM($AF$714:$AF$784)-SUM($AH$643:$AH$713)*(1-SIM_Parametres!$E$32)),0))</f>
        <v>7.0211825131946848E-2</v>
      </c>
      <c r="AH762" s="64">
        <f>AF762+IF(AG762&gt;=0,AG762*(AH691*(1+SIM_Parametres!$F$32)-AF762),AG762*(AF762-AH691*(1-SIM_Parametres!$E$32)))</f>
        <v>23713119.812366791</v>
      </c>
      <c r="AI762" s="67">
        <f t="shared" si="427"/>
        <v>71.152472740276366</v>
      </c>
      <c r="AJ762" s="67">
        <f t="shared" si="428"/>
        <v>176382.89219942689</v>
      </c>
      <c r="AK762" s="66">
        <f t="shared" si="440"/>
        <v>3.9733745988970837E-2</v>
      </c>
    </row>
    <row r="763" spans="1:37" ht="12.75" customHeight="1" x14ac:dyDescent="0.25">
      <c r="A763" s="55" t="s">
        <v>647</v>
      </c>
      <c r="B763" s="55" t="s">
        <v>435</v>
      </c>
      <c r="C763" s="55" t="s">
        <v>440</v>
      </c>
      <c r="D763" s="128">
        <v>2026</v>
      </c>
      <c r="E763" s="55" t="s">
        <v>676</v>
      </c>
      <c r="F763" s="57">
        <f>SIM_Parametres!$C$32</f>
        <v>1531385481.6286914</v>
      </c>
      <c r="G763" s="129">
        <f>SIM_Districts!D53*(1+SIM_Parametres!$B$6)^(2026-2023)</f>
        <v>241917.737803</v>
      </c>
      <c r="H763" s="129">
        <f>MAX(0,MIN(100,SIM_Districts!F53+(2026-2022)*SIM_Parametres!$B$7))</f>
        <v>33.979999999999997</v>
      </c>
      <c r="I763" s="129">
        <f>SIM_Districts!G53*(1+SIM_Parametres!$B$8)^(2026-2023)</f>
        <v>33.223359999999992</v>
      </c>
      <c r="J763" s="129">
        <f>SIM_Districts!H53*(1+SIM_Parametres!$B$9)^(2026-2023)</f>
        <v>16.694100000000002</v>
      </c>
      <c r="K763" s="129">
        <f>MAX(0,MIN(100,SIM_Districts!I53+(2026-2023)*SIM_Parametres!$B$10))</f>
        <v>91.9</v>
      </c>
      <c r="L763" s="129">
        <f>SIM_Districts!E53</f>
        <v>3143</v>
      </c>
      <c r="M763" s="68">
        <f t="shared" si="424"/>
        <v>76.970327013363033</v>
      </c>
      <c r="N763" s="129">
        <f>N692*(1+SIM_Parametres!$B$6)/(1+SIM_Parametres!$B$11)</f>
        <v>89545</v>
      </c>
      <c r="O763" s="72"/>
      <c r="P763" s="130">
        <f>SIM_Parametres!$D$32</f>
        <v>0.5</v>
      </c>
      <c r="Q763" s="130">
        <f>SIM_Parametres!$B$12</f>
        <v>0.2</v>
      </c>
      <c r="R763" s="59">
        <f t="shared" si="442"/>
        <v>1.2213630205863404E-2</v>
      </c>
      <c r="S763" s="59">
        <f t="shared" si="443"/>
        <v>0.49645390070921974</v>
      </c>
      <c r="T763" s="59">
        <f t="shared" si="444"/>
        <v>0.84806629834254155</v>
      </c>
      <c r="U763" s="59">
        <f t="shared" si="445"/>
        <v>0.6076065442079609</v>
      </c>
      <c r="V763" s="59">
        <f t="shared" si="446"/>
        <v>0.20906585970196906</v>
      </c>
      <c r="W763" s="59">
        <f t="shared" si="447"/>
        <v>1.1836820968082851E-2</v>
      </c>
      <c r="X763" s="59">
        <f t="shared" si="448"/>
        <v>1.6782375772153284E-2</v>
      </c>
      <c r="Y763" s="59">
        <f t="shared" si="449"/>
        <v>1.5524170675717779E-2</v>
      </c>
      <c r="Z763" s="59">
        <f t="shared" si="450"/>
        <v>7.6734173990574452E-3</v>
      </c>
      <c r="AA763" s="59">
        <f t="shared" si="425"/>
        <v>1.2780937038292224E-2</v>
      </c>
      <c r="AB763" s="59">
        <f t="shared" si="451"/>
        <v>1.3896800232551501E-2</v>
      </c>
      <c r="AC763" s="60">
        <f t="shared" si="426"/>
        <v>19971795.057721715</v>
      </c>
      <c r="AD763" s="60">
        <f t="shared" si="441"/>
        <v>20626576.587472655</v>
      </c>
      <c r="AE763" s="59">
        <f t="shared" si="439"/>
        <v>2.475838721931467E-4</v>
      </c>
      <c r="AF763" s="57">
        <f>MIN(MAX(AD763,AH692*(1-SIM_Parametres!$E$32)),AH692*(1+SIM_Parametres!$F$32))</f>
        <v>20626576.587472655</v>
      </c>
      <c r="AG763" s="57">
        <f>IF(F763-SUM($AF$714:$AF$784)&gt;=0,IFERROR((F763-SUM($AF$714:$AF$784))/(SUM($AH$643:$AH$713)*(1+SIM_Parametres!$F$32)-SUM($AF$714:$AF$784)),0),IFERROR((F763-SUM($AF$714:$AF$784))/(SUM($AF$714:$AF$784)-SUM($AH$643:$AH$713)*(1-SIM_Parametres!$E$32)),0))</f>
        <v>7.0211825131946848E-2</v>
      </c>
      <c r="AH763" s="57">
        <f>AF763+IF(AG763&gt;=0,AG763*(AH692*(1+SIM_Parametres!$F$32)-AF763),AG763*(AF763-AH692*(1-SIM_Parametres!$E$32)))</f>
        <v>20843398.785768446</v>
      </c>
      <c r="AI763" s="60">
        <f t="shared" si="427"/>
        <v>86.159034782070322</v>
      </c>
      <c r="AJ763" s="60">
        <f t="shared" si="428"/>
        <v>-437959.33145514503</v>
      </c>
      <c r="AK763" s="59">
        <f t="shared" si="440"/>
        <v>1.0761974326445101E-2</v>
      </c>
    </row>
    <row r="764" spans="1:37" ht="12.75" customHeight="1" x14ac:dyDescent="0.25">
      <c r="A764" s="62" t="s">
        <v>648</v>
      </c>
      <c r="B764" s="62" t="s">
        <v>435</v>
      </c>
      <c r="C764" s="62" t="s">
        <v>435</v>
      </c>
      <c r="D764" s="124">
        <v>2026</v>
      </c>
      <c r="E764" s="62" t="s">
        <v>676</v>
      </c>
      <c r="F764" s="64">
        <f>SIM_Parametres!$C$32</f>
        <v>1531385481.6286914</v>
      </c>
      <c r="G764" s="125">
        <f>SIM_Districts!D54*(1+SIM_Parametres!$B$6)^(2026-2023)</f>
        <v>428605.77484500001</v>
      </c>
      <c r="H764" s="125">
        <f>MAX(0,MIN(100,SIM_Districts!F54+(2026-2022)*SIM_Parametres!$B$7))</f>
        <v>33.979999999999997</v>
      </c>
      <c r="I764" s="125">
        <f>SIM_Districts!G54*(1+SIM_Parametres!$B$8)^(2026-2023)</f>
        <v>33.223359999999992</v>
      </c>
      <c r="J764" s="125">
        <f>SIM_Districts!H54*(1+SIM_Parametres!$B$9)^(2026-2023)</f>
        <v>16.694100000000002</v>
      </c>
      <c r="K764" s="125">
        <f>MAX(0,MIN(100,SIM_Districts!I54+(2026-2023)*SIM_Parametres!$B$10))</f>
        <v>91.9</v>
      </c>
      <c r="L764" s="125">
        <f>SIM_Districts!E54</f>
        <v>802</v>
      </c>
      <c r="M764" s="61">
        <f t="shared" si="424"/>
        <v>534.42116564214462</v>
      </c>
      <c r="N764" s="125">
        <f>N693*(1+SIM_Parametres!$B$6)/(1+SIM_Parametres!$B$11)</f>
        <v>89545</v>
      </c>
      <c r="O764" s="132"/>
      <c r="P764" s="126">
        <f>SIM_Parametres!$D$32</f>
        <v>0.5</v>
      </c>
      <c r="Q764" s="126">
        <f>SIM_Parametres!$B$12</f>
        <v>0.2</v>
      </c>
      <c r="R764" s="66">
        <f t="shared" si="442"/>
        <v>2.1638894632510345E-2</v>
      </c>
      <c r="S764" s="66">
        <f t="shared" si="443"/>
        <v>0.49645390070921974</v>
      </c>
      <c r="T764" s="66">
        <f t="shared" si="444"/>
        <v>0.84806629834254155</v>
      </c>
      <c r="U764" s="66">
        <f t="shared" si="445"/>
        <v>0.52059263207206885</v>
      </c>
      <c r="V764" s="66">
        <f t="shared" si="446"/>
        <v>0.20906585970196906</v>
      </c>
      <c r="W764" s="66">
        <f t="shared" si="447"/>
        <v>1.1836820968082851E-2</v>
      </c>
      <c r="X764" s="66">
        <f t="shared" si="448"/>
        <v>1.6782375772153284E-2</v>
      </c>
      <c r="Y764" s="66">
        <f t="shared" si="449"/>
        <v>1.3300990500921697E-2</v>
      </c>
      <c r="Z764" s="66">
        <f t="shared" si="450"/>
        <v>7.6734173990574452E-3</v>
      </c>
      <c r="AA764" s="66">
        <f t="shared" si="425"/>
        <v>1.8324936685540583E-2</v>
      </c>
      <c r="AB764" s="66">
        <f t="shared" si="451"/>
        <v>1.3760697116798315E-2</v>
      </c>
      <c r="AC764" s="67">
        <f t="shared" si="426"/>
        <v>26763795.513682298</v>
      </c>
      <c r="AD764" s="67">
        <f t="shared" si="441"/>
        <v>23918363.647718515</v>
      </c>
      <c r="AE764" s="66">
        <f t="shared" si="439"/>
        <v>0.17134870174149563</v>
      </c>
      <c r="AF764" s="64">
        <f>MIN(MAX(AD764,AH693*(1-SIM_Parametres!$E$32)),AH693*(1+SIM_Parametres!$F$32))</f>
        <v>23482433.671529014</v>
      </c>
      <c r="AG764" s="64">
        <f>IF(F764-SUM($AF$714:$AF$784)&gt;=0,IFERROR((F764-SUM($AF$714:$AF$784))/(SUM($AH$643:$AH$713)*(1+SIM_Parametres!$F$32)-SUM($AF$714:$AF$784)),0),IFERROR((F764-SUM($AF$714:$AF$784))/(SUM($AF$714:$AF$784)-SUM($AH$643:$AH$713)*(1-SIM_Parametres!$E$32)),0))</f>
        <v>7.0211825131946848E-2</v>
      </c>
      <c r="AH764" s="64">
        <f>AF764+IF(AG764&gt;=0,AG764*(AH693*(1+SIM_Parametres!$F$32)-AF764),AG764*(AF764-AH693*(1-SIM_Parametres!$E$32)))</f>
        <v>23482433.671529014</v>
      </c>
      <c r="AI764" s="67">
        <f t="shared" si="427"/>
        <v>54.787954455399358</v>
      </c>
      <c r="AJ764" s="67">
        <f t="shared" si="428"/>
        <v>2409501.8897742815</v>
      </c>
      <c r="AK764" s="66">
        <f t="shared" si="440"/>
        <v>0.14999999999999991</v>
      </c>
    </row>
    <row r="765" spans="1:37" ht="12.75" customHeight="1" x14ac:dyDescent="0.25">
      <c r="A765" s="55" t="s">
        <v>649</v>
      </c>
      <c r="B765" s="55" t="s">
        <v>441</v>
      </c>
      <c r="C765" s="55" t="s">
        <v>443</v>
      </c>
      <c r="D765" s="128">
        <v>2026</v>
      </c>
      <c r="E765" s="55" t="s">
        <v>676</v>
      </c>
      <c r="F765" s="57">
        <f>SIM_Parametres!$C$32</f>
        <v>1531385481.6286914</v>
      </c>
      <c r="G765" s="129">
        <f>SIM_Districts!D55*(1+SIM_Parametres!$B$6)^(2026-2023)</f>
        <v>315708.49938599998</v>
      </c>
      <c r="H765" s="129">
        <f>MAX(0,MIN(100,SIM_Districts!F55+(2026-2022)*SIM_Parametres!$B$7))</f>
        <v>61.080000000000005</v>
      </c>
      <c r="I765" s="129">
        <f>SIM_Districts!G55*(1+SIM_Parametres!$B$8)^(2026-2023)</f>
        <v>33.223359999999992</v>
      </c>
      <c r="J765" s="129">
        <f>SIM_Districts!H55*(1+SIM_Parametres!$B$9)^(2026-2023)</f>
        <v>17.860500000000002</v>
      </c>
      <c r="K765" s="129">
        <f>MAX(0,MIN(100,SIM_Districts!I55+(2026-2023)*SIM_Parametres!$B$10))</f>
        <v>87.6</v>
      </c>
      <c r="L765" s="129">
        <f>SIM_Districts!E55</f>
        <v>2865</v>
      </c>
      <c r="M765" s="68">
        <f t="shared" si="424"/>
        <v>110.19493870366492</v>
      </c>
      <c r="N765" s="129">
        <f>N694*(1+SIM_Parametres!$B$6)/(1+SIM_Parametres!$B$11)</f>
        <v>178218</v>
      </c>
      <c r="O765" s="72"/>
      <c r="P765" s="130">
        <f>SIM_Parametres!$D$32</f>
        <v>0.5</v>
      </c>
      <c r="Q765" s="130">
        <f>SIM_Parametres!$B$12</f>
        <v>0.2</v>
      </c>
      <c r="R765" s="59">
        <f t="shared" si="442"/>
        <v>1.593908284430411E-2</v>
      </c>
      <c r="S765" s="59">
        <f t="shared" si="443"/>
        <v>0.97695035460992918</v>
      </c>
      <c r="T765" s="59">
        <f t="shared" si="444"/>
        <v>0.89226519337016574</v>
      </c>
      <c r="U765" s="59">
        <f t="shared" si="445"/>
        <v>0.59754648703547386</v>
      </c>
      <c r="V765" s="59">
        <f t="shared" si="446"/>
        <v>0.82451294081719062</v>
      </c>
      <c r="W765" s="59">
        <f t="shared" si="447"/>
        <v>2.3293172690763048E-2</v>
      </c>
      <c r="X765" s="59">
        <f t="shared" si="448"/>
        <v>1.7657027278193845E-2</v>
      </c>
      <c r="Y765" s="59">
        <f t="shared" si="449"/>
        <v>1.526713913772349E-2</v>
      </c>
      <c r="Z765" s="59">
        <f t="shared" si="450"/>
        <v>3.0262386957075536E-2</v>
      </c>
      <c r="AA765" s="59">
        <f t="shared" si="425"/>
        <v>1.798245600666595E-2</v>
      </c>
      <c r="AB765" s="59">
        <f t="shared" si="451"/>
        <v>1.2724801180232453E-2</v>
      </c>
      <c r="AC765" s="60">
        <f t="shared" si="426"/>
        <v>26344219.562188733</v>
      </c>
      <c r="AD765" s="60">
        <f t="shared" si="441"/>
        <v>22915397.673104174</v>
      </c>
      <c r="AE765" s="59">
        <f t="shared" si="439"/>
        <v>0.2135888142049629</v>
      </c>
      <c r="AF765" s="57">
        <f>MIN(MAX(AD765,AH694*(1-SIM_Parametres!$E$32)),AH694*(1+SIM_Parametres!$F$32))</f>
        <v>21714692.007386196</v>
      </c>
      <c r="AG765" s="57">
        <f>IF(F765-SUM($AF$714:$AF$784)&gt;=0,IFERROR((F765-SUM($AF$714:$AF$784))/(SUM($AH$643:$AH$713)*(1+SIM_Parametres!$F$32)-SUM($AF$714:$AF$784)),0),IFERROR((F765-SUM($AF$714:$AF$784))/(SUM($AF$714:$AF$784)-SUM($AH$643:$AH$713)*(1-SIM_Parametres!$E$32)),0))</f>
        <v>7.0211825131946848E-2</v>
      </c>
      <c r="AH765" s="57">
        <f>AF765+IF(AG765&gt;=0,AG765*(AH694*(1+SIM_Parametres!$F$32)-AF765),AG765*(AF765-AH694*(1-SIM_Parametres!$E$32)))</f>
        <v>21714692.007386196</v>
      </c>
      <c r="AI765" s="60">
        <f t="shared" si="427"/>
        <v>68.780828041112684</v>
      </c>
      <c r="AJ765" s="60">
        <f t="shared" si="428"/>
        <v>2228116.2233665809</v>
      </c>
      <c r="AK765" s="59">
        <f t="shared" si="440"/>
        <v>0.14999999999999991</v>
      </c>
    </row>
    <row r="766" spans="1:37" ht="12.75" customHeight="1" x14ac:dyDescent="0.25">
      <c r="A766" s="62" t="s">
        <v>651</v>
      </c>
      <c r="B766" s="62" t="s">
        <v>441</v>
      </c>
      <c r="C766" s="62" t="s">
        <v>441</v>
      </c>
      <c r="D766" s="124">
        <v>2026</v>
      </c>
      <c r="E766" s="62" t="s">
        <v>676</v>
      </c>
      <c r="F766" s="64">
        <f>SIM_Parametres!$C$32</f>
        <v>1531385481.6286914</v>
      </c>
      <c r="G766" s="125">
        <f>SIM_Districts!D56*(1+SIM_Parametres!$B$6)^(2026-2023)</f>
        <v>328198.36899599998</v>
      </c>
      <c r="H766" s="125">
        <f>MAX(0,MIN(100,SIM_Districts!F56+(2026-2022)*SIM_Parametres!$B$7))</f>
        <v>61.080000000000005</v>
      </c>
      <c r="I766" s="125">
        <f>SIM_Districts!G56*(1+SIM_Parametres!$B$8)^(2026-2023)</f>
        <v>33.223359999999992</v>
      </c>
      <c r="J766" s="125">
        <f>SIM_Districts!H56*(1+SIM_Parametres!$B$9)^(2026-2023)</f>
        <v>17.860500000000002</v>
      </c>
      <c r="K766" s="125">
        <f>MAX(0,MIN(100,SIM_Districts!I56+(2026-2023)*SIM_Parametres!$B$10))</f>
        <v>87.6</v>
      </c>
      <c r="L766" s="125">
        <f>SIM_Districts!E56</f>
        <v>2749</v>
      </c>
      <c r="M766" s="61">
        <f t="shared" si="424"/>
        <v>119.38827537140777</v>
      </c>
      <c r="N766" s="125">
        <f>N695*(1+SIM_Parametres!$B$6)/(1+SIM_Parametres!$B$11)</f>
        <v>178218</v>
      </c>
      <c r="O766" s="132"/>
      <c r="P766" s="126">
        <f>SIM_Parametres!$D$32</f>
        <v>0.5</v>
      </c>
      <c r="Q766" s="126">
        <f>SIM_Parametres!$B$12</f>
        <v>0.2</v>
      </c>
      <c r="R766" s="66">
        <f t="shared" si="442"/>
        <v>1.6569655245159704E-2</v>
      </c>
      <c r="S766" s="66">
        <f t="shared" si="443"/>
        <v>0.97695035460992918</v>
      </c>
      <c r="T766" s="66">
        <f t="shared" si="444"/>
        <v>0.89226519337016574</v>
      </c>
      <c r="U766" s="66">
        <f t="shared" si="445"/>
        <v>0.59340921006518599</v>
      </c>
      <c r="V766" s="66">
        <f t="shared" si="446"/>
        <v>0.82451294081719062</v>
      </c>
      <c r="W766" s="66">
        <f t="shared" si="447"/>
        <v>2.3293172690763048E-2</v>
      </c>
      <c r="X766" s="66">
        <f t="shared" si="448"/>
        <v>1.7657027278193845E-2</v>
      </c>
      <c r="Y766" s="66">
        <f t="shared" si="449"/>
        <v>1.5161432913141612E-2</v>
      </c>
      <c r="Z766" s="66">
        <f t="shared" si="450"/>
        <v>3.0262386957075536E-2</v>
      </c>
      <c r="AA766" s="66">
        <f t="shared" si="425"/>
        <v>1.8355514135950216E-2</v>
      </c>
      <c r="AB766" s="66">
        <f t="shared" si="451"/>
        <v>1.449666211309329E-2</v>
      </c>
      <c r="AC766" s="67">
        <f t="shared" si="426"/>
        <v>26801256.204580326</v>
      </c>
      <c r="AD766" s="67">
        <f t="shared" si="441"/>
        <v>24500617.048324049</v>
      </c>
      <c r="AE766" s="66">
        <f t="shared" si="439"/>
        <v>0.13894873755278914</v>
      </c>
      <c r="AF766" s="64">
        <f>MIN(MAX(AD766,AH695*(1-SIM_Parametres!$E$32)),AH695*(1+SIM_Parametres!$F$32))</f>
        <v>24500617.048324049</v>
      </c>
      <c r="AG766" s="64">
        <f>IF(F766-SUM($AF$714:$AF$784)&gt;=0,IFERROR((F766-SUM($AF$714:$AF$784))/(SUM($AH$643:$AH$713)*(1+SIM_Parametres!$F$32)-SUM($AF$714:$AF$784)),0),IFERROR((F766-SUM($AF$714:$AF$784))/(SUM($AF$714:$AF$784)-SUM($AH$643:$AH$713)*(1-SIM_Parametres!$E$32)),0))</f>
        <v>7.0211825131946848E-2</v>
      </c>
      <c r="AH766" s="64">
        <f>AF766+IF(AG766&gt;=0,AG766*(AH695*(1+SIM_Parametres!$F$32)-AF766),AG766*(AF766-AH695*(1-SIM_Parametres!$E$32)))</f>
        <v>24517308.534223828</v>
      </c>
      <c r="AI766" s="67">
        <f t="shared" si="427"/>
        <v>74.702712902642858</v>
      </c>
      <c r="AJ766" s="67">
        <f t="shared" si="428"/>
        <v>2317330.6421560571</v>
      </c>
      <c r="AK766" s="66">
        <f t="shared" si="440"/>
        <v>0.13972466685922003</v>
      </c>
    </row>
    <row r="767" spans="1:37" ht="12.75" customHeight="1" x14ac:dyDescent="0.25">
      <c r="A767" s="55" t="s">
        <v>652</v>
      </c>
      <c r="B767" s="55" t="s">
        <v>444</v>
      </c>
      <c r="C767" s="55" t="s">
        <v>446</v>
      </c>
      <c r="D767" s="128">
        <v>2026</v>
      </c>
      <c r="E767" s="55" t="s">
        <v>676</v>
      </c>
      <c r="F767" s="57">
        <f>SIM_Parametres!$C$32</f>
        <v>1531385481.6286914</v>
      </c>
      <c r="G767" s="129">
        <f>SIM_Districts!D57*(1+SIM_Parametres!$B$6)^(2026-2023)</f>
        <v>165457.44415900001</v>
      </c>
      <c r="H767" s="129">
        <f>MAX(0,MIN(100,SIM_Districts!F57+(2026-2022)*SIM_Parametres!$B$7))</f>
        <v>59.48</v>
      </c>
      <c r="I767" s="129">
        <f>SIM_Districts!G57*(1+SIM_Parametres!$B$8)^(2026-2023)</f>
        <v>33.223359999999992</v>
      </c>
      <c r="J767" s="129">
        <f>SIM_Districts!H57*(1+SIM_Parametres!$B$9)^(2026-2023)</f>
        <v>17.131500000000003</v>
      </c>
      <c r="K767" s="129">
        <f>MAX(0,MIN(100,SIM_Districts!I57+(2026-2023)*SIM_Parametres!$B$10))</f>
        <v>91.6</v>
      </c>
      <c r="L767" s="129">
        <f>SIM_Districts!E57</f>
        <v>1360</v>
      </c>
      <c r="M767" s="68">
        <f t="shared" si="424"/>
        <v>121.65988541102942</v>
      </c>
      <c r="N767" s="129">
        <f>N696*(1+SIM_Parametres!$B$6)/(1+SIM_Parametres!$B$11)</f>
        <v>71159</v>
      </c>
      <c r="O767" s="72"/>
      <c r="P767" s="130">
        <f>SIM_Parametres!$D$32</f>
        <v>0.5</v>
      </c>
      <c r="Q767" s="130">
        <f>SIM_Parametres!$B$12</f>
        <v>0.2</v>
      </c>
      <c r="R767" s="59">
        <f t="shared" si="442"/>
        <v>8.3534016815705343E-3</v>
      </c>
      <c r="S767" s="59">
        <f t="shared" si="443"/>
        <v>0.9485815602836879</v>
      </c>
      <c r="T767" s="59">
        <f t="shared" si="444"/>
        <v>0.86464088397790062</v>
      </c>
      <c r="U767" s="59">
        <f t="shared" si="445"/>
        <v>0.54526424876049684</v>
      </c>
      <c r="V767" s="59">
        <f t="shared" si="446"/>
        <v>8.1455312710388056E-2</v>
      </c>
      <c r="W767" s="59">
        <f t="shared" si="447"/>
        <v>2.2616782921158311E-2</v>
      </c>
      <c r="X767" s="59">
        <f t="shared" si="448"/>
        <v>1.7110370086918496E-2</v>
      </c>
      <c r="Y767" s="59">
        <f t="shared" si="449"/>
        <v>1.3931343139431058E-2</v>
      </c>
      <c r="Z767" s="59">
        <f t="shared" si="450"/>
        <v>2.9896828429499429E-3</v>
      </c>
      <c r="AA767" s="59">
        <f t="shared" si="425"/>
        <v>1.1817165259272889E-2</v>
      </c>
      <c r="AB767" s="59">
        <f t="shared" si="451"/>
        <v>1.4601679949322594E-2</v>
      </c>
      <c r="AC767" s="60">
        <f t="shared" si="426"/>
        <v>18791070.169726782</v>
      </c>
      <c r="AD767" s="60">
        <f t="shared" si="441"/>
        <v>20575935.425754085</v>
      </c>
      <c r="AE767" s="59">
        <f t="shared" si="439"/>
        <v>-5.0375446677137115E-2</v>
      </c>
      <c r="AF767" s="57">
        <f>MIN(MAX(AD767,AH696*(1-SIM_Parametres!$E$32)),AH696*(1+SIM_Parametres!$F$32))</f>
        <v>20584070.395050693</v>
      </c>
      <c r="AG767" s="57">
        <f>IF(F767-SUM($AF$714:$AF$784)&gt;=0,IFERROR((F767-SUM($AF$714:$AF$784))/(SUM($AH$643:$AH$713)*(1+SIM_Parametres!$F$32)-SUM($AF$714:$AF$784)),0),IFERROR((F767-SUM($AF$714:$AF$784))/(SUM($AF$714:$AF$784)-SUM($AH$643:$AH$713)*(1-SIM_Parametres!$E$32)),0))</f>
        <v>7.0211825131946848E-2</v>
      </c>
      <c r="AH767" s="57">
        <f>AF767+IF(AG767&gt;=0,AG767*(AH696*(1+SIM_Parametres!$F$32)-AF767),AG767*(AF767-AH696*(1-SIM_Parametres!$E$32)))</f>
        <v>20888332.532120373</v>
      </c>
      <c r="AI767" s="60">
        <f t="shared" si="427"/>
        <v>126.24595187175299</v>
      </c>
      <c r="AJ767" s="60">
        <f t="shared" si="428"/>
        <v>-1472468.1496610157</v>
      </c>
      <c r="AK767" s="59">
        <f t="shared" si="440"/>
        <v>-3.5957634973610708E-2</v>
      </c>
    </row>
    <row r="768" spans="1:37" ht="12.75" customHeight="1" x14ac:dyDescent="0.25">
      <c r="A768" s="62" t="s">
        <v>654</v>
      </c>
      <c r="B768" s="62" t="s">
        <v>444</v>
      </c>
      <c r="C768" s="62" t="s">
        <v>447</v>
      </c>
      <c r="D768" s="124">
        <v>2026</v>
      </c>
      <c r="E768" s="62" t="s">
        <v>676</v>
      </c>
      <c r="F768" s="64">
        <f>SIM_Parametres!$C$32</f>
        <v>1531385481.6286914</v>
      </c>
      <c r="G768" s="125">
        <f>SIM_Districts!D58*(1+SIM_Parametres!$B$6)^(2026-2023)</f>
        <v>81138.257931</v>
      </c>
      <c r="H768" s="125">
        <f>MAX(0,MIN(100,SIM_Districts!F58+(2026-2022)*SIM_Parametres!$B$7))</f>
        <v>59.48</v>
      </c>
      <c r="I768" s="125">
        <f>SIM_Districts!G58*(1+SIM_Parametres!$B$8)^(2026-2023)</f>
        <v>33.223359999999992</v>
      </c>
      <c r="J768" s="125">
        <f>SIM_Districts!H58*(1+SIM_Parametres!$B$9)^(2026-2023)</f>
        <v>17.131500000000003</v>
      </c>
      <c r="K768" s="125">
        <f>MAX(0,MIN(100,SIM_Districts!I58+(2026-2023)*SIM_Parametres!$B$10))</f>
        <v>91.6</v>
      </c>
      <c r="L768" s="125">
        <f>SIM_Districts!E58</f>
        <v>6089</v>
      </c>
      <c r="M768" s="61">
        <f t="shared" si="424"/>
        <v>13.32538313861061</v>
      </c>
      <c r="N768" s="125">
        <f>N697*(1+SIM_Parametres!$B$6)/(1+SIM_Parametres!$B$11)</f>
        <v>71159</v>
      </c>
      <c r="O768" s="132"/>
      <c r="P768" s="126">
        <f>SIM_Parametres!$D$32</f>
        <v>0.5</v>
      </c>
      <c r="Q768" s="126">
        <f>SIM_Parametres!$B$12</f>
        <v>0.2</v>
      </c>
      <c r="R768" s="66">
        <f t="shared" si="442"/>
        <v>4.0964035416211977E-3</v>
      </c>
      <c r="S768" s="66">
        <f t="shared" si="443"/>
        <v>0.9485815602836879</v>
      </c>
      <c r="T768" s="66">
        <f t="shared" si="444"/>
        <v>0.86464088397790062</v>
      </c>
      <c r="U768" s="66">
        <f t="shared" si="445"/>
        <v>0.71048099676349064</v>
      </c>
      <c r="V768" s="66">
        <f t="shared" si="446"/>
        <v>8.1455312710388056E-2</v>
      </c>
      <c r="W768" s="66">
        <f t="shared" si="447"/>
        <v>2.2616782921158311E-2</v>
      </c>
      <c r="X768" s="66">
        <f t="shared" si="448"/>
        <v>1.7110370086918496E-2</v>
      </c>
      <c r="Y768" s="66">
        <f t="shared" si="449"/>
        <v>1.8152583050250182E-2</v>
      </c>
      <c r="Z768" s="66">
        <f t="shared" si="450"/>
        <v>2.9896828429499429E-3</v>
      </c>
      <c r="AA768" s="66">
        <f t="shared" si="425"/>
        <v>9.4740283708442466E-3</v>
      </c>
      <c r="AB768" s="66">
        <f t="shared" si="451"/>
        <v>1.2162745720733215E-2</v>
      </c>
      <c r="AC768" s="67">
        <f t="shared" si="426"/>
        <v>15920473.519800184</v>
      </c>
      <c r="AD768" s="67">
        <f t="shared" si="441"/>
        <v>17273162.866636261</v>
      </c>
      <c r="AE768" s="66">
        <f t="shared" si="439"/>
        <v>-4.2948270282371581E-2</v>
      </c>
      <c r="AF768" s="64">
        <f>MIN(MAX(AD768,AH697*(1-SIM_Parametres!$E$32)),AH697*(1+SIM_Parametres!$F$32))</f>
        <v>17273162.866636261</v>
      </c>
      <c r="AG768" s="64">
        <f>IF(F768-SUM($AF$714:$AF$784)&gt;=0,IFERROR((F768-SUM($AF$714:$AF$784))/(SUM($AH$643:$AH$713)*(1+SIM_Parametres!$F$32)-SUM($AF$714:$AF$784)),0),IFERROR((F768-SUM($AF$714:$AF$784))/(SUM($AF$714:$AF$784)-SUM($AH$643:$AH$713)*(1-SIM_Parametres!$E$32)),0))</f>
        <v>7.0211825131946848E-2</v>
      </c>
      <c r="AH768" s="64">
        <f>AF768+IF(AG768&gt;=0,AG768*(AH697*(1+SIM_Parametres!$F$32)-AF768),AG768*(AF768-AH697*(1-SIM_Parametres!$E$32)))</f>
        <v>17517667.789464168</v>
      </c>
      <c r="AI768" s="67">
        <f t="shared" si="427"/>
        <v>215.89898817350993</v>
      </c>
      <c r="AJ768" s="67">
        <f t="shared" si="428"/>
        <v>-1108184.424008172</v>
      </c>
      <c r="AK768" s="66">
        <f t="shared" si="440"/>
        <v>-2.9401020069794059E-2</v>
      </c>
    </row>
    <row r="769" spans="1:37" ht="12.75" customHeight="1" x14ac:dyDescent="0.25">
      <c r="A769" s="55" t="s">
        <v>655</v>
      </c>
      <c r="B769" s="55" t="s">
        <v>444</v>
      </c>
      <c r="C769" s="55" t="s">
        <v>448</v>
      </c>
      <c r="D769" s="128">
        <v>2026</v>
      </c>
      <c r="E769" s="55" t="s">
        <v>676</v>
      </c>
      <c r="F769" s="57">
        <f>SIM_Parametres!$C$32</f>
        <v>1531385481.6286914</v>
      </c>
      <c r="G769" s="129">
        <f>SIM_Districts!D59*(1+SIM_Parametres!$B$6)^(2026-2023)</f>
        <v>142934.15523500001</v>
      </c>
      <c r="H769" s="129">
        <f>MAX(0,MIN(100,SIM_Districts!F59+(2026-2022)*SIM_Parametres!$B$7))</f>
        <v>59.48</v>
      </c>
      <c r="I769" s="129">
        <f>SIM_Districts!G59*(1+SIM_Parametres!$B$8)^(2026-2023)</f>
        <v>33.223359999999992</v>
      </c>
      <c r="J769" s="129">
        <f>SIM_Districts!H59*(1+SIM_Parametres!$B$9)^(2026-2023)</f>
        <v>17.131500000000003</v>
      </c>
      <c r="K769" s="129">
        <f>MAX(0,MIN(100,SIM_Districts!I59+(2026-2023)*SIM_Parametres!$B$10))</f>
        <v>91.6</v>
      </c>
      <c r="L769" s="129">
        <f>SIM_Districts!E59</f>
        <v>9596</v>
      </c>
      <c r="M769" s="68">
        <f t="shared" si="424"/>
        <v>14.895180828991247</v>
      </c>
      <c r="N769" s="129">
        <f>N698*(1+SIM_Parametres!$B$6)/(1+SIM_Parametres!$B$11)</f>
        <v>71159</v>
      </c>
      <c r="O769" s="72"/>
      <c r="P769" s="130">
        <f>SIM_Parametres!$D$32</f>
        <v>0.5</v>
      </c>
      <c r="Q769" s="130">
        <f>SIM_Parametres!$B$12</f>
        <v>0.2</v>
      </c>
      <c r="R769" s="59">
        <f t="shared" si="442"/>
        <v>7.2162749688465221E-3</v>
      </c>
      <c r="S769" s="59">
        <f t="shared" si="443"/>
        <v>0.9485815602836879</v>
      </c>
      <c r="T769" s="59">
        <f t="shared" si="444"/>
        <v>0.86464088397790062</v>
      </c>
      <c r="U769" s="59">
        <f t="shared" si="445"/>
        <v>0.83194467542502504</v>
      </c>
      <c r="V769" s="59">
        <f t="shared" si="446"/>
        <v>8.1455312710388056E-2</v>
      </c>
      <c r="W769" s="59">
        <f t="shared" si="447"/>
        <v>2.2616782921158311E-2</v>
      </c>
      <c r="X769" s="59">
        <f t="shared" si="448"/>
        <v>1.7110370086918496E-2</v>
      </c>
      <c r="Y769" s="59">
        <f t="shared" si="449"/>
        <v>2.1255944751036641E-2</v>
      </c>
      <c r="Z769" s="59">
        <f t="shared" si="450"/>
        <v>2.9896828429499429E-3</v>
      </c>
      <c r="AA769" s="59">
        <f t="shared" si="425"/>
        <v>1.1501119312218764E-2</v>
      </c>
      <c r="AB769" s="59">
        <f t="shared" si="451"/>
        <v>1.2786971739280202E-2</v>
      </c>
      <c r="AC769" s="60">
        <f t="shared" si="426"/>
        <v>18403879.629849762</v>
      </c>
      <c r="AD769" s="60">
        <f t="shared" si="441"/>
        <v>18992831.25268992</v>
      </c>
      <c r="AE769" s="59">
        <f t="shared" si="439"/>
        <v>9.6104513902228739E-4</v>
      </c>
      <c r="AF769" s="57">
        <f>MIN(MAX(AD769,AH698*(1-SIM_Parametres!$E$32)),AH698*(1+SIM_Parametres!$F$32))</f>
        <v>18992831.25268992</v>
      </c>
      <c r="AG769" s="57">
        <f>IF(F769-SUM($AF$714:$AF$784)&gt;=0,IFERROR((F769-SUM($AF$714:$AF$784))/(SUM($AH$643:$AH$713)*(1+SIM_Parametres!$F$32)-SUM($AF$714:$AF$784)),0),IFERROR((F769-SUM($AF$714:$AF$784))/(SUM($AF$714:$AF$784)-SUM($AH$643:$AH$713)*(1-SIM_Parametres!$E$32)),0))</f>
        <v>7.0211825131946848E-2</v>
      </c>
      <c r="AH769" s="57">
        <f>AF769+IF(AG769&gt;=0,AG769*(AH698*(1+SIM_Parametres!$F$32)-AF769),AG769*(AF769-AH698*(1-SIM_Parametres!$E$32)))</f>
        <v>19191387.059390228</v>
      </c>
      <c r="AI769" s="60">
        <f t="shared" si="427"/>
        <v>134.26732769251271</v>
      </c>
      <c r="AJ769" s="60">
        <f t="shared" si="428"/>
        <v>-390395.81613985077</v>
      </c>
      <c r="AK769" s="59">
        <f t="shared" si="440"/>
        <v>1.1425342175569453E-2</v>
      </c>
    </row>
    <row r="770" spans="1:37" ht="12.75" customHeight="1" x14ac:dyDescent="0.25">
      <c r="A770" s="62" t="s">
        <v>656</v>
      </c>
      <c r="B770" s="62" t="s">
        <v>444</v>
      </c>
      <c r="C770" s="62" t="s">
        <v>449</v>
      </c>
      <c r="D770" s="124">
        <v>2026</v>
      </c>
      <c r="E770" s="62" t="s">
        <v>676</v>
      </c>
      <c r="F770" s="64">
        <f>SIM_Parametres!$C$32</f>
        <v>1531385481.6286914</v>
      </c>
      <c r="G770" s="125">
        <f>SIM_Districts!D60*(1+SIM_Parametres!$B$6)^(2026-2023)</f>
        <v>105480.93730999999</v>
      </c>
      <c r="H770" s="125">
        <f>MAX(0,MIN(100,SIM_Districts!F60+(2026-2022)*SIM_Parametres!$B$7))</f>
        <v>59.48</v>
      </c>
      <c r="I770" s="125">
        <f>SIM_Districts!G60*(1+SIM_Parametres!$B$8)^(2026-2023)</f>
        <v>33.223359999999992</v>
      </c>
      <c r="J770" s="125">
        <f>SIM_Districts!H60*(1+SIM_Parametres!$B$9)^(2026-2023)</f>
        <v>17.131500000000003</v>
      </c>
      <c r="K770" s="125">
        <f>MAX(0,MIN(100,SIM_Districts!I60+(2026-2023)*SIM_Parametres!$B$10))</f>
        <v>91.6</v>
      </c>
      <c r="L770" s="125">
        <f>SIM_Districts!E60</f>
        <v>5363</v>
      </c>
      <c r="M770" s="61">
        <f t="shared" si="424"/>
        <v>19.668270988252843</v>
      </c>
      <c r="N770" s="125">
        <f>N699*(1+SIM_Parametres!$B$6)/(1+SIM_Parametres!$B$11)</f>
        <v>71159</v>
      </c>
      <c r="O770" s="132"/>
      <c r="P770" s="126">
        <f>SIM_Parametres!$D$32</f>
        <v>0.5</v>
      </c>
      <c r="Q770" s="126">
        <f>SIM_Parametres!$B$12</f>
        <v>0.2</v>
      </c>
      <c r="R770" s="66">
        <f t="shared" si="442"/>
        <v>5.325385289115513E-3</v>
      </c>
      <c r="S770" s="66">
        <f t="shared" si="443"/>
        <v>0.9485815602836879</v>
      </c>
      <c r="T770" s="66">
        <f t="shared" si="444"/>
        <v>0.86464088397790062</v>
      </c>
      <c r="U770" s="66">
        <f t="shared" si="445"/>
        <v>0.68524994865574673</v>
      </c>
      <c r="V770" s="66">
        <f t="shared" si="446"/>
        <v>8.1455312710388056E-2</v>
      </c>
      <c r="W770" s="66">
        <f t="shared" si="447"/>
        <v>2.2616782921158311E-2</v>
      </c>
      <c r="X770" s="66">
        <f t="shared" si="448"/>
        <v>1.7110370086918496E-2</v>
      </c>
      <c r="Y770" s="66">
        <f t="shared" si="449"/>
        <v>1.7507937101509708E-2</v>
      </c>
      <c r="Z770" s="66">
        <f t="shared" si="450"/>
        <v>2.9896828429499429E-3</v>
      </c>
      <c r="AA770" s="66">
        <f t="shared" si="425"/>
        <v>1.0179185121903812E-2</v>
      </c>
      <c r="AB770" s="66">
        <f t="shared" si="451"/>
        <v>1.3375911764854143E-2</v>
      </c>
      <c r="AC770" s="67">
        <f t="shared" si="426"/>
        <v>16784366.968476243</v>
      </c>
      <c r="AD770" s="67">
        <f t="shared" si="441"/>
        <v>18634022.024360143</v>
      </c>
      <c r="AE770" s="66">
        <f t="shared" si="439"/>
        <v>-6.1188542769657905E-2</v>
      </c>
      <c r="AF770" s="64">
        <f>MIN(MAX(AD770,AH699*(1-SIM_Parametres!$E$32)),AH699*(1+SIM_Parametres!$F$32))</f>
        <v>18856098.087433949</v>
      </c>
      <c r="AG770" s="64">
        <f>IF(F770-SUM($AF$714:$AF$784)&gt;=0,IFERROR((F770-SUM($AF$714:$AF$784))/(SUM($AH$643:$AH$713)*(1+SIM_Parametres!$F$32)-SUM($AF$714:$AF$784)),0),IFERROR((F770-SUM($AF$714:$AF$784))/(SUM($AF$714:$AF$784)-SUM($AH$643:$AH$713)*(1-SIM_Parametres!$E$32)),0))</f>
        <v>7.0211825131946848E-2</v>
      </c>
      <c r="AH770" s="64">
        <f>AF770+IF(AG770&gt;=0,AG770*(AH699*(1+SIM_Parametres!$F$32)-AF770),AG770*(AF770-AH699*(1-SIM_Parametres!$E$32)))</f>
        <v>19134818.310925685</v>
      </c>
      <c r="AI770" s="67">
        <f t="shared" si="427"/>
        <v>181.40546338425105</v>
      </c>
      <c r="AJ770" s="67">
        <f t="shared" si="428"/>
        <v>-1348858.7693183571</v>
      </c>
      <c r="AK770" s="66">
        <f t="shared" si="440"/>
        <v>-3.5957634973610819E-2</v>
      </c>
    </row>
    <row r="771" spans="1:37" ht="12.75" customHeight="1" x14ac:dyDescent="0.25">
      <c r="A771" s="55" t="s">
        <v>657</v>
      </c>
      <c r="B771" s="55" t="s">
        <v>444</v>
      </c>
      <c r="C771" s="55" t="s">
        <v>450</v>
      </c>
      <c r="D771" s="128">
        <v>2026</v>
      </c>
      <c r="E771" s="55" t="s">
        <v>676</v>
      </c>
      <c r="F771" s="57">
        <f>SIM_Parametres!$C$32</f>
        <v>1531385481.6286914</v>
      </c>
      <c r="G771" s="129">
        <f>SIM_Districts!D61*(1+SIM_Parametres!$B$6)^(2026-2023)</f>
        <v>134033.89382</v>
      </c>
      <c r="H771" s="129">
        <f>MAX(0,MIN(100,SIM_Districts!F61+(2026-2022)*SIM_Parametres!$B$7))</f>
        <v>59.48</v>
      </c>
      <c r="I771" s="129">
        <f>SIM_Districts!G61*(1+SIM_Parametres!$B$8)^(2026-2023)</f>
        <v>33.223359999999992</v>
      </c>
      <c r="J771" s="129">
        <f>SIM_Districts!H61*(1+SIM_Parametres!$B$9)^(2026-2023)</f>
        <v>17.131500000000003</v>
      </c>
      <c r="K771" s="129">
        <f>MAX(0,MIN(100,SIM_Districts!I61+(2026-2023)*SIM_Parametres!$B$10))</f>
        <v>91.6</v>
      </c>
      <c r="L771" s="129">
        <f>SIM_Districts!E61</f>
        <v>2477</v>
      </c>
      <c r="M771" s="68">
        <f t="shared" si="424"/>
        <v>54.111382244650784</v>
      </c>
      <c r="N771" s="129">
        <f>N700*(1+SIM_Parametres!$B$6)/(1+SIM_Parametres!$B$11)</f>
        <v>71159</v>
      </c>
      <c r="O771" s="72"/>
      <c r="P771" s="130">
        <f>SIM_Parametres!$D$32</f>
        <v>0.5</v>
      </c>
      <c r="Q771" s="130">
        <f>SIM_Parametres!$B$12</f>
        <v>0.2</v>
      </c>
      <c r="R771" s="59">
        <f t="shared" si="442"/>
        <v>6.7669300690242299E-3</v>
      </c>
      <c r="S771" s="59">
        <f t="shared" si="443"/>
        <v>0.9485815602836879</v>
      </c>
      <c r="T771" s="59">
        <f t="shared" si="444"/>
        <v>0.86464088397790062</v>
      </c>
      <c r="U771" s="59">
        <f t="shared" si="445"/>
        <v>0.58483187330804909</v>
      </c>
      <c r="V771" s="59">
        <f t="shared" si="446"/>
        <v>8.1455312710388056E-2</v>
      </c>
      <c r="W771" s="59">
        <f t="shared" si="447"/>
        <v>2.2616782921158311E-2</v>
      </c>
      <c r="X771" s="59">
        <f t="shared" si="448"/>
        <v>1.7110370086918496E-2</v>
      </c>
      <c r="Y771" s="59">
        <f t="shared" si="449"/>
        <v>1.4942284450982642E-2</v>
      </c>
      <c r="Z771" s="59">
        <f t="shared" si="450"/>
        <v>2.9896828429499429E-3</v>
      </c>
      <c r="AA771" s="59">
        <f t="shared" si="425"/>
        <v>1.0915829357322687E-2</v>
      </c>
      <c r="AB771" s="59">
        <f t="shared" si="451"/>
        <v>1.3002888410567653E-2</v>
      </c>
      <c r="AC771" s="60">
        <f t="shared" si="426"/>
        <v>17686835.998272993</v>
      </c>
      <c r="AD771" s="60">
        <f t="shared" si="441"/>
        <v>18799635.264727134</v>
      </c>
      <c r="AE771" s="59">
        <f t="shared" si="439"/>
        <v>-2.5672950094693725E-2</v>
      </c>
      <c r="AF771" s="57">
        <f>MIN(MAX(AD771,AH700*(1-SIM_Parametres!$E$32)),AH700*(1+SIM_Parametres!$F$32))</f>
        <v>18799635.264727134</v>
      </c>
      <c r="AG771" s="57">
        <f>IF(F771-SUM($AF$714:$AF$784)&gt;=0,IFERROR((F771-SUM($AF$714:$AF$784))/(SUM($AH$643:$AH$713)*(1+SIM_Parametres!$F$32)-SUM($AF$714:$AF$784)),0),IFERROR((F771-SUM($AF$714:$AF$784))/(SUM($AF$714:$AF$784)-SUM($AH$643:$AH$713)*(1-SIM_Parametres!$E$32)),0))</f>
        <v>7.0211825131946848E-2</v>
      </c>
      <c r="AH771" s="57">
        <f>AF771+IF(AG771&gt;=0,AG771*(AH700*(1+SIM_Parametres!$F$32)-AF771),AG771*(AF771-AH700*(1-SIM_Parametres!$E$32)))</f>
        <v>19037625.873904835</v>
      </c>
      <c r="AI771" s="60">
        <f t="shared" si="427"/>
        <v>142.03590846559527</v>
      </c>
      <c r="AJ771" s="60">
        <f t="shared" si="428"/>
        <v>-874808.65727644041</v>
      </c>
      <c r="AK771" s="59">
        <f t="shared" si="440"/>
        <v>-1.3338631642231813E-2</v>
      </c>
    </row>
    <row r="772" spans="1:37" ht="12.75" customHeight="1" x14ac:dyDescent="0.25">
      <c r="A772" s="62" t="s">
        <v>658</v>
      </c>
      <c r="B772" s="62" t="s">
        <v>444</v>
      </c>
      <c r="C772" s="62" t="s">
        <v>451</v>
      </c>
      <c r="D772" s="124">
        <v>2026</v>
      </c>
      <c r="E772" s="62" t="s">
        <v>676</v>
      </c>
      <c r="F772" s="64">
        <f>SIM_Parametres!$C$32</f>
        <v>1531385481.6286914</v>
      </c>
      <c r="G772" s="125">
        <f>SIM_Districts!D62*(1+SIM_Parametres!$B$6)^(2026-2023)</f>
        <v>449642.95504899998</v>
      </c>
      <c r="H772" s="125">
        <f>MAX(0,MIN(100,SIM_Districts!F62+(2026-2022)*SIM_Parametres!$B$7))</f>
        <v>59.48</v>
      </c>
      <c r="I772" s="125">
        <f>SIM_Districts!G62*(1+SIM_Parametres!$B$8)^(2026-2023)</f>
        <v>33.223359999999992</v>
      </c>
      <c r="J772" s="125">
        <f>SIM_Districts!H62*(1+SIM_Parametres!$B$9)^(2026-2023)</f>
        <v>17.131500000000003</v>
      </c>
      <c r="K772" s="125">
        <f>MAX(0,MIN(100,SIM_Districts!I62+(2026-2023)*SIM_Parametres!$B$10))</f>
        <v>91.6</v>
      </c>
      <c r="L772" s="125">
        <f>SIM_Districts!E62</f>
        <v>11599</v>
      </c>
      <c r="M772" s="61">
        <f t="shared" ref="M772:M835" si="452">IFERROR(G772/L772,0)</f>
        <v>38.765665578842999</v>
      </c>
      <c r="N772" s="125">
        <f>N701*(1+SIM_Parametres!$B$6)/(1+SIM_Parametres!$B$11)</f>
        <v>71159</v>
      </c>
      <c r="O772" s="132"/>
      <c r="P772" s="126">
        <f>SIM_Parametres!$D$32</f>
        <v>0.5</v>
      </c>
      <c r="Q772" s="126">
        <f>SIM_Parametres!$B$12</f>
        <v>0.2</v>
      </c>
      <c r="R772" s="66">
        <f t="shared" si="442"/>
        <v>2.2700992608124679E-2</v>
      </c>
      <c r="S772" s="66">
        <f t="shared" si="443"/>
        <v>0.9485815602836879</v>
      </c>
      <c r="T772" s="66">
        <f t="shared" si="444"/>
        <v>0.86464088397790062</v>
      </c>
      <c r="U772" s="66">
        <f t="shared" si="445"/>
        <v>0.901020512243767</v>
      </c>
      <c r="V772" s="66">
        <f t="shared" si="446"/>
        <v>8.1455312710388056E-2</v>
      </c>
      <c r="W772" s="66">
        <f t="shared" si="447"/>
        <v>2.2616782921158311E-2</v>
      </c>
      <c r="X772" s="66">
        <f t="shared" si="448"/>
        <v>1.7110370086918496E-2</v>
      </c>
      <c r="Y772" s="66">
        <f t="shared" si="449"/>
        <v>2.302081231305414E-2</v>
      </c>
      <c r="Z772" s="66">
        <f t="shared" si="450"/>
        <v>2.9896828429499429E-3</v>
      </c>
      <c r="AA772" s="66">
        <f t="shared" ref="AA772:AA835" si="453">0.6*R772+0.15*W772+0.15*X772+0.05*Y772+0.05*Z772</f>
        <v>2.0880193273886533E-2</v>
      </c>
      <c r="AB772" s="66">
        <f t="shared" si="451"/>
        <v>1.440592670259117E-2</v>
      </c>
      <c r="AC772" s="67">
        <f t="shared" ref="AC772:AC835" si="454">F772*(Q772/71+(1-Q772)*AA772)</f>
        <v>29894261.786665536</v>
      </c>
      <c r="AD772" s="67">
        <f t="shared" si="441"/>
        <v>25977644.394210368</v>
      </c>
      <c r="AE772" s="66">
        <f t="shared" si="439"/>
        <v>0.21521672643309597</v>
      </c>
      <c r="AF772" s="64">
        <f>MIN(MAX(AD772,AH701*(1-SIM_Parametres!$E$32)),AH701*(1+SIM_Parametres!$F$32))</f>
        <v>24583508.77133574</v>
      </c>
      <c r="AG772" s="64">
        <f>IF(F772-SUM($AF$714:$AF$784)&gt;=0,IFERROR((F772-SUM($AF$714:$AF$784))/(SUM($AH$643:$AH$713)*(1+SIM_Parametres!$F$32)-SUM($AF$714:$AF$784)),0),IFERROR((F772-SUM($AF$714:$AF$784))/(SUM($AF$714:$AF$784)-SUM($AH$643:$AH$713)*(1-SIM_Parametres!$E$32)),0))</f>
        <v>7.0211825131946848E-2</v>
      </c>
      <c r="AH772" s="64">
        <f>AF772+IF(AG772&gt;=0,AG772*(AH701*(1+SIM_Parametres!$F$32)-AF772),AG772*(AF772-AH701*(1-SIM_Parametres!$E$32)))</f>
        <v>24583508.77133574</v>
      </c>
      <c r="AI772" s="67">
        <f t="shared" ref="AI772:AI835" si="455">IFERROR(AH772/G772,0)</f>
        <v>54.673399183262518</v>
      </c>
      <c r="AJ772" s="67">
        <f t="shared" ref="AJ772:AJ835" si="456">AH772-F772*AB772</f>
        <v>2522481.7695805319</v>
      </c>
      <c r="AK772" s="66">
        <f t="shared" si="440"/>
        <v>0.14999999999999991</v>
      </c>
    </row>
    <row r="773" spans="1:37" ht="12.75" customHeight="1" x14ac:dyDescent="0.25">
      <c r="A773" s="55" t="s">
        <v>659</v>
      </c>
      <c r="B773" s="55" t="s">
        <v>452</v>
      </c>
      <c r="C773" s="55" t="s">
        <v>454</v>
      </c>
      <c r="D773" s="128">
        <v>2026</v>
      </c>
      <c r="E773" s="55" t="s">
        <v>676</v>
      </c>
      <c r="F773" s="57">
        <f>SIM_Parametres!$C$32</f>
        <v>1531385481.6286914</v>
      </c>
      <c r="G773" s="129">
        <f>SIM_Districts!D63*(1+SIM_Parametres!$B$6)^(2026-2023)</f>
        <v>133386.99943600001</v>
      </c>
      <c r="H773" s="129">
        <f>MAX(0,MIN(100,SIM_Districts!F63+(2026-2022)*SIM_Parametres!$B$7))</f>
        <v>26.58</v>
      </c>
      <c r="I773" s="129">
        <f>SIM_Districts!G63*(1+SIM_Parametres!$B$8)^(2026-2023)</f>
        <v>33.223359999999992</v>
      </c>
      <c r="J773" s="129">
        <f>SIM_Districts!H63*(1+SIM_Parametres!$B$9)^(2026-2023)</f>
        <v>11.591100000000001</v>
      </c>
      <c r="K773" s="129">
        <f>MAX(0,MIN(100,SIM_Districts!I63+(2026-2023)*SIM_Parametres!$B$10))</f>
        <v>100</v>
      </c>
      <c r="L773" s="129">
        <f>SIM_Districts!E63</f>
        <v>393</v>
      </c>
      <c r="M773" s="68">
        <f t="shared" si="452"/>
        <v>339.40712324681937</v>
      </c>
      <c r="N773" s="129">
        <f>N702*(1+SIM_Parametres!$B$6)/(1+SIM_Parametres!$B$11)</f>
        <v>153373</v>
      </c>
      <c r="O773" s="72"/>
      <c r="P773" s="130">
        <f>SIM_Parametres!$D$32</f>
        <v>0.5</v>
      </c>
      <c r="Q773" s="130">
        <f>SIM_Parametres!$B$12</f>
        <v>0.2</v>
      </c>
      <c r="R773" s="59">
        <f t="shared" si="442"/>
        <v>6.7342705011059004E-3</v>
      </c>
      <c r="S773" s="59">
        <f t="shared" si="443"/>
        <v>0.36524822695035453</v>
      </c>
      <c r="T773" s="59">
        <f t="shared" si="444"/>
        <v>0.65469613259668513</v>
      </c>
      <c r="U773" s="59">
        <f t="shared" si="445"/>
        <v>0.5089487082445231</v>
      </c>
      <c r="V773" s="59">
        <f t="shared" si="446"/>
        <v>0.65207282116061327</v>
      </c>
      <c r="W773" s="59">
        <f t="shared" si="447"/>
        <v>8.708518283660956E-3</v>
      </c>
      <c r="X773" s="59">
        <f t="shared" si="448"/>
        <v>1.2955775433225826E-2</v>
      </c>
      <c r="Y773" s="59">
        <f t="shared" si="449"/>
        <v>1.3003491630053694E-2</v>
      </c>
      <c r="Z773" s="59">
        <f t="shared" si="450"/>
        <v>2.3933256909947777E-2</v>
      </c>
      <c r="AA773" s="59">
        <f t="shared" si="453"/>
        <v>9.1370437851966309E-3</v>
      </c>
      <c r="AB773" s="59">
        <f t="shared" si="451"/>
        <v>1.422529602427677E-2</v>
      </c>
      <c r="AC773" s="60">
        <f t="shared" si="454"/>
        <v>15507630.878205448</v>
      </c>
      <c r="AD773" s="60">
        <f t="shared" si="441"/>
        <v>18646021.340826619</v>
      </c>
      <c r="AE773" s="59">
        <f t="shared" si="439"/>
        <v>-0.11667598843832194</v>
      </c>
      <c r="AF773" s="57">
        <f>MIN(MAX(AD773,AH702*(1-SIM_Parametres!$E$32)),AH702*(1+SIM_Parametres!$F$32))</f>
        <v>20053479.857825</v>
      </c>
      <c r="AG773" s="57">
        <f>IF(F773-SUM($AF$714:$AF$784)&gt;=0,IFERROR((F773-SUM($AF$714:$AF$784))/(SUM($AH$643:$AH$713)*(1+SIM_Parametres!$F$32)-SUM($AF$714:$AF$784)),0),IFERROR((F773-SUM($AF$714:$AF$784))/(SUM($AF$714:$AF$784)-SUM($AH$643:$AH$713)*(1-SIM_Parametres!$E$32)),0))</f>
        <v>7.0211825131946848E-2</v>
      </c>
      <c r="AH773" s="57">
        <f>AF773+IF(AG773&gt;=0,AG773*(AH702*(1+SIM_Parametres!$F$32)-AF773),AG773*(AF773-AH702*(1-SIM_Parametres!$E$32)))</f>
        <v>20349899.10436492</v>
      </c>
      <c r="AI773" s="60">
        <f t="shared" si="455"/>
        <v>152.56283738602983</v>
      </c>
      <c r="AJ773" s="60">
        <f t="shared" si="456"/>
        <v>-1434512.69908287</v>
      </c>
      <c r="AK773" s="59">
        <f t="shared" si="440"/>
        <v>-3.5957634973610708E-2</v>
      </c>
    </row>
    <row r="774" spans="1:37" ht="12.75" customHeight="1" x14ac:dyDescent="0.25">
      <c r="A774" s="62" t="s">
        <v>661</v>
      </c>
      <c r="B774" s="62" t="s">
        <v>452</v>
      </c>
      <c r="C774" s="62" t="s">
        <v>455</v>
      </c>
      <c r="D774" s="124">
        <v>2026</v>
      </c>
      <c r="E774" s="62" t="s">
        <v>676</v>
      </c>
      <c r="F774" s="64">
        <f>SIM_Parametres!$C$32</f>
        <v>1531385481.6286914</v>
      </c>
      <c r="G774" s="125">
        <f>SIM_Districts!D64*(1+SIM_Parametres!$B$6)^(2026-2023)</f>
        <v>231186.065936</v>
      </c>
      <c r="H774" s="125">
        <f>MAX(0,MIN(100,SIM_Districts!F64+(2026-2022)*SIM_Parametres!$B$7))</f>
        <v>26.58</v>
      </c>
      <c r="I774" s="125">
        <f>SIM_Districts!G64*(1+SIM_Parametres!$B$8)^(2026-2023)</f>
        <v>33.223359999999992</v>
      </c>
      <c r="J774" s="125">
        <f>SIM_Districts!H64*(1+SIM_Parametres!$B$9)^(2026-2023)</f>
        <v>11.591100000000001</v>
      </c>
      <c r="K774" s="125">
        <f>MAX(0,MIN(100,SIM_Districts!I64+(2026-2023)*SIM_Parametres!$B$10))</f>
        <v>100</v>
      </c>
      <c r="L774" s="125">
        <f>SIM_Districts!E64</f>
        <v>537</v>
      </c>
      <c r="M774" s="61">
        <f t="shared" si="452"/>
        <v>430.51408926629421</v>
      </c>
      <c r="N774" s="125">
        <f>N703*(1+SIM_Parametres!$B$6)/(1+SIM_Parametres!$B$11)</f>
        <v>153373</v>
      </c>
      <c r="O774" s="132"/>
      <c r="P774" s="126">
        <f>SIM_Parametres!$D$32</f>
        <v>0.5</v>
      </c>
      <c r="Q774" s="126">
        <f>SIM_Parametres!$B$12</f>
        <v>0.2</v>
      </c>
      <c r="R774" s="66">
        <f t="shared" si="442"/>
        <v>1.1671823421191246E-2</v>
      </c>
      <c r="S774" s="66">
        <f t="shared" si="443"/>
        <v>0.36524822695035453</v>
      </c>
      <c r="T774" s="66">
        <f t="shared" si="444"/>
        <v>0.65469613259668513</v>
      </c>
      <c r="U774" s="66">
        <f t="shared" si="445"/>
        <v>0.51275775815315705</v>
      </c>
      <c r="V774" s="66">
        <f t="shared" si="446"/>
        <v>0.65207282116061327</v>
      </c>
      <c r="W774" s="66">
        <f t="shared" si="447"/>
        <v>8.708518283660956E-3</v>
      </c>
      <c r="X774" s="66">
        <f t="shared" si="448"/>
        <v>1.2955775433225826E-2</v>
      </c>
      <c r="Y774" s="66">
        <f t="shared" si="449"/>
        <v>1.310081174857059E-2</v>
      </c>
      <c r="Z774" s="66">
        <f t="shared" si="450"/>
        <v>2.3933256909947777E-2</v>
      </c>
      <c r="AA774" s="66">
        <f t="shared" si="453"/>
        <v>1.2104441543173684E-2</v>
      </c>
      <c r="AB774" s="66">
        <f t="shared" si="451"/>
        <v>1.4479859259296601E-2</v>
      </c>
      <c r="AC774" s="67">
        <f t="shared" si="454"/>
        <v>19143014.754032321</v>
      </c>
      <c r="AD774" s="67">
        <f t="shared" si="441"/>
        <v>20658630.499872956</v>
      </c>
      <c r="AE774" s="66">
        <f t="shared" si="439"/>
        <v>-3.8537479938461905E-2</v>
      </c>
      <c r="AF774" s="64">
        <f>MIN(MAX(AD774,AH703*(1-SIM_Parametres!$E$32)),AH703*(1+SIM_Parametres!$F$32))</f>
        <v>20658630.499872956</v>
      </c>
      <c r="AG774" s="64">
        <f>IF(F774-SUM($AF$714:$AF$784)&gt;=0,IFERROR((F774-SUM($AF$714:$AF$784))/(SUM($AH$643:$AH$713)*(1+SIM_Parametres!$F$32)-SUM($AF$714:$AF$784)),0),IFERROR((F774-SUM($AF$714:$AF$784))/(SUM($AF$714:$AF$784)-SUM($AH$643:$AH$713)*(1-SIM_Parametres!$E$32)),0))</f>
        <v>7.0211825131946848E-2</v>
      </c>
      <c r="AH774" s="64">
        <f>AF774+IF(AG774&gt;=0,AG774*(AH703*(1+SIM_Parametres!$F$32)-AF774),AG774*(AF774-AH703*(1-SIM_Parametres!$E$32)))</f>
        <v>20943061.631483208</v>
      </c>
      <c r="AI774" s="67">
        <f t="shared" si="455"/>
        <v>90.589636303084745</v>
      </c>
      <c r="AJ774" s="67">
        <f t="shared" si="456"/>
        <v>-1231184.6142303832</v>
      </c>
      <c r="AK774" s="66">
        <f t="shared" si="440"/>
        <v>-2.5299919366204682E-2</v>
      </c>
    </row>
    <row r="775" spans="1:37" ht="12.75" customHeight="1" x14ac:dyDescent="0.25">
      <c r="A775" s="55" t="s">
        <v>662</v>
      </c>
      <c r="B775" s="55" t="s">
        <v>452</v>
      </c>
      <c r="C775" s="55" t="s">
        <v>456</v>
      </c>
      <c r="D775" s="128">
        <v>2026</v>
      </c>
      <c r="E775" s="55" t="s">
        <v>676</v>
      </c>
      <c r="F775" s="57">
        <f>SIM_Parametres!$C$32</f>
        <v>1531385481.6286914</v>
      </c>
      <c r="G775" s="129">
        <f>SIM_Districts!D65*(1+SIM_Parametres!$B$6)^(2026-2023)</f>
        <v>601950.52249</v>
      </c>
      <c r="H775" s="129">
        <f>MAX(0,MIN(100,SIM_Districts!F65+(2026-2022)*SIM_Parametres!$B$7))</f>
        <v>26.58</v>
      </c>
      <c r="I775" s="129">
        <f>SIM_Districts!G65*(1+SIM_Parametres!$B$8)^(2026-2023)</f>
        <v>33.223359999999992</v>
      </c>
      <c r="J775" s="129">
        <f>SIM_Districts!H65*(1+SIM_Parametres!$B$9)^(2026-2023)</f>
        <v>11.591100000000001</v>
      </c>
      <c r="K775" s="129">
        <f>MAX(0,MIN(100,SIM_Districts!I65+(2026-2023)*SIM_Parametres!$B$10))</f>
        <v>100</v>
      </c>
      <c r="L775" s="129">
        <f>SIM_Districts!E65</f>
        <v>487</v>
      </c>
      <c r="M775" s="68">
        <f t="shared" si="452"/>
        <v>1236.0380338603695</v>
      </c>
      <c r="N775" s="129">
        <f>N704*(1+SIM_Parametres!$B$6)/(1+SIM_Parametres!$B$11)</f>
        <v>153373</v>
      </c>
      <c r="O775" s="72"/>
      <c r="P775" s="130">
        <f>SIM_Parametres!$D$32</f>
        <v>0.5</v>
      </c>
      <c r="Q775" s="130">
        <f>SIM_Parametres!$B$12</f>
        <v>0.2</v>
      </c>
      <c r="R775" s="59">
        <f t="shared" si="442"/>
        <v>3.0390500302652678E-2</v>
      </c>
      <c r="S775" s="59">
        <f t="shared" si="443"/>
        <v>0.36524822695035453</v>
      </c>
      <c r="T775" s="59">
        <f t="shared" si="444"/>
        <v>0.65469613259668513</v>
      </c>
      <c r="U775" s="59">
        <f t="shared" si="445"/>
        <v>0.50060006219339392</v>
      </c>
      <c r="V775" s="59">
        <f t="shared" si="446"/>
        <v>0.65207282116061327</v>
      </c>
      <c r="W775" s="59">
        <f t="shared" si="447"/>
        <v>8.708518283660956E-3</v>
      </c>
      <c r="X775" s="59">
        <f t="shared" si="448"/>
        <v>1.2955775433225826E-2</v>
      </c>
      <c r="Y775" s="59">
        <f t="shared" si="449"/>
        <v>1.2790186148991384E-2</v>
      </c>
      <c r="Z775" s="59">
        <f t="shared" si="450"/>
        <v>2.3933256909947777E-2</v>
      </c>
      <c r="AA775" s="59">
        <f t="shared" si="453"/>
        <v>2.3320116392071578E-2</v>
      </c>
      <c r="AB775" s="59">
        <f t="shared" si="451"/>
        <v>1.3112947102935965E-2</v>
      </c>
      <c r="AC775" s="60">
        <f t="shared" si="454"/>
        <v>32883432.058248561</v>
      </c>
      <c r="AD775" s="60">
        <f t="shared" si="441"/>
        <v>26482204.436524853</v>
      </c>
      <c r="AE775" s="59">
        <f t="shared" si="439"/>
        <v>0.36097139250465693</v>
      </c>
      <c r="AF775" s="57">
        <f>MIN(MAX(AD775,AH704*(1-SIM_Parametres!$E$32)),AH704*(1+SIM_Parametres!$F$32))</f>
        <v>22377057.497113679</v>
      </c>
      <c r="AG775" s="57">
        <f>IF(F775-SUM($AF$714:$AF$784)&gt;=0,IFERROR((F775-SUM($AF$714:$AF$784))/(SUM($AH$643:$AH$713)*(1+SIM_Parametres!$F$32)-SUM($AF$714:$AF$784)),0),IFERROR((F775-SUM($AF$714:$AF$784))/(SUM($AF$714:$AF$784)-SUM($AH$643:$AH$713)*(1-SIM_Parametres!$E$32)),0))</f>
        <v>7.0211825131946848E-2</v>
      </c>
      <c r="AH775" s="57">
        <f>AF775+IF(AG775&gt;=0,AG775*(AH704*(1+SIM_Parametres!$F$32)-AF775),AG775*(AF775-AH704*(1-SIM_Parametres!$E$32)))</f>
        <v>22377057.497113679</v>
      </c>
      <c r="AI775" s="60">
        <f t="shared" si="455"/>
        <v>37.174247153320515</v>
      </c>
      <c r="AJ775" s="60">
        <f t="shared" si="456"/>
        <v>2296080.6823125333</v>
      </c>
      <c r="AK775" s="59">
        <f t="shared" si="440"/>
        <v>0.14999999999999991</v>
      </c>
    </row>
    <row r="776" spans="1:37" ht="12.75" customHeight="1" x14ac:dyDescent="0.25">
      <c r="A776" s="62" t="s">
        <v>663</v>
      </c>
      <c r="B776" s="62" t="s">
        <v>452</v>
      </c>
      <c r="C776" s="62" t="s">
        <v>457</v>
      </c>
      <c r="D776" s="124">
        <v>2026</v>
      </c>
      <c r="E776" s="62" t="s">
        <v>676</v>
      </c>
      <c r="F776" s="64">
        <f>SIM_Parametres!$C$32</f>
        <v>1531385481.6286914</v>
      </c>
      <c r="G776" s="125">
        <f>SIM_Districts!D66*(1+SIM_Parametres!$B$6)^(2026-2023)</f>
        <v>120653.451705</v>
      </c>
      <c r="H776" s="125">
        <f>MAX(0,MIN(100,SIM_Districts!F66+(2026-2022)*SIM_Parametres!$B$7))</f>
        <v>26.58</v>
      </c>
      <c r="I776" s="125">
        <f>SIM_Districts!G66*(1+SIM_Parametres!$B$8)^(2026-2023)</f>
        <v>33.223359999999992</v>
      </c>
      <c r="J776" s="125">
        <f>SIM_Districts!H66*(1+SIM_Parametres!$B$9)^(2026-2023)</f>
        <v>11.591100000000001</v>
      </c>
      <c r="K776" s="125">
        <f>MAX(0,MIN(100,SIM_Districts!I66+(2026-2023)*SIM_Parametres!$B$10))</f>
        <v>100</v>
      </c>
      <c r="L776" s="125">
        <f>SIM_Districts!E66</f>
        <v>230</v>
      </c>
      <c r="M776" s="61">
        <f t="shared" si="452"/>
        <v>524.58022480434784</v>
      </c>
      <c r="N776" s="125">
        <f>N705*(1+SIM_Parametres!$B$6)/(1+SIM_Parametres!$B$11)</f>
        <v>153373</v>
      </c>
      <c r="O776" s="132"/>
      <c r="P776" s="126">
        <f>SIM_Parametres!$D$32</f>
        <v>0.5</v>
      </c>
      <c r="Q776" s="126">
        <f>SIM_Parametres!$B$12</f>
        <v>0.2</v>
      </c>
      <c r="R776" s="66">
        <f t="shared" si="442"/>
        <v>6.0913955940918828E-3</v>
      </c>
      <c r="S776" s="66">
        <f t="shared" si="443"/>
        <v>0.36524822695035453</v>
      </c>
      <c r="T776" s="66">
        <f t="shared" si="444"/>
        <v>0.65469613259668513</v>
      </c>
      <c r="U776" s="66">
        <f t="shared" si="445"/>
        <v>0.50090567337352976</v>
      </c>
      <c r="V776" s="66">
        <f t="shared" si="446"/>
        <v>0.65207282116061327</v>
      </c>
      <c r="W776" s="66">
        <f t="shared" si="447"/>
        <v>8.708518283660956E-3</v>
      </c>
      <c r="X776" s="66">
        <f t="shared" si="448"/>
        <v>1.2955775433225826E-2</v>
      </c>
      <c r="Y776" s="66">
        <f t="shared" si="449"/>
        <v>1.2797994425854203E-2</v>
      </c>
      <c r="Z776" s="66">
        <f t="shared" si="450"/>
        <v>2.3933256909947777E-2</v>
      </c>
      <c r="AA776" s="66">
        <f t="shared" si="453"/>
        <v>8.7410439807782455E-3</v>
      </c>
      <c r="AB776" s="66">
        <f t="shared" si="451"/>
        <v>1.2876026864402654E-2</v>
      </c>
      <c r="AC776" s="67">
        <f t="shared" si="454"/>
        <v>15022488.197234157</v>
      </c>
      <c r="AD776" s="67">
        <f t="shared" si="441"/>
        <v>17370324.399220694</v>
      </c>
      <c r="AE776" s="66">
        <f t="shared" si="439"/>
        <v>-9.0879968849719162E-2</v>
      </c>
      <c r="AF776" s="64">
        <f>MIN(MAX(AD776,AH705*(1-SIM_Parametres!$E$32)),AH705*(1+SIM_Parametres!$F$32))</f>
        <v>18151407.530181073</v>
      </c>
      <c r="AG776" s="64">
        <f>IF(F776-SUM($AF$714:$AF$784)&gt;=0,IFERROR((F776-SUM($AF$714:$AF$784))/(SUM($AH$643:$AH$713)*(1+SIM_Parametres!$F$32)-SUM($AF$714:$AF$784)),0),IFERROR((F776-SUM($AF$714:$AF$784))/(SUM($AF$714:$AF$784)-SUM($AH$643:$AH$713)*(1-SIM_Parametres!$E$32)),0))</f>
        <v>7.0211825131946848E-2</v>
      </c>
      <c r="AH776" s="64">
        <f>AF776+IF(AG776&gt;=0,AG776*(AH705*(1+SIM_Parametres!$F$32)-AF776),AG776*(AF776-AH705*(1-SIM_Parametres!$E$32)))</f>
        <v>18419711.414687973</v>
      </c>
      <c r="AI776" s="67">
        <f t="shared" si="455"/>
        <v>152.6662615481944</v>
      </c>
      <c r="AJ776" s="67">
        <f t="shared" si="456"/>
        <v>-1298449.186519254</v>
      </c>
      <c r="AK776" s="66">
        <f t="shared" si="440"/>
        <v>-3.5957634973610597E-2</v>
      </c>
    </row>
    <row r="777" spans="1:37" ht="12.75" customHeight="1" x14ac:dyDescent="0.25">
      <c r="A777" s="55" t="s">
        <v>664</v>
      </c>
      <c r="B777" s="55" t="s">
        <v>452</v>
      </c>
      <c r="C777" s="55" t="s">
        <v>458</v>
      </c>
      <c r="D777" s="128">
        <v>2026</v>
      </c>
      <c r="E777" s="55" t="s">
        <v>676</v>
      </c>
      <c r="F777" s="57">
        <f>SIM_Parametres!$C$32</f>
        <v>1531385481.6286914</v>
      </c>
      <c r="G777" s="129">
        <f>SIM_Districts!D67*(1+SIM_Parametres!$B$6)^(2026-2023)</f>
        <v>199912.21919599999</v>
      </c>
      <c r="H777" s="129">
        <f>MAX(0,MIN(100,SIM_Districts!F67+(2026-2022)*SIM_Parametres!$B$7))</f>
        <v>26.58</v>
      </c>
      <c r="I777" s="129">
        <f>SIM_Districts!G67*(1+SIM_Parametres!$B$8)^(2026-2023)</f>
        <v>33.223359999999992</v>
      </c>
      <c r="J777" s="129">
        <f>SIM_Districts!H67*(1+SIM_Parametres!$B$9)^(2026-2023)</f>
        <v>11.591100000000001</v>
      </c>
      <c r="K777" s="129">
        <f>MAX(0,MIN(100,SIM_Districts!I67+(2026-2023)*SIM_Parametres!$B$10))</f>
        <v>100</v>
      </c>
      <c r="L777" s="129">
        <f>SIM_Districts!E67</f>
        <v>557</v>
      </c>
      <c r="M777" s="68">
        <f t="shared" si="452"/>
        <v>358.90883159066425</v>
      </c>
      <c r="N777" s="129">
        <f>N706*(1+SIM_Parametres!$B$6)/(1+SIM_Parametres!$B$11)</f>
        <v>153373</v>
      </c>
      <c r="O777" s="72"/>
      <c r="P777" s="130">
        <f>SIM_Parametres!$D$32</f>
        <v>0.5</v>
      </c>
      <c r="Q777" s="130">
        <f>SIM_Parametres!$B$12</f>
        <v>0.2</v>
      </c>
      <c r="R777" s="59">
        <f t="shared" si="442"/>
        <v>1.009290985054496E-2</v>
      </c>
      <c r="S777" s="59">
        <f t="shared" si="443"/>
        <v>0.36524822695035453</v>
      </c>
      <c r="T777" s="59">
        <f t="shared" si="444"/>
        <v>0.65469613259668513</v>
      </c>
      <c r="U777" s="59">
        <f t="shared" si="445"/>
        <v>0.51437733390901985</v>
      </c>
      <c r="V777" s="59">
        <f t="shared" si="446"/>
        <v>0.65207282116061327</v>
      </c>
      <c r="W777" s="59">
        <f t="shared" si="447"/>
        <v>8.708518283660956E-3</v>
      </c>
      <c r="X777" s="59">
        <f t="shared" si="448"/>
        <v>1.2955775433225826E-2</v>
      </c>
      <c r="Y777" s="59">
        <f t="shared" si="449"/>
        <v>1.3142191438595231E-2</v>
      </c>
      <c r="Z777" s="59">
        <f t="shared" si="450"/>
        <v>2.3933256909947777E-2</v>
      </c>
      <c r="AA777" s="59">
        <f t="shared" si="453"/>
        <v>1.1159162385287143E-2</v>
      </c>
      <c r="AB777" s="59">
        <f t="shared" si="451"/>
        <v>1.2245079704336991E-2</v>
      </c>
      <c r="AC777" s="60">
        <f t="shared" si="454"/>
        <v>17984945.331253406</v>
      </c>
      <c r="AD777" s="60">
        <f t="shared" si="441"/>
        <v>18368441.305930611</v>
      </c>
      <c r="AE777" s="59">
        <f t="shared" si="439"/>
        <v>1.0894562202052871E-2</v>
      </c>
      <c r="AF777" s="57">
        <f>MIN(MAX(AD777,AH706*(1-SIM_Parametres!$E$32)),AH706*(1+SIM_Parametres!$F$32))</f>
        <v>18368441.305930611</v>
      </c>
      <c r="AG777" s="57">
        <f>IF(F777-SUM($AF$714:$AF$784)&gt;=0,IFERROR((F777-SUM($AF$714:$AF$784))/(SUM($AH$643:$AH$713)*(1+SIM_Parametres!$F$32)-SUM($AF$714:$AF$784)),0),IFERROR((F777-SUM($AF$714:$AF$784))/(SUM($AF$714:$AF$784)-SUM($AH$643:$AH$713)*(1-SIM_Parametres!$E$32)),0))</f>
        <v>7.0211825131946848E-2</v>
      </c>
      <c r="AH777" s="57">
        <f>AF777+IF(AG777&gt;=0,AG777*(AH706*(1+SIM_Parametres!$F$32)-AF777),AG777*(AF777-AH706*(1-SIM_Parametres!$E$32)))</f>
        <v>18545909.616252456</v>
      </c>
      <c r="AI777" s="60">
        <f t="shared" si="455"/>
        <v>92.770265323649298</v>
      </c>
      <c r="AJ777" s="60">
        <f t="shared" si="456"/>
        <v>-206027.66435535997</v>
      </c>
      <c r="AK777" s="59">
        <f t="shared" si="440"/>
        <v>2.0661408875625176E-2</v>
      </c>
    </row>
    <row r="778" spans="1:37" ht="12.75" customHeight="1" x14ac:dyDescent="0.25">
      <c r="A778" s="62" t="s">
        <v>665</v>
      </c>
      <c r="B778" s="62" t="s">
        <v>452</v>
      </c>
      <c r="C778" s="62" t="s">
        <v>459</v>
      </c>
      <c r="D778" s="124">
        <v>2026</v>
      </c>
      <c r="E778" s="62" t="s">
        <v>676</v>
      </c>
      <c r="F778" s="64">
        <f>SIM_Parametres!$C$32</f>
        <v>1531385481.6286914</v>
      </c>
      <c r="G778" s="125">
        <f>SIM_Districts!D68*(1+SIM_Parametres!$B$6)^(2026-2023)</f>
        <v>253927.90025999999</v>
      </c>
      <c r="H778" s="125">
        <f>MAX(0,MIN(100,SIM_Districts!F68+(2026-2022)*SIM_Parametres!$B$7))</f>
        <v>26.58</v>
      </c>
      <c r="I778" s="125">
        <f>SIM_Districts!G68*(1+SIM_Parametres!$B$8)^(2026-2023)</f>
        <v>33.223359999999992</v>
      </c>
      <c r="J778" s="125">
        <f>SIM_Districts!H68*(1+SIM_Parametres!$B$9)^(2026-2023)</f>
        <v>11.591100000000001</v>
      </c>
      <c r="K778" s="125">
        <f>MAX(0,MIN(100,SIM_Districts!I68+(2026-2023)*SIM_Parametres!$B$10))</f>
        <v>100</v>
      </c>
      <c r="L778" s="125">
        <f>SIM_Districts!E68</f>
        <v>793</v>
      </c>
      <c r="M778" s="61">
        <f t="shared" si="452"/>
        <v>320.21172794451451</v>
      </c>
      <c r="N778" s="125">
        <f>N707*(1+SIM_Parametres!$B$6)/(1+SIM_Parametres!$B$11)</f>
        <v>153373</v>
      </c>
      <c r="O778" s="132"/>
      <c r="P778" s="126">
        <f>SIM_Parametres!$D$32</f>
        <v>0.5</v>
      </c>
      <c r="Q778" s="126">
        <f>SIM_Parametres!$B$12</f>
        <v>0.2</v>
      </c>
      <c r="R778" s="66">
        <f t="shared" ref="R778:R784" si="457">IFERROR(G778/SUM($G$714:$G$784),1/71)</f>
        <v>1.2819983771725505E-2</v>
      </c>
      <c r="S778" s="66">
        <f t="shared" ref="S778:S784" si="458">IF(MAX($H$714:$H$784)=MIN($H$714:$H$784),1,(H778-MIN($H$714:$H$784))/(MAX($H$714:$H$784)-MIN($H$714:$H$784)))</f>
        <v>0.36524822695035453</v>
      </c>
      <c r="T778" s="66">
        <f t="shared" ref="T778:T784" si="459">(IF(MAX($I$714:$I$784)=MIN($I$714:$I$784),1,(I778-MIN($I$714:$I$784))/(MAX($I$714:$I$784)-MIN($I$714:$I$784)))+IF(MAX($J$714:$J$784)=MIN($J$714:$J$784),1,(J778-MIN($J$714:$J$784))/(MAX($J$714:$J$784)-MIN($J$714:$J$784))))/2</f>
        <v>0.65469613259668513</v>
      </c>
      <c r="U778" s="66">
        <f t="shared" ref="U778:U784" si="460">(IF(MAX($L$714:$L$784)=MIN($L$714:$L$784),1,(L778-MIN($L$714:$L$784))/(MAX($L$714:$L$784)-MIN($L$714:$L$784)))+IF(MAX($M$714:$M$784)=MIN($M$714:$M$784),1,(MAX($M$714:$M$784)-M778)/(MAX($M$714:$M$784)-MIN($M$714:$M$784))))/2</f>
        <v>0.52305332187907927</v>
      </c>
      <c r="V778" s="66">
        <f t="shared" ref="V778:V784" si="461">IF(MAX($N$714:$N$784)=MIN($N$714:$N$784),1,(N778-MIN($N$714:$N$784))/(MAX($N$714:$N$784)-MIN($N$714:$N$784)))</f>
        <v>0.65207282116061327</v>
      </c>
      <c r="W778" s="66">
        <f t="shared" ref="W778:W784" si="462">IFERROR(S778/SUM($S$714:$S$784),1/71)</f>
        <v>8.708518283660956E-3</v>
      </c>
      <c r="X778" s="66">
        <f t="shared" ref="X778:X784" si="463">IFERROR(T778/SUM($T$714:$T$784),1/71)</f>
        <v>1.2955775433225826E-2</v>
      </c>
      <c r="Y778" s="66">
        <f t="shared" ref="Y778:Y784" si="464">IFERROR(U778/SUM($U$714:$U$784),1/71)</f>
        <v>1.3363860410583094E-2</v>
      </c>
      <c r="Z778" s="66">
        <f t="shared" ref="Z778:Z784" si="465">IFERROR(V778/SUM($V$714:$V$784),1/71)</f>
        <v>2.3933256909947777E-2</v>
      </c>
      <c r="AA778" s="66">
        <f t="shared" si="453"/>
        <v>1.2806490186594863E-2</v>
      </c>
      <c r="AB778" s="66">
        <f t="shared" ref="AB778:AB784" si="466">IFERROR(AH707/SUM($AH$643:$AH$713),1/71)</f>
        <v>1.2935676995380905E-2</v>
      </c>
      <c r="AC778" s="67">
        <f t="shared" si="454"/>
        <v>20003100.43397817</v>
      </c>
      <c r="AD778" s="67">
        <f t="shared" si="441"/>
        <v>19906304.189871371</v>
      </c>
      <c r="AE778" s="66">
        <f t="shared" si="439"/>
        <v>3.7042716062999359E-2</v>
      </c>
      <c r="AF778" s="64">
        <f>MIN(MAX(AD778,AH707*(1-SIM_Parametres!$E$32)),AH707*(1+SIM_Parametres!$F$32))</f>
        <v>19906304.189871371</v>
      </c>
      <c r="AG778" s="64">
        <f>IF(F778-SUM($AF$714:$AF$784)&gt;=0,IFERROR((F778-SUM($AF$714:$AF$784))/(SUM($AH$643:$AH$713)*(1+SIM_Parametres!$F$32)-SUM($AF$714:$AF$784)),0),IFERROR((F778-SUM($AF$714:$AF$784))/(SUM($AF$714:$AF$784)-SUM($AH$643:$AH$713)*(1-SIM_Parametres!$E$32)),0))</f>
        <v>7.0211825131946848E-2</v>
      </c>
      <c r="AH778" s="64">
        <f>AF778+IF(AG778&gt;=0,AG778*(AH707*(1+SIM_Parametres!$F$32)-AF778),AG778*(AF778-AH707*(1-SIM_Parametres!$E$32)))</f>
        <v>20058540.586043224</v>
      </c>
      <c r="AI778" s="67">
        <f t="shared" si="455"/>
        <v>78.993054979405684</v>
      </c>
      <c r="AJ778" s="67">
        <f t="shared" si="456"/>
        <v>249032.64027865231</v>
      </c>
      <c r="AK778" s="66">
        <f t="shared" si="440"/>
        <v>4.497365313016366E-2</v>
      </c>
    </row>
    <row r="779" spans="1:37" ht="12.75" customHeight="1" x14ac:dyDescent="0.25">
      <c r="A779" s="55" t="s">
        <v>666</v>
      </c>
      <c r="B779" s="55" t="s">
        <v>452</v>
      </c>
      <c r="C779" s="55" t="s">
        <v>452</v>
      </c>
      <c r="D779" s="128">
        <v>2026</v>
      </c>
      <c r="E779" s="55" t="s">
        <v>676</v>
      </c>
      <c r="F779" s="57">
        <f>SIM_Parametres!$C$32</f>
        <v>1531385481.6286914</v>
      </c>
      <c r="G779" s="129">
        <f>SIM_Districts!D69*(1+SIM_Parametres!$B$6)^(2026-2023)</f>
        <v>677046.00011100003</v>
      </c>
      <c r="H779" s="129">
        <f>MAX(0,MIN(100,SIM_Districts!F69+(2026-2022)*SIM_Parametres!$B$7))</f>
        <v>26.58</v>
      </c>
      <c r="I779" s="129">
        <f>SIM_Districts!G69*(1+SIM_Parametres!$B$8)^(2026-2023)</f>
        <v>33.223359999999992</v>
      </c>
      <c r="J779" s="129">
        <f>SIM_Districts!H69*(1+SIM_Parametres!$B$9)^(2026-2023)</f>
        <v>11.591100000000001</v>
      </c>
      <c r="K779" s="129">
        <f>MAX(0,MIN(100,SIM_Districts!I69+(2026-2023)*SIM_Parametres!$B$10))</f>
        <v>100</v>
      </c>
      <c r="L779" s="129">
        <f>SIM_Districts!E69</f>
        <v>503</v>
      </c>
      <c r="M779" s="68">
        <f t="shared" si="452"/>
        <v>1346.0159047932407</v>
      </c>
      <c r="N779" s="129">
        <f>N708*(1+SIM_Parametres!$B$6)/(1+SIM_Parametres!$B$11)</f>
        <v>153373</v>
      </c>
      <c r="O779" s="72"/>
      <c r="P779" s="130">
        <f>SIM_Parametres!$D$32</f>
        <v>0.5</v>
      </c>
      <c r="Q779" s="130">
        <f>SIM_Parametres!$B$12</f>
        <v>0.2</v>
      </c>
      <c r="R779" s="59">
        <f t="shared" si="457"/>
        <v>3.4181823758820555E-2</v>
      </c>
      <c r="S779" s="59">
        <f t="shared" si="458"/>
        <v>0.36524822695035453</v>
      </c>
      <c r="T779" s="59">
        <f t="shared" si="459"/>
        <v>0.65469613259668513</v>
      </c>
      <c r="U779" s="59">
        <f t="shared" si="460"/>
        <v>0.49973089584614422</v>
      </c>
      <c r="V779" s="59">
        <f t="shared" si="461"/>
        <v>0.65207282116061327</v>
      </c>
      <c r="W779" s="59">
        <f t="shared" si="462"/>
        <v>8.708518283660956E-3</v>
      </c>
      <c r="X779" s="59">
        <f t="shared" si="463"/>
        <v>1.2955775433225826E-2</v>
      </c>
      <c r="Y779" s="59">
        <f t="shared" si="464"/>
        <v>1.2767979201339293E-2</v>
      </c>
      <c r="Z779" s="59">
        <f t="shared" si="465"/>
        <v>2.3933256909947777E-2</v>
      </c>
      <c r="AA779" s="59">
        <f t="shared" si="453"/>
        <v>2.5593800118389701E-2</v>
      </c>
      <c r="AB779" s="59">
        <f t="shared" si="466"/>
        <v>1.6176107350072348E-2</v>
      </c>
      <c r="AC779" s="60">
        <f t="shared" si="454"/>
        <v>35668941.056887761</v>
      </c>
      <c r="AD779" s="60">
        <f t="shared" si="441"/>
        <v>30220398.50102786</v>
      </c>
      <c r="AE779" s="59">
        <f t="shared" ref="AE779:AE842" si="467">IFERROR(AD779/AH708-1,0)</f>
        <v>0.25898726853949072</v>
      </c>
      <c r="AF779" s="57">
        <f>MIN(MAX(AD779,AH708*(1-SIM_Parametres!$E$32)),AH708*(1+SIM_Parametres!$F$32))</f>
        <v>27604296.838123206</v>
      </c>
      <c r="AG779" s="57">
        <f>IF(F779-SUM($AF$714:$AF$784)&gt;=0,IFERROR((F779-SUM($AF$714:$AF$784))/(SUM($AH$643:$AH$713)*(1+SIM_Parametres!$F$32)-SUM($AF$714:$AF$784)),0),IFERROR((F779-SUM($AF$714:$AF$784))/(SUM($AF$714:$AF$784)-SUM($AH$643:$AH$713)*(1-SIM_Parametres!$E$32)),0))</f>
        <v>7.0211825131946848E-2</v>
      </c>
      <c r="AH779" s="57">
        <f>AF779+IF(AG779&gt;=0,AG779*(AH708*(1+SIM_Parametres!$F$32)-AF779),AG779*(AF779-AH708*(1-SIM_Parametres!$E$32)))</f>
        <v>27604296.838123206</v>
      </c>
      <c r="AI779" s="60">
        <f t="shared" si="455"/>
        <v>40.771671102993814</v>
      </c>
      <c r="AJ779" s="60">
        <f t="shared" si="456"/>
        <v>2832440.8929552473</v>
      </c>
      <c r="AK779" s="59">
        <f t="shared" ref="AK779:AK842" si="468">IFERROR(AH779/AH708-1,0)</f>
        <v>0.14999999999999991</v>
      </c>
    </row>
    <row r="780" spans="1:37" ht="12.75" customHeight="1" x14ac:dyDescent="0.25">
      <c r="A780" s="62" t="s">
        <v>667</v>
      </c>
      <c r="B780" s="62" t="s">
        <v>452</v>
      </c>
      <c r="C780" s="62" t="s">
        <v>460</v>
      </c>
      <c r="D780" s="124">
        <v>2026</v>
      </c>
      <c r="E780" s="62" t="s">
        <v>676</v>
      </c>
      <c r="F780" s="64">
        <f>SIM_Parametres!$C$32</f>
        <v>1531385481.6286914</v>
      </c>
      <c r="G780" s="125">
        <f>SIM_Districts!D70*(1+SIM_Parametres!$B$6)^(2026-2023)</f>
        <v>474063.21804499999</v>
      </c>
      <c r="H780" s="125">
        <f>MAX(0,MIN(100,SIM_Districts!F70+(2026-2022)*SIM_Parametres!$B$7))</f>
        <v>26.58</v>
      </c>
      <c r="I780" s="125">
        <f>SIM_Districts!G70*(1+SIM_Parametres!$B$8)^(2026-2023)</f>
        <v>33.223359999999992</v>
      </c>
      <c r="J780" s="125">
        <f>SIM_Districts!H70*(1+SIM_Parametres!$B$9)^(2026-2023)</f>
        <v>11.591100000000001</v>
      </c>
      <c r="K780" s="125">
        <f>MAX(0,MIN(100,SIM_Districts!I70+(2026-2023)*SIM_Parametres!$B$10))</f>
        <v>100</v>
      </c>
      <c r="L780" s="125">
        <f>SIM_Districts!E70</f>
        <v>1739</v>
      </c>
      <c r="M780" s="61">
        <f t="shared" si="452"/>
        <v>272.60679588556638</v>
      </c>
      <c r="N780" s="125">
        <f>N709*(1+SIM_Parametres!$B$6)/(1+SIM_Parametres!$B$11)</f>
        <v>153373</v>
      </c>
      <c r="O780" s="132"/>
      <c r="P780" s="126">
        <f>SIM_Parametres!$D$32</f>
        <v>0.5</v>
      </c>
      <c r="Q780" s="126">
        <f>SIM_Parametres!$B$12</f>
        <v>0.2</v>
      </c>
      <c r="R780" s="66">
        <f t="shared" si="457"/>
        <v>2.3933891297041633E-2</v>
      </c>
      <c r="S780" s="66">
        <f t="shared" si="458"/>
        <v>0.36524822695035453</v>
      </c>
      <c r="T780" s="66">
        <f t="shared" si="459"/>
        <v>0.65469613259668513</v>
      </c>
      <c r="U780" s="66">
        <f t="shared" si="460"/>
        <v>0.55643930835847488</v>
      </c>
      <c r="V780" s="66">
        <f t="shared" si="461"/>
        <v>0.65207282116061327</v>
      </c>
      <c r="W780" s="66">
        <f t="shared" si="462"/>
        <v>8.708518283660956E-3</v>
      </c>
      <c r="X780" s="66">
        <f t="shared" si="463"/>
        <v>1.2955775433225826E-2</v>
      </c>
      <c r="Y780" s="66">
        <f t="shared" si="464"/>
        <v>1.4216862665453397E-2</v>
      </c>
      <c r="Z780" s="66">
        <f t="shared" si="465"/>
        <v>2.3933256909947777E-2</v>
      </c>
      <c r="AA780" s="66">
        <f t="shared" si="453"/>
        <v>1.9517484814528054E-2</v>
      </c>
      <c r="AB780" s="66">
        <f t="shared" si="466"/>
        <v>1.4236217879244614E-2</v>
      </c>
      <c r="AC780" s="67">
        <f t="shared" si="454"/>
        <v>28224796.226382196</v>
      </c>
      <c r="AD780" s="67">
        <f t="shared" si="441"/>
        <v>25012966.7999801</v>
      </c>
      <c r="AE780" s="66">
        <f t="shared" si="467"/>
        <v>0.18403830475671068</v>
      </c>
      <c r="AF780" s="64">
        <f>MIN(MAX(AD780,AH709*(1-SIM_Parametres!$E$32)),AH709*(1+SIM_Parametres!$F$32))</f>
        <v>24293903.081021994</v>
      </c>
      <c r="AG780" s="64">
        <f>IF(F780-SUM($AF$714:$AF$784)&gt;=0,IFERROR((F780-SUM($AF$714:$AF$784))/(SUM($AH$643:$AH$713)*(1+SIM_Parametres!$F$32)-SUM($AF$714:$AF$784)),0),IFERROR((F780-SUM($AF$714:$AF$784))/(SUM($AF$714:$AF$784)-SUM($AH$643:$AH$713)*(1-SIM_Parametres!$E$32)),0))</f>
        <v>7.0211825131946848E-2</v>
      </c>
      <c r="AH780" s="64">
        <f>AF780+IF(AG780&gt;=0,AG780*(AH709*(1+SIM_Parametres!$F$32)-AF780),AG780*(AF780-AH709*(1-SIM_Parametres!$E$32)))</f>
        <v>24293903.081021994</v>
      </c>
      <c r="AI780" s="67">
        <f t="shared" si="455"/>
        <v>51.246125318914572</v>
      </c>
      <c r="AJ780" s="67">
        <f t="shared" si="456"/>
        <v>2492765.7074439935</v>
      </c>
      <c r="AK780" s="66">
        <f t="shared" si="468"/>
        <v>0.14999999999999991</v>
      </c>
    </row>
    <row r="781" spans="1:37" ht="12.75" customHeight="1" x14ac:dyDescent="0.25">
      <c r="A781" s="55" t="s">
        <v>668</v>
      </c>
      <c r="B781" s="55" t="s">
        <v>461</v>
      </c>
      <c r="C781" s="55" t="s">
        <v>463</v>
      </c>
      <c r="D781" s="128">
        <v>2026</v>
      </c>
      <c r="E781" s="55" t="s">
        <v>676</v>
      </c>
      <c r="F781" s="57">
        <f>SIM_Parametres!$C$32</f>
        <v>1531385481.6286914</v>
      </c>
      <c r="G781" s="129">
        <f>SIM_Districts!D71*(1+SIM_Parametres!$B$6)^(2026-2023)</f>
        <v>174484.46190600001</v>
      </c>
      <c r="H781" s="129">
        <f>MAX(0,MIN(100,SIM_Districts!F71+(2026-2022)*SIM_Parametres!$B$7))</f>
        <v>44.98</v>
      </c>
      <c r="I781" s="129">
        <f>SIM_Districts!G71*(1+SIM_Parametres!$B$8)^(2026-2023)</f>
        <v>33.223359999999992</v>
      </c>
      <c r="J781" s="129">
        <f>SIM_Districts!H71*(1+SIM_Parametres!$B$9)^(2026-2023)</f>
        <v>7.508700000000001</v>
      </c>
      <c r="K781" s="129">
        <f>MAX(0,MIN(100,SIM_Districts!I71+(2026-2023)*SIM_Parametres!$B$10))</f>
        <v>100</v>
      </c>
      <c r="L781" s="129">
        <f>SIM_Districts!E71</f>
        <v>2537</v>
      </c>
      <c r="M781" s="68">
        <f t="shared" si="452"/>
        <v>68.775901421363827</v>
      </c>
      <c r="N781" s="129">
        <f>N710*(1+SIM_Parametres!$B$6)/(1+SIM_Parametres!$B$11)</f>
        <v>69419</v>
      </c>
      <c r="O781" s="72"/>
      <c r="P781" s="130">
        <f>SIM_Parametres!$D$32</f>
        <v>0.5</v>
      </c>
      <c r="Q781" s="130">
        <f>SIM_Parametres!$B$12</f>
        <v>0.2</v>
      </c>
      <c r="R781" s="59">
        <f t="shared" si="457"/>
        <v>8.8091460913227709E-3</v>
      </c>
      <c r="S781" s="59">
        <f t="shared" si="458"/>
        <v>0.6914893617021276</v>
      </c>
      <c r="T781" s="59">
        <f t="shared" si="459"/>
        <v>0.5</v>
      </c>
      <c r="U781" s="59">
        <f t="shared" si="460"/>
        <v>0.58672050041788637</v>
      </c>
      <c r="V781" s="59">
        <f t="shared" si="461"/>
        <v>6.9378604793203735E-2</v>
      </c>
      <c r="W781" s="59">
        <f t="shared" si="462"/>
        <v>1.6487000634115404E-2</v>
      </c>
      <c r="X781" s="59">
        <f t="shared" si="463"/>
        <v>9.8944951620838582E-3</v>
      </c>
      <c r="Y781" s="59">
        <f t="shared" si="464"/>
        <v>1.4990538324933458E-2</v>
      </c>
      <c r="Z781" s="59">
        <f t="shared" si="465"/>
        <v>2.5464272067252584E-3</v>
      </c>
      <c r="AA781" s="59">
        <f t="shared" si="453"/>
        <v>1.0119560300806487E-2</v>
      </c>
      <c r="AB781" s="59">
        <f t="shared" si="466"/>
        <v>1.7832028591736031E-2</v>
      </c>
      <c r="AC781" s="60">
        <f t="shared" si="454"/>
        <v>16711320.100177724</v>
      </c>
      <c r="AD781" s="60">
        <f t="shared" si="441"/>
        <v>22009514.896775</v>
      </c>
      <c r="AE781" s="59">
        <f t="shared" si="467"/>
        <v>-0.16822686235804818</v>
      </c>
      <c r="AF781" s="57">
        <f>MIN(MAX(AD781,AH710*(1-SIM_Parametres!$E$32)),AH710*(1+SIM_Parametres!$F$32))</f>
        <v>25137911.054945409</v>
      </c>
      <c r="AG781" s="57">
        <f>IF(F781-SUM($AF$714:$AF$784)&gt;=0,IFERROR((F781-SUM($AF$714:$AF$784))/(SUM($AH$643:$AH$713)*(1+SIM_Parametres!$F$32)-SUM($AF$714:$AF$784)),0),IFERROR((F781-SUM($AF$714:$AF$784))/(SUM($AF$714:$AF$784)-SUM($AH$643:$AH$713)*(1-SIM_Parametres!$E$32)),0))</f>
        <v>7.0211825131946848E-2</v>
      </c>
      <c r="AH781" s="57">
        <f>AF781+IF(AG781&gt;=0,AG781*(AH710*(1+SIM_Parametres!$F$32)-AF781),AG781*(AF781-AH710*(1-SIM_Parametres!$E$32)))</f>
        <v>25509485.500244834</v>
      </c>
      <c r="AI781" s="60">
        <f t="shared" si="455"/>
        <v>146.19918141471848</v>
      </c>
      <c r="AJ781" s="60">
        <f t="shared" si="456"/>
        <v>-1798224.1931274459</v>
      </c>
      <c r="AK781" s="59">
        <f t="shared" si="468"/>
        <v>-3.5957634973610597E-2</v>
      </c>
    </row>
    <row r="782" spans="1:37" ht="12.75" customHeight="1" x14ac:dyDescent="0.25">
      <c r="A782" s="62" t="s">
        <v>670</v>
      </c>
      <c r="B782" s="62" t="s">
        <v>461</v>
      </c>
      <c r="C782" s="62" t="s">
        <v>464</v>
      </c>
      <c r="D782" s="124">
        <v>2026</v>
      </c>
      <c r="E782" s="62" t="s">
        <v>676</v>
      </c>
      <c r="F782" s="64">
        <f>SIM_Parametres!$C$32</f>
        <v>1531385481.6286914</v>
      </c>
      <c r="G782" s="125">
        <f>SIM_Districts!D72*(1+SIM_Parametres!$B$6)^(2026-2023)</f>
        <v>106561.644313</v>
      </c>
      <c r="H782" s="125">
        <f>MAX(0,MIN(100,SIM_Districts!F72+(2026-2022)*SIM_Parametres!$B$7))</f>
        <v>44.98</v>
      </c>
      <c r="I782" s="125">
        <f>SIM_Districts!G72*(1+SIM_Parametres!$B$8)^(2026-2023)</f>
        <v>33.223359999999992</v>
      </c>
      <c r="J782" s="125">
        <f>SIM_Districts!H72*(1+SIM_Parametres!$B$9)^(2026-2023)</f>
        <v>7.508700000000001</v>
      </c>
      <c r="K782" s="125">
        <f>MAX(0,MIN(100,SIM_Districts!I72+(2026-2023)*SIM_Parametres!$B$10))</f>
        <v>100</v>
      </c>
      <c r="L782" s="125">
        <f>SIM_Districts!E72</f>
        <v>1893</v>
      </c>
      <c r="M782" s="61">
        <f t="shared" si="452"/>
        <v>56.29246926201796</v>
      </c>
      <c r="N782" s="125">
        <f>N711*(1+SIM_Parametres!$B$6)/(1+SIM_Parametres!$B$11)</f>
        <v>69419</v>
      </c>
      <c r="O782" s="132"/>
      <c r="P782" s="126">
        <f>SIM_Parametres!$D$32</f>
        <v>0.5</v>
      </c>
      <c r="Q782" s="126">
        <f>SIM_Parametres!$B$12</f>
        <v>0.2</v>
      </c>
      <c r="R782" s="66">
        <f t="shared" si="457"/>
        <v>5.379946628087183E-3</v>
      </c>
      <c r="S782" s="66">
        <f t="shared" si="458"/>
        <v>0.6914893617021276</v>
      </c>
      <c r="T782" s="66">
        <f t="shared" si="459"/>
        <v>0.5</v>
      </c>
      <c r="U782" s="66">
        <f t="shared" si="460"/>
        <v>0.56457363162952046</v>
      </c>
      <c r="V782" s="66">
        <f t="shared" si="461"/>
        <v>6.9378604793203735E-2</v>
      </c>
      <c r="W782" s="66">
        <f t="shared" si="462"/>
        <v>1.6487000634115404E-2</v>
      </c>
      <c r="X782" s="66">
        <f t="shared" si="463"/>
        <v>9.8944951620838582E-3</v>
      </c>
      <c r="Y782" s="66">
        <f t="shared" si="464"/>
        <v>1.4424692261752074E-2</v>
      </c>
      <c r="Z782" s="66">
        <f t="shared" si="465"/>
        <v>2.5464272067252584E-3</v>
      </c>
      <c r="AA782" s="66">
        <f t="shared" si="453"/>
        <v>8.0337483197060657E-3</v>
      </c>
      <c r="AB782" s="66">
        <f t="shared" si="466"/>
        <v>1.2086292735958282E-2</v>
      </c>
      <c r="AC782" s="67">
        <f t="shared" si="454"/>
        <v>14155974.351966234</v>
      </c>
      <c r="AD782" s="67">
        <f t="shared" si="441"/>
        <v>16332373.787263533</v>
      </c>
      <c r="AE782" s="66">
        <f t="shared" si="467"/>
        <v>-8.935024781053813E-2</v>
      </c>
      <c r="AF782" s="64">
        <f>MIN(MAX(AD782,AH711*(1-SIM_Parametres!$E$32)),AH711*(1+SIM_Parametres!$F$32))</f>
        <v>17038114.885109287</v>
      </c>
      <c r="AG782" s="64">
        <f>IF(F782-SUM($AF$714:$AF$784)&gt;=0,IFERROR((F782-SUM($AF$714:$AF$784))/(SUM($AH$643:$AH$713)*(1+SIM_Parametres!$F$32)-SUM($AF$714:$AF$784)),0),IFERROR((F782-SUM($AF$714:$AF$784))/(SUM($AF$714:$AF$784)-SUM($AH$643:$AH$713)*(1-SIM_Parametres!$E$32)),0))</f>
        <v>7.0211825131946848E-2</v>
      </c>
      <c r="AH782" s="64">
        <f>AF782+IF(AG782&gt;=0,AG782*(AH711*(1+SIM_Parametres!$F$32)-AF782),AG782*(AF782-AH711*(1-SIM_Parametres!$E$32)))</f>
        <v>17289962.704665352</v>
      </c>
      <c r="AI782" s="67">
        <f t="shared" si="455"/>
        <v>162.2531523057219</v>
      </c>
      <c r="AJ782" s="67">
        <f t="shared" si="456"/>
        <v>-1218810.5178954788</v>
      </c>
      <c r="AK782" s="66">
        <f t="shared" si="468"/>
        <v>-3.5957634973610819E-2</v>
      </c>
    </row>
    <row r="783" spans="1:37" ht="12.75" customHeight="1" x14ac:dyDescent="0.25">
      <c r="A783" s="55" t="s">
        <v>671</v>
      </c>
      <c r="B783" s="55" t="s">
        <v>461</v>
      </c>
      <c r="C783" s="55" t="s">
        <v>465</v>
      </c>
      <c r="D783" s="128">
        <v>2026</v>
      </c>
      <c r="E783" s="55" t="s">
        <v>676</v>
      </c>
      <c r="F783" s="57">
        <f>SIM_Parametres!$C$32</f>
        <v>1531385481.6286914</v>
      </c>
      <c r="G783" s="129">
        <f>SIM_Districts!D73*(1+SIM_Parametres!$B$6)^(2026-2023)</f>
        <v>64168.207621000001</v>
      </c>
      <c r="H783" s="129">
        <f>MAX(0,MIN(100,SIM_Districts!F73+(2026-2022)*SIM_Parametres!$B$7))</f>
        <v>44.98</v>
      </c>
      <c r="I783" s="129">
        <f>SIM_Districts!G73*(1+SIM_Parametres!$B$8)^(2026-2023)</f>
        <v>33.223359999999992</v>
      </c>
      <c r="J783" s="129">
        <f>SIM_Districts!H73*(1+SIM_Parametres!$B$9)^(2026-2023)</f>
        <v>7.508700000000001</v>
      </c>
      <c r="K783" s="129">
        <f>MAX(0,MIN(100,SIM_Districts!I73+(2026-2023)*SIM_Parametres!$B$10))</f>
        <v>100</v>
      </c>
      <c r="L783" s="129">
        <f>SIM_Districts!E73</f>
        <v>877</v>
      </c>
      <c r="M783" s="68">
        <f t="shared" si="452"/>
        <v>73.167853615735467</v>
      </c>
      <c r="N783" s="129">
        <f>N712*(1+SIM_Parametres!$B$6)/(1+SIM_Parametres!$B$11)</f>
        <v>69419</v>
      </c>
      <c r="O783" s="72"/>
      <c r="P783" s="130">
        <f>SIM_Parametres!$D$32</f>
        <v>0.5</v>
      </c>
      <c r="Q783" s="130">
        <f>SIM_Parametres!$B$12</f>
        <v>0.2</v>
      </c>
      <c r="R783" s="59">
        <f t="shared" si="457"/>
        <v>3.2396415656555507E-3</v>
      </c>
      <c r="S783" s="59">
        <f t="shared" si="458"/>
        <v>0.6914893617021276</v>
      </c>
      <c r="T783" s="59">
        <f t="shared" si="459"/>
        <v>0.5</v>
      </c>
      <c r="U783" s="59">
        <f t="shared" si="460"/>
        <v>0.52916053895252124</v>
      </c>
      <c r="V783" s="59">
        <f t="shared" si="461"/>
        <v>6.9378604793203735E-2</v>
      </c>
      <c r="W783" s="59">
        <f t="shared" si="462"/>
        <v>1.6487000634115404E-2</v>
      </c>
      <c r="X783" s="59">
        <f t="shared" si="463"/>
        <v>9.8944951620838582E-3</v>
      </c>
      <c r="Y783" s="59">
        <f t="shared" si="464"/>
        <v>1.3519898032471053E-2</v>
      </c>
      <c r="Z783" s="59">
        <f t="shared" si="465"/>
        <v>2.5464272067252584E-3</v>
      </c>
      <c r="AA783" s="59">
        <f t="shared" si="453"/>
        <v>6.7043255707830351E-3</v>
      </c>
      <c r="AB783" s="59">
        <f t="shared" si="466"/>
        <v>1.3454885177698583E-2</v>
      </c>
      <c r="AC783" s="60">
        <f t="shared" si="454"/>
        <v>12527287.394648124</v>
      </c>
      <c r="AD783" s="60">
        <f t="shared" si="441"/>
        <v>16565951.606378406</v>
      </c>
      <c r="AE783" s="59">
        <f t="shared" si="467"/>
        <v>-0.17027998926544519</v>
      </c>
      <c r="AF783" s="57">
        <f>MIN(MAX(AD783,AH712*(1-SIM_Parametres!$E$32)),AH712*(1+SIM_Parametres!$F$32))</f>
        <v>18967427.351941135</v>
      </c>
      <c r="AG783" s="57">
        <f>IF(F783-SUM($AF$714:$AF$784)&gt;=0,IFERROR((F783-SUM($AF$714:$AF$784))/(SUM($AH$643:$AH$713)*(1+SIM_Parametres!$F$32)-SUM($AF$714:$AF$784)),0),IFERROR((F783-SUM($AF$714:$AF$784))/(SUM($AF$714:$AF$784)-SUM($AH$643:$AH$713)*(1-SIM_Parametres!$E$32)),0))</f>
        <v>7.0211825131946848E-2</v>
      </c>
      <c r="AH783" s="57">
        <f>AF783+IF(AG783&gt;=0,AG783*(AH712*(1+SIM_Parametres!$F$32)-AF783),AG783*(AF783-AH712*(1-SIM_Parametres!$E$32)))</f>
        <v>19247793.181927957</v>
      </c>
      <c r="AI783" s="60">
        <f t="shared" si="455"/>
        <v>299.95840456713694</v>
      </c>
      <c r="AJ783" s="60">
        <f t="shared" si="456"/>
        <v>-1356822.6361807287</v>
      </c>
      <c r="AK783" s="59">
        <f t="shared" si="468"/>
        <v>-3.5957634973610486E-2</v>
      </c>
    </row>
    <row r="784" spans="1:37" ht="12.75" customHeight="1" x14ac:dyDescent="0.25">
      <c r="A784" s="62" t="s">
        <v>672</v>
      </c>
      <c r="B784" s="62" t="s">
        <v>461</v>
      </c>
      <c r="C784" s="62" t="s">
        <v>461</v>
      </c>
      <c r="D784" s="124">
        <v>2026</v>
      </c>
      <c r="E784" s="62" t="s">
        <v>676</v>
      </c>
      <c r="F784" s="64">
        <f>SIM_Parametres!$C$32</f>
        <v>1531385481.6286914</v>
      </c>
      <c r="G784" s="125">
        <f>SIM_Districts!D74*(1+SIM_Parametres!$B$6)^(2026-2023)</f>
        <v>329617.82136900001</v>
      </c>
      <c r="H784" s="125">
        <f>MAX(0,MIN(100,SIM_Districts!F74+(2026-2022)*SIM_Parametres!$B$7))</f>
        <v>44.98</v>
      </c>
      <c r="I784" s="125">
        <f>SIM_Districts!G74*(1+SIM_Parametres!$B$8)^(2026-2023)</f>
        <v>33.223359999999992</v>
      </c>
      <c r="J784" s="125">
        <f>SIM_Districts!H74*(1+SIM_Parametres!$B$9)^(2026-2023)</f>
        <v>7.508700000000001</v>
      </c>
      <c r="K784" s="125">
        <f>MAX(0,MIN(100,SIM_Districts!I74+(2026-2023)*SIM_Parametres!$B$10))</f>
        <v>100</v>
      </c>
      <c r="L784" s="125">
        <f>SIM_Districts!E74</f>
        <v>1136</v>
      </c>
      <c r="M784" s="61">
        <f t="shared" si="452"/>
        <v>290.15653289524647</v>
      </c>
      <c r="N784" s="125">
        <f>N713*(1+SIM_Parametres!$B$6)/(1+SIM_Parametres!$B$11)</f>
        <v>69419</v>
      </c>
      <c r="O784" s="132"/>
      <c r="P784" s="126">
        <f>SIM_Parametres!$D$32</f>
        <v>0.5</v>
      </c>
      <c r="Q784" s="126">
        <f>SIM_Parametres!$B$12</f>
        <v>0.2</v>
      </c>
      <c r="R784" s="66">
        <f t="shared" si="457"/>
        <v>1.6641318722737258E-2</v>
      </c>
      <c r="S784" s="66">
        <f t="shared" si="458"/>
        <v>0.6914893617021276</v>
      </c>
      <c r="T784" s="66">
        <f t="shared" si="459"/>
        <v>0.5</v>
      </c>
      <c r="U784" s="66">
        <f t="shared" si="460"/>
        <v>0.53532398626606015</v>
      </c>
      <c r="V784" s="66">
        <f t="shared" si="461"/>
        <v>6.9378604793203735E-2</v>
      </c>
      <c r="W784" s="66">
        <f t="shared" si="462"/>
        <v>1.6487000634115404E-2</v>
      </c>
      <c r="X784" s="66">
        <f t="shared" si="463"/>
        <v>9.8944951620838582E-3</v>
      </c>
      <c r="Y784" s="66">
        <f t="shared" si="464"/>
        <v>1.3677372320656836E-2</v>
      </c>
      <c r="Z784" s="66">
        <f t="shared" si="465"/>
        <v>2.5464272067252584E-3</v>
      </c>
      <c r="AA784" s="66">
        <f t="shared" si="453"/>
        <v>1.4753205579441347E-2</v>
      </c>
      <c r="AB784" s="66">
        <f t="shared" si="466"/>
        <v>1.6014799953624127E-2</v>
      </c>
      <c r="AC784" s="67">
        <f t="shared" si="454"/>
        <v>22388037.785552733</v>
      </c>
      <c r="AD784" s="67">
        <f t="shared" si="441"/>
        <v>23456434.962860279</v>
      </c>
      <c r="AE784" s="66">
        <f t="shared" si="467"/>
        <v>-1.295793816975932E-2</v>
      </c>
      <c r="AF784" s="64">
        <f>MIN(MAX(AD784,AH713*(1-SIM_Parametres!$E$32)),AH713*(1+SIM_Parametres!$F$32))</f>
        <v>23456434.962860279</v>
      </c>
      <c r="AG784" s="64">
        <f>IF(F784-SUM($AF$714:$AF$784)&gt;=0,IFERROR((F784-SUM($AF$714:$AF$784))/(SUM($AH$643:$AH$713)*(1+SIM_Parametres!$F$32)-SUM($AF$714:$AF$784)),0),IFERROR((F784-SUM($AF$714:$AF$784))/(SUM($AF$714:$AF$784)-SUM($AH$643:$AH$713)*(1-SIM_Parametres!$E$32)),0))</f>
        <v>7.0211825131946848E-2</v>
      </c>
      <c r="AH784" s="64">
        <f>AF784+IF(AG784&gt;=0,AG784*(AH713*(1+SIM_Parametres!$F$32)-AF784),AG784*(AF784-AH713*(1-SIM_Parametres!$E$32)))</f>
        <v>23728336.792426515</v>
      </c>
      <c r="AI784" s="67">
        <f t="shared" si="455"/>
        <v>71.987420746474612</v>
      </c>
      <c r="AJ784" s="67">
        <f t="shared" si="456"/>
        <v>-796495.34774131328</v>
      </c>
      <c r="AK784" s="66">
        <f t="shared" si="468"/>
        <v>-1.5163639111215321E-3</v>
      </c>
    </row>
    <row r="785" spans="1:37" ht="12.75" customHeight="1" x14ac:dyDescent="0.25">
      <c r="A785" s="55" t="s">
        <v>587</v>
      </c>
      <c r="B785" s="55" t="s">
        <v>376</v>
      </c>
      <c r="C785" s="55" t="s">
        <v>379</v>
      </c>
      <c r="D785" s="128">
        <v>2027</v>
      </c>
      <c r="E785" s="55" t="s">
        <v>676</v>
      </c>
      <c r="F785" s="57">
        <f>SIM_Parametres!$C$33</f>
        <v>1580389817.0408096</v>
      </c>
      <c r="G785" s="129">
        <f>SIM_Districts!D4*(1+SIM_Parametres!$B$6)^(2027-2023)</f>
        <v>510939.35591402993</v>
      </c>
      <c r="H785" s="129">
        <f>MAX(0,MIN(100,SIM_Districts!F4+(2027-2022)*SIM_Parametres!$B$7))</f>
        <v>5.1500000000000012</v>
      </c>
      <c r="I785" s="129">
        <f>SIM_Districts!G4*(1+SIM_Parametres!$B$8)^(2027-2023)</f>
        <v>31.229958399999997</v>
      </c>
      <c r="J785" s="129">
        <f>SIM_Districts!H4*(1+SIM_Parametres!$B$9)^(2027-2023)</f>
        <v>6.8234400000000015</v>
      </c>
      <c r="K785" s="129">
        <f>MAX(0,MIN(100,SIM_Districts!I4+(2027-2023)*SIM_Parametres!$B$10))</f>
        <v>100</v>
      </c>
      <c r="L785" s="129">
        <f>SIM_Districts!E4</f>
        <v>13</v>
      </c>
      <c r="M785" s="68">
        <f t="shared" si="452"/>
        <v>39303.027378002305</v>
      </c>
      <c r="N785" s="129">
        <f>N714*(1+SIM_Parametres!$B$6)/(1+SIM_Parametres!$B$11)</f>
        <v>73189</v>
      </c>
      <c r="O785" s="72"/>
      <c r="P785" s="130">
        <f>SIM_Parametres!$D$33</f>
        <v>0.75</v>
      </c>
      <c r="Q785" s="130">
        <f>SIM_Parametres!$B$12</f>
        <v>0.2</v>
      </c>
      <c r="R785" s="59">
        <f t="shared" ref="R785:R816" si="469">IFERROR(G785/SUM($G$785:$G$855),1/71)</f>
        <v>2.5044316606264855E-2</v>
      </c>
      <c r="S785" s="59">
        <f t="shared" ref="S785:S816" si="470">IF(MAX($H$785:$H$855)=MIN($H$785:$H$855),1,(H785-MIN($H$785:$H$855))/(MAX($H$785:$H$855)-MIN($H$785:$H$855)))</f>
        <v>0</v>
      </c>
      <c r="T785" s="59">
        <f t="shared" ref="T785:T816" si="471">(IF(MAX($I$785:$I$855)=MIN($I$785:$I$855),1,(I785-MIN($I$785:$I$855))/(MAX($I$785:$I$855)-MIN($I$785:$I$855)))+IF(MAX($J$785:$J$855)=MIN($J$785:$J$855),1,(J785-MIN($J$785:$J$855))/(MAX($J$785:$J$855)-MIN($J$785:$J$855))))/2</f>
        <v>0.50276243093922646</v>
      </c>
      <c r="U785" s="59">
        <f t="shared" ref="U785:U816" si="472">(IF(MAX($L$785:$L$855)=MIN($L$785:$L$855),1,(L785-MIN($L$785:$L$855))/(MAX($L$785:$L$855)-MIN($L$785:$L$855)))+IF(MAX($M$785:$M$855)=MIN($M$785:$M$855),1,(MAX($M$785:$M$855)-M785)/(MAX($M$785:$M$855)-MIN($M$785:$M$855))))/2</f>
        <v>6.3061112543856207E-3</v>
      </c>
      <c r="V785" s="59">
        <f t="shared" ref="V785:V816" si="473">IF(MAX($N$785:$N$855)=MIN($N$785:$N$855),1,(N785-MIN($N$785:$N$855))/(MAX($N$785:$N$855)-MIN($N$785:$N$855)))</f>
        <v>9.5544805280436421E-2</v>
      </c>
      <c r="W785" s="59">
        <f t="shared" ref="W785:W816" si="474">IFERROR(S785/SUM($S$785:$S$855),1/71)</f>
        <v>0</v>
      </c>
      <c r="X785" s="59">
        <f t="shared" ref="X785:X816" si="475">IFERROR(T785/SUM($T$785:$T$855),1/71)</f>
        <v>9.9491608812113923E-3</v>
      </c>
      <c r="Y785" s="59">
        <f t="shared" ref="Y785:Y816" si="476">IFERROR(U785/SUM($U$785:$U$855),1/71)</f>
        <v>1.6111931042605852E-4</v>
      </c>
      <c r="Z785" s="59">
        <f t="shared" ref="Z785:Z816" si="477">IFERROR(V785/SUM($V$785:$V$855),1/71)</f>
        <v>3.506814418545408E-3</v>
      </c>
      <c r="AA785" s="59">
        <f t="shared" si="453"/>
        <v>1.6702360782389191E-2</v>
      </c>
      <c r="AB785" s="59">
        <f t="shared" ref="AB785:AB816" si="478">IFERROR(AH714/SUM($AH$714:$AH$784),1/71)</f>
        <v>1.5948558148682294E-2</v>
      </c>
      <c r="AC785" s="60">
        <f t="shared" si="454"/>
        <v>25568795.022347126</v>
      </c>
      <c r="AD785" s="60">
        <f t="shared" si="441"/>
        <v>25477830.990425523</v>
      </c>
      <c r="AE785" s="59">
        <f t="shared" si="467"/>
        <v>4.3173391215359125E-2</v>
      </c>
      <c r="AF785" s="57">
        <f>MIN(MAX(AD785,AH714*(1-SIM_Parametres!$E$32)),AH714*(1+SIM_Parametres!$F$32))</f>
        <v>25477830.990425523</v>
      </c>
      <c r="AG785" s="57">
        <f>IF(F785-SUM($AF$785:$AF$855)&gt;=0,IFERROR((F785-SUM($AF$785:$AF$855))/(SUM($AH$714:$AH$784)*(1+SIM_Parametres!$F$33)-SUM($AF$785:$AF$855)),0),IFERROR((F785-SUM($AF$785:$AF$855))/(SUM($AF$785:$AF$855)-SUM($AH$714:$AH$784)*(1-SIM_Parametres!$E$33)),0))</f>
        <v>6.4281496449413555E-2</v>
      </c>
      <c r="AH785" s="57">
        <f>AF785+IF(AG785&gt;=0,AG785*(AH714*(1+SIM_Parametres!$F$33)-AF785),AG785*(AF785-AH714*(1-SIM_Parametres!$E$33)))</f>
        <v>25645545.78398129</v>
      </c>
      <c r="AI785" s="60">
        <f t="shared" si="455"/>
        <v>50.192934811418951</v>
      </c>
      <c r="AJ785" s="60">
        <f t="shared" si="456"/>
        <v>440606.88932056725</v>
      </c>
      <c r="AK785" s="59">
        <f t="shared" si="468"/>
        <v>5.0040365488651872E-2</v>
      </c>
    </row>
    <row r="786" spans="1:37" ht="12.75" customHeight="1" x14ac:dyDescent="0.25">
      <c r="A786" s="62" t="s">
        <v>590</v>
      </c>
      <c r="B786" s="62" t="s">
        <v>376</v>
      </c>
      <c r="C786" s="62" t="s">
        <v>381</v>
      </c>
      <c r="D786" s="124">
        <v>2027</v>
      </c>
      <c r="E786" s="62" t="s">
        <v>676</v>
      </c>
      <c r="F786" s="64">
        <f>SIM_Parametres!$C$33</f>
        <v>1580389817.0408096</v>
      </c>
      <c r="G786" s="125">
        <f>SIM_Districts!D5*(1+SIM_Parametres!$B$6)^(2027-2023)</f>
        <v>267803.56625139999</v>
      </c>
      <c r="H786" s="125">
        <f>MAX(0,MIN(100,SIM_Districts!F5+(2027-2022)*SIM_Parametres!$B$7))</f>
        <v>5.1500000000000012</v>
      </c>
      <c r="I786" s="125">
        <f>SIM_Districts!G5*(1+SIM_Parametres!$B$8)^(2027-2023)</f>
        <v>31.229958399999997</v>
      </c>
      <c r="J786" s="125">
        <f>SIM_Districts!H5*(1+SIM_Parametres!$B$9)^(2027-2023)</f>
        <v>6.8234400000000015</v>
      </c>
      <c r="K786" s="125">
        <f>MAX(0,MIN(100,SIM_Districts!I5+(2027-2023)*SIM_Parametres!$B$10))</f>
        <v>100</v>
      </c>
      <c r="L786" s="125">
        <f>SIM_Districts!E5</f>
        <v>10</v>
      </c>
      <c r="M786" s="61">
        <f t="shared" si="452"/>
        <v>26780.356625139997</v>
      </c>
      <c r="N786" s="125">
        <f>N715*(1+SIM_Parametres!$B$6)/(1+SIM_Parametres!$B$11)</f>
        <v>73189</v>
      </c>
      <c r="O786" s="132"/>
      <c r="P786" s="126">
        <f>SIM_Parametres!$D$33</f>
        <v>0.75</v>
      </c>
      <c r="Q786" s="126">
        <f>SIM_Parametres!$B$12</f>
        <v>0.2</v>
      </c>
      <c r="R786" s="66">
        <f t="shared" si="469"/>
        <v>1.3126718902850365E-2</v>
      </c>
      <c r="S786" s="66">
        <f t="shared" si="470"/>
        <v>0</v>
      </c>
      <c r="T786" s="66">
        <f t="shared" si="471"/>
        <v>0.50276243093922646</v>
      </c>
      <c r="U786" s="66">
        <f t="shared" si="472"/>
        <v>0.16355896203869918</v>
      </c>
      <c r="V786" s="66">
        <f t="shared" si="473"/>
        <v>9.5544805280436421E-2</v>
      </c>
      <c r="W786" s="66">
        <f t="shared" si="474"/>
        <v>0</v>
      </c>
      <c r="X786" s="66">
        <f t="shared" si="475"/>
        <v>9.9491608812113923E-3</v>
      </c>
      <c r="Y786" s="66">
        <f t="shared" si="476"/>
        <v>4.1788839610703184E-3</v>
      </c>
      <c r="Z786" s="66">
        <f t="shared" si="477"/>
        <v>3.506814418545408E-3</v>
      </c>
      <c r="AA786" s="66">
        <f t="shared" si="453"/>
        <v>9.7526903928727132E-3</v>
      </c>
      <c r="AB786" s="66">
        <f t="shared" si="478"/>
        <v>1.3097058464051702E-2</v>
      </c>
      <c r="AC786" s="67">
        <f t="shared" si="454"/>
        <v>16782244.370041624</v>
      </c>
      <c r="AD786" s="67">
        <f t="shared" si="441"/>
        <v>17761297.734975081</v>
      </c>
      <c r="AE786" s="66">
        <f t="shared" si="467"/>
        <v>-0.11444323952838553</v>
      </c>
      <c r="AF786" s="64">
        <f>MIN(MAX(AD786,AH715*(1-SIM_Parametres!$E$32)),AH715*(1+SIM_Parametres!$F$32))</f>
        <v>19053812.924696404</v>
      </c>
      <c r="AG786" s="64">
        <f>IF(F786-SUM($AF$785:$AF$855)&gt;=0,IFERROR((F786-SUM($AF$785:$AF$855))/(SUM($AH$714:$AH$784)*(1+SIM_Parametres!$F$33)-SUM($AF$785:$AF$855)),0),IFERROR((F786-SUM($AF$785:$AF$855))/(SUM($AF$785:$AF$855)-SUM($AH$714:$AH$784)*(1-SIM_Parametres!$E$33)),0))</f>
        <v>6.4281496449413555E-2</v>
      </c>
      <c r="AH786" s="64">
        <f>AF786+IF(AG786&gt;=0,AG786*(AH715*(1+SIM_Parametres!$F$33)-AF786),AG786*(AF786-AH715*(1-SIM_Parametres!$E$33)))</f>
        <v>19311667.157931492</v>
      </c>
      <c r="AI786" s="67">
        <f t="shared" si="455"/>
        <v>72.111314379595342</v>
      </c>
      <c r="AJ786" s="67">
        <f t="shared" si="456"/>
        <v>-1386790.6718439646</v>
      </c>
      <c r="AK786" s="66">
        <f t="shared" si="468"/>
        <v>-3.71437007101173E-2</v>
      </c>
    </row>
    <row r="787" spans="1:37" ht="12.75" customHeight="1" x14ac:dyDescent="0.25">
      <c r="A787" s="55" t="s">
        <v>591</v>
      </c>
      <c r="B787" s="55" t="s">
        <v>376</v>
      </c>
      <c r="C787" s="55" t="s">
        <v>382</v>
      </c>
      <c r="D787" s="128">
        <v>2027</v>
      </c>
      <c r="E787" s="55" t="s">
        <v>676</v>
      </c>
      <c r="F787" s="57">
        <f>SIM_Parametres!$C$33</f>
        <v>1580389817.0408096</v>
      </c>
      <c r="G787" s="129">
        <f>SIM_Districts!D6*(1+SIM_Parametres!$B$6)^(2027-2023)</f>
        <v>204106.52065825998</v>
      </c>
      <c r="H787" s="129">
        <f>MAX(0,MIN(100,SIM_Districts!F6+(2027-2022)*SIM_Parametres!$B$7))</f>
        <v>5.1500000000000012</v>
      </c>
      <c r="I787" s="129">
        <f>SIM_Districts!G6*(1+SIM_Parametres!$B$8)^(2027-2023)</f>
        <v>31.229958399999997</v>
      </c>
      <c r="J787" s="129">
        <f>SIM_Districts!H6*(1+SIM_Parametres!$B$9)^(2027-2023)</f>
        <v>6.8234400000000015</v>
      </c>
      <c r="K787" s="129">
        <f>MAX(0,MIN(100,SIM_Districts!I6+(2027-2023)*SIM_Parametres!$B$10))</f>
        <v>100</v>
      </c>
      <c r="L787" s="129">
        <f>SIM_Districts!E6</f>
        <v>169</v>
      </c>
      <c r="M787" s="68">
        <f t="shared" si="452"/>
        <v>1207.7308914689941</v>
      </c>
      <c r="N787" s="129">
        <f>N716*(1+SIM_Parametres!$B$6)/(1+SIM_Parametres!$B$11)</f>
        <v>73189</v>
      </c>
      <c r="O787" s="72"/>
      <c r="P787" s="130">
        <f>SIM_Parametres!$D$33</f>
        <v>0.75</v>
      </c>
      <c r="Q787" s="130">
        <f>SIM_Parametres!$B$12</f>
        <v>0.2</v>
      </c>
      <c r="R787" s="59">
        <f t="shared" si="469"/>
        <v>1.0004530411684887E-2</v>
      </c>
      <c r="S787" s="59">
        <f t="shared" si="470"/>
        <v>0</v>
      </c>
      <c r="T787" s="59">
        <f t="shared" si="471"/>
        <v>0.50276243093922646</v>
      </c>
      <c r="U787" s="59">
        <f t="shared" si="472"/>
        <v>0.49040605765544515</v>
      </c>
      <c r="V787" s="59">
        <f t="shared" si="473"/>
        <v>9.5544805280436421E-2</v>
      </c>
      <c r="W787" s="59">
        <f t="shared" si="474"/>
        <v>0</v>
      </c>
      <c r="X787" s="59">
        <f t="shared" si="475"/>
        <v>9.9491608812113923E-3</v>
      </c>
      <c r="Y787" s="59">
        <f t="shared" si="476"/>
        <v>1.2529732294725465E-2</v>
      </c>
      <c r="Z787" s="59">
        <f t="shared" si="477"/>
        <v>3.506814418545408E-3</v>
      </c>
      <c r="AA787" s="59">
        <f t="shared" si="453"/>
        <v>8.2969197148561845E-3</v>
      </c>
      <c r="AB787" s="59">
        <f t="shared" si="478"/>
        <v>1.1324937298433976E-2</v>
      </c>
      <c r="AC787" s="60">
        <f t="shared" si="454"/>
        <v>14941696.24565449</v>
      </c>
      <c r="AD787" s="60">
        <f t="shared" si="441"/>
        <v>15680726.080508543</v>
      </c>
      <c r="AE787" s="59">
        <f t="shared" si="467"/>
        <v>-9.5838861554518817E-2</v>
      </c>
      <c r="AF787" s="57">
        <f>MIN(MAX(AD787,AH716*(1-SIM_Parametres!$E$32)),AH716*(1+SIM_Parametres!$F$32))</f>
        <v>16475702.331218198</v>
      </c>
      <c r="AG787" s="57">
        <f>IF(F787-SUM($AF$785:$AF$855)&gt;=0,IFERROR((F787-SUM($AF$785:$AF$855))/(SUM($AH$714:$AH$784)*(1+SIM_Parametres!$F$33)-SUM($AF$785:$AF$855)),0),IFERROR((F787-SUM($AF$785:$AF$855))/(SUM($AF$785:$AF$855)-SUM($AH$714:$AH$784)*(1-SIM_Parametres!$E$33)),0))</f>
        <v>6.4281496449413555E-2</v>
      </c>
      <c r="AH787" s="57">
        <f>AF787+IF(AG787&gt;=0,AG787*(AH716*(1+SIM_Parametres!$F$33)-AF787),AG787*(AF787-AH716*(1-SIM_Parametres!$E$33)))</f>
        <v>16698667.131408893</v>
      </c>
      <c r="AI787" s="60">
        <f t="shared" si="455"/>
        <v>81.813491688331879</v>
      </c>
      <c r="AJ787" s="60">
        <f t="shared" si="456"/>
        <v>-1199148.4536618181</v>
      </c>
      <c r="AK787" s="59">
        <f t="shared" si="468"/>
        <v>-3.7143700710117411E-2</v>
      </c>
    </row>
    <row r="788" spans="1:37" ht="12.75" customHeight="1" x14ac:dyDescent="0.25">
      <c r="A788" s="62" t="s">
        <v>592</v>
      </c>
      <c r="B788" s="62" t="s">
        <v>376</v>
      </c>
      <c r="C788" s="62" t="s">
        <v>383</v>
      </c>
      <c r="D788" s="124">
        <v>2027</v>
      </c>
      <c r="E788" s="62" t="s">
        <v>676</v>
      </c>
      <c r="F788" s="64">
        <f>SIM_Parametres!$C$33</f>
        <v>1580389817.0408096</v>
      </c>
      <c r="G788" s="125">
        <f>SIM_Districts!D7*(1+SIM_Parametres!$B$6)^(2027-2023)</f>
        <v>517355.88163983996</v>
      </c>
      <c r="H788" s="125">
        <f>MAX(0,MIN(100,SIM_Districts!F7+(2027-2022)*SIM_Parametres!$B$7))</f>
        <v>5.1500000000000012</v>
      </c>
      <c r="I788" s="125">
        <f>SIM_Districts!G7*(1+SIM_Parametres!$B$8)^(2027-2023)</f>
        <v>31.229958399999997</v>
      </c>
      <c r="J788" s="125">
        <f>SIM_Districts!H7*(1+SIM_Parametres!$B$9)^(2027-2023)</f>
        <v>6.8234400000000015</v>
      </c>
      <c r="K788" s="125">
        <f>MAX(0,MIN(100,SIM_Districts!I7+(2027-2023)*SIM_Parametres!$B$10))</f>
        <v>100</v>
      </c>
      <c r="L788" s="125">
        <f>SIM_Districts!E7</f>
        <v>13</v>
      </c>
      <c r="M788" s="61">
        <f t="shared" si="452"/>
        <v>39796.606279987689</v>
      </c>
      <c r="N788" s="125">
        <f>N717*(1+SIM_Parametres!$B$6)/(1+SIM_Parametres!$B$11)</f>
        <v>73189</v>
      </c>
      <c r="O788" s="132"/>
      <c r="P788" s="126">
        <f>SIM_Parametres!$D$33</f>
        <v>0.75</v>
      </c>
      <c r="Q788" s="126">
        <f>SIM_Parametres!$B$12</f>
        <v>0.2</v>
      </c>
      <c r="R788" s="66">
        <f t="shared" si="469"/>
        <v>2.5358830452045938E-2</v>
      </c>
      <c r="S788" s="66">
        <f t="shared" si="470"/>
        <v>0</v>
      </c>
      <c r="T788" s="66">
        <f t="shared" si="471"/>
        <v>0.50276243093922646</v>
      </c>
      <c r="U788" s="66">
        <f t="shared" si="472"/>
        <v>1.0392129693778578E-4</v>
      </c>
      <c r="V788" s="66">
        <f t="shared" si="473"/>
        <v>9.5544805280436421E-2</v>
      </c>
      <c r="W788" s="66">
        <f t="shared" si="474"/>
        <v>0</v>
      </c>
      <c r="X788" s="66">
        <f t="shared" si="475"/>
        <v>9.9491608812113923E-3</v>
      </c>
      <c r="Y788" s="66">
        <f t="shared" si="476"/>
        <v>2.6551589443578546E-6</v>
      </c>
      <c r="Z788" s="66">
        <f t="shared" si="477"/>
        <v>3.506814418545408E-3</v>
      </c>
      <c r="AA788" s="66">
        <f t="shared" si="453"/>
        <v>1.6883145882283759E-2</v>
      </c>
      <c r="AB788" s="66">
        <f t="shared" si="478"/>
        <v>1.6394075933567908E-2</v>
      </c>
      <c r="AC788" s="67">
        <f t="shared" si="454"/>
        <v>25797363.767103989</v>
      </c>
      <c r="AD788" s="67">
        <f t="shared" si="441"/>
        <v>25825280.491629124</v>
      </c>
      <c r="AE788" s="66">
        <f t="shared" si="467"/>
        <v>2.8664090592709801E-2</v>
      </c>
      <c r="AF788" s="64">
        <f>MIN(MAX(AD788,AH717*(1-SIM_Parametres!$E$32)),AH717*(1+SIM_Parametres!$F$32))</f>
        <v>25825280.491629124</v>
      </c>
      <c r="AG788" s="64">
        <f>IF(F788-SUM($AF$785:$AF$855)&gt;=0,IFERROR((F788-SUM($AF$785:$AF$855))/(SUM($AH$714:$AH$784)*(1+SIM_Parametres!$F$33)-SUM($AF$785:$AF$855)),0),IFERROR((F788-SUM($AF$785:$AF$855))/(SUM($AF$785:$AF$855)-SUM($AH$714:$AH$784)*(1-SIM_Parametres!$E$33)),0))</f>
        <v>6.4281496449413555E-2</v>
      </c>
      <c r="AH788" s="64">
        <f>AF788+IF(AG788&gt;=0,AG788*(AH717*(1+SIM_Parametres!$F$33)-AF788),AG788*(AF788-AH717*(1-SIM_Parametres!$E$33)))</f>
        <v>26021095.869781256</v>
      </c>
      <c r="AI788" s="67">
        <f t="shared" si="455"/>
        <v>50.296317860161061</v>
      </c>
      <c r="AJ788" s="67">
        <f t="shared" si="456"/>
        <v>112065.20457673073</v>
      </c>
      <c r="AK788" s="66">
        <f t="shared" si="468"/>
        <v>3.646374442246092E-2</v>
      </c>
    </row>
    <row r="789" spans="1:37" ht="12.75" customHeight="1" x14ac:dyDescent="0.25">
      <c r="A789" s="55" t="s">
        <v>593</v>
      </c>
      <c r="B789" s="55" t="s">
        <v>376</v>
      </c>
      <c r="C789" s="55" t="s">
        <v>384</v>
      </c>
      <c r="D789" s="128">
        <v>2027</v>
      </c>
      <c r="E789" s="55" t="s">
        <v>676</v>
      </c>
      <c r="F789" s="57">
        <f>SIM_Parametres!$C$33</f>
        <v>1580389817.0408096</v>
      </c>
      <c r="G789" s="129">
        <f>SIM_Districts!D8*(1+SIM_Parametres!$B$6)^(2027-2023)</f>
        <v>366891.11086617998</v>
      </c>
      <c r="H789" s="129">
        <f>MAX(0,MIN(100,SIM_Districts!F8+(2027-2022)*SIM_Parametres!$B$7))</f>
        <v>5.1500000000000012</v>
      </c>
      <c r="I789" s="129">
        <f>SIM_Districts!G8*(1+SIM_Parametres!$B$8)^(2027-2023)</f>
        <v>31.229958399999997</v>
      </c>
      <c r="J789" s="129">
        <f>SIM_Districts!H8*(1+SIM_Parametres!$B$9)^(2027-2023)</f>
        <v>6.8234400000000015</v>
      </c>
      <c r="K789" s="129">
        <f>MAX(0,MIN(100,SIM_Districts!I8+(2027-2023)*SIM_Parametres!$B$10))</f>
        <v>100</v>
      </c>
      <c r="L789" s="129">
        <f>SIM_Districts!E8</f>
        <v>34</v>
      </c>
      <c r="M789" s="68">
        <f t="shared" si="452"/>
        <v>10790.915025475882</v>
      </c>
      <c r="N789" s="129">
        <f>N718*(1+SIM_Parametres!$B$6)/(1+SIM_Parametres!$B$11)</f>
        <v>73189</v>
      </c>
      <c r="O789" s="72"/>
      <c r="P789" s="130">
        <f>SIM_Parametres!$D$33</f>
        <v>0.75</v>
      </c>
      <c r="Q789" s="130">
        <f>SIM_Parametres!$B$12</f>
        <v>0.2</v>
      </c>
      <c r="R789" s="59">
        <f t="shared" si="469"/>
        <v>1.7983615930542811E-2</v>
      </c>
      <c r="S789" s="59">
        <f t="shared" si="470"/>
        <v>0</v>
      </c>
      <c r="T789" s="59">
        <f t="shared" si="471"/>
        <v>0.50276243093922646</v>
      </c>
      <c r="U789" s="59">
        <f t="shared" si="472"/>
        <v>0.36530968637307898</v>
      </c>
      <c r="V789" s="59">
        <f t="shared" si="473"/>
        <v>9.5544805280436421E-2</v>
      </c>
      <c r="W789" s="59">
        <f t="shared" si="474"/>
        <v>0</v>
      </c>
      <c r="X789" s="59">
        <f t="shared" si="475"/>
        <v>9.9491608812113923E-3</v>
      </c>
      <c r="Y789" s="59">
        <f t="shared" si="476"/>
        <v>9.3335563528881213E-3</v>
      </c>
      <c r="Z789" s="59">
        <f t="shared" si="477"/>
        <v>3.506814418545408E-3</v>
      </c>
      <c r="AA789" s="59">
        <f t="shared" si="453"/>
        <v>1.2924562229079072E-2</v>
      </c>
      <c r="AB789" s="59">
        <f t="shared" si="478"/>
        <v>1.2370588640219289E-2</v>
      </c>
      <c r="AC789" s="60">
        <f t="shared" si="454"/>
        <v>20792479.530760877</v>
      </c>
      <c r="AD789" s="60">
        <f t="shared" si="441"/>
        <v>20481947.727521475</v>
      </c>
      <c r="AE789" s="59">
        <f t="shared" si="467"/>
        <v>8.1175914950324168E-2</v>
      </c>
      <c r="AF789" s="57">
        <f>MIN(MAX(AD789,AH718*(1-SIM_Parametres!$E$32)),AH718*(1+SIM_Parametres!$F$32))</f>
        <v>20481947.727521475</v>
      </c>
      <c r="AG789" s="57">
        <f>IF(F789-SUM($AF$785:$AF$855)&gt;=0,IFERROR((F789-SUM($AF$785:$AF$855))/(SUM($AH$714:$AH$784)*(1+SIM_Parametres!$F$33)-SUM($AF$785:$AF$855)),0),IFERROR((F789-SUM($AF$785:$AF$855))/(SUM($AF$785:$AF$855)-SUM($AH$714:$AH$784)*(1-SIM_Parametres!$E$33)),0))</f>
        <v>6.4281496449413555E-2</v>
      </c>
      <c r="AH789" s="57">
        <f>AF789+IF(AG789&gt;=0,AG789*(AH718*(1+SIM_Parametres!$F$33)-AF789),AG789*(AF789-AH718*(1-SIM_Parametres!$E$33)))</f>
        <v>20565758.784148607</v>
      </c>
      <c r="AI789" s="60">
        <f t="shared" si="455"/>
        <v>56.054121168527764</v>
      </c>
      <c r="AJ789" s="60">
        <f t="shared" si="456"/>
        <v>1015406.4663453288</v>
      </c>
      <c r="AK789" s="59">
        <f t="shared" si="468"/>
        <v>8.560003012907913E-2</v>
      </c>
    </row>
    <row r="790" spans="1:37" ht="12.75" customHeight="1" x14ac:dyDescent="0.25">
      <c r="A790" s="62" t="s">
        <v>594</v>
      </c>
      <c r="B790" s="62" t="s">
        <v>376</v>
      </c>
      <c r="C790" s="62" t="s">
        <v>385</v>
      </c>
      <c r="D790" s="124">
        <v>2027</v>
      </c>
      <c r="E790" s="62" t="s">
        <v>676</v>
      </c>
      <c r="F790" s="64">
        <f>SIM_Parametres!$C$33</f>
        <v>1580389817.0408096</v>
      </c>
      <c r="G790" s="125">
        <f>SIM_Districts!D9*(1+SIM_Parametres!$B$6)^(2027-2023)</f>
        <v>538293.72203226993</v>
      </c>
      <c r="H790" s="125">
        <f>MAX(0,MIN(100,SIM_Districts!F9+(2027-2022)*SIM_Parametres!$B$7))</f>
        <v>5.1500000000000012</v>
      </c>
      <c r="I790" s="125">
        <f>SIM_Districts!G9*(1+SIM_Parametres!$B$8)^(2027-2023)</f>
        <v>31.229958399999997</v>
      </c>
      <c r="J790" s="125">
        <f>SIM_Districts!H9*(1+SIM_Parametres!$B$9)^(2027-2023)</f>
        <v>6.8234400000000015</v>
      </c>
      <c r="K790" s="125">
        <f>MAX(0,MIN(100,SIM_Districts!I9+(2027-2023)*SIM_Parametres!$B$10))</f>
        <v>100</v>
      </c>
      <c r="L790" s="125">
        <f>SIM_Districts!E9</f>
        <v>28</v>
      </c>
      <c r="M790" s="61">
        <f t="shared" si="452"/>
        <v>19224.775786866783</v>
      </c>
      <c r="N790" s="125">
        <f>N719*(1+SIM_Parametres!$B$6)/(1+SIM_Parametres!$B$11)</f>
        <v>73189</v>
      </c>
      <c r="O790" s="132"/>
      <c r="P790" s="126">
        <f>SIM_Parametres!$D$33</f>
        <v>0.75</v>
      </c>
      <c r="Q790" s="126">
        <f>SIM_Parametres!$B$12</f>
        <v>0.2</v>
      </c>
      <c r="R790" s="66">
        <f t="shared" si="469"/>
        <v>2.6385124272966021E-2</v>
      </c>
      <c r="S790" s="66">
        <f t="shared" si="470"/>
        <v>0</v>
      </c>
      <c r="T790" s="66">
        <f t="shared" si="471"/>
        <v>0.50276243093922646</v>
      </c>
      <c r="U790" s="66">
        <f t="shared" si="472"/>
        <v>0.25912404305391834</v>
      </c>
      <c r="V790" s="66">
        <f t="shared" si="473"/>
        <v>9.5544805280436421E-2</v>
      </c>
      <c r="W790" s="66">
        <f t="shared" si="474"/>
        <v>0</v>
      </c>
      <c r="X790" s="66">
        <f t="shared" si="475"/>
        <v>9.9491608812113923E-3</v>
      </c>
      <c r="Y790" s="66">
        <f t="shared" si="476"/>
        <v>6.6205440163499222E-3</v>
      </c>
      <c r="Z790" s="66">
        <f t="shared" si="477"/>
        <v>3.506814418545408E-3</v>
      </c>
      <c r="AA790" s="66">
        <f t="shared" si="453"/>
        <v>1.7829816617706083E-2</v>
      </c>
      <c r="AB790" s="66">
        <f t="shared" si="478"/>
        <v>1.2739884672245292E-2</v>
      </c>
      <c r="AC790" s="67">
        <f t="shared" si="454"/>
        <v>26994250.79938557</v>
      </c>
      <c r="AD790" s="67">
        <f t="shared" si="441"/>
        <v>25279184.101111867</v>
      </c>
      <c r="AE790" s="66">
        <f t="shared" si="467"/>
        <v>0.29572557444151881</v>
      </c>
      <c r="AF790" s="64">
        <f>MIN(MAX(AD790,AH719*(1-SIM_Parametres!$E$32)),AH719*(1+SIM_Parametres!$F$32))</f>
        <v>22436125.588405401</v>
      </c>
      <c r="AG790" s="64">
        <f>IF(F790-SUM($AF$785:$AF$855)&gt;=0,IFERROR((F790-SUM($AF$785:$AF$855))/(SUM($AH$714:$AH$784)*(1+SIM_Parametres!$F$33)-SUM($AF$785:$AF$855)),0),IFERROR((F790-SUM($AF$785:$AF$855))/(SUM($AF$785:$AF$855)-SUM($AH$714:$AH$784)*(1-SIM_Parametres!$E$33)),0))</f>
        <v>6.4281496449413555E-2</v>
      </c>
      <c r="AH790" s="64">
        <f>AF790+IF(AG790&gt;=0,AG790*(AH719*(1+SIM_Parametres!$F$33)-AF790),AG790*(AF790-AH719*(1-SIM_Parametres!$E$33)))</f>
        <v>22436125.588405401</v>
      </c>
      <c r="AI790" s="67">
        <f t="shared" si="455"/>
        <v>41.680080354086662</v>
      </c>
      <c r="AJ790" s="67">
        <f t="shared" si="456"/>
        <v>2302141.5821146481</v>
      </c>
      <c r="AK790" s="66">
        <f t="shared" si="468"/>
        <v>0.14999999999999991</v>
      </c>
    </row>
    <row r="791" spans="1:37" ht="12.75" customHeight="1" x14ac:dyDescent="0.25">
      <c r="A791" s="55" t="s">
        <v>595</v>
      </c>
      <c r="B791" s="55" t="s">
        <v>376</v>
      </c>
      <c r="C791" s="55" t="s">
        <v>386</v>
      </c>
      <c r="D791" s="128">
        <v>2027</v>
      </c>
      <c r="E791" s="55" t="s">
        <v>676</v>
      </c>
      <c r="F791" s="57">
        <f>SIM_Parametres!$C$33</f>
        <v>1580389817.0408096</v>
      </c>
      <c r="G791" s="129">
        <f>SIM_Districts!D10*(1+SIM_Parametres!$B$6)^(2027-2023)</f>
        <v>688212.62103307992</v>
      </c>
      <c r="H791" s="129">
        <f>MAX(0,MIN(100,SIM_Districts!F10+(2027-2022)*SIM_Parametres!$B$7))</f>
        <v>5.1500000000000012</v>
      </c>
      <c r="I791" s="129">
        <f>SIM_Districts!G10*(1+SIM_Parametres!$B$8)^(2027-2023)</f>
        <v>31.229958399999997</v>
      </c>
      <c r="J791" s="129">
        <f>SIM_Districts!H10*(1+SIM_Parametres!$B$9)^(2027-2023)</f>
        <v>6.8234400000000015</v>
      </c>
      <c r="K791" s="129">
        <f>MAX(0,MIN(100,SIM_Districts!I10+(2027-2023)*SIM_Parametres!$B$10))</f>
        <v>100</v>
      </c>
      <c r="L791" s="129">
        <f>SIM_Districts!E10</f>
        <v>22</v>
      </c>
      <c r="M791" s="68">
        <f t="shared" si="452"/>
        <v>31282.391865139998</v>
      </c>
      <c r="N791" s="129">
        <f>N720*(1+SIM_Parametres!$B$6)/(1+SIM_Parametres!$B$11)</f>
        <v>73189</v>
      </c>
      <c r="O791" s="72"/>
      <c r="P791" s="130">
        <f>SIM_Parametres!$D$33</f>
        <v>0.75</v>
      </c>
      <c r="Q791" s="130">
        <f>SIM_Parametres!$B$12</f>
        <v>0.2</v>
      </c>
      <c r="R791" s="59">
        <f t="shared" si="469"/>
        <v>3.37335822227793E-2</v>
      </c>
      <c r="S791" s="59">
        <f t="shared" si="470"/>
        <v>0</v>
      </c>
      <c r="T791" s="59">
        <f t="shared" si="471"/>
        <v>0.50276243093922646</v>
      </c>
      <c r="U791" s="59">
        <f t="shared" si="472"/>
        <v>0.10740318997556661</v>
      </c>
      <c r="V791" s="59">
        <f t="shared" si="473"/>
        <v>9.5544805280436421E-2</v>
      </c>
      <c r="W791" s="59">
        <f t="shared" si="474"/>
        <v>0</v>
      </c>
      <c r="X791" s="59">
        <f t="shared" si="475"/>
        <v>9.9491608812113923E-3</v>
      </c>
      <c r="Y791" s="59">
        <f t="shared" si="476"/>
        <v>2.744120299873806E-3</v>
      </c>
      <c r="Z791" s="59">
        <f t="shared" si="477"/>
        <v>3.506814418545408E-3</v>
      </c>
      <c r="AA791" s="59">
        <f t="shared" si="453"/>
        <v>2.2045070201770246E-2</v>
      </c>
      <c r="AB791" s="59">
        <f t="shared" si="478"/>
        <v>1.9526746568744795E-2</v>
      </c>
      <c r="AC791" s="60">
        <f t="shared" si="454"/>
        <v>32323645.871785395</v>
      </c>
      <c r="AD791" s="60">
        <f t="shared" si="441"/>
        <v>31957702.26313426</v>
      </c>
      <c r="AE791" s="59">
        <f t="shared" si="467"/>
        <v>6.871309566827577E-2</v>
      </c>
      <c r="AF791" s="57">
        <f>MIN(MAX(AD791,AH720*(1-SIM_Parametres!$E$32)),AH720*(1+SIM_Parametres!$F$32))</f>
        <v>31957702.26313426</v>
      </c>
      <c r="AG791" s="57">
        <f>IF(F791-SUM($AF$785:$AF$855)&gt;=0,IFERROR((F791-SUM($AF$785:$AF$855))/(SUM($AH$714:$AH$784)*(1+SIM_Parametres!$F$33)-SUM($AF$785:$AF$855)),0),IFERROR((F791-SUM($AF$785:$AF$855))/(SUM($AF$785:$AF$855)-SUM($AH$714:$AH$784)*(1-SIM_Parametres!$E$33)),0))</f>
        <v>6.4281496449413555E-2</v>
      </c>
      <c r="AH791" s="57">
        <f>AF791+IF(AG791&gt;=0,AG791*(AH720*(1+SIM_Parametres!$F$33)-AF791),AG791*(AF791-AH720*(1-SIM_Parametres!$E$33)))</f>
        <v>32113952.605679128</v>
      </c>
      <c r="AI791" s="60">
        <f t="shared" si="455"/>
        <v>46.662835908868814</v>
      </c>
      <c r="AJ791" s="60">
        <f t="shared" si="456"/>
        <v>1254081.1684982851</v>
      </c>
      <c r="AK791" s="59">
        <f t="shared" si="468"/>
        <v>7.3938339520459362E-2</v>
      </c>
    </row>
    <row r="792" spans="1:37" ht="12.75" customHeight="1" x14ac:dyDescent="0.25">
      <c r="A792" s="62" t="s">
        <v>596</v>
      </c>
      <c r="B792" s="62" t="s">
        <v>376</v>
      </c>
      <c r="C792" s="62" t="s">
        <v>387</v>
      </c>
      <c r="D792" s="124">
        <v>2027</v>
      </c>
      <c r="E792" s="62" t="s">
        <v>676</v>
      </c>
      <c r="F792" s="64">
        <f>SIM_Parametres!$C$33</f>
        <v>1580389817.0408096</v>
      </c>
      <c r="G792" s="125">
        <f>SIM_Districts!D11*(1+SIM_Parametres!$B$6)^(2027-2023)</f>
        <v>331632.29637530999</v>
      </c>
      <c r="H792" s="125">
        <f>MAX(0,MIN(100,SIM_Districts!F11+(2027-2022)*SIM_Parametres!$B$7))</f>
        <v>5.1500000000000012</v>
      </c>
      <c r="I792" s="125">
        <f>SIM_Districts!G11*(1+SIM_Parametres!$B$8)^(2027-2023)</f>
        <v>31.229958399999997</v>
      </c>
      <c r="J792" s="125">
        <f>SIM_Districts!H11*(1+SIM_Parametres!$B$9)^(2027-2023)</f>
        <v>6.8234400000000015</v>
      </c>
      <c r="K792" s="125">
        <f>MAX(0,MIN(100,SIM_Districts!I11+(2027-2023)*SIM_Parametres!$B$10))</f>
        <v>100</v>
      </c>
      <c r="L792" s="125">
        <f>SIM_Districts!E11</f>
        <v>34</v>
      </c>
      <c r="M792" s="61">
        <f t="shared" si="452"/>
        <v>9753.8910698620584</v>
      </c>
      <c r="N792" s="125">
        <f>N721*(1+SIM_Parametres!$B$6)/(1+SIM_Parametres!$B$11)</f>
        <v>73189</v>
      </c>
      <c r="O792" s="132"/>
      <c r="P792" s="126">
        <f>SIM_Parametres!$D$33</f>
        <v>0.75</v>
      </c>
      <c r="Q792" s="126">
        <f>SIM_Parametres!$B$12</f>
        <v>0.2</v>
      </c>
      <c r="R792" s="66">
        <f t="shared" si="469"/>
        <v>1.6255362072134835E-2</v>
      </c>
      <c r="S792" s="66">
        <f t="shared" si="470"/>
        <v>0</v>
      </c>
      <c r="T792" s="66">
        <f t="shared" si="471"/>
        <v>0.50276243093922646</v>
      </c>
      <c r="U792" s="66">
        <f t="shared" si="472"/>
        <v>0.37834067197086158</v>
      </c>
      <c r="V792" s="66">
        <f t="shared" si="473"/>
        <v>9.5544805280436421E-2</v>
      </c>
      <c r="W792" s="66">
        <f t="shared" si="474"/>
        <v>0</v>
      </c>
      <c r="X792" s="66">
        <f t="shared" si="475"/>
        <v>9.9491608812113923E-3</v>
      </c>
      <c r="Y792" s="66">
        <f t="shared" si="476"/>
        <v>9.6664942490006407E-3</v>
      </c>
      <c r="Z792" s="66">
        <f t="shared" si="477"/>
        <v>3.506814418545408E-3</v>
      </c>
      <c r="AA792" s="66">
        <f t="shared" si="453"/>
        <v>1.1904256808839912E-2</v>
      </c>
      <c r="AB792" s="66">
        <f t="shared" si="478"/>
        <v>1.2648664281165654E-2</v>
      </c>
      <c r="AC792" s="67">
        <f t="shared" si="454"/>
        <v>19502495.293626864</v>
      </c>
      <c r="AD792" s="67">
        <f t="shared" si="441"/>
        <v>19624326.527500652</v>
      </c>
      <c r="AE792" s="66">
        <f t="shared" si="467"/>
        <v>1.3130920851216699E-2</v>
      </c>
      <c r="AF792" s="64">
        <f>MIN(MAX(AD792,AH721*(1-SIM_Parametres!$E$32)),AH721*(1+SIM_Parametres!$F$32))</f>
        <v>19624326.527500652</v>
      </c>
      <c r="AG792" s="64">
        <f>IF(F792-SUM($AF$785:$AF$855)&gt;=0,IFERROR((F792-SUM($AF$785:$AF$855))/(SUM($AH$714:$AH$784)*(1+SIM_Parametres!$F$33)-SUM($AF$785:$AF$855)),0),IFERROR((F792-SUM($AF$785:$AF$855))/(SUM($AF$785:$AF$855)-SUM($AH$714:$AH$784)*(1-SIM_Parametres!$E$33)),0))</f>
        <v>6.4281496449413555E-2</v>
      </c>
      <c r="AH792" s="64">
        <f>AF792+IF(AG792&gt;=0,AG792*(AH721*(1+SIM_Parametres!$F$33)-AF792),AG792*(AF792-AH721*(1-SIM_Parametres!$E$33)))</f>
        <v>19794746.509442005</v>
      </c>
      <c r="AI792" s="67">
        <f t="shared" si="455"/>
        <v>59.688838288054392</v>
      </c>
      <c r="AJ792" s="67">
        <f t="shared" si="456"/>
        <v>-195073.71968000755</v>
      </c>
      <c r="AK792" s="66">
        <f t="shared" si="468"/>
        <v>2.1929070076553758E-2</v>
      </c>
    </row>
    <row r="793" spans="1:37" ht="12.75" customHeight="1" x14ac:dyDescent="0.25">
      <c r="A793" s="55" t="s">
        <v>597</v>
      </c>
      <c r="B793" s="55" t="s">
        <v>376</v>
      </c>
      <c r="C793" s="55" t="s">
        <v>388</v>
      </c>
      <c r="D793" s="128">
        <v>2027</v>
      </c>
      <c r="E793" s="55" t="s">
        <v>676</v>
      </c>
      <c r="F793" s="57">
        <f>SIM_Parametres!$C$33</f>
        <v>1580389817.0408096</v>
      </c>
      <c r="G793" s="129">
        <f>SIM_Districts!D12*(1+SIM_Parametres!$B$6)^(2027-2023)</f>
        <v>515809.43253489997</v>
      </c>
      <c r="H793" s="129">
        <f>MAX(0,MIN(100,SIM_Districts!F12+(2027-2022)*SIM_Parametres!$B$7))</f>
        <v>5.1500000000000012</v>
      </c>
      <c r="I793" s="129">
        <f>SIM_Districts!G12*(1+SIM_Parametres!$B$8)^(2027-2023)</f>
        <v>31.229958399999997</v>
      </c>
      <c r="J793" s="129">
        <f>SIM_Districts!H12*(1+SIM_Parametres!$B$9)^(2027-2023)</f>
        <v>6.8234400000000015</v>
      </c>
      <c r="K793" s="129">
        <f>MAX(0,MIN(100,SIM_Districts!I12+(2027-2023)*SIM_Parametres!$B$10))</f>
        <v>100</v>
      </c>
      <c r="L793" s="129">
        <f>SIM_Districts!E12</f>
        <v>18</v>
      </c>
      <c r="M793" s="68">
        <f t="shared" si="452"/>
        <v>28656.079585272222</v>
      </c>
      <c r="N793" s="129">
        <f>N722*(1+SIM_Parametres!$B$6)/(1+SIM_Parametres!$B$11)</f>
        <v>73189</v>
      </c>
      <c r="O793" s="72"/>
      <c r="P793" s="130">
        <f>SIM_Parametres!$D$33</f>
        <v>0.75</v>
      </c>
      <c r="Q793" s="130">
        <f>SIM_Parametres!$B$12</f>
        <v>0.2</v>
      </c>
      <c r="R793" s="59">
        <f t="shared" si="469"/>
        <v>2.5283029360289543E-2</v>
      </c>
      <c r="S793" s="59">
        <f t="shared" si="470"/>
        <v>0</v>
      </c>
      <c r="T793" s="59">
        <f t="shared" si="471"/>
        <v>0.50276243093922646</v>
      </c>
      <c r="U793" s="59">
        <f t="shared" si="472"/>
        <v>0.14026621640536643</v>
      </c>
      <c r="V793" s="59">
        <f t="shared" si="473"/>
        <v>9.5544805280436421E-2</v>
      </c>
      <c r="W793" s="59">
        <f t="shared" si="474"/>
        <v>0</v>
      </c>
      <c r="X793" s="59">
        <f t="shared" si="475"/>
        <v>9.9491608812113923E-3</v>
      </c>
      <c r="Y793" s="59">
        <f t="shared" si="476"/>
        <v>3.5837610774132663E-3</v>
      </c>
      <c r="Z793" s="59">
        <f t="shared" si="477"/>
        <v>3.506814418545408E-3</v>
      </c>
      <c r="AA793" s="59">
        <f t="shared" si="453"/>
        <v>1.7016720523153363E-2</v>
      </c>
      <c r="AB793" s="59">
        <f t="shared" si="478"/>
        <v>1.7210355294973795E-2</v>
      </c>
      <c r="AC793" s="60">
        <f t="shared" si="454"/>
        <v>25966243.768900156</v>
      </c>
      <c r="AD793" s="60">
        <f t="shared" ref="AD793:AD856" si="479">F793*((1-P793)*AB793+P793*(Q793/71+(1-Q793)*AA793))</f>
        <v>26274450.390632857</v>
      </c>
      <c r="AE793" s="59">
        <f t="shared" si="467"/>
        <v>-3.0823646510452773E-3</v>
      </c>
      <c r="AF793" s="57">
        <f>MIN(MAX(AD793,AH722*(1-SIM_Parametres!$E$32)),AH722*(1+SIM_Parametres!$F$32))</f>
        <v>26274450.390632857</v>
      </c>
      <c r="AG793" s="57">
        <f>IF(F793-SUM($AF$785:$AF$855)&gt;=0,IFERROR((F793-SUM($AF$785:$AF$855))/(SUM($AH$714:$AH$784)*(1+SIM_Parametres!$F$33)-SUM($AF$785:$AF$855)),0),IFERROR((F793-SUM($AF$785:$AF$855))/(SUM($AF$785:$AF$855)-SUM($AH$714:$AH$784)*(1-SIM_Parametres!$E$33)),0))</f>
        <v>6.4281496449413555E-2</v>
      </c>
      <c r="AH793" s="57">
        <f>AF793+IF(AG793&gt;=0,AG793*(AH722*(1+SIM_Parametres!$F$33)-AF793),AG793*(AF793-AH722*(1-SIM_Parametres!$E$33)))</f>
        <v>26533799.942599483</v>
      </c>
      <c r="AI793" s="60">
        <f t="shared" si="455"/>
        <v>51.441090970751468</v>
      </c>
      <c r="AJ793" s="60">
        <f t="shared" si="456"/>
        <v>-665270.3132314831</v>
      </c>
      <c r="AK793" s="59">
        <f t="shared" si="468"/>
        <v>6.7579988287387316E-3</v>
      </c>
    </row>
    <row r="794" spans="1:37" ht="12.75" customHeight="1" x14ac:dyDescent="0.25">
      <c r="A794" s="62" t="s">
        <v>598</v>
      </c>
      <c r="B794" s="62" t="s">
        <v>376</v>
      </c>
      <c r="C794" s="62" t="s">
        <v>389</v>
      </c>
      <c r="D794" s="124">
        <v>2027</v>
      </c>
      <c r="E794" s="62" t="s">
        <v>676</v>
      </c>
      <c r="F794" s="64">
        <f>SIM_Parametres!$C$33</f>
        <v>1580389817.0408096</v>
      </c>
      <c r="G794" s="125">
        <f>SIM_Districts!D13*(1+SIM_Parametres!$B$6)^(2027-2023)</f>
        <v>565972.23468778993</v>
      </c>
      <c r="H794" s="125">
        <f>MAX(0,MIN(100,SIM_Districts!F13+(2027-2022)*SIM_Parametres!$B$7))</f>
        <v>5.1500000000000012</v>
      </c>
      <c r="I794" s="125">
        <f>SIM_Districts!G13*(1+SIM_Parametres!$B$8)^(2027-2023)</f>
        <v>31.229958399999997</v>
      </c>
      <c r="J794" s="125">
        <f>SIM_Districts!H13*(1+SIM_Parametres!$B$9)^(2027-2023)</f>
        <v>6.8234400000000015</v>
      </c>
      <c r="K794" s="125">
        <f>MAX(0,MIN(100,SIM_Districts!I13+(2027-2023)*SIM_Parametres!$B$10))</f>
        <v>100</v>
      </c>
      <c r="L794" s="125">
        <f>SIM_Districts!E13</f>
        <v>203</v>
      </c>
      <c r="M794" s="61">
        <f t="shared" si="452"/>
        <v>2788.0405649644822</v>
      </c>
      <c r="N794" s="125">
        <f>N723*(1+SIM_Parametres!$B$6)/(1+SIM_Parametres!$B$11)</f>
        <v>73189</v>
      </c>
      <c r="O794" s="132"/>
      <c r="P794" s="126">
        <f>SIM_Parametres!$D$33</f>
        <v>0.75</v>
      </c>
      <c r="Q794" s="126">
        <f>SIM_Parametres!$B$12</f>
        <v>0.2</v>
      </c>
      <c r="R794" s="66">
        <f t="shared" si="469"/>
        <v>2.774182037811394E-2</v>
      </c>
      <c r="S794" s="66">
        <f t="shared" si="470"/>
        <v>0</v>
      </c>
      <c r="T794" s="66">
        <f t="shared" si="471"/>
        <v>0.50276243093922646</v>
      </c>
      <c r="U794" s="66">
        <f t="shared" si="472"/>
        <v>0.47172605328939682</v>
      </c>
      <c r="V794" s="66">
        <f t="shared" si="473"/>
        <v>9.5544805280436421E-2</v>
      </c>
      <c r="W794" s="66">
        <f t="shared" si="474"/>
        <v>0</v>
      </c>
      <c r="X794" s="66">
        <f t="shared" si="475"/>
        <v>9.9491608812113923E-3</v>
      </c>
      <c r="Y794" s="66">
        <f t="shared" si="476"/>
        <v>1.2052463610301233E-2</v>
      </c>
      <c r="Z794" s="66">
        <f t="shared" si="477"/>
        <v>3.506814418545408E-3</v>
      </c>
      <c r="AA794" s="66">
        <f t="shared" si="453"/>
        <v>1.8915430260492402E-2</v>
      </c>
      <c r="AB794" s="66">
        <f t="shared" si="478"/>
        <v>1.917182343417927E-2</v>
      </c>
      <c r="AC794" s="67">
        <f t="shared" si="454"/>
        <v>28366804.996425632</v>
      </c>
      <c r="AD794" s="67">
        <f t="shared" si="479"/>
        <v>28849842.379689548</v>
      </c>
      <c r="AE794" s="66">
        <f t="shared" si="467"/>
        <v>-1.7357601996793481E-2</v>
      </c>
      <c r="AF794" s="64">
        <f>MIN(MAX(AD794,AH723*(1-SIM_Parametres!$E$32)),AH723*(1+SIM_Parametres!$F$32))</f>
        <v>28849842.379689548</v>
      </c>
      <c r="AG794" s="64">
        <f>IF(F794-SUM($AF$785:$AF$855)&gt;=0,IFERROR((F794-SUM($AF$785:$AF$855))/(SUM($AH$714:$AH$784)*(1+SIM_Parametres!$F$33)-SUM($AF$785:$AF$855)),0),IFERROR((F794-SUM($AF$785:$AF$855))/(SUM($AF$785:$AF$855)-SUM($AH$714:$AH$784)*(1-SIM_Parametres!$E$33)),0))</f>
        <v>6.4281496449413555E-2</v>
      </c>
      <c r="AH794" s="64">
        <f>AF794+IF(AG794&gt;=0,AG794*(AH723*(1+SIM_Parametres!$F$33)-AF794),AG794*(AF794-AH723*(1-SIM_Parametres!$E$33)))</f>
        <v>29165691.279802855</v>
      </c>
      <c r="AI794" s="67">
        <f t="shared" si="455"/>
        <v>51.532017813367951</v>
      </c>
      <c r="AJ794" s="67">
        <f t="shared" si="456"/>
        <v>-1133263.2496784292</v>
      </c>
      <c r="AK794" s="66">
        <f t="shared" si="468"/>
        <v>-6.5996048982541744E-3</v>
      </c>
    </row>
    <row r="795" spans="1:37" ht="12.75" customHeight="1" x14ac:dyDescent="0.25">
      <c r="A795" s="55" t="s">
        <v>599</v>
      </c>
      <c r="B795" s="55" t="s">
        <v>390</v>
      </c>
      <c r="C795" s="55" t="s">
        <v>392</v>
      </c>
      <c r="D795" s="128">
        <v>2027</v>
      </c>
      <c r="E795" s="55" t="s">
        <v>676</v>
      </c>
      <c r="F795" s="57">
        <f>SIM_Parametres!$C$33</f>
        <v>1580389817.0408096</v>
      </c>
      <c r="G795" s="129">
        <f>SIM_Districts!D14*(1+SIM_Parametres!$B$6)^(2027-2023)</f>
        <v>976996.79701168998</v>
      </c>
      <c r="H795" s="129">
        <f>MAX(0,MIN(100,SIM_Districts!F14+(2027-2022)*SIM_Parametres!$B$7))</f>
        <v>33.25</v>
      </c>
      <c r="I795" s="129">
        <f>SIM_Districts!G14*(1+SIM_Parametres!$B$8)^(2027-2023)</f>
        <v>31.229958399999997</v>
      </c>
      <c r="J795" s="129">
        <f>SIM_Districts!H14*(1+SIM_Parametres!$B$9)^(2027-2023)</f>
        <v>11.481750000000002</v>
      </c>
      <c r="K795" s="129">
        <f>MAX(0,MIN(100,SIM_Districts!I14+(2027-2023)*SIM_Parametres!$B$10))</f>
        <v>100</v>
      </c>
      <c r="L795" s="129">
        <f>SIM_Districts!E14</f>
        <v>1335</v>
      </c>
      <c r="M795" s="68">
        <f t="shared" si="452"/>
        <v>731.83280675032961</v>
      </c>
      <c r="N795" s="129">
        <f>N724*(1+SIM_Parametres!$B$6)/(1+SIM_Parametres!$B$11)</f>
        <v>203502</v>
      </c>
      <c r="O795" s="72"/>
      <c r="P795" s="130">
        <f>SIM_Parametres!$D$33</f>
        <v>0.75</v>
      </c>
      <c r="Q795" s="130">
        <f>SIM_Parametres!$B$12</f>
        <v>0.2</v>
      </c>
      <c r="R795" s="59">
        <f t="shared" si="469"/>
        <v>4.7888691337733699E-2</v>
      </c>
      <c r="S795" s="59">
        <f t="shared" si="470"/>
        <v>0.49822695035460984</v>
      </c>
      <c r="T795" s="59">
        <f t="shared" si="471"/>
        <v>0.69889502762430933</v>
      </c>
      <c r="U795" s="59">
        <f t="shared" si="472"/>
        <v>0.53677681892865114</v>
      </c>
      <c r="V795" s="59">
        <f t="shared" si="473"/>
        <v>1</v>
      </c>
      <c r="W795" s="59">
        <f t="shared" si="474"/>
        <v>1.1879095328683148E-2</v>
      </c>
      <c r="X795" s="59">
        <f t="shared" si="475"/>
        <v>1.3830426939266385E-2</v>
      </c>
      <c r="Y795" s="59">
        <f t="shared" si="476"/>
        <v>1.3714491773092488E-2</v>
      </c>
      <c r="Z795" s="59">
        <f t="shared" si="477"/>
        <v>3.6703349891733537E-2</v>
      </c>
      <c r="AA795" s="59">
        <f t="shared" si="453"/>
        <v>3.5110535226073949E-2</v>
      </c>
      <c r="AB795" s="59">
        <f t="shared" si="478"/>
        <v>1.4682511119549005E-2</v>
      </c>
      <c r="AC795" s="60">
        <f t="shared" si="454"/>
        <v>48842468.175235339</v>
      </c>
      <c r="AD795" s="60">
        <f t="shared" si="479"/>
        <v>42432873.896907426</v>
      </c>
      <c r="AE795" s="59">
        <f t="shared" si="467"/>
        <v>0.88719850067585582</v>
      </c>
      <c r="AF795" s="57">
        <f>MIN(MAX(AD795,AH724*(1-SIM_Parametres!$E$32)),AH724*(1+SIM_Parametres!$F$32))</f>
        <v>25857272.016678557</v>
      </c>
      <c r="AG795" s="57">
        <f>IF(F795-SUM($AF$785:$AF$855)&gt;=0,IFERROR((F795-SUM($AF$785:$AF$855))/(SUM($AH$714:$AH$784)*(1+SIM_Parametres!$F$33)-SUM($AF$785:$AF$855)),0),IFERROR((F795-SUM($AF$785:$AF$855))/(SUM($AF$785:$AF$855)-SUM($AH$714:$AH$784)*(1-SIM_Parametres!$E$33)),0))</f>
        <v>6.4281496449413555E-2</v>
      </c>
      <c r="AH795" s="57">
        <f>AF795+IF(AG795&gt;=0,AG795*(AH724*(1+SIM_Parametres!$F$33)-AF795),AG795*(AF795-AH724*(1-SIM_Parametres!$E$33)))</f>
        <v>25857272.016678557</v>
      </c>
      <c r="AI795" s="60">
        <f t="shared" si="455"/>
        <v>26.46607654781203</v>
      </c>
      <c r="AJ795" s="60">
        <f t="shared" si="456"/>
        <v>2653180.9547548518</v>
      </c>
      <c r="AK795" s="59">
        <f t="shared" si="468"/>
        <v>0.14999999999999991</v>
      </c>
    </row>
    <row r="796" spans="1:37" ht="12.75" customHeight="1" x14ac:dyDescent="0.25">
      <c r="A796" s="62" t="s">
        <v>601</v>
      </c>
      <c r="B796" s="62" t="s">
        <v>390</v>
      </c>
      <c r="C796" s="62" t="s">
        <v>390</v>
      </c>
      <c r="D796" s="124">
        <v>2027</v>
      </c>
      <c r="E796" s="62" t="s">
        <v>676</v>
      </c>
      <c r="F796" s="64">
        <f>SIM_Parametres!$C$33</f>
        <v>1580389817.0408096</v>
      </c>
      <c r="G796" s="125">
        <f>SIM_Districts!D15*(1+SIM_Parametres!$B$6)^(2027-2023)</f>
        <v>875009.94170234993</v>
      </c>
      <c r="H796" s="125">
        <f>MAX(0,MIN(100,SIM_Districts!F15+(2027-2022)*SIM_Parametres!$B$7))</f>
        <v>33.25</v>
      </c>
      <c r="I796" s="125">
        <f>SIM_Districts!G15*(1+SIM_Parametres!$B$8)^(2027-2023)</f>
        <v>31.229958399999997</v>
      </c>
      <c r="J796" s="125">
        <f>SIM_Districts!H15*(1+SIM_Parametres!$B$9)^(2027-2023)</f>
        <v>11.481750000000002</v>
      </c>
      <c r="K796" s="125">
        <f>MAX(0,MIN(100,SIM_Districts!I15+(2027-2023)*SIM_Parametres!$B$10))</f>
        <v>100</v>
      </c>
      <c r="L796" s="125">
        <f>SIM_Districts!E15</f>
        <v>1292</v>
      </c>
      <c r="M796" s="61">
        <f t="shared" si="452"/>
        <v>677.25227685940399</v>
      </c>
      <c r="N796" s="125">
        <f>N725*(1+SIM_Parametres!$B$6)/(1+SIM_Parametres!$B$11)</f>
        <v>203502</v>
      </c>
      <c r="O796" s="132"/>
      <c r="P796" s="126">
        <f>SIM_Parametres!$D$33</f>
        <v>0.75</v>
      </c>
      <c r="Q796" s="126">
        <f>SIM_Parametres!$B$12</f>
        <v>0.2</v>
      </c>
      <c r="R796" s="66">
        <f t="shared" si="469"/>
        <v>4.288968105504528E-2</v>
      </c>
      <c r="S796" s="66">
        <f t="shared" si="470"/>
        <v>0.49822695035460984</v>
      </c>
      <c r="T796" s="66">
        <f t="shared" si="471"/>
        <v>0.69889502762430933</v>
      </c>
      <c r="U796" s="66">
        <f t="shared" si="472"/>
        <v>0.53597312572887268</v>
      </c>
      <c r="V796" s="66">
        <f t="shared" si="473"/>
        <v>1</v>
      </c>
      <c r="W796" s="66">
        <f t="shared" si="474"/>
        <v>1.1879095328683148E-2</v>
      </c>
      <c r="X796" s="66">
        <f t="shared" si="475"/>
        <v>1.3830426939266385E-2</v>
      </c>
      <c r="Y796" s="66">
        <f t="shared" si="476"/>
        <v>1.3693957645336279E-2</v>
      </c>
      <c r="Z796" s="66">
        <f t="shared" si="477"/>
        <v>3.6703349891733537E-2</v>
      </c>
      <c r="AA796" s="66">
        <f t="shared" si="453"/>
        <v>3.211010235007309E-2</v>
      </c>
      <c r="AB796" s="66">
        <f t="shared" si="478"/>
        <v>1.4955883130446684E-2</v>
      </c>
      <c r="AC796" s="67">
        <f t="shared" si="454"/>
        <v>45048985.324078351</v>
      </c>
      <c r="AD796" s="67">
        <f t="shared" si="479"/>
        <v>39695770.344111361</v>
      </c>
      <c r="AE796" s="66">
        <f t="shared" si="467"/>
        <v>0.73319587261224806</v>
      </c>
      <c r="AF796" s="64">
        <f>MIN(MAX(AD796,AH725*(1-SIM_Parametres!$E$32)),AH725*(1+SIM_Parametres!$F$32))</f>
        <v>26338705.634536754</v>
      </c>
      <c r="AG796" s="64">
        <f>IF(F796-SUM($AF$785:$AF$855)&gt;=0,IFERROR((F796-SUM($AF$785:$AF$855))/(SUM($AH$714:$AH$784)*(1+SIM_Parametres!$F$33)-SUM($AF$785:$AF$855)),0),IFERROR((F796-SUM($AF$785:$AF$855))/(SUM($AF$785:$AF$855)-SUM($AH$714:$AH$784)*(1-SIM_Parametres!$E$33)),0))</f>
        <v>6.4281496449413555E-2</v>
      </c>
      <c r="AH796" s="64">
        <f>AF796+IF(AG796&gt;=0,AG796*(AH725*(1+SIM_Parametres!$F$33)-AF796),AG796*(AF796-AH725*(1-SIM_Parametres!$E$33)))</f>
        <v>26338705.634536754</v>
      </c>
      <c r="AI796" s="67">
        <f t="shared" si="455"/>
        <v>30.101035861711765</v>
      </c>
      <c r="AJ796" s="67">
        <f t="shared" si="456"/>
        <v>2702580.230326388</v>
      </c>
      <c r="AK796" s="66">
        <f t="shared" si="468"/>
        <v>0.14999999999999991</v>
      </c>
    </row>
    <row r="797" spans="1:37" ht="12.75" customHeight="1" x14ac:dyDescent="0.25">
      <c r="A797" s="55" t="s">
        <v>602</v>
      </c>
      <c r="B797" s="55" t="s">
        <v>390</v>
      </c>
      <c r="C797" s="55" t="s">
        <v>393</v>
      </c>
      <c r="D797" s="128">
        <v>2027</v>
      </c>
      <c r="E797" s="55" t="s">
        <v>676</v>
      </c>
      <c r="F797" s="57">
        <f>SIM_Parametres!$C$33</f>
        <v>1580389817.0408096</v>
      </c>
      <c r="G797" s="129">
        <f>SIM_Districts!D16*(1+SIM_Parametres!$B$6)^(2027-2023)</f>
        <v>489426.38051968999</v>
      </c>
      <c r="H797" s="129">
        <f>MAX(0,MIN(100,SIM_Districts!F16+(2027-2022)*SIM_Parametres!$B$7))</f>
        <v>33.25</v>
      </c>
      <c r="I797" s="129">
        <f>SIM_Districts!G16*(1+SIM_Parametres!$B$8)^(2027-2023)</f>
        <v>31.229958399999997</v>
      </c>
      <c r="J797" s="129">
        <f>SIM_Districts!H16*(1+SIM_Parametres!$B$9)^(2027-2023)</f>
        <v>11.481750000000002</v>
      </c>
      <c r="K797" s="129">
        <f>MAX(0,MIN(100,SIM_Districts!I16+(2027-2023)*SIM_Parametres!$B$10))</f>
        <v>100</v>
      </c>
      <c r="L797" s="129">
        <f>SIM_Districts!E16</f>
        <v>1729</v>
      </c>
      <c r="M797" s="68">
        <f t="shared" si="452"/>
        <v>283.06904599172356</v>
      </c>
      <c r="N797" s="129">
        <f>N726*(1+SIM_Parametres!$B$6)/(1+SIM_Parametres!$B$11)</f>
        <v>203502</v>
      </c>
      <c r="O797" s="72"/>
      <c r="P797" s="130">
        <f>SIM_Parametres!$D$33</f>
        <v>0.75</v>
      </c>
      <c r="Q797" s="130">
        <f>SIM_Parametres!$B$12</f>
        <v>0.2</v>
      </c>
      <c r="R797" s="59">
        <f t="shared" si="469"/>
        <v>2.3989831840739592E-2</v>
      </c>
      <c r="S797" s="59">
        <f t="shared" si="470"/>
        <v>0.49822695035460984</v>
      </c>
      <c r="T797" s="59">
        <f t="shared" si="471"/>
        <v>0.69889502762430933</v>
      </c>
      <c r="U797" s="59">
        <f t="shared" si="472"/>
        <v>0.55606420327741424</v>
      </c>
      <c r="V797" s="59">
        <f t="shared" si="473"/>
        <v>1</v>
      </c>
      <c r="W797" s="59">
        <f t="shared" si="474"/>
        <v>1.1879095328683148E-2</v>
      </c>
      <c r="X797" s="59">
        <f t="shared" si="475"/>
        <v>1.3830426939266385E-2</v>
      </c>
      <c r="Y797" s="59">
        <f t="shared" si="476"/>
        <v>1.4207278839612111E-2</v>
      </c>
      <c r="Z797" s="59">
        <f t="shared" si="477"/>
        <v>3.6703349891733537E-2</v>
      </c>
      <c r="AA797" s="59">
        <f t="shared" si="453"/>
        <v>2.0795858881203468E-2</v>
      </c>
      <c r="AB797" s="59">
        <f t="shared" si="478"/>
        <v>1.3649876434548527E-2</v>
      </c>
      <c r="AC797" s="60">
        <f t="shared" si="454"/>
        <v>30744253.191500723</v>
      </c>
      <c r="AD797" s="60">
        <f t="shared" si="479"/>
        <v>28451221.323881991</v>
      </c>
      <c r="AE797" s="59">
        <f t="shared" si="467"/>
        <v>0.3610925870707371</v>
      </c>
      <c r="AF797" s="57">
        <f>MIN(MAX(AD797,AH726*(1-SIM_Parametres!$E$32)),AH726*(1+SIM_Parametres!$F$32))</f>
        <v>24038705.987577215</v>
      </c>
      <c r="AG797" s="57">
        <f>IF(F797-SUM($AF$785:$AF$855)&gt;=0,IFERROR((F797-SUM($AF$785:$AF$855))/(SUM($AH$714:$AH$784)*(1+SIM_Parametres!$F$33)-SUM($AF$785:$AF$855)),0),IFERROR((F797-SUM($AF$785:$AF$855))/(SUM($AF$785:$AF$855)-SUM($AH$714:$AH$784)*(1-SIM_Parametres!$E$33)),0))</f>
        <v>6.4281496449413555E-2</v>
      </c>
      <c r="AH797" s="57">
        <f>AF797+IF(AG797&gt;=0,AG797*(AH726*(1+SIM_Parametres!$F$33)-AF797),AG797*(AF797-AH726*(1-SIM_Parametres!$E$33)))</f>
        <v>24038705.987577215</v>
      </c>
      <c r="AI797" s="60">
        <f t="shared" si="455"/>
        <v>49.116081487172963</v>
      </c>
      <c r="AJ797" s="60">
        <f t="shared" si="456"/>
        <v>2466580.2665514089</v>
      </c>
      <c r="AK797" s="59">
        <f t="shared" si="468"/>
        <v>0.14999999999999991</v>
      </c>
    </row>
    <row r="798" spans="1:37" ht="12.75" customHeight="1" x14ac:dyDescent="0.25">
      <c r="A798" s="62" t="s">
        <v>603</v>
      </c>
      <c r="B798" s="62" t="s">
        <v>394</v>
      </c>
      <c r="C798" s="62" t="s">
        <v>396</v>
      </c>
      <c r="D798" s="124">
        <v>2027</v>
      </c>
      <c r="E798" s="62" t="s">
        <v>676</v>
      </c>
      <c r="F798" s="64">
        <f>SIM_Parametres!$C$33</f>
        <v>1580389817.0408096</v>
      </c>
      <c r="G798" s="125">
        <f>SIM_Districts!D17*(1+SIM_Parametres!$B$6)^(2027-2023)</f>
        <v>108456.27994921998</v>
      </c>
      <c r="H798" s="125">
        <f>MAX(0,MIN(100,SIM_Districts!F17+(2027-2022)*SIM_Parametres!$B$7))</f>
        <v>42.35</v>
      </c>
      <c r="I798" s="125">
        <f>SIM_Districts!G17*(1+SIM_Parametres!$B$8)^(2027-2023)</f>
        <v>31.229958399999997</v>
      </c>
      <c r="J798" s="125">
        <f>SIM_Districts!H17*(1+SIM_Parametres!$B$9)^(2027-2023)</f>
        <v>10.431990000000003</v>
      </c>
      <c r="K798" s="125">
        <f>MAX(0,MIN(100,SIM_Districts!I17+(2027-2023)*SIM_Parametres!$B$10))</f>
        <v>99.5</v>
      </c>
      <c r="L798" s="125">
        <f>SIM_Districts!E17</f>
        <v>978</v>
      </c>
      <c r="M798" s="61">
        <f t="shared" si="452"/>
        <v>110.89599176811859</v>
      </c>
      <c r="N798" s="125">
        <f>N727*(1+SIM_Parametres!$B$6)/(1+SIM_Parametres!$B$11)</f>
        <v>95110</v>
      </c>
      <c r="O798" s="132"/>
      <c r="P798" s="126">
        <f>SIM_Parametres!$D$33</f>
        <v>0.75</v>
      </c>
      <c r="Q798" s="126">
        <f>SIM_Parametres!$B$12</f>
        <v>0.2</v>
      </c>
      <c r="R798" s="66">
        <f t="shared" si="469"/>
        <v>5.3161170333549078E-3</v>
      </c>
      <c r="S798" s="66">
        <f t="shared" si="470"/>
        <v>0.65957446808510634</v>
      </c>
      <c r="T798" s="66">
        <f t="shared" si="471"/>
        <v>0.65469613259668513</v>
      </c>
      <c r="U798" s="66">
        <f t="shared" si="472"/>
        <v>0.53221272247018292</v>
      </c>
      <c r="V798" s="66">
        <f t="shared" si="473"/>
        <v>0.24769050312675686</v>
      </c>
      <c r="W798" s="66">
        <f t="shared" si="474"/>
        <v>1.5726062143310078E-2</v>
      </c>
      <c r="X798" s="66">
        <f t="shared" si="475"/>
        <v>1.2955775433225826E-2</v>
      </c>
      <c r="Y798" s="66">
        <f t="shared" si="476"/>
        <v>1.3597880434592077E-2</v>
      </c>
      <c r="Z798" s="66">
        <f t="shared" si="477"/>
        <v>9.0910712011208778E-3</v>
      </c>
      <c r="AA798" s="66">
        <f t="shared" si="453"/>
        <v>8.6263934382789769E-3</v>
      </c>
      <c r="AB798" s="66">
        <f t="shared" si="478"/>
        <v>1.1020427549869014E-2</v>
      </c>
      <c r="AC798" s="67">
        <f t="shared" si="454"/>
        <v>15358253.77963841</v>
      </c>
      <c r="AD798" s="67">
        <f t="shared" si="479"/>
        <v>15872833.204541054</v>
      </c>
      <c r="AE798" s="66">
        <f t="shared" si="467"/>
        <v>-5.9472532432502279E-2</v>
      </c>
      <c r="AF798" s="64">
        <f>MIN(MAX(AD798,AH727*(1-SIM_Parametres!$E$32)),AH727*(1+SIM_Parametres!$F$32))</f>
        <v>16032696.613649754</v>
      </c>
      <c r="AG798" s="64">
        <f>IF(F798-SUM($AF$785:$AF$855)&gt;=0,IFERROR((F798-SUM($AF$785:$AF$855))/(SUM($AH$714:$AH$784)*(1+SIM_Parametres!$F$33)-SUM($AF$785:$AF$855)),0),IFERROR((F798-SUM($AF$785:$AF$855))/(SUM($AF$785:$AF$855)-SUM($AH$714:$AH$784)*(1-SIM_Parametres!$E$33)),0))</f>
        <v>6.4281496449413555E-2</v>
      </c>
      <c r="AH798" s="64">
        <f>AF798+IF(AG798&gt;=0,AG798*(AH727*(1+SIM_Parametres!$F$33)-AF798),AG798*(AF798-AH727*(1-SIM_Parametres!$E$33)))</f>
        <v>16249666.241111828</v>
      </c>
      <c r="AI798" s="67">
        <f t="shared" si="455"/>
        <v>149.82688184326477</v>
      </c>
      <c r="AJ798" s="67">
        <f t="shared" si="456"/>
        <v>-1166905.2381371614</v>
      </c>
      <c r="AK798" s="66">
        <f t="shared" si="468"/>
        <v>-3.7143700710117411E-2</v>
      </c>
    </row>
    <row r="799" spans="1:37" ht="12.75" customHeight="1" x14ac:dyDescent="0.25">
      <c r="A799" s="55" t="s">
        <v>605</v>
      </c>
      <c r="B799" s="55" t="s">
        <v>394</v>
      </c>
      <c r="C799" s="55" t="s">
        <v>394</v>
      </c>
      <c r="D799" s="128">
        <v>2027</v>
      </c>
      <c r="E799" s="55" t="s">
        <v>676</v>
      </c>
      <c r="F799" s="57">
        <f>SIM_Parametres!$C$33</f>
        <v>1580389817.0408096</v>
      </c>
      <c r="G799" s="129">
        <f>SIM_Districts!D18*(1+SIM_Parametres!$B$6)^(2027-2023)</f>
        <v>265118.10223073995</v>
      </c>
      <c r="H799" s="129">
        <f>MAX(0,MIN(100,SIM_Districts!F18+(2027-2022)*SIM_Parametres!$B$7))</f>
        <v>42.35</v>
      </c>
      <c r="I799" s="129">
        <f>SIM_Districts!G18*(1+SIM_Parametres!$B$8)^(2027-2023)</f>
        <v>31.229958399999997</v>
      </c>
      <c r="J799" s="129">
        <f>SIM_Districts!H18*(1+SIM_Parametres!$B$9)^(2027-2023)</f>
        <v>10.431990000000003</v>
      </c>
      <c r="K799" s="129">
        <f>MAX(0,MIN(100,SIM_Districts!I18+(2027-2023)*SIM_Parametres!$B$10))</f>
        <v>99.5</v>
      </c>
      <c r="L799" s="129">
        <f>SIM_Districts!E18</f>
        <v>1155</v>
      </c>
      <c r="M799" s="68">
        <f t="shared" si="452"/>
        <v>229.53948245085709</v>
      </c>
      <c r="N799" s="129">
        <f>N728*(1+SIM_Parametres!$B$6)/(1+SIM_Parametres!$B$11)</f>
        <v>95110</v>
      </c>
      <c r="O799" s="72"/>
      <c r="P799" s="130">
        <f>SIM_Parametres!$D$33</f>
        <v>0.75</v>
      </c>
      <c r="Q799" s="130">
        <f>SIM_Parametres!$B$12</f>
        <v>0.2</v>
      </c>
      <c r="R799" s="59">
        <f t="shared" si="469"/>
        <v>1.2995087603774122E-2</v>
      </c>
      <c r="S799" s="59">
        <f t="shared" si="470"/>
        <v>0.65957446808510634</v>
      </c>
      <c r="T799" s="59">
        <f t="shared" si="471"/>
        <v>0.65469613259668513</v>
      </c>
      <c r="U799" s="59">
        <f t="shared" si="472"/>
        <v>0.53685323433738241</v>
      </c>
      <c r="V799" s="59">
        <f t="shared" si="473"/>
        <v>0.24769050312675686</v>
      </c>
      <c r="W799" s="59">
        <f t="shared" si="474"/>
        <v>1.5726062143310078E-2</v>
      </c>
      <c r="X799" s="59">
        <f t="shared" si="475"/>
        <v>1.2955775433225826E-2</v>
      </c>
      <c r="Y799" s="59">
        <f t="shared" si="476"/>
        <v>1.3716444164584495E-2</v>
      </c>
      <c r="Z799" s="59">
        <f t="shared" si="477"/>
        <v>9.0910712011208778E-3</v>
      </c>
      <c r="AA799" s="59">
        <f t="shared" si="453"/>
        <v>1.3239703967030126E-2</v>
      </c>
      <c r="AB799" s="59">
        <f t="shared" si="478"/>
        <v>1.3643628064816914E-2</v>
      </c>
      <c r="AC799" s="60">
        <f t="shared" si="454"/>
        <v>21190916.965626787</v>
      </c>
      <c r="AD799" s="60">
        <f t="shared" si="479"/>
        <v>21283750.439502303</v>
      </c>
      <c r="AE799" s="59">
        <f t="shared" si="467"/>
        <v>1.8670573634928633E-2</v>
      </c>
      <c r="AF799" s="57">
        <f>MIN(MAX(AD799,AH728*(1-SIM_Parametres!$E$32)),AH728*(1+SIM_Parametres!$F$32))</f>
        <v>21283750.439502303</v>
      </c>
      <c r="AG799" s="57">
        <f>IF(F799-SUM($AF$785:$AF$855)&gt;=0,IFERROR((F799-SUM($AF$785:$AF$855))/(SUM($AH$714:$AH$784)*(1+SIM_Parametres!$F$33)-SUM($AF$785:$AF$855)),0),IFERROR((F799-SUM($AF$785:$AF$855))/(SUM($AF$785:$AF$855)-SUM($AH$714:$AH$784)*(1-SIM_Parametres!$E$33)),0))</f>
        <v>6.4281496449413555E-2</v>
      </c>
      <c r="AH799" s="57">
        <f>AF799+IF(AG799&gt;=0,AG799*(AH728*(1+SIM_Parametres!$F$33)-AF799),AG799*(AF799-AH728*(1-SIM_Parametres!$E$33)))</f>
        <v>21460135.753633868</v>
      </c>
      <c r="AI799" s="60">
        <f t="shared" si="455"/>
        <v>80.945569438923073</v>
      </c>
      <c r="AJ799" s="60">
        <f t="shared" si="456"/>
        <v>-102115.10749499127</v>
      </c>
      <c r="AK799" s="59">
        <f t="shared" si="468"/>
        <v>2.7112625689518444E-2</v>
      </c>
    </row>
    <row r="800" spans="1:37" ht="12.75" customHeight="1" x14ac:dyDescent="0.25">
      <c r="A800" s="62" t="s">
        <v>606</v>
      </c>
      <c r="B800" s="62" t="s">
        <v>394</v>
      </c>
      <c r="C800" s="62" t="s">
        <v>397</v>
      </c>
      <c r="D800" s="124">
        <v>2027</v>
      </c>
      <c r="E800" s="62" t="s">
        <v>676</v>
      </c>
      <c r="F800" s="64">
        <f>SIM_Parametres!$C$33</f>
        <v>1580389817.0408096</v>
      </c>
      <c r="G800" s="125">
        <f>SIM_Districts!D19*(1+SIM_Parametres!$B$6)^(2027-2023)</f>
        <v>72436.621502789989</v>
      </c>
      <c r="H800" s="125">
        <f>MAX(0,MIN(100,SIM_Districts!F19+(2027-2022)*SIM_Parametres!$B$7))</f>
        <v>42.35</v>
      </c>
      <c r="I800" s="125">
        <f>SIM_Districts!G19*(1+SIM_Parametres!$B$8)^(2027-2023)</f>
        <v>31.229958399999997</v>
      </c>
      <c r="J800" s="125">
        <f>SIM_Districts!H19*(1+SIM_Parametres!$B$9)^(2027-2023)</f>
        <v>10.431990000000003</v>
      </c>
      <c r="K800" s="125">
        <f>MAX(0,MIN(100,SIM_Districts!I19+(2027-2023)*SIM_Parametres!$B$10))</f>
        <v>99.5</v>
      </c>
      <c r="L800" s="125">
        <f>SIM_Districts!E19</f>
        <v>733</v>
      </c>
      <c r="M800" s="61">
        <f t="shared" si="452"/>
        <v>98.822130290300123</v>
      </c>
      <c r="N800" s="125">
        <f>N729*(1+SIM_Parametres!$B$6)/(1+SIM_Parametres!$B$11)</f>
        <v>95110</v>
      </c>
      <c r="O800" s="132"/>
      <c r="P800" s="126">
        <f>SIM_Parametres!$D$33</f>
        <v>0.75</v>
      </c>
      <c r="Q800" s="126">
        <f>SIM_Parametres!$B$12</f>
        <v>0.2</v>
      </c>
      <c r="R800" s="66">
        <f t="shared" si="469"/>
        <v>3.5505694791483004E-3</v>
      </c>
      <c r="S800" s="66">
        <f t="shared" si="470"/>
        <v>0.65957446808510634</v>
      </c>
      <c r="T800" s="66">
        <f t="shared" si="471"/>
        <v>0.65469613259668513</v>
      </c>
      <c r="U800" s="66">
        <f t="shared" si="472"/>
        <v>0.52387753369973955</v>
      </c>
      <c r="V800" s="66">
        <f t="shared" si="473"/>
        <v>0.24769050312675686</v>
      </c>
      <c r="W800" s="66">
        <f t="shared" si="474"/>
        <v>1.5726062143310078E-2</v>
      </c>
      <c r="X800" s="66">
        <f t="shared" si="475"/>
        <v>1.2955775433225826E-2</v>
      </c>
      <c r="Y800" s="66">
        <f t="shared" si="476"/>
        <v>1.3384918783141526E-2</v>
      </c>
      <c r="Z800" s="66">
        <f t="shared" si="477"/>
        <v>9.0910712011208778E-3</v>
      </c>
      <c r="AA800" s="66">
        <f t="shared" si="453"/>
        <v>7.5564168231824855E-3</v>
      </c>
      <c r="AB800" s="66">
        <f t="shared" si="478"/>
        <v>1.1897070305402675E-2</v>
      </c>
      <c r="AC800" s="67">
        <f t="shared" si="454"/>
        <v>14005469.662062179</v>
      </c>
      <c r="AD800" s="67">
        <f t="shared" si="479"/>
        <v>15204604.437365878</v>
      </c>
      <c r="AE800" s="66">
        <f t="shared" si="467"/>
        <v>-0.16545343761307851</v>
      </c>
      <c r="AF800" s="64">
        <f>MIN(MAX(AD800,AH729*(1-SIM_Parametres!$E$32)),AH729*(1+SIM_Parametres!$F$32))</f>
        <v>17308050.702629011</v>
      </c>
      <c r="AG800" s="64">
        <f>IF(F800-SUM($AF$785:$AF$855)&gt;=0,IFERROR((F800-SUM($AF$785:$AF$855))/(SUM($AH$714:$AH$784)*(1+SIM_Parametres!$F$33)-SUM($AF$785:$AF$855)),0),IFERROR((F800-SUM($AF$785:$AF$855))/(SUM($AF$785:$AF$855)-SUM($AH$714:$AH$784)*(1-SIM_Parametres!$E$33)),0))</f>
        <v>6.4281496449413555E-2</v>
      </c>
      <c r="AH800" s="64">
        <f>AF800+IF(AG800&gt;=0,AG800*(AH729*(1+SIM_Parametres!$F$33)-AF800),AG800*(AF800-AH729*(1-SIM_Parametres!$E$33)))</f>
        <v>17542279.628900025</v>
      </c>
      <c r="AI800" s="67">
        <f t="shared" si="455"/>
        <v>242.17418296109187</v>
      </c>
      <c r="AJ800" s="67">
        <f t="shared" si="456"/>
        <v>-1259729.134376958</v>
      </c>
      <c r="AK800" s="66">
        <f t="shared" si="468"/>
        <v>-3.7143700710117411E-2</v>
      </c>
    </row>
    <row r="801" spans="1:37" ht="12.75" customHeight="1" x14ac:dyDescent="0.25">
      <c r="A801" s="55" t="s">
        <v>607</v>
      </c>
      <c r="B801" s="55" t="s">
        <v>394</v>
      </c>
      <c r="C801" s="55" t="s">
        <v>398</v>
      </c>
      <c r="D801" s="128">
        <v>2027</v>
      </c>
      <c r="E801" s="55" t="s">
        <v>676</v>
      </c>
      <c r="F801" s="57">
        <f>SIM_Parametres!$C$33</f>
        <v>1580389817.0408096</v>
      </c>
      <c r="G801" s="129">
        <f>SIM_Districts!D20*(1+SIM_Parametres!$B$6)^(2027-2023)</f>
        <v>136761.70101190999</v>
      </c>
      <c r="H801" s="129">
        <f>MAX(0,MIN(100,SIM_Districts!F20+(2027-2022)*SIM_Parametres!$B$7))</f>
        <v>42.35</v>
      </c>
      <c r="I801" s="129">
        <f>SIM_Districts!G20*(1+SIM_Parametres!$B$8)^(2027-2023)</f>
        <v>31.229958399999997</v>
      </c>
      <c r="J801" s="129">
        <f>SIM_Districts!H20*(1+SIM_Parametres!$B$9)^(2027-2023)</f>
        <v>10.431990000000003</v>
      </c>
      <c r="K801" s="129">
        <f>MAX(0,MIN(100,SIM_Districts!I20+(2027-2023)*SIM_Parametres!$B$10))</f>
        <v>99.5</v>
      </c>
      <c r="L801" s="129">
        <f>SIM_Districts!E20</f>
        <v>1476</v>
      </c>
      <c r="M801" s="68">
        <f t="shared" si="452"/>
        <v>92.656979005359076</v>
      </c>
      <c r="N801" s="129">
        <f>N730*(1+SIM_Parametres!$B$6)/(1+SIM_Parametres!$B$11)</f>
        <v>95110</v>
      </c>
      <c r="O801" s="72"/>
      <c r="P801" s="130">
        <f>SIM_Parametres!$D$33</f>
        <v>0.75</v>
      </c>
      <c r="Q801" s="130">
        <f>SIM_Parametres!$B$12</f>
        <v>0.2</v>
      </c>
      <c r="R801" s="59">
        <f t="shared" si="469"/>
        <v>6.7035418198043654E-3</v>
      </c>
      <c r="S801" s="59">
        <f t="shared" si="470"/>
        <v>0.65957446808510634</v>
      </c>
      <c r="T801" s="59">
        <f t="shared" si="471"/>
        <v>0.65469613259668513</v>
      </c>
      <c r="U801" s="59">
        <f t="shared" si="472"/>
        <v>0.54969284466862123</v>
      </c>
      <c r="V801" s="59">
        <f t="shared" si="473"/>
        <v>0.24769050312675686</v>
      </c>
      <c r="W801" s="59">
        <f t="shared" si="474"/>
        <v>1.5726062143310078E-2</v>
      </c>
      <c r="X801" s="59">
        <f t="shared" si="475"/>
        <v>1.2955775433225826E-2</v>
      </c>
      <c r="Y801" s="59">
        <f t="shared" si="476"/>
        <v>1.4044492478237349E-2</v>
      </c>
      <c r="Z801" s="59">
        <f t="shared" si="477"/>
        <v>9.0910712011208778E-3</v>
      </c>
      <c r="AA801" s="59">
        <f t="shared" si="453"/>
        <v>9.4811789123309155E-3</v>
      </c>
      <c r="AB801" s="59">
        <f t="shared" si="478"/>
        <v>1.2596343980586639E-2</v>
      </c>
      <c r="AC801" s="60">
        <f t="shared" si="454"/>
        <v>16438969.186795279</v>
      </c>
      <c r="AD801" s="60">
        <f t="shared" si="479"/>
        <v>17306010.329812065</v>
      </c>
      <c r="AE801" s="59">
        <f t="shared" si="467"/>
        <v>-0.10284409213782131</v>
      </c>
      <c r="AF801" s="57">
        <f>MIN(MAX(AD801,AH730*(1-SIM_Parametres!$E$32)),AH730*(1+SIM_Parametres!$F$32))</f>
        <v>18325365.378797781</v>
      </c>
      <c r="AG801" s="57">
        <f>IF(F801-SUM($AF$785:$AF$855)&gt;=0,IFERROR((F801-SUM($AF$785:$AF$855))/(SUM($AH$714:$AH$784)*(1+SIM_Parametres!$F$33)-SUM($AF$785:$AF$855)),0),IFERROR((F801-SUM($AF$785:$AF$855))/(SUM($AF$785:$AF$855)-SUM($AH$714:$AH$784)*(1-SIM_Parametres!$E$33)),0))</f>
        <v>6.4281496449413555E-2</v>
      </c>
      <c r="AH801" s="57">
        <f>AF801+IF(AG801&gt;=0,AG801*(AH730*(1+SIM_Parametres!$F$33)-AF801),AG801*(AF801-AH730*(1-SIM_Parametres!$E$33)))</f>
        <v>18573361.570278075</v>
      </c>
      <c r="AI801" s="60">
        <f t="shared" si="455"/>
        <v>135.80820823997064</v>
      </c>
      <c r="AJ801" s="60">
        <f t="shared" si="456"/>
        <v>-1333772.1885843463</v>
      </c>
      <c r="AK801" s="59">
        <f t="shared" si="468"/>
        <v>-3.71437007101173E-2</v>
      </c>
    </row>
    <row r="802" spans="1:37" ht="12.75" customHeight="1" x14ac:dyDescent="0.25">
      <c r="A802" s="62" t="s">
        <v>608</v>
      </c>
      <c r="B802" s="62" t="s">
        <v>394</v>
      </c>
      <c r="C802" s="62" t="s">
        <v>399</v>
      </c>
      <c r="D802" s="124">
        <v>2027</v>
      </c>
      <c r="E802" s="62" t="s">
        <v>676</v>
      </c>
      <c r="F802" s="64">
        <f>SIM_Parametres!$C$33</f>
        <v>1580389817.0408096</v>
      </c>
      <c r="G802" s="125">
        <f>SIM_Districts!D21*(1+SIM_Parametres!$B$6)^(2027-2023)</f>
        <v>111138.36744344998</v>
      </c>
      <c r="H802" s="125">
        <f>MAX(0,MIN(100,SIM_Districts!F21+(2027-2022)*SIM_Parametres!$B$7))</f>
        <v>42.35</v>
      </c>
      <c r="I802" s="125">
        <f>SIM_Districts!G21*(1+SIM_Parametres!$B$8)^(2027-2023)</f>
        <v>31.229958399999997</v>
      </c>
      <c r="J802" s="125">
        <f>SIM_Districts!H21*(1+SIM_Parametres!$B$9)^(2027-2023)</f>
        <v>10.431990000000003</v>
      </c>
      <c r="K802" s="125">
        <f>MAX(0,MIN(100,SIM_Districts!I21+(2027-2023)*SIM_Parametres!$B$10))</f>
        <v>99.5</v>
      </c>
      <c r="L802" s="125">
        <f>SIM_Districts!E21</f>
        <v>406</v>
      </c>
      <c r="M802" s="61">
        <f t="shared" si="452"/>
        <v>273.73982128928566</v>
      </c>
      <c r="N802" s="125">
        <f>N731*(1+SIM_Parametres!$B$6)/(1+SIM_Parametres!$B$11)</f>
        <v>95110</v>
      </c>
      <c r="O802" s="132"/>
      <c r="P802" s="126">
        <f>SIM_Parametres!$D$33</f>
        <v>0.75</v>
      </c>
      <c r="Q802" s="126">
        <f>SIM_Parametres!$B$12</f>
        <v>0.2</v>
      </c>
      <c r="R802" s="66">
        <f t="shared" si="469"/>
        <v>5.4475828278639955E-3</v>
      </c>
      <c r="S802" s="66">
        <f t="shared" si="470"/>
        <v>0.65957446808510634</v>
      </c>
      <c r="T802" s="66">
        <f t="shared" si="471"/>
        <v>0.65469613259668513</v>
      </c>
      <c r="U802" s="66">
        <f t="shared" si="472"/>
        <v>0.51035214004959606</v>
      </c>
      <c r="V802" s="66">
        <f t="shared" si="473"/>
        <v>0.24769050312675686</v>
      </c>
      <c r="W802" s="66">
        <f t="shared" si="474"/>
        <v>1.5726062143310078E-2</v>
      </c>
      <c r="X802" s="66">
        <f t="shared" si="475"/>
        <v>1.2955775433225826E-2</v>
      </c>
      <c r="Y802" s="66">
        <f t="shared" si="476"/>
        <v>1.3039348904932262E-2</v>
      </c>
      <c r="Z802" s="66">
        <f t="shared" si="477"/>
        <v>9.0910712011208778E-3</v>
      </c>
      <c r="AA802" s="66">
        <f t="shared" si="453"/>
        <v>8.6773463385014394E-3</v>
      </c>
      <c r="AB802" s="66">
        <f t="shared" si="478"/>
        <v>1.0538188418557545E-2</v>
      </c>
      <c r="AC802" s="67">
        <f t="shared" si="454"/>
        <v>15422674.135366632</v>
      </c>
      <c r="AD802" s="67">
        <f t="shared" si="479"/>
        <v>15730617.018211409</v>
      </c>
      <c r="AE802" s="66">
        <f t="shared" si="467"/>
        <v>-2.5245445712497538E-2</v>
      </c>
      <c r="AF802" s="64">
        <f>MIN(MAX(AD802,AH731*(1-SIM_Parametres!$E$32)),AH731*(1+SIM_Parametres!$F$32))</f>
        <v>15730617.018211409</v>
      </c>
      <c r="AG802" s="64">
        <f>IF(F802-SUM($AF$785:$AF$855)&gt;=0,IFERROR((F802-SUM($AF$785:$AF$855))/(SUM($AH$714:$AH$784)*(1+SIM_Parametres!$F$33)-SUM($AF$785:$AF$855)),0),IFERROR((F802-SUM($AF$785:$AF$855))/(SUM($AF$785:$AF$855)-SUM($AH$714:$AH$784)*(1-SIM_Parametres!$E$33)),0))</f>
        <v>6.4281496449413555E-2</v>
      </c>
      <c r="AH802" s="64">
        <f>AF802+IF(AG802&gt;=0,AG802*(AH731*(1+SIM_Parametres!$F$33)-AF802),AG802*(AF802-AH731*(1-SIM_Parametres!$E$33)))</f>
        <v>15912412.549437769</v>
      </c>
      <c r="AI802" s="67">
        <f t="shared" si="455"/>
        <v>143.17659072628007</v>
      </c>
      <c r="AJ802" s="67">
        <f t="shared" si="456"/>
        <v>-742033.11730796844</v>
      </c>
      <c r="AK802" s="66">
        <f t="shared" si="468"/>
        <v>-1.3980406216153707E-2</v>
      </c>
    </row>
    <row r="803" spans="1:37" ht="12.75" customHeight="1" x14ac:dyDescent="0.25">
      <c r="A803" s="55" t="s">
        <v>609</v>
      </c>
      <c r="B803" s="55" t="s">
        <v>394</v>
      </c>
      <c r="C803" s="55" t="s">
        <v>400</v>
      </c>
      <c r="D803" s="128">
        <v>2027</v>
      </c>
      <c r="E803" s="55" t="s">
        <v>676</v>
      </c>
      <c r="F803" s="57">
        <f>SIM_Parametres!$C$33</f>
        <v>1580389817.0408096</v>
      </c>
      <c r="G803" s="129">
        <f>SIM_Districts!D22*(1+SIM_Parametres!$B$6)^(2027-2023)</f>
        <v>116795.17472251</v>
      </c>
      <c r="H803" s="129">
        <f>MAX(0,MIN(100,SIM_Districts!F22+(2027-2022)*SIM_Parametres!$B$7))</f>
        <v>42.35</v>
      </c>
      <c r="I803" s="129">
        <f>SIM_Districts!G22*(1+SIM_Parametres!$B$8)^(2027-2023)</f>
        <v>31.229958399999997</v>
      </c>
      <c r="J803" s="129">
        <f>SIM_Districts!H22*(1+SIM_Parametres!$B$9)^(2027-2023)</f>
        <v>10.431990000000003</v>
      </c>
      <c r="K803" s="129">
        <f>MAX(0,MIN(100,SIM_Districts!I22+(2027-2023)*SIM_Parametres!$B$10))</f>
        <v>99.5</v>
      </c>
      <c r="L803" s="129">
        <f>SIM_Districts!E22</f>
        <v>866</v>
      </c>
      <c r="M803" s="68">
        <f t="shared" si="452"/>
        <v>134.86740730081985</v>
      </c>
      <c r="N803" s="129">
        <f>N732*(1+SIM_Parametres!$B$6)/(1+SIM_Parametres!$B$11)</f>
        <v>95110</v>
      </c>
      <c r="O803" s="72"/>
      <c r="P803" s="130">
        <f>SIM_Parametres!$D$33</f>
        <v>0.75</v>
      </c>
      <c r="Q803" s="130">
        <f>SIM_Parametres!$B$12</f>
        <v>0.2</v>
      </c>
      <c r="R803" s="59">
        <f t="shared" si="469"/>
        <v>5.7248581460354929E-3</v>
      </c>
      <c r="S803" s="59">
        <f t="shared" si="470"/>
        <v>0.65957446808510634</v>
      </c>
      <c r="T803" s="59">
        <f t="shared" si="471"/>
        <v>0.65469613259668513</v>
      </c>
      <c r="U803" s="59">
        <f t="shared" si="472"/>
        <v>0.52803177519419775</v>
      </c>
      <c r="V803" s="59">
        <f t="shared" si="473"/>
        <v>0.24769050312675686</v>
      </c>
      <c r="W803" s="59">
        <f t="shared" si="474"/>
        <v>1.5726062143310078E-2</v>
      </c>
      <c r="X803" s="59">
        <f t="shared" si="475"/>
        <v>1.2955775433225826E-2</v>
      </c>
      <c r="Y803" s="59">
        <f t="shared" si="476"/>
        <v>1.3491058446387229E-2</v>
      </c>
      <c r="Z803" s="59">
        <f t="shared" si="477"/>
        <v>9.0910712011208778E-3</v>
      </c>
      <c r="AA803" s="59">
        <f t="shared" si="453"/>
        <v>8.8662970064770866E-3</v>
      </c>
      <c r="AB803" s="59">
        <f t="shared" si="478"/>
        <v>1.1695371837925366E-2</v>
      </c>
      <c r="AC803" s="60">
        <f t="shared" si="454"/>
        <v>15661566.704640049</v>
      </c>
      <c r="AD803" s="60">
        <f t="shared" si="479"/>
        <v>16366986.668270813</v>
      </c>
      <c r="AE803" s="59">
        <f t="shared" si="467"/>
        <v>-8.6159988853156455E-2</v>
      </c>
      <c r="AF803" s="57">
        <f>MIN(MAX(AD803,AH732*(1-SIM_Parametres!$E$32)),AH732*(1+SIM_Parametres!$F$32))</f>
        <v>17014616.503105581</v>
      </c>
      <c r="AG803" s="57">
        <f>IF(F803-SUM($AF$785:$AF$855)&gt;=0,IFERROR((F803-SUM($AF$785:$AF$855))/(SUM($AH$714:$AH$784)*(1+SIM_Parametres!$F$33)-SUM($AF$785:$AF$855)),0),IFERROR((F803-SUM($AF$785:$AF$855))/(SUM($AF$785:$AF$855)-SUM($AH$714:$AH$784)*(1-SIM_Parametres!$E$33)),0))</f>
        <v>6.4281496449413555E-2</v>
      </c>
      <c r="AH803" s="57">
        <f>AF803+IF(AG803&gt;=0,AG803*(AH732*(1+SIM_Parametres!$F$33)-AF803),AG803*(AF803-AH732*(1-SIM_Parametres!$E$33)))</f>
        <v>17244874.40001769</v>
      </c>
      <c r="AI803" s="60">
        <f t="shared" si="455"/>
        <v>147.65057238870739</v>
      </c>
      <c r="AJ803" s="60">
        <f t="shared" si="456"/>
        <v>-1238372.1591454148</v>
      </c>
      <c r="AK803" s="59">
        <f t="shared" si="468"/>
        <v>-3.71437007101173E-2</v>
      </c>
    </row>
    <row r="804" spans="1:37" ht="12.75" customHeight="1" x14ac:dyDescent="0.25">
      <c r="A804" s="62" t="s">
        <v>610</v>
      </c>
      <c r="B804" s="62" t="s">
        <v>394</v>
      </c>
      <c r="C804" s="62" t="s">
        <v>401</v>
      </c>
      <c r="D804" s="124">
        <v>2027</v>
      </c>
      <c r="E804" s="62" t="s">
        <v>676</v>
      </c>
      <c r="F804" s="64">
        <f>SIM_Parametres!$C$33</f>
        <v>1580389817.0408096</v>
      </c>
      <c r="G804" s="125">
        <f>SIM_Districts!D23*(1+SIM_Parametres!$B$6)^(2027-2023)</f>
        <v>210037.95208695999</v>
      </c>
      <c r="H804" s="125">
        <f>MAX(0,MIN(100,SIM_Districts!F23+(2027-2022)*SIM_Parametres!$B$7))</f>
        <v>42.35</v>
      </c>
      <c r="I804" s="125">
        <f>SIM_Districts!G23*(1+SIM_Parametres!$B$8)^(2027-2023)</f>
        <v>31.229958399999997</v>
      </c>
      <c r="J804" s="125">
        <f>SIM_Districts!H23*(1+SIM_Parametres!$B$9)^(2027-2023)</f>
        <v>10.431990000000003</v>
      </c>
      <c r="K804" s="125">
        <f>MAX(0,MIN(100,SIM_Districts!I23+(2027-2023)*SIM_Parametres!$B$10))</f>
        <v>99.5</v>
      </c>
      <c r="L804" s="125">
        <f>SIM_Districts!E23</f>
        <v>1459</v>
      </c>
      <c r="M804" s="61">
        <f t="shared" si="452"/>
        <v>143.96021390470185</v>
      </c>
      <c r="N804" s="125">
        <f>N733*(1+SIM_Parametres!$B$6)/(1+SIM_Parametres!$B$11)</f>
        <v>95110</v>
      </c>
      <c r="O804" s="132"/>
      <c r="P804" s="126">
        <f>SIM_Parametres!$D$33</f>
        <v>0.75</v>
      </c>
      <c r="Q804" s="126">
        <f>SIM_Parametres!$B$12</f>
        <v>0.2</v>
      </c>
      <c r="R804" s="66">
        <f t="shared" si="469"/>
        <v>1.0295266767984887E-2</v>
      </c>
      <c r="S804" s="66">
        <f t="shared" si="470"/>
        <v>0.65957446808510634</v>
      </c>
      <c r="T804" s="66">
        <f t="shared" si="471"/>
        <v>0.65469613259668513</v>
      </c>
      <c r="U804" s="66">
        <f t="shared" si="472"/>
        <v>0.54845929360496004</v>
      </c>
      <c r="V804" s="66">
        <f t="shared" si="473"/>
        <v>0.24769050312675686</v>
      </c>
      <c r="W804" s="66">
        <f t="shared" si="474"/>
        <v>1.5726062143310078E-2</v>
      </c>
      <c r="X804" s="66">
        <f t="shared" si="475"/>
        <v>1.2955775433225826E-2</v>
      </c>
      <c r="Y804" s="66">
        <f t="shared" si="476"/>
        <v>1.4012975606946155E-2</v>
      </c>
      <c r="Z804" s="66">
        <f t="shared" si="477"/>
        <v>9.0910712011208778E-3</v>
      </c>
      <c r="AA804" s="66">
        <f t="shared" si="453"/>
        <v>1.1634638037674668E-2</v>
      </c>
      <c r="AB804" s="66">
        <f t="shared" si="478"/>
        <v>1.3052155257223226E-2</v>
      </c>
      <c r="AC804" s="67">
        <f t="shared" si="454"/>
        <v>19161613.08528078</v>
      </c>
      <c r="AD804" s="67">
        <f t="shared" si="479"/>
        <v>19528083.128698397</v>
      </c>
      <c r="AE804" s="66">
        <f t="shared" si="467"/>
        <v>-2.3003835908592785E-2</v>
      </c>
      <c r="AF804" s="64">
        <f>MIN(MAX(AD804,AH733*(1-SIM_Parametres!$E$32)),AH733*(1+SIM_Parametres!$F$32))</f>
        <v>19528083.128698397</v>
      </c>
      <c r="AG804" s="64">
        <f>IF(F804-SUM($AF$785:$AF$855)&gt;=0,IFERROR((F804-SUM($AF$785:$AF$855))/(SUM($AH$714:$AH$784)*(1+SIM_Parametres!$F$33)-SUM($AF$785:$AF$855)),0),IFERROR((F804-SUM($AF$785:$AF$855))/(SUM($AF$785:$AF$855)-SUM($AH$714:$AH$784)*(1-SIM_Parametres!$E$33)),0))</f>
        <v>6.4281496449413555E-2</v>
      </c>
      <c r="AH804" s="64">
        <f>AF804+IF(AG804&gt;=0,AG804*(AH733*(1+SIM_Parametres!$F$33)-AF804),AG804*(AF804-AH733*(1-SIM_Parametres!$E$33)))</f>
        <v>19750367.26395566</v>
      </c>
      <c r="AI804" s="67">
        <f t="shared" si="455"/>
        <v>94.032373995812932</v>
      </c>
      <c r="AJ804" s="67">
        <f t="shared" si="456"/>
        <v>-877125.99499559775</v>
      </c>
      <c r="AK804" s="66">
        <f t="shared" si="468"/>
        <v>-1.1882890444899652E-2</v>
      </c>
    </row>
    <row r="805" spans="1:37" ht="12.75" customHeight="1" x14ac:dyDescent="0.25">
      <c r="A805" s="55" t="s">
        <v>611</v>
      </c>
      <c r="B805" s="55" t="s">
        <v>402</v>
      </c>
      <c r="C805" s="55" t="s">
        <v>404</v>
      </c>
      <c r="D805" s="128">
        <v>2027</v>
      </c>
      <c r="E805" s="55" t="s">
        <v>676</v>
      </c>
      <c r="F805" s="57">
        <f>SIM_Parametres!$C$33</f>
        <v>1580389817.0408096</v>
      </c>
      <c r="G805" s="129">
        <f>SIM_Districts!D24*(1+SIM_Parametres!$B$6)^(2027-2023)</f>
        <v>164833.01624211998</v>
      </c>
      <c r="H805" s="129">
        <f>MAX(0,MIN(100,SIM_Districts!F24+(2027-2022)*SIM_Parametres!$B$7))</f>
        <v>54.050000000000004</v>
      </c>
      <c r="I805" s="129">
        <f>SIM_Districts!G24*(1+SIM_Parametres!$B$8)^(2027-2023)</f>
        <v>31.229958399999997</v>
      </c>
      <c r="J805" s="129">
        <f>SIM_Districts!H24*(1+SIM_Parametres!$B$9)^(2027-2023)</f>
        <v>18.633240000000004</v>
      </c>
      <c r="K805" s="129">
        <f>MAX(0,MIN(100,SIM_Districts!I24+(2027-2023)*SIM_Parametres!$B$10))</f>
        <v>93.4</v>
      </c>
      <c r="L805" s="129">
        <f>SIM_Districts!E24</f>
        <v>1150</v>
      </c>
      <c r="M805" s="68">
        <f t="shared" si="452"/>
        <v>143.33305760184345</v>
      </c>
      <c r="N805" s="129">
        <f>N734*(1+SIM_Parametres!$B$6)/(1+SIM_Parametres!$B$11)</f>
        <v>169739</v>
      </c>
      <c r="O805" s="72"/>
      <c r="P805" s="130">
        <f>SIM_Parametres!$D$33</f>
        <v>0.75</v>
      </c>
      <c r="Q805" s="130">
        <f>SIM_Parametres!$B$12</f>
        <v>0.2</v>
      </c>
      <c r="R805" s="59">
        <f t="shared" si="469"/>
        <v>8.0794916229311661E-3</v>
      </c>
      <c r="S805" s="59">
        <f t="shared" si="470"/>
        <v>0.86702127659574468</v>
      </c>
      <c r="T805" s="59">
        <f t="shared" si="471"/>
        <v>1</v>
      </c>
      <c r="U805" s="59">
        <f t="shared" si="472"/>
        <v>0.53776328071078594</v>
      </c>
      <c r="V805" s="59">
        <f t="shared" si="473"/>
        <v>0.76566328194948607</v>
      </c>
      <c r="W805" s="59">
        <f t="shared" si="474"/>
        <v>2.06721623335447E-2</v>
      </c>
      <c r="X805" s="59">
        <f t="shared" si="475"/>
        <v>1.9788990324167716E-2</v>
      </c>
      <c r="Y805" s="59">
        <f t="shared" si="476"/>
        <v>1.3739695585027883E-2</v>
      </c>
      <c r="Z805" s="59">
        <f t="shared" si="477"/>
        <v>2.8102407336645013E-2</v>
      </c>
      <c r="AA805" s="59">
        <f t="shared" si="453"/>
        <v>1.3008973018499206E-2</v>
      </c>
      <c r="AB805" s="59">
        <f t="shared" si="478"/>
        <v>1.232167172993697E-2</v>
      </c>
      <c r="AC805" s="60">
        <f t="shared" si="454"/>
        <v>20899201.09239924</v>
      </c>
      <c r="AD805" s="60">
        <f t="shared" si="479"/>
        <v>20542661.952027433</v>
      </c>
      <c r="AE805" s="59">
        <f t="shared" si="467"/>
        <v>8.868580364199552E-2</v>
      </c>
      <c r="AF805" s="57">
        <f>MIN(MAX(AD805,AH734*(1-SIM_Parametres!$E$32)),AH734*(1+SIM_Parametres!$F$32))</f>
        <v>20542661.952027433</v>
      </c>
      <c r="AG805" s="57">
        <f>IF(F805-SUM($AF$785:$AF$855)&gt;=0,IFERROR((F805-SUM($AF$785:$AF$855))/(SUM($AH$714:$AH$784)*(1+SIM_Parametres!$F$33)-SUM($AF$785:$AF$855)),0),IFERROR((F805-SUM($AF$785:$AF$855))/(SUM($AF$785:$AF$855)-SUM($AH$714:$AH$784)*(1-SIM_Parametres!$E$33)),0))</f>
        <v>6.4281496449413555E-2</v>
      </c>
      <c r="AH805" s="57">
        <f>AF805+IF(AG805&gt;=0,AG805*(AH734*(1+SIM_Parametres!$F$33)-AF805),AG805*(AF805-AH734*(1-SIM_Parametres!$E$33)))</f>
        <v>20617032.533743244</v>
      </c>
      <c r="AI805" s="60">
        <f t="shared" si="455"/>
        <v>125.07829440831981</v>
      </c>
      <c r="AJ805" s="60">
        <f t="shared" si="456"/>
        <v>1143988.0028312393</v>
      </c>
      <c r="AK805" s="59">
        <f t="shared" si="468"/>
        <v>9.2627171937481156E-2</v>
      </c>
    </row>
    <row r="806" spans="1:37" ht="12.75" customHeight="1" x14ac:dyDescent="0.25">
      <c r="A806" s="62" t="s">
        <v>613</v>
      </c>
      <c r="B806" s="62" t="s">
        <v>402</v>
      </c>
      <c r="C806" s="62" t="s">
        <v>402</v>
      </c>
      <c r="D806" s="124">
        <v>2027</v>
      </c>
      <c r="E806" s="62" t="s">
        <v>676</v>
      </c>
      <c r="F806" s="64">
        <f>SIM_Parametres!$C$33</f>
        <v>1580389817.0408096</v>
      </c>
      <c r="G806" s="125">
        <f>SIM_Districts!D25*(1+SIM_Parametres!$B$6)^(2027-2023)</f>
        <v>338210.89536975999</v>
      </c>
      <c r="H806" s="125">
        <f>MAX(0,MIN(100,SIM_Districts!F25+(2027-2022)*SIM_Parametres!$B$7))</f>
        <v>54.050000000000004</v>
      </c>
      <c r="I806" s="125">
        <f>SIM_Districts!G25*(1+SIM_Parametres!$B$8)^(2027-2023)</f>
        <v>31.229958399999997</v>
      </c>
      <c r="J806" s="125">
        <f>SIM_Districts!H25*(1+SIM_Parametres!$B$9)^(2027-2023)</f>
        <v>18.633240000000004</v>
      </c>
      <c r="K806" s="125">
        <f>MAX(0,MIN(100,SIM_Districts!I25+(2027-2023)*SIM_Parametres!$B$10))</f>
        <v>93.4</v>
      </c>
      <c r="L806" s="125">
        <f>SIM_Districts!E25</f>
        <v>2609</v>
      </c>
      <c r="M806" s="61">
        <f t="shared" si="452"/>
        <v>129.63238611336143</v>
      </c>
      <c r="N806" s="125">
        <f>N735*(1+SIM_Parametres!$B$6)/(1+SIM_Parametres!$B$11)</f>
        <v>169739</v>
      </c>
      <c r="O806" s="132"/>
      <c r="P806" s="126">
        <f>SIM_Parametres!$D$33</f>
        <v>0.75</v>
      </c>
      <c r="Q806" s="126">
        <f>SIM_Parametres!$B$12</f>
        <v>0.2</v>
      </c>
      <c r="R806" s="66">
        <f t="shared" si="469"/>
        <v>1.6577820137139293E-2</v>
      </c>
      <c r="S806" s="66">
        <f t="shared" si="470"/>
        <v>0.86702127659574468</v>
      </c>
      <c r="T806" s="66">
        <f t="shared" si="471"/>
        <v>1</v>
      </c>
      <c r="U806" s="66">
        <f t="shared" si="472"/>
        <v>0.58847583069176324</v>
      </c>
      <c r="V806" s="66">
        <f t="shared" si="473"/>
        <v>0.76566328194948607</v>
      </c>
      <c r="W806" s="66">
        <f t="shared" si="474"/>
        <v>2.06721623335447E-2</v>
      </c>
      <c r="X806" s="66">
        <f t="shared" si="475"/>
        <v>1.9788990324167716E-2</v>
      </c>
      <c r="Y806" s="66">
        <f t="shared" si="476"/>
        <v>1.5035386503452401E-2</v>
      </c>
      <c r="Z806" s="66">
        <f t="shared" si="477"/>
        <v>2.8102407336645013E-2</v>
      </c>
      <c r="AA806" s="66">
        <f t="shared" si="453"/>
        <v>1.817275467294531E-2</v>
      </c>
      <c r="AB806" s="66">
        <f t="shared" si="478"/>
        <v>1.4737747245038603E-2</v>
      </c>
      <c r="AC806" s="67">
        <f t="shared" si="454"/>
        <v>27427831.447686255</v>
      </c>
      <c r="AD806" s="67">
        <f t="shared" si="479"/>
        <v>26393720.003809754</v>
      </c>
      <c r="AE806" s="66">
        <f t="shared" si="467"/>
        <v>0.16945893332854411</v>
      </c>
      <c r="AF806" s="64">
        <f>MIN(MAX(AD806,AH735*(1-SIM_Parametres!$E$32)),AH735*(1+SIM_Parametres!$F$32))</f>
        <v>25954547.987410177</v>
      </c>
      <c r="AG806" s="64">
        <f>IF(F806-SUM($AF$785:$AF$855)&gt;=0,IFERROR((F806-SUM($AF$785:$AF$855))/(SUM($AH$714:$AH$784)*(1+SIM_Parametres!$F$33)-SUM($AF$785:$AF$855)),0),IFERROR((F806-SUM($AF$785:$AF$855))/(SUM($AF$785:$AF$855)-SUM($AH$714:$AH$784)*(1-SIM_Parametres!$E$33)),0))</f>
        <v>6.4281496449413555E-2</v>
      </c>
      <c r="AH806" s="64">
        <f>AF806+IF(AG806&gt;=0,AG806*(AH735*(1+SIM_Parametres!$F$33)-AF806),AG806*(AF806-AH735*(1-SIM_Parametres!$E$33)))</f>
        <v>25954547.987410177</v>
      </c>
      <c r="AI806" s="67">
        <f t="shared" si="455"/>
        <v>76.740721078883425</v>
      </c>
      <c r="AJ806" s="67">
        <f t="shared" si="456"/>
        <v>2663162.3152299225</v>
      </c>
      <c r="AK806" s="66">
        <f t="shared" si="468"/>
        <v>0.14999999999999991</v>
      </c>
    </row>
    <row r="807" spans="1:37" ht="12.75" customHeight="1" x14ac:dyDescent="0.25">
      <c r="A807" s="55" t="s">
        <v>614</v>
      </c>
      <c r="B807" s="55" t="s">
        <v>402</v>
      </c>
      <c r="C807" s="55" t="s">
        <v>405</v>
      </c>
      <c r="D807" s="128">
        <v>2027</v>
      </c>
      <c r="E807" s="55" t="s">
        <v>676</v>
      </c>
      <c r="F807" s="57">
        <f>SIM_Parametres!$C$33</f>
        <v>1580389817.0408096</v>
      </c>
      <c r="G807" s="129">
        <f>SIM_Districts!D26*(1+SIM_Parametres!$B$6)^(2027-2023)</f>
        <v>266164.82542403997</v>
      </c>
      <c r="H807" s="129">
        <f>MAX(0,MIN(100,SIM_Districts!F26+(2027-2022)*SIM_Parametres!$B$7))</f>
        <v>54.050000000000004</v>
      </c>
      <c r="I807" s="129">
        <f>SIM_Districts!G26*(1+SIM_Parametres!$B$8)^(2027-2023)</f>
        <v>31.229958399999997</v>
      </c>
      <c r="J807" s="129">
        <f>SIM_Districts!H26*(1+SIM_Parametres!$B$9)^(2027-2023)</f>
        <v>18.633240000000004</v>
      </c>
      <c r="K807" s="129">
        <f>MAX(0,MIN(100,SIM_Districts!I26+(2027-2023)*SIM_Parametres!$B$10))</f>
        <v>93.4</v>
      </c>
      <c r="L807" s="129">
        <f>SIM_Districts!E26</f>
        <v>4537</v>
      </c>
      <c r="M807" s="68">
        <f t="shared" si="452"/>
        <v>58.665379198598188</v>
      </c>
      <c r="N807" s="129">
        <f>N736*(1+SIM_Parametres!$B$6)/(1+SIM_Parametres!$B$11)</f>
        <v>169739</v>
      </c>
      <c r="O807" s="72"/>
      <c r="P807" s="130">
        <f>SIM_Parametres!$D$33</f>
        <v>0.75</v>
      </c>
      <c r="Q807" s="130">
        <f>SIM_Parametres!$B$12</f>
        <v>0.2</v>
      </c>
      <c r="R807" s="59">
        <f t="shared" si="469"/>
        <v>1.3046394019591769E-2</v>
      </c>
      <c r="S807" s="59">
        <f t="shared" si="470"/>
        <v>0.86702127659574468</v>
      </c>
      <c r="T807" s="59">
        <f t="shared" si="471"/>
        <v>1</v>
      </c>
      <c r="U807" s="59">
        <f t="shared" si="472"/>
        <v>0.65615433798264988</v>
      </c>
      <c r="V807" s="59">
        <f t="shared" si="473"/>
        <v>0.76566328194948607</v>
      </c>
      <c r="W807" s="59">
        <f t="shared" si="474"/>
        <v>2.06721623335447E-2</v>
      </c>
      <c r="X807" s="59">
        <f t="shared" si="475"/>
        <v>1.9788990324167716E-2</v>
      </c>
      <c r="Y807" s="59">
        <f t="shared" si="476"/>
        <v>1.6764552702001334E-2</v>
      </c>
      <c r="Z807" s="59">
        <f t="shared" si="477"/>
        <v>2.8102407336645013E-2</v>
      </c>
      <c r="AA807" s="59">
        <f t="shared" si="453"/>
        <v>1.6140357312344242E-2</v>
      </c>
      <c r="AB807" s="59">
        <f t="shared" si="478"/>
        <v>1.8103418479762746E-2</v>
      </c>
      <c r="AC807" s="60">
        <f t="shared" si="454"/>
        <v>24858247.373386618</v>
      </c>
      <c r="AD807" s="60">
        <f t="shared" si="479"/>
        <v>25796300.084801324</v>
      </c>
      <c r="AE807" s="59">
        <f t="shared" si="467"/>
        <v>-6.950872706424116E-2</v>
      </c>
      <c r="AF807" s="57">
        <f>MIN(MAX(AD807,AH736*(1-SIM_Parametres!$E$32)),AH736*(1+SIM_Parametres!$F$32))</f>
        <v>26337146.616369378</v>
      </c>
      <c r="AG807" s="57">
        <f>IF(F807-SUM($AF$785:$AF$855)&gt;=0,IFERROR((F807-SUM($AF$785:$AF$855))/(SUM($AH$714:$AH$784)*(1+SIM_Parametres!$F$33)-SUM($AF$785:$AF$855)),0),IFERROR((F807-SUM($AF$785:$AF$855))/(SUM($AF$785:$AF$855)-SUM($AH$714:$AH$784)*(1-SIM_Parametres!$E$33)),0))</f>
        <v>6.4281496449413555E-2</v>
      </c>
      <c r="AH807" s="57">
        <f>AF807+IF(AG807&gt;=0,AG807*(AH736*(1+SIM_Parametres!$F$33)-AF807),AG807*(AF807-AH736*(1-SIM_Parametres!$E$33)))</f>
        <v>26693565.815676291</v>
      </c>
      <c r="AI807" s="60">
        <f t="shared" si="455"/>
        <v>100.28960728807606</v>
      </c>
      <c r="AJ807" s="60">
        <f t="shared" si="456"/>
        <v>-1916892.4033691697</v>
      </c>
      <c r="AK807" s="59">
        <f t="shared" si="468"/>
        <v>-3.71437007101173E-2</v>
      </c>
    </row>
    <row r="808" spans="1:37" ht="12.75" customHeight="1" x14ac:dyDescent="0.25">
      <c r="A808" s="62" t="s">
        <v>615</v>
      </c>
      <c r="B808" s="62" t="s">
        <v>402</v>
      </c>
      <c r="C808" s="62" t="s">
        <v>406</v>
      </c>
      <c r="D808" s="124">
        <v>2027</v>
      </c>
      <c r="E808" s="62" t="s">
        <v>676</v>
      </c>
      <c r="F808" s="64">
        <f>SIM_Parametres!$C$33</f>
        <v>1580389817.0408096</v>
      </c>
      <c r="G808" s="125">
        <f>SIM_Districts!D27*(1+SIM_Parametres!$B$6)^(2027-2023)</f>
        <v>154164.31823213</v>
      </c>
      <c r="H808" s="125">
        <f>MAX(0,MIN(100,SIM_Districts!F27+(2027-2022)*SIM_Parametres!$B$7))</f>
        <v>54.050000000000004</v>
      </c>
      <c r="I808" s="125">
        <f>SIM_Districts!G27*(1+SIM_Parametres!$B$8)^(2027-2023)</f>
        <v>31.229958399999997</v>
      </c>
      <c r="J808" s="125">
        <f>SIM_Districts!H27*(1+SIM_Parametres!$B$9)^(2027-2023)</f>
        <v>18.633240000000004</v>
      </c>
      <c r="K808" s="125">
        <f>MAX(0,MIN(100,SIM_Districts!I27+(2027-2023)*SIM_Parametres!$B$10))</f>
        <v>93.4</v>
      </c>
      <c r="L808" s="125">
        <f>SIM_Districts!E27</f>
        <v>2765</v>
      </c>
      <c r="M808" s="61">
        <f t="shared" si="452"/>
        <v>55.755630463699816</v>
      </c>
      <c r="N808" s="125">
        <f>N737*(1+SIM_Parametres!$B$6)/(1+SIM_Parametres!$B$11)</f>
        <v>169739</v>
      </c>
      <c r="O808" s="132"/>
      <c r="P808" s="126">
        <f>SIM_Parametres!$D$33</f>
        <v>0.75</v>
      </c>
      <c r="Q808" s="126">
        <f>SIM_Parametres!$B$12</f>
        <v>0.2</v>
      </c>
      <c r="R808" s="66">
        <f t="shared" si="469"/>
        <v>7.5565523589145294E-3</v>
      </c>
      <c r="S808" s="66">
        <f t="shared" si="470"/>
        <v>0.86702127659574468</v>
      </c>
      <c r="T808" s="66">
        <f t="shared" si="471"/>
        <v>1</v>
      </c>
      <c r="U808" s="66">
        <f t="shared" si="472"/>
        <v>0.59480805510502455</v>
      </c>
      <c r="V808" s="66">
        <f t="shared" si="473"/>
        <v>0.76566328194948607</v>
      </c>
      <c r="W808" s="66">
        <f t="shared" si="474"/>
        <v>2.06721623335447E-2</v>
      </c>
      <c r="X808" s="66">
        <f t="shared" si="475"/>
        <v>1.9788990324167716E-2</v>
      </c>
      <c r="Y808" s="66">
        <f t="shared" si="476"/>
        <v>1.519717299750104E-2</v>
      </c>
      <c r="Z808" s="66">
        <f t="shared" si="477"/>
        <v>2.8102407336645013E-2</v>
      </c>
      <c r="AA808" s="66">
        <f t="shared" si="453"/>
        <v>1.2768083330712884E-2</v>
      </c>
      <c r="AB808" s="66">
        <f t="shared" si="478"/>
        <v>1.3032905344500401E-2</v>
      </c>
      <c r="AC808" s="67">
        <f t="shared" si="454"/>
        <v>20594641.404713124</v>
      </c>
      <c r="AD808" s="67">
        <f t="shared" si="479"/>
        <v>20595248.776761137</v>
      </c>
      <c r="AE808" s="66">
        <f t="shared" si="467"/>
        <v>3.1908704307013425E-2</v>
      </c>
      <c r="AF808" s="64">
        <f>MIN(MAX(AD808,AH737*(1-SIM_Parametres!$E$32)),AH737*(1+SIM_Parametres!$F$32))</f>
        <v>20595248.776761137</v>
      </c>
      <c r="AG808" s="64">
        <f>IF(F808-SUM($AF$785:$AF$855)&gt;=0,IFERROR((F808-SUM($AF$785:$AF$855))/(SUM($AH$714:$AH$784)*(1+SIM_Parametres!$F$33)-SUM($AF$785:$AF$855)),0),IFERROR((F808-SUM($AF$785:$AF$855))/(SUM($AF$785:$AF$855)-SUM($AH$714:$AH$784)*(1-SIM_Parametres!$E$33)),0))</f>
        <v>6.4281496449413555E-2</v>
      </c>
      <c r="AH808" s="64">
        <f>AF808+IF(AG808&gt;=0,AG808*(AH737*(1+SIM_Parametres!$F$33)-AF808),AG808*(AF808-AH737*(1-SIM_Parametres!$E$33)))</f>
        <v>20746754.707107313</v>
      </c>
      <c r="AI808" s="67">
        <f t="shared" si="455"/>
        <v>134.57559404808757</v>
      </c>
      <c r="AJ808" s="67">
        <f t="shared" si="456"/>
        <v>149683.81420213357</v>
      </c>
      <c r="AK808" s="66">
        <f t="shared" si="468"/>
        <v>3.9499789511808769E-2</v>
      </c>
    </row>
    <row r="809" spans="1:37" ht="12.75" customHeight="1" x14ac:dyDescent="0.25">
      <c r="A809" s="55" t="s">
        <v>616</v>
      </c>
      <c r="B809" s="55" t="s">
        <v>407</v>
      </c>
      <c r="C809" s="55" t="s">
        <v>409</v>
      </c>
      <c r="D809" s="128">
        <v>2027</v>
      </c>
      <c r="E809" s="55" t="s">
        <v>676</v>
      </c>
      <c r="F809" s="57">
        <f>SIM_Parametres!$C$33</f>
        <v>1580389817.0408096</v>
      </c>
      <c r="G809" s="129">
        <f>SIM_Districts!D28*(1+SIM_Parametres!$B$6)^(2027-2023)</f>
        <v>180348.15518797</v>
      </c>
      <c r="H809" s="129">
        <f>MAX(0,MIN(100,SIM_Districts!F28+(2027-2022)*SIM_Parametres!$B$7))</f>
        <v>45.45</v>
      </c>
      <c r="I809" s="129">
        <f>SIM_Districts!G28*(1+SIM_Parametres!$B$8)^(2027-2023)</f>
        <v>31.229958399999997</v>
      </c>
      <c r="J809" s="129">
        <f>SIM_Districts!H28*(1+SIM_Parametres!$B$9)^(2027-2023)</f>
        <v>9.5790600000000019</v>
      </c>
      <c r="K809" s="129">
        <f>MAX(0,MIN(100,SIM_Districts!I28+(2027-2023)*SIM_Parametres!$B$10))</f>
        <v>100</v>
      </c>
      <c r="L809" s="129">
        <f>SIM_Districts!E28</f>
        <v>1066</v>
      </c>
      <c r="M809" s="68">
        <f t="shared" si="452"/>
        <v>169.18213432267353</v>
      </c>
      <c r="N809" s="129">
        <f>N738*(1+SIM_Parametres!$B$6)/(1+SIM_Parametres!$B$11)</f>
        <v>190293</v>
      </c>
      <c r="O809" s="72"/>
      <c r="P809" s="130">
        <f>SIM_Parametres!$D$33</f>
        <v>0.75</v>
      </c>
      <c r="Q809" s="130">
        <f>SIM_Parametres!$B$12</f>
        <v>0.2</v>
      </c>
      <c r="R809" s="59">
        <f t="shared" si="469"/>
        <v>8.8399851090024129E-3</v>
      </c>
      <c r="S809" s="59">
        <f t="shared" si="470"/>
        <v>0.71453900709219853</v>
      </c>
      <c r="T809" s="59">
        <f t="shared" si="471"/>
        <v>0.61878453038674031</v>
      </c>
      <c r="U809" s="59">
        <f t="shared" si="472"/>
        <v>0.53452867131516979</v>
      </c>
      <c r="V809" s="59">
        <f t="shared" si="473"/>
        <v>0.90832112938040932</v>
      </c>
      <c r="W809" s="59">
        <f t="shared" si="474"/>
        <v>1.7036567321919251E-2</v>
      </c>
      <c r="X809" s="59">
        <f t="shared" si="475"/>
        <v>1.2245121084567868E-2</v>
      </c>
      <c r="Y809" s="59">
        <f t="shared" si="476"/>
        <v>1.3657052254725572E-2</v>
      </c>
      <c r="Z809" s="59">
        <f t="shared" si="477"/>
        <v>3.333842822570373E-2</v>
      </c>
      <c r="AA809" s="59">
        <f t="shared" si="453"/>
        <v>1.204601835039598E-2</v>
      </c>
      <c r="AB809" s="59">
        <f t="shared" si="478"/>
        <v>1.2365087043682254E-2</v>
      </c>
      <c r="AC809" s="60">
        <f t="shared" si="454"/>
        <v>19681726.091005437</v>
      </c>
      <c r="AD809" s="60">
        <f t="shared" si="479"/>
        <v>19646708.98091875</v>
      </c>
      <c r="AE809" s="59">
        <f t="shared" si="467"/>
        <v>3.7547787949540945E-2</v>
      </c>
      <c r="AF809" s="57">
        <f>MIN(MAX(AD809,AH738*(1-SIM_Parametres!$E$32)),AH738*(1+SIM_Parametres!$F$32))</f>
        <v>19646708.98091875</v>
      </c>
      <c r="AG809" s="57">
        <f>IF(F809-SUM($AF$785:$AF$855)&gt;=0,IFERROR((F809-SUM($AF$785:$AF$855))/(SUM($AH$714:$AH$784)*(1+SIM_Parametres!$F$33)-SUM($AF$785:$AF$855)),0),IFERROR((F809-SUM($AF$785:$AF$855))/(SUM($AF$785:$AF$855)-SUM($AH$714:$AH$784)*(1-SIM_Parametres!$E$33)),0))</f>
        <v>6.4281496449413555E-2</v>
      </c>
      <c r="AH809" s="57">
        <f>AF809+IF(AG809&gt;=0,AG809*(AH738*(1+SIM_Parametres!$F$33)-AF809),AG809*(AF809-AH738*(1-SIM_Parametres!$E$33)))</f>
        <v>19783587.621911645</v>
      </c>
      <c r="AI809" s="60">
        <f t="shared" si="455"/>
        <v>109.69664536513815</v>
      </c>
      <c r="AJ809" s="60">
        <f t="shared" si="456"/>
        <v>241929.97125296295</v>
      </c>
      <c r="AK809" s="59">
        <f t="shared" si="468"/>
        <v>4.4776384419191295E-2</v>
      </c>
    </row>
    <row r="810" spans="1:37" ht="12.75" customHeight="1" x14ac:dyDescent="0.25">
      <c r="A810" s="62" t="s">
        <v>618</v>
      </c>
      <c r="B810" s="62" t="s">
        <v>407</v>
      </c>
      <c r="C810" s="62" t="s">
        <v>410</v>
      </c>
      <c r="D810" s="124">
        <v>2027</v>
      </c>
      <c r="E810" s="62" t="s">
        <v>676</v>
      </c>
      <c r="F810" s="64">
        <f>SIM_Parametres!$C$33</f>
        <v>1580389817.0408096</v>
      </c>
      <c r="G810" s="125">
        <f>SIM_Districts!D29*(1+SIM_Parametres!$B$6)^(2027-2023)</f>
        <v>490255.88051265996</v>
      </c>
      <c r="H810" s="125">
        <f>MAX(0,MIN(100,SIM_Districts!F29+(2027-2022)*SIM_Parametres!$B$7))</f>
        <v>45.45</v>
      </c>
      <c r="I810" s="125">
        <f>SIM_Districts!G29*(1+SIM_Parametres!$B$8)^(2027-2023)</f>
        <v>31.229958399999997</v>
      </c>
      <c r="J810" s="125">
        <f>SIM_Districts!H29*(1+SIM_Parametres!$B$9)^(2027-2023)</f>
        <v>9.5790600000000019</v>
      </c>
      <c r="K810" s="125">
        <f>MAX(0,MIN(100,SIM_Districts!I29+(2027-2023)*SIM_Parametres!$B$10))</f>
        <v>100</v>
      </c>
      <c r="L810" s="125">
        <f>SIM_Districts!E29</f>
        <v>535</v>
      </c>
      <c r="M810" s="61">
        <f t="shared" si="452"/>
        <v>916.36613179936444</v>
      </c>
      <c r="N810" s="125">
        <f>N739*(1+SIM_Parametres!$B$6)/(1+SIM_Parametres!$B$11)</f>
        <v>190293</v>
      </c>
      <c r="O810" s="132"/>
      <c r="P810" s="126">
        <f>SIM_Parametres!$D$33</f>
        <v>0.75</v>
      </c>
      <c r="Q810" s="126">
        <f>SIM_Parametres!$B$12</f>
        <v>0.2</v>
      </c>
      <c r="R810" s="66">
        <f t="shared" si="469"/>
        <v>2.403049079607035E-2</v>
      </c>
      <c r="S810" s="66">
        <f t="shared" si="470"/>
        <v>0.71453900709219853</v>
      </c>
      <c r="T810" s="66">
        <f t="shared" si="471"/>
        <v>0.61878453038674031</v>
      </c>
      <c r="U810" s="66">
        <f t="shared" si="472"/>
        <v>0.50674567312414043</v>
      </c>
      <c r="V810" s="66">
        <f t="shared" si="473"/>
        <v>0.90832112938040932</v>
      </c>
      <c r="W810" s="66">
        <f t="shared" si="474"/>
        <v>1.7036567321919251E-2</v>
      </c>
      <c r="X810" s="66">
        <f t="shared" si="475"/>
        <v>1.2245121084567868E-2</v>
      </c>
      <c r="Y810" s="66">
        <f t="shared" si="476"/>
        <v>1.2947204722778849E-2</v>
      </c>
      <c r="Z810" s="66">
        <f t="shared" si="477"/>
        <v>3.333842822570373E-2</v>
      </c>
      <c r="AA810" s="66">
        <f t="shared" si="453"/>
        <v>2.1124829386039407E-2</v>
      </c>
      <c r="AB810" s="66">
        <f t="shared" si="478"/>
        <v>1.5865874892749925E-2</v>
      </c>
      <c r="AC810" s="67">
        <f t="shared" si="454"/>
        <v>31160174.50026032</v>
      </c>
      <c r="AD810" s="67">
        <f t="shared" si="479"/>
        <v>29638697.654931597</v>
      </c>
      <c r="AE810" s="66">
        <f t="shared" si="467"/>
        <v>0.21986161488957734</v>
      </c>
      <c r="AF810" s="64">
        <f>MIN(MAX(AD810,AH739*(1-SIM_Parametres!$E$32)),AH739*(1+SIM_Parametres!$F$32))</f>
        <v>27941286.033708576</v>
      </c>
      <c r="AG810" s="64">
        <f>IF(F810-SUM($AF$785:$AF$855)&gt;=0,IFERROR((F810-SUM($AF$785:$AF$855))/(SUM($AH$714:$AH$784)*(1+SIM_Parametres!$F$33)-SUM($AF$785:$AF$855)),0),IFERROR((F810-SUM($AF$785:$AF$855))/(SUM($AF$785:$AF$855)-SUM($AH$714:$AH$784)*(1-SIM_Parametres!$E$33)),0))</f>
        <v>6.4281496449413555E-2</v>
      </c>
      <c r="AH810" s="64">
        <f>AF810+IF(AG810&gt;=0,AG810*(AH739*(1+SIM_Parametres!$F$33)-AF810),AG810*(AF810-AH739*(1-SIM_Parametres!$E$33)))</f>
        <v>27941286.033708576</v>
      </c>
      <c r="AI810" s="67">
        <f t="shared" si="455"/>
        <v>56.993270543721799</v>
      </c>
      <c r="AJ810" s="67">
        <f t="shared" si="456"/>
        <v>2867018.9147631489</v>
      </c>
      <c r="AK810" s="66">
        <f t="shared" si="468"/>
        <v>0.14999999999999991</v>
      </c>
    </row>
    <row r="811" spans="1:37" ht="12.75" customHeight="1" x14ac:dyDescent="0.25">
      <c r="A811" s="55" t="s">
        <v>619</v>
      </c>
      <c r="B811" s="55" t="s">
        <v>407</v>
      </c>
      <c r="C811" s="55" t="s">
        <v>411</v>
      </c>
      <c r="D811" s="128">
        <v>2027</v>
      </c>
      <c r="E811" s="55" t="s">
        <v>676</v>
      </c>
      <c r="F811" s="57">
        <f>SIM_Parametres!$C$33</f>
        <v>1580389817.0408096</v>
      </c>
      <c r="G811" s="129">
        <f>SIM_Districts!D30*(1+SIM_Parametres!$B$6)^(2027-2023)</f>
        <v>275024.83077636</v>
      </c>
      <c r="H811" s="129">
        <f>MAX(0,MIN(100,SIM_Districts!F30+(2027-2022)*SIM_Parametres!$B$7))</f>
        <v>45.45</v>
      </c>
      <c r="I811" s="129">
        <f>SIM_Districts!G30*(1+SIM_Parametres!$B$8)^(2027-2023)</f>
        <v>31.229958399999997</v>
      </c>
      <c r="J811" s="129">
        <f>SIM_Districts!H30*(1+SIM_Parametres!$B$9)^(2027-2023)</f>
        <v>9.5790600000000019</v>
      </c>
      <c r="K811" s="129">
        <f>MAX(0,MIN(100,SIM_Districts!I30+(2027-2023)*SIM_Parametres!$B$10))</f>
        <v>100</v>
      </c>
      <c r="L811" s="129">
        <f>SIM_Districts!E30</f>
        <v>1359</v>
      </c>
      <c r="M811" s="68">
        <f t="shared" si="452"/>
        <v>202.37294391196468</v>
      </c>
      <c r="N811" s="129">
        <f>N740*(1+SIM_Parametres!$B$6)/(1+SIM_Parametres!$B$11)</f>
        <v>190293</v>
      </c>
      <c r="O811" s="72"/>
      <c r="P811" s="130">
        <f>SIM_Parametres!$D$33</f>
        <v>0.75</v>
      </c>
      <c r="Q811" s="130">
        <f>SIM_Parametres!$B$12</f>
        <v>0.2</v>
      </c>
      <c r="R811" s="59">
        <f t="shared" si="469"/>
        <v>1.3480678003803077E-2</v>
      </c>
      <c r="S811" s="59">
        <f t="shared" si="470"/>
        <v>0.71453900709219853</v>
      </c>
      <c r="T811" s="59">
        <f t="shared" si="471"/>
        <v>0.61878453038674031</v>
      </c>
      <c r="U811" s="59">
        <f t="shared" si="472"/>
        <v>0.54426125050867202</v>
      </c>
      <c r="V811" s="59">
        <f t="shared" si="473"/>
        <v>0.90832112938040932</v>
      </c>
      <c r="W811" s="59">
        <f t="shared" si="474"/>
        <v>1.7036567321919251E-2</v>
      </c>
      <c r="X811" s="59">
        <f t="shared" si="475"/>
        <v>1.2245121084567868E-2</v>
      </c>
      <c r="Y811" s="59">
        <f t="shared" si="476"/>
        <v>1.3905716825499443E-2</v>
      </c>
      <c r="Z811" s="59">
        <f t="shared" si="477"/>
        <v>3.333842822570373E-2</v>
      </c>
      <c r="AA811" s="59">
        <f t="shared" si="453"/>
        <v>1.4842867315815073E-2</v>
      </c>
      <c r="AB811" s="59">
        <f t="shared" si="478"/>
        <v>1.3902199544768993E-2</v>
      </c>
      <c r="AC811" s="60">
        <f t="shared" si="454"/>
        <v>23217815.390805006</v>
      </c>
      <c r="AD811" s="60">
        <f t="shared" si="479"/>
        <v>22906085.191859327</v>
      </c>
      <c r="AE811" s="59">
        <f t="shared" si="467"/>
        <v>7.5927055030087898E-2</v>
      </c>
      <c r="AF811" s="57">
        <f>MIN(MAX(AD811,AH740*(1-SIM_Parametres!$E$32)),AH740*(1+SIM_Parametres!$F$32))</f>
        <v>22906085.191859327</v>
      </c>
      <c r="AG811" s="57">
        <f>IF(F811-SUM($AF$785:$AF$855)&gt;=0,IFERROR((F811-SUM($AF$785:$AF$855))/(SUM($AH$714:$AH$784)*(1+SIM_Parametres!$F$33)-SUM($AF$785:$AF$855)),0),IFERROR((F811-SUM($AF$785:$AF$855))/(SUM($AF$785:$AF$855)-SUM($AH$714:$AH$784)*(1-SIM_Parametres!$E$33)),0))</f>
        <v>6.4281496449413555E-2</v>
      </c>
      <c r="AH811" s="57">
        <f>AF811+IF(AG811&gt;=0,AG811*(AH740*(1+SIM_Parametres!$F$33)-AF811),AG811*(AF811-AH740*(1-SIM_Parametres!$E$33)))</f>
        <v>23007456.169106591</v>
      </c>
      <c r="AI811" s="60">
        <f t="shared" si="455"/>
        <v>83.655923373025914</v>
      </c>
      <c r="AJ811" s="60">
        <f t="shared" si="456"/>
        <v>1036561.5740842968</v>
      </c>
      <c r="AK811" s="59">
        <f t="shared" si="468"/>
        <v>8.068857477916902E-2</v>
      </c>
    </row>
    <row r="812" spans="1:37" ht="12.75" customHeight="1" x14ac:dyDescent="0.25">
      <c r="A812" s="62" t="s">
        <v>620</v>
      </c>
      <c r="B812" s="62" t="s">
        <v>407</v>
      </c>
      <c r="C812" s="62" t="s">
        <v>412</v>
      </c>
      <c r="D812" s="124">
        <v>2027</v>
      </c>
      <c r="E812" s="62" t="s">
        <v>676</v>
      </c>
      <c r="F812" s="64">
        <f>SIM_Parametres!$C$33</f>
        <v>1580389817.0408096</v>
      </c>
      <c r="G812" s="125">
        <f>SIM_Districts!D31*(1+SIM_Parametres!$B$6)^(2027-2023)</f>
        <v>558861.27002621</v>
      </c>
      <c r="H812" s="125">
        <f>MAX(0,MIN(100,SIM_Districts!F31+(2027-2022)*SIM_Parametres!$B$7))</f>
        <v>45.45</v>
      </c>
      <c r="I812" s="125">
        <f>SIM_Districts!G31*(1+SIM_Parametres!$B$8)^(2027-2023)</f>
        <v>31.229958399999997</v>
      </c>
      <c r="J812" s="125">
        <f>SIM_Districts!H31*(1+SIM_Parametres!$B$9)^(2027-2023)</f>
        <v>9.5790600000000019</v>
      </c>
      <c r="K812" s="125">
        <f>MAX(0,MIN(100,SIM_Districts!I31+(2027-2023)*SIM_Parametres!$B$10))</f>
        <v>100</v>
      </c>
      <c r="L812" s="125">
        <f>SIM_Districts!E31</f>
        <v>2302</v>
      </c>
      <c r="M812" s="61">
        <f t="shared" si="452"/>
        <v>242.77205474639879</v>
      </c>
      <c r="N812" s="125">
        <f>N741*(1+SIM_Parametres!$B$6)/(1+SIM_Parametres!$B$11)</f>
        <v>190293</v>
      </c>
      <c r="O812" s="132"/>
      <c r="P812" s="126">
        <f>SIM_Parametres!$D$33</f>
        <v>0.75</v>
      </c>
      <c r="Q812" s="126">
        <f>SIM_Parametres!$B$12</f>
        <v>0.2</v>
      </c>
      <c r="R812" s="66">
        <f t="shared" si="469"/>
        <v>2.7393267759688256E-2</v>
      </c>
      <c r="S812" s="66">
        <f t="shared" si="470"/>
        <v>0.71453900709219853</v>
      </c>
      <c r="T812" s="66">
        <f t="shared" si="471"/>
        <v>0.61878453038674031</v>
      </c>
      <c r="U812" s="66">
        <f t="shared" si="472"/>
        <v>0.5764195329812869</v>
      </c>
      <c r="V812" s="66">
        <f t="shared" si="473"/>
        <v>0.90832112938040932</v>
      </c>
      <c r="W812" s="66">
        <f t="shared" si="474"/>
        <v>1.7036567321919251E-2</v>
      </c>
      <c r="X812" s="66">
        <f t="shared" si="475"/>
        <v>1.2245121084567868E-2</v>
      </c>
      <c r="Y812" s="66">
        <f t="shared" si="476"/>
        <v>1.4727351599683094E-2</v>
      </c>
      <c r="Z812" s="66">
        <f t="shared" si="477"/>
        <v>3.333842822570373E-2</v>
      </c>
      <c r="AA812" s="66">
        <f t="shared" si="453"/>
        <v>2.3231502908055361E-2</v>
      </c>
      <c r="AB812" s="66">
        <f t="shared" si="478"/>
        <v>1.9547281127077487E-2</v>
      </c>
      <c r="AC812" s="67">
        <f t="shared" si="454"/>
        <v>33823666.805879131</v>
      </c>
      <c r="AD812" s="67">
        <f t="shared" si="479"/>
        <v>33090831.11542616</v>
      </c>
      <c r="AE812" s="66">
        <f t="shared" si="467"/>
        <v>0.10544411169602808</v>
      </c>
      <c r="AF812" s="64">
        <f>MIN(MAX(AD812,AH741*(1-SIM_Parametres!$E$32)),AH741*(1+SIM_Parametres!$F$32))</f>
        <v>33090831.11542616</v>
      </c>
      <c r="AG812" s="64">
        <f>IF(F812-SUM($AF$785:$AF$855)&gt;=0,IFERROR((F812-SUM($AF$785:$AF$855))/(SUM($AH$714:$AH$784)*(1+SIM_Parametres!$F$33)-SUM($AF$785:$AF$855)),0),IFERROR((F812-SUM($AF$785:$AF$855))/(SUM($AF$785:$AF$855)-SUM($AH$714:$AH$784)*(1-SIM_Parametres!$E$33)),0))</f>
        <v>6.4281496449413555E-2</v>
      </c>
      <c r="AH812" s="64">
        <f>AF812+IF(AG812&gt;=0,AG812*(AH741*(1+SIM_Parametres!$F$33)-AF812),AG812*(AF812-AH741*(1-SIM_Parametres!$E$33)))</f>
        <v>33176566.868992068</v>
      </c>
      <c r="AI812" s="67">
        <f t="shared" si="455"/>
        <v>59.364584107673309</v>
      </c>
      <c r="AJ812" s="67">
        <f t="shared" si="456"/>
        <v>2284242.824924808</v>
      </c>
      <c r="AK812" s="66">
        <f t="shared" si="468"/>
        <v>0.10830823087184016</v>
      </c>
    </row>
    <row r="813" spans="1:37" ht="12.75" customHeight="1" x14ac:dyDescent="0.25">
      <c r="A813" s="55" t="s">
        <v>621</v>
      </c>
      <c r="B813" s="55" t="s">
        <v>413</v>
      </c>
      <c r="C813" s="55" t="s">
        <v>413</v>
      </c>
      <c r="D813" s="128">
        <v>2027</v>
      </c>
      <c r="E813" s="55" t="s">
        <v>676</v>
      </c>
      <c r="F813" s="57">
        <f>SIM_Parametres!$C$33</f>
        <v>1580389817.0408096</v>
      </c>
      <c r="G813" s="129">
        <f>SIM_Districts!D32*(1+SIM_Parametres!$B$6)^(2027-2023)</f>
        <v>143141.08494698998</v>
      </c>
      <c r="H813" s="129">
        <f>MAX(0,MIN(100,SIM_Districts!F32+(2027-2022)*SIM_Parametres!$B$7))</f>
        <v>61.550000000000004</v>
      </c>
      <c r="I813" s="129">
        <f>SIM_Districts!G32*(1+SIM_Parametres!$B$8)^(2027-2023)</f>
        <v>31.229958399999997</v>
      </c>
      <c r="J813" s="129">
        <f>SIM_Districts!H32*(1+SIM_Parametres!$B$9)^(2027-2023)</f>
        <v>13.974930000000004</v>
      </c>
      <c r="K813" s="129">
        <f>MAX(0,MIN(100,SIM_Districts!I32+(2027-2023)*SIM_Parametres!$B$10))</f>
        <v>95.6</v>
      </c>
      <c r="L813" s="129">
        <f>SIM_Districts!E32</f>
        <v>7061</v>
      </c>
      <c r="M813" s="68">
        <f t="shared" si="452"/>
        <v>20.272069812631354</v>
      </c>
      <c r="N813" s="129">
        <f>N742*(1+SIM_Parametres!$B$6)/(1+SIM_Parametres!$B$11)</f>
        <v>59423</v>
      </c>
      <c r="O813" s="72"/>
      <c r="P813" s="130">
        <f>SIM_Parametres!$D$33</f>
        <v>0.75</v>
      </c>
      <c r="Q813" s="130">
        <f>SIM_Parametres!$B$12</f>
        <v>0.2</v>
      </c>
      <c r="R813" s="59">
        <f t="shared" si="469"/>
        <v>7.016235115346753E-3</v>
      </c>
      <c r="S813" s="59">
        <f t="shared" si="470"/>
        <v>1</v>
      </c>
      <c r="T813" s="59">
        <f t="shared" si="471"/>
        <v>0.80386740331491713</v>
      </c>
      <c r="U813" s="59">
        <f t="shared" si="472"/>
        <v>0.74406922993471691</v>
      </c>
      <c r="V813" s="59">
        <f t="shared" si="473"/>
        <v>0</v>
      </c>
      <c r="W813" s="59">
        <f t="shared" si="474"/>
        <v>2.3842739378566891E-2</v>
      </c>
      <c r="X813" s="59">
        <f t="shared" si="475"/>
        <v>1.590772426611272E-2</v>
      </c>
      <c r="Y813" s="59">
        <f t="shared" si="476"/>
        <v>1.9010752649337739E-2</v>
      </c>
      <c r="Z813" s="59">
        <f t="shared" si="477"/>
        <v>0</v>
      </c>
      <c r="AA813" s="59">
        <f t="shared" si="453"/>
        <v>1.1122848248376881E-2</v>
      </c>
      <c r="AB813" s="59">
        <f t="shared" si="478"/>
        <v>1.6598135753609158E-2</v>
      </c>
      <c r="AC813" s="60">
        <f t="shared" si="454"/>
        <v>18514551.18810343</v>
      </c>
      <c r="AD813" s="60">
        <f t="shared" si="479"/>
        <v>20443794.5727938</v>
      </c>
      <c r="AE813" s="59">
        <f t="shared" si="467"/>
        <v>-0.19570073723103965</v>
      </c>
      <c r="AF813" s="57">
        <f>MIN(MAX(AD813,AH742*(1-SIM_Parametres!$E$32)),AH742*(1+SIM_Parametres!$F$32))</f>
        <v>24147236.909420218</v>
      </c>
      <c r="AG813" s="57">
        <f>IF(F813-SUM($AF$785:$AF$855)&gt;=0,IFERROR((F813-SUM($AF$785:$AF$855))/(SUM($AH$714:$AH$784)*(1+SIM_Parametres!$F$33)-SUM($AF$785:$AF$855)),0),IFERROR((F813-SUM($AF$785:$AF$855))/(SUM($AF$785:$AF$855)-SUM($AH$714:$AH$784)*(1-SIM_Parametres!$E$33)),0))</f>
        <v>6.4281496449413555E-2</v>
      </c>
      <c r="AH813" s="57">
        <f>AF813+IF(AG813&gt;=0,AG813*(AH742*(1+SIM_Parametres!$F$33)-AF813),AG813*(AF813-AH742*(1-SIM_Parametres!$E$33)))</f>
        <v>24474020.177558333</v>
      </c>
      <c r="AI813" s="60">
        <f t="shared" si="455"/>
        <v>170.97830568087349</v>
      </c>
      <c r="AJ813" s="60">
        <f t="shared" si="456"/>
        <v>-1757504.549306564</v>
      </c>
      <c r="AK813" s="59">
        <f t="shared" si="468"/>
        <v>-3.71437007101173E-2</v>
      </c>
    </row>
    <row r="814" spans="1:37" ht="12.75" customHeight="1" x14ac:dyDescent="0.25">
      <c r="A814" s="62" t="s">
        <v>623</v>
      </c>
      <c r="B814" s="62" t="s">
        <v>413</v>
      </c>
      <c r="C814" s="62" t="s">
        <v>415</v>
      </c>
      <c r="D814" s="124">
        <v>2027</v>
      </c>
      <c r="E814" s="62" t="s">
        <v>676</v>
      </c>
      <c r="F814" s="64">
        <f>SIM_Parametres!$C$33</f>
        <v>1580389817.0408096</v>
      </c>
      <c r="G814" s="125">
        <f>SIM_Districts!D33*(1+SIM_Parametres!$B$6)^(2027-2023)</f>
        <v>40306.72150372</v>
      </c>
      <c r="H814" s="125">
        <f>MAX(0,MIN(100,SIM_Districts!F33+(2027-2022)*SIM_Parametres!$B$7))</f>
        <v>61.550000000000004</v>
      </c>
      <c r="I814" s="125">
        <f>SIM_Districts!G33*(1+SIM_Parametres!$B$8)^(2027-2023)</f>
        <v>31.229958399999997</v>
      </c>
      <c r="J814" s="125">
        <f>SIM_Districts!H33*(1+SIM_Parametres!$B$9)^(2027-2023)</f>
        <v>13.974930000000004</v>
      </c>
      <c r="K814" s="125">
        <f>MAX(0,MIN(100,SIM_Districts!I33+(2027-2023)*SIM_Parametres!$B$10))</f>
        <v>95.6</v>
      </c>
      <c r="L814" s="125">
        <f>SIM_Districts!E33</f>
        <v>1931</v>
      </c>
      <c r="M814" s="61">
        <f t="shared" si="452"/>
        <v>20.873496376861731</v>
      </c>
      <c r="N814" s="125">
        <f>N743*(1+SIM_Parametres!$B$6)/(1+SIM_Parametres!$B$11)</f>
        <v>59423</v>
      </c>
      <c r="O814" s="132"/>
      <c r="P814" s="126">
        <f>SIM_Parametres!$D$33</f>
        <v>0.75</v>
      </c>
      <c r="Q814" s="126">
        <f>SIM_Parametres!$B$12</f>
        <v>0.2</v>
      </c>
      <c r="R814" s="66">
        <f t="shared" si="469"/>
        <v>1.9756831863027543E-3</v>
      </c>
      <c r="S814" s="66">
        <f t="shared" si="470"/>
        <v>1</v>
      </c>
      <c r="T814" s="66">
        <f t="shared" si="471"/>
        <v>0.80386740331491713</v>
      </c>
      <c r="U814" s="66">
        <f t="shared" si="472"/>
        <v>0.56635625479419383</v>
      </c>
      <c r="V814" s="66">
        <f t="shared" si="473"/>
        <v>0</v>
      </c>
      <c r="W814" s="66">
        <f t="shared" si="474"/>
        <v>2.3842739378566891E-2</v>
      </c>
      <c r="X814" s="66">
        <f t="shared" si="475"/>
        <v>1.590772426611272E-2</v>
      </c>
      <c r="Y814" s="66">
        <f t="shared" si="476"/>
        <v>1.4470237765701426E-2</v>
      </c>
      <c r="Z814" s="66">
        <f t="shared" si="477"/>
        <v>0</v>
      </c>
      <c r="AA814" s="66">
        <f t="shared" si="453"/>
        <v>7.8714913467686654E-3</v>
      </c>
      <c r="AB814" s="66">
        <f t="shared" si="478"/>
        <v>1.2021856516799139E-2</v>
      </c>
      <c r="AC814" s="67">
        <f t="shared" si="454"/>
        <v>14403822.117009846</v>
      </c>
      <c r="AD814" s="67">
        <f t="shared" si="479"/>
        <v>15552671.49302615</v>
      </c>
      <c r="AE814" s="66">
        <f t="shared" si="467"/>
        <v>-0.15520967171730693</v>
      </c>
      <c r="AF814" s="64">
        <f>MIN(MAX(AD814,AH743*(1-SIM_Parametres!$E$32)),AH743*(1+SIM_Parametres!$F$32))</f>
        <v>17489591.705447007</v>
      </c>
      <c r="AG814" s="64">
        <f>IF(F814-SUM($AF$785:$AF$855)&gt;=0,IFERROR((F814-SUM($AF$785:$AF$855))/(SUM($AH$714:$AH$784)*(1+SIM_Parametres!$F$33)-SUM($AF$785:$AF$855)),0),IFERROR((F814-SUM($AF$785:$AF$855))/(SUM($AF$785:$AF$855)-SUM($AH$714:$AH$784)*(1-SIM_Parametres!$E$33)),0))</f>
        <v>6.4281496449413555E-2</v>
      </c>
      <c r="AH814" s="64">
        <f>AF814+IF(AG814&gt;=0,AG814*(AH743*(1+SIM_Parametres!$F$33)-AF814),AG814*(AF814-AH743*(1-SIM_Parametres!$E$33)))</f>
        <v>17726277.416418668</v>
      </c>
      <c r="AI814" s="67">
        <f t="shared" si="455"/>
        <v>439.78465018006165</v>
      </c>
      <c r="AJ814" s="67">
        <f t="shared" si="456"/>
        <v>-1272942.2046563886</v>
      </c>
      <c r="AK814" s="66">
        <f t="shared" si="468"/>
        <v>-3.7143700710117189E-2</v>
      </c>
    </row>
    <row r="815" spans="1:37" ht="12.75" customHeight="1" x14ac:dyDescent="0.25">
      <c r="A815" s="55" t="s">
        <v>624</v>
      </c>
      <c r="B815" s="55" t="s">
        <v>413</v>
      </c>
      <c r="C815" s="55" t="s">
        <v>416</v>
      </c>
      <c r="D815" s="128">
        <v>2027</v>
      </c>
      <c r="E815" s="55" t="s">
        <v>676</v>
      </c>
      <c r="F815" s="57">
        <f>SIM_Parametres!$C$33</f>
        <v>1580389817.0408096</v>
      </c>
      <c r="G815" s="129">
        <f>SIM_Districts!D34*(1+SIM_Parametres!$B$6)^(2027-2023)</f>
        <v>92467.301794359999</v>
      </c>
      <c r="H815" s="129">
        <f>MAX(0,MIN(100,SIM_Districts!F34+(2027-2022)*SIM_Parametres!$B$7))</f>
        <v>61.550000000000004</v>
      </c>
      <c r="I815" s="129">
        <f>SIM_Districts!G34*(1+SIM_Parametres!$B$8)^(2027-2023)</f>
        <v>31.229958399999997</v>
      </c>
      <c r="J815" s="129">
        <f>SIM_Districts!H34*(1+SIM_Parametres!$B$9)^(2027-2023)</f>
        <v>13.974930000000004</v>
      </c>
      <c r="K815" s="129">
        <f>MAX(0,MIN(100,SIM_Districts!I34+(2027-2023)*SIM_Parametres!$B$10))</f>
        <v>95.6</v>
      </c>
      <c r="L815" s="129">
        <f>SIM_Districts!E34</f>
        <v>7918</v>
      </c>
      <c r="M815" s="68">
        <f t="shared" si="452"/>
        <v>11.678113386506693</v>
      </c>
      <c r="N815" s="129">
        <f>N744*(1+SIM_Parametres!$B$6)/(1+SIM_Parametres!$B$11)</f>
        <v>59423</v>
      </c>
      <c r="O815" s="72"/>
      <c r="P815" s="130">
        <f>SIM_Parametres!$D$33</f>
        <v>0.75</v>
      </c>
      <c r="Q815" s="130">
        <f>SIM_Parametres!$B$12</f>
        <v>0.2</v>
      </c>
      <c r="R815" s="59">
        <f t="shared" si="469"/>
        <v>4.5323977396930937E-3</v>
      </c>
      <c r="S815" s="59">
        <f t="shared" si="470"/>
        <v>1</v>
      </c>
      <c r="T815" s="59">
        <f t="shared" si="471"/>
        <v>0.80386740331491713</v>
      </c>
      <c r="U815" s="59">
        <f t="shared" si="472"/>
        <v>0.77386406994971757</v>
      </c>
      <c r="V815" s="59">
        <f t="shared" si="473"/>
        <v>0</v>
      </c>
      <c r="W815" s="59">
        <f t="shared" si="474"/>
        <v>2.3842739378566891E-2</v>
      </c>
      <c r="X815" s="59">
        <f t="shared" si="475"/>
        <v>1.590772426611272E-2</v>
      </c>
      <c r="Y815" s="59">
        <f t="shared" si="476"/>
        <v>1.9772002155383654E-2</v>
      </c>
      <c r="Z815" s="59">
        <f t="shared" si="477"/>
        <v>0</v>
      </c>
      <c r="AA815" s="59">
        <f t="shared" si="453"/>
        <v>9.6706082982869809E-3</v>
      </c>
      <c r="AB815" s="59">
        <f t="shared" si="478"/>
        <v>1.206816083423556E-2</v>
      </c>
      <c r="AC815" s="60">
        <f t="shared" si="454"/>
        <v>16678467.004885886</v>
      </c>
      <c r="AD815" s="60">
        <f t="shared" si="479"/>
        <v>17276949.876873568</v>
      </c>
      <c r="AE815" s="59">
        <f t="shared" si="467"/>
        <v>-6.5151020222746991E-2</v>
      </c>
      <c r="AF815" s="57">
        <f>MIN(MAX(AD815,AH744*(1-SIM_Parametres!$E$32)),AH744*(1+SIM_Parametres!$F$32))</f>
        <v>17556955.976932924</v>
      </c>
      <c r="AG815" s="57">
        <f>IF(F815-SUM($AF$785:$AF$855)&gt;=0,IFERROR((F815-SUM($AF$785:$AF$855))/(SUM($AH$714:$AH$784)*(1+SIM_Parametres!$F$33)-SUM($AF$785:$AF$855)),0),IFERROR((F815-SUM($AF$785:$AF$855))/(SUM($AF$785:$AF$855)-SUM($AH$714:$AH$784)*(1-SIM_Parametres!$E$33)),0))</f>
        <v>6.4281496449413555E-2</v>
      </c>
      <c r="AH815" s="57">
        <f>AF815+IF(AG815&gt;=0,AG815*(AH744*(1+SIM_Parametres!$F$33)-AF815),AG815*(AF815-AH744*(1-SIM_Parametres!$E$33)))</f>
        <v>17794553.324994761</v>
      </c>
      <c r="AI815" s="60">
        <f t="shared" si="455"/>
        <v>192.4415764241553</v>
      </c>
      <c r="AJ815" s="60">
        <f t="shared" si="456"/>
        <v>-1277845.1678418405</v>
      </c>
      <c r="AK815" s="59">
        <f t="shared" si="468"/>
        <v>-3.71437007101173E-2</v>
      </c>
    </row>
    <row r="816" spans="1:37" ht="12.75" customHeight="1" x14ac:dyDescent="0.25">
      <c r="A816" s="62" t="s">
        <v>625</v>
      </c>
      <c r="B816" s="62" t="s">
        <v>417</v>
      </c>
      <c r="C816" s="62" t="s">
        <v>417</v>
      </c>
      <c r="D816" s="124">
        <v>2027</v>
      </c>
      <c r="E816" s="62" t="s">
        <v>676</v>
      </c>
      <c r="F816" s="64">
        <f>SIM_Parametres!$C$33</f>
        <v>1580389817.0408096</v>
      </c>
      <c r="G816" s="125">
        <f>SIM_Districts!D35*(1+SIM_Parametres!$B$6)^(2027-2023)</f>
        <v>382325.21317770996</v>
      </c>
      <c r="H816" s="125">
        <f>MAX(0,MIN(100,SIM_Districts!F35+(2027-2022)*SIM_Parametres!$B$7))</f>
        <v>58.35</v>
      </c>
      <c r="I816" s="125">
        <f>SIM_Districts!G35*(1+SIM_Parametres!$B$8)^(2027-2023)</f>
        <v>31.229958399999997</v>
      </c>
      <c r="J816" s="125">
        <f>SIM_Districts!H35*(1+SIM_Parametres!$B$9)^(2027-2023)</f>
        <v>11.744190000000001</v>
      </c>
      <c r="K816" s="125">
        <f>MAX(0,MIN(100,SIM_Districts!I35+(2027-2023)*SIM_Parametres!$B$10))</f>
        <v>96.5</v>
      </c>
      <c r="L816" s="125">
        <f>SIM_Districts!E35</f>
        <v>3571</v>
      </c>
      <c r="M816" s="61">
        <f t="shared" si="452"/>
        <v>107.06390735864183</v>
      </c>
      <c r="N816" s="125">
        <f>N745*(1+SIM_Parametres!$B$6)/(1+SIM_Parametres!$B$11)</f>
        <v>155501</v>
      </c>
      <c r="O816" s="132"/>
      <c r="P816" s="126">
        <f>SIM_Parametres!$D$33</f>
        <v>0.75</v>
      </c>
      <c r="Q816" s="126">
        <f>SIM_Parametres!$B$12</f>
        <v>0.2</v>
      </c>
      <c r="R816" s="66">
        <f t="shared" si="469"/>
        <v>1.8740137307002365E-2</v>
      </c>
      <c r="S816" s="66">
        <f t="shared" si="470"/>
        <v>0.94326241134751765</v>
      </c>
      <c r="T816" s="66">
        <f t="shared" si="471"/>
        <v>0.70994475138121538</v>
      </c>
      <c r="U816" s="66">
        <f t="shared" si="472"/>
        <v>0.62208351647816396</v>
      </c>
      <c r="V816" s="66">
        <f t="shared" si="473"/>
        <v>0.66684249613059499</v>
      </c>
      <c r="W816" s="66">
        <f t="shared" si="474"/>
        <v>2.2489959839357421E-2</v>
      </c>
      <c r="X816" s="66">
        <f t="shared" si="475"/>
        <v>1.4049089815776525E-2</v>
      </c>
      <c r="Y816" s="66">
        <f t="shared" si="476"/>
        <v>1.589405311120607E-2</v>
      </c>
      <c r="Z816" s="66">
        <f t="shared" si="477"/>
        <v>2.4475353458158197E-2</v>
      </c>
      <c r="AA816" s="66">
        <f t="shared" si="453"/>
        <v>1.8743410160939722E-2</v>
      </c>
      <c r="AB816" s="66">
        <f t="shared" si="478"/>
        <v>1.629195710812047E-2</v>
      </c>
      <c r="AC816" s="67">
        <f t="shared" si="454"/>
        <v>28149317.945498113</v>
      </c>
      <c r="AD816" s="67">
        <f t="shared" si="479"/>
        <v>27548899.237458389</v>
      </c>
      <c r="AE816" s="66">
        <f t="shared" si="467"/>
        <v>0.10419675649177829</v>
      </c>
      <c r="AF816" s="64">
        <f>MIN(MAX(AD816,AH745*(1-SIM_Parametres!$E$32)),AH745*(1+SIM_Parametres!$F$32))</f>
        <v>27548899.237458389</v>
      </c>
      <c r="AG816" s="64">
        <f>IF(F816-SUM($AF$785:$AF$855)&gt;=0,IFERROR((F816-SUM($AF$785:$AF$855))/(SUM($AH$714:$AH$784)*(1+SIM_Parametres!$F$33)-SUM($AF$785:$AF$855)),0),IFERROR((F816-SUM($AF$785:$AF$855))/(SUM($AF$785:$AF$855)-SUM($AH$714:$AH$784)*(1-SIM_Parametres!$E$33)),0))</f>
        <v>6.4281496449413555E-2</v>
      </c>
      <c r="AH816" s="64">
        <f>AF816+IF(AG816&gt;=0,AG816*(AH745*(1+SIM_Parametres!$F$33)-AF816),AG816*(AF816-AH745*(1-SIM_Parametres!$E$33)))</f>
        <v>27622357.388878942</v>
      </c>
      <c r="AI816" s="67">
        <f t="shared" si="455"/>
        <v>72.248327959578475</v>
      </c>
      <c r="AJ816" s="67">
        <f t="shared" si="456"/>
        <v>1874714.2755397148</v>
      </c>
      <c r="AK816" s="66">
        <f t="shared" si="468"/>
        <v>0.10714105752672376</v>
      </c>
    </row>
    <row r="817" spans="1:37" ht="12.75" customHeight="1" x14ac:dyDescent="0.25">
      <c r="A817" s="55" t="s">
        <v>627</v>
      </c>
      <c r="B817" s="55" t="s">
        <v>417</v>
      </c>
      <c r="C817" s="55" t="s">
        <v>419</v>
      </c>
      <c r="D817" s="128">
        <v>2027</v>
      </c>
      <c r="E817" s="55" t="s">
        <v>676</v>
      </c>
      <c r="F817" s="57">
        <f>SIM_Parametres!$C$33</f>
        <v>1580389817.0408096</v>
      </c>
      <c r="G817" s="129">
        <f>SIM_Districts!D36*(1+SIM_Parametres!$B$6)^(2027-2023)</f>
        <v>214616.52192603998</v>
      </c>
      <c r="H817" s="129">
        <f>MAX(0,MIN(100,SIM_Districts!F36+(2027-2022)*SIM_Parametres!$B$7))</f>
        <v>58.35</v>
      </c>
      <c r="I817" s="129">
        <f>SIM_Districts!G36*(1+SIM_Parametres!$B$8)^(2027-2023)</f>
        <v>31.229958399999997</v>
      </c>
      <c r="J817" s="129">
        <f>SIM_Districts!H36*(1+SIM_Parametres!$B$9)^(2027-2023)</f>
        <v>11.744190000000001</v>
      </c>
      <c r="K817" s="129">
        <f>MAX(0,MIN(100,SIM_Districts!I36+(2027-2023)*SIM_Parametres!$B$10))</f>
        <v>96.5</v>
      </c>
      <c r="L817" s="129">
        <f>SIM_Districts!E36</f>
        <v>4702</v>
      </c>
      <c r="M817" s="68">
        <f t="shared" si="452"/>
        <v>45.643666934504459</v>
      </c>
      <c r="N817" s="129">
        <f>N746*(1+SIM_Parametres!$B$6)/(1+SIM_Parametres!$B$11)</f>
        <v>155501</v>
      </c>
      <c r="O817" s="72"/>
      <c r="P817" s="130">
        <f>SIM_Parametres!$D$33</f>
        <v>0.75</v>
      </c>
      <c r="Q817" s="130">
        <f>SIM_Parametres!$B$12</f>
        <v>0.2</v>
      </c>
      <c r="R817" s="59">
        <f t="shared" ref="R817:R848" si="480">IFERROR(G817/SUM($G$785:$G$855),1/71)</f>
        <v>1.0519690961045301E-2</v>
      </c>
      <c r="S817" s="59">
        <f t="shared" ref="S817:S848" si="481">IF(MAX($H$785:$H$855)=MIN($H$785:$H$855),1,(H817-MIN($H$785:$H$855))/(MAX($H$785:$H$855)-MIN($H$785:$H$855)))</f>
        <v>0.94326241134751765</v>
      </c>
      <c r="T817" s="59">
        <f t="shared" ref="T817:T848" si="482">(IF(MAX($I$785:$I$855)=MIN($I$785:$I$855),1,(I817-MIN($I$785:$I$855))/(MAX($I$785:$I$855)-MIN($I$785:$I$855)))+IF(MAX($J$785:$J$855)=MIN($J$785:$J$855),1,(J817-MIN($J$785:$J$855))/(MAX($J$785:$J$855)-MIN($J$785:$J$855))))/2</f>
        <v>0.70994475138121538</v>
      </c>
      <c r="U817" s="59">
        <f t="shared" ref="U817:U848" si="483">(IF(MAX($L$785:$L$855)=MIN($L$785:$L$855),1,(L817-MIN($L$785:$L$855))/(MAX($L$785:$L$855)-MIN($L$785:$L$855)))+IF(MAX($M$785:$M$855)=MIN($M$785:$M$855),1,(MAX($M$785:$M$855)-M817)/(MAX($M$785:$M$855)-MIN($M$785:$M$855))))/2</f>
        <v>0.66203363691805861</v>
      </c>
      <c r="V817" s="59">
        <f t="shared" ref="V817:V848" si="484">IF(MAX($N$785:$N$855)=MIN($N$785:$N$855),1,(N817-MIN($N$785:$N$855))/(MAX($N$785:$N$855)-MIN($N$785:$N$855)))</f>
        <v>0.66684249613059499</v>
      </c>
      <c r="W817" s="59">
        <f t="shared" ref="W817:W848" si="485">IFERROR(S817/SUM($S$785:$S$855),1/71)</f>
        <v>2.2489959839357421E-2</v>
      </c>
      <c r="X817" s="59">
        <f t="shared" ref="X817:X848" si="486">IFERROR(T817/SUM($T$785:$T$855),1/71)</f>
        <v>1.4049089815776525E-2</v>
      </c>
      <c r="Y817" s="59">
        <f t="shared" ref="Y817:Y848" si="487">IFERROR(U817/SUM($U$785:$U$855),1/71)</f>
        <v>1.6914767081679924E-2</v>
      </c>
      <c r="Z817" s="59">
        <f t="shared" ref="Z817:Z848" si="488">IFERROR(V817/SUM($V$785:$V$855),1/71)</f>
        <v>2.4475353458158197E-2</v>
      </c>
      <c r="AA817" s="59">
        <f t="shared" si="453"/>
        <v>1.3862178051889178E-2</v>
      </c>
      <c r="AB817" s="59">
        <f t="shared" ref="AB817:AB848" si="489">IFERROR(AH746/SUM($AH$714:$AH$784),1/71)</f>
        <v>1.3963659835146835E-2</v>
      </c>
      <c r="AC817" s="60">
        <f t="shared" si="454"/>
        <v>21977918.329693221</v>
      </c>
      <c r="AD817" s="60">
        <f t="shared" si="479"/>
        <v>22000445.200291868</v>
      </c>
      <c r="AE817" s="59">
        <f t="shared" si="467"/>
        <v>2.8839627070980756E-2</v>
      </c>
      <c r="AF817" s="57">
        <f>MIN(MAX(AD817,AH746*(1-SIM_Parametres!$E$32)),AH746*(1+SIM_Parametres!$F$32))</f>
        <v>22000445.200291868</v>
      </c>
      <c r="AG817" s="57">
        <f>IF(F817-SUM($AF$785:$AF$855)&gt;=0,IFERROR((F817-SUM($AF$785:$AF$855))/(SUM($AH$714:$AH$784)*(1+SIM_Parametres!$F$33)-SUM($AF$785:$AF$855)),0),IFERROR((F817-SUM($AF$785:$AF$855))/(SUM($AF$785:$AF$855)-SUM($AH$714:$AH$784)*(1-SIM_Parametres!$E$33)),0))</f>
        <v>6.4281496449413555E-2</v>
      </c>
      <c r="AH817" s="57">
        <f>AF817+IF(AG817&gt;=0,AG817*(AH746*(1+SIM_Parametres!$F$33)-AF817),AG817*(AF817-AH746*(1-SIM_Parametres!$E$33)))</f>
        <v>22166989.727432474</v>
      </c>
      <c r="AI817" s="60">
        <f t="shared" si="455"/>
        <v>103.28650156333978</v>
      </c>
      <c r="AJ817" s="60">
        <f t="shared" si="456"/>
        <v>98963.91534466669</v>
      </c>
      <c r="AK817" s="59">
        <f t="shared" si="468"/>
        <v>3.6627997153227065E-2</v>
      </c>
    </row>
    <row r="818" spans="1:37" ht="12.75" customHeight="1" x14ac:dyDescent="0.25">
      <c r="A818" s="62" t="s">
        <v>628</v>
      </c>
      <c r="B818" s="62" t="s">
        <v>417</v>
      </c>
      <c r="C818" s="62" t="s">
        <v>420</v>
      </c>
      <c r="D818" s="124">
        <v>2027</v>
      </c>
      <c r="E818" s="62" t="s">
        <v>676</v>
      </c>
      <c r="F818" s="64">
        <f>SIM_Parametres!$C$33</f>
        <v>1580389817.0408096</v>
      </c>
      <c r="G818" s="125">
        <f>SIM_Districts!D37*(1+SIM_Parametres!$B$6)^(2027-2023)</f>
        <v>432671.47326662997</v>
      </c>
      <c r="H818" s="125">
        <f>MAX(0,MIN(100,SIM_Districts!F37+(2027-2022)*SIM_Parametres!$B$7))</f>
        <v>58.35</v>
      </c>
      <c r="I818" s="125">
        <f>SIM_Districts!G37*(1+SIM_Parametres!$B$8)^(2027-2023)</f>
        <v>31.229958399999997</v>
      </c>
      <c r="J818" s="125">
        <f>SIM_Districts!H37*(1+SIM_Parametres!$B$9)^(2027-2023)</f>
        <v>11.744190000000001</v>
      </c>
      <c r="K818" s="125">
        <f>MAX(0,MIN(100,SIM_Districts!I37+(2027-2023)*SIM_Parametres!$B$10))</f>
        <v>96.5</v>
      </c>
      <c r="L818" s="125">
        <f>SIM_Districts!E37</f>
        <v>5498</v>
      </c>
      <c r="M818" s="61">
        <f t="shared" si="452"/>
        <v>78.696157378433966</v>
      </c>
      <c r="N818" s="125">
        <f>N747*(1+SIM_Parametres!$B$6)/(1+SIM_Parametres!$B$11)</f>
        <v>155501</v>
      </c>
      <c r="O818" s="132"/>
      <c r="P818" s="126">
        <f>SIM_Parametres!$D$33</f>
        <v>0.75</v>
      </c>
      <c r="Q818" s="126">
        <f>SIM_Parametres!$B$12</f>
        <v>0.2</v>
      </c>
      <c r="R818" s="66">
        <f t="shared" si="480"/>
        <v>2.120792073964212E-2</v>
      </c>
      <c r="S818" s="66">
        <f t="shared" si="481"/>
        <v>0.94326241134751765</v>
      </c>
      <c r="T818" s="66">
        <f t="shared" si="482"/>
        <v>0.70994475138121538</v>
      </c>
      <c r="U818" s="66">
        <f t="shared" si="483"/>
        <v>0.68919209164884077</v>
      </c>
      <c r="V818" s="66">
        <f t="shared" si="484"/>
        <v>0.66684249613059499</v>
      </c>
      <c r="W818" s="66">
        <f t="shared" si="485"/>
        <v>2.2489959839357421E-2</v>
      </c>
      <c r="X818" s="66">
        <f t="shared" si="486"/>
        <v>1.4049089815776525E-2</v>
      </c>
      <c r="Y818" s="66">
        <f t="shared" si="487"/>
        <v>1.7608657709666832E-2</v>
      </c>
      <c r="Z818" s="66">
        <f t="shared" si="488"/>
        <v>2.4475353458158197E-2</v>
      </c>
      <c r="AA818" s="66">
        <f t="shared" si="453"/>
        <v>2.0309810450446615E-2</v>
      </c>
      <c r="AB818" s="66">
        <f t="shared" si="489"/>
        <v>1.9001842827626667E-2</v>
      </c>
      <c r="AC818" s="67">
        <f t="shared" si="454"/>
        <v>30129736.399055287</v>
      </c>
      <c r="AD818" s="67">
        <f t="shared" si="479"/>
        <v>30104882.026739247</v>
      </c>
      <c r="AE818" s="66">
        <f t="shared" si="467"/>
        <v>3.4562381602459613E-2</v>
      </c>
      <c r="AF818" s="64">
        <f>MIN(MAX(AD818,AH747*(1-SIM_Parametres!$E$32)),AH747*(1+SIM_Parametres!$F$32))</f>
        <v>30104882.026739247</v>
      </c>
      <c r="AG818" s="64">
        <f>IF(F818-SUM($AF$785:$AF$855)&gt;=0,IFERROR((F818-SUM($AF$785:$AF$855))/(SUM($AH$714:$AH$784)*(1+SIM_Parametres!$F$33)-SUM($AF$785:$AF$855)),0),IFERROR((F818-SUM($AF$785:$AF$855))/(SUM($AF$785:$AF$855)-SUM($AH$714:$AH$784)*(1-SIM_Parametres!$E$33)),0))</f>
        <v>6.4281496449413555E-2</v>
      </c>
      <c r="AH818" s="64">
        <f>AF818+IF(AG818&gt;=0,AG818*(AH747*(1+SIM_Parametres!$F$33)-AF818),AG818*(AF818-AH747*(1-SIM_Parametres!$E$33)))</f>
        <v>30320812.324482694</v>
      </c>
      <c r="AI818" s="67">
        <f t="shared" si="455"/>
        <v>70.078140570635128</v>
      </c>
      <c r="AJ818" s="67">
        <f t="shared" si="456"/>
        <v>290493.41469156742</v>
      </c>
      <c r="AK818" s="66">
        <f t="shared" si="468"/>
        <v>4.1982884459609959E-2</v>
      </c>
    </row>
    <row r="819" spans="1:37" ht="12.75" customHeight="1" x14ac:dyDescent="0.25">
      <c r="A819" s="55" t="s">
        <v>629</v>
      </c>
      <c r="B819" s="55" t="s">
        <v>421</v>
      </c>
      <c r="C819" s="55" t="s">
        <v>423</v>
      </c>
      <c r="D819" s="128">
        <v>2027</v>
      </c>
      <c r="E819" s="55" t="s">
        <v>676</v>
      </c>
      <c r="F819" s="57">
        <f>SIM_Parametres!$C$33</f>
        <v>1580389817.0408096</v>
      </c>
      <c r="G819" s="129">
        <f>SIM_Districts!D38*(1+SIM_Parametres!$B$6)^(2027-2023)</f>
        <v>91968.70139152999</v>
      </c>
      <c r="H819" s="129">
        <f>MAX(0,MIN(100,SIM_Districts!F38+(2027-2022)*SIM_Parametres!$B$7))</f>
        <v>42.85</v>
      </c>
      <c r="I819" s="129">
        <f>SIM_Districts!G38*(1+SIM_Parametres!$B$8)^(2027-2023)</f>
        <v>31.229958399999997</v>
      </c>
      <c r="J819" s="129">
        <f>SIM_Districts!H38*(1+SIM_Parametres!$B$9)^(2027-2023)</f>
        <v>11.809800000000003</v>
      </c>
      <c r="K819" s="129">
        <f>MAX(0,MIN(100,SIM_Districts!I38+(2027-2023)*SIM_Parametres!$B$10))</f>
        <v>100</v>
      </c>
      <c r="L819" s="129">
        <f>SIM_Districts!E38</f>
        <v>822</v>
      </c>
      <c r="M819" s="68">
        <f t="shared" si="452"/>
        <v>111.8840649531995</v>
      </c>
      <c r="N819" s="129">
        <f>N748*(1+SIM_Parametres!$B$6)/(1+SIM_Parametres!$B$11)</f>
        <v>97480</v>
      </c>
      <c r="O819" s="72"/>
      <c r="P819" s="130">
        <f>SIM_Parametres!$D$33</f>
        <v>0.75</v>
      </c>
      <c r="Q819" s="130">
        <f>SIM_Parametres!$B$12</f>
        <v>0.2</v>
      </c>
      <c r="R819" s="59">
        <f t="shared" si="480"/>
        <v>4.5079582319433971E-3</v>
      </c>
      <c r="S819" s="59">
        <f t="shared" si="481"/>
        <v>0.66843971631205668</v>
      </c>
      <c r="T819" s="59">
        <f t="shared" si="482"/>
        <v>0.71270718232044195</v>
      </c>
      <c r="U819" s="59">
        <f t="shared" si="483"/>
        <v>0.52679639914705134</v>
      </c>
      <c r="V819" s="59">
        <f t="shared" si="484"/>
        <v>0.26413981218637</v>
      </c>
      <c r="W819" s="59">
        <f t="shared" si="485"/>
        <v>1.5937433946311558E-2</v>
      </c>
      <c r="X819" s="59">
        <f t="shared" si="486"/>
        <v>1.4103755534904061E-2</v>
      </c>
      <c r="Y819" s="59">
        <f t="shared" si="487"/>
        <v>1.3459494947298202E-2</v>
      </c>
      <c r="Z819" s="59">
        <f t="shared" si="488"/>
        <v>9.6948159470131197E-3</v>
      </c>
      <c r="AA819" s="59">
        <f t="shared" si="453"/>
        <v>8.3686689060639453E-3</v>
      </c>
      <c r="AB819" s="59">
        <f t="shared" si="489"/>
        <v>1.0463085543786785E-2</v>
      </c>
      <c r="AC819" s="60">
        <f t="shared" si="454"/>
        <v>15032409.598587016</v>
      </c>
      <c r="AD819" s="60">
        <f t="shared" si="479"/>
        <v>15408245.660997147</v>
      </c>
      <c r="AE819" s="59">
        <f t="shared" si="467"/>
        <v>-3.8368031593944862E-2</v>
      </c>
      <c r="AF819" s="57">
        <f>MIN(MAX(AD819,AH748*(1-SIM_Parametres!$E$32)),AH748*(1+SIM_Parametres!$F$32))</f>
        <v>15408245.660997147</v>
      </c>
      <c r="AG819" s="57">
        <f>IF(F819-SUM($AF$785:$AF$855)&gt;=0,IFERROR((F819-SUM($AF$785:$AF$855))/(SUM($AH$714:$AH$784)*(1+SIM_Parametres!$F$33)-SUM($AF$785:$AF$855)),0),IFERROR((F819-SUM($AF$785:$AF$855))/(SUM($AF$785:$AF$855)-SUM($AH$714:$AH$784)*(1-SIM_Parametres!$E$33)),0))</f>
        <v>6.4281496449413555E-2</v>
      </c>
      <c r="AH819" s="57">
        <f>AF819+IF(AG819&gt;=0,AG819*(AH748*(1+SIM_Parametres!$F$33)-AF819),AG819*(AF819-AH748*(1-SIM_Parametres!$E$33)))</f>
        <v>15602261.630993899</v>
      </c>
      <c r="AI819" s="60">
        <f t="shared" si="455"/>
        <v>169.64751480584476</v>
      </c>
      <c r="AJ819" s="60">
        <f t="shared" si="456"/>
        <v>-933492.21723363921</v>
      </c>
      <c r="AK819" s="59">
        <f t="shared" si="468"/>
        <v>-2.6259452639855629E-2</v>
      </c>
    </row>
    <row r="820" spans="1:37" ht="12.75" customHeight="1" x14ac:dyDescent="0.25">
      <c r="A820" s="62" t="s">
        <v>631</v>
      </c>
      <c r="B820" s="62" t="s">
        <v>421</v>
      </c>
      <c r="C820" s="62" t="s">
        <v>424</v>
      </c>
      <c r="D820" s="124">
        <v>2027</v>
      </c>
      <c r="E820" s="62" t="s">
        <v>676</v>
      </c>
      <c r="F820" s="64">
        <f>SIM_Parametres!$C$33</f>
        <v>1580389817.0408096</v>
      </c>
      <c r="G820" s="125">
        <f>SIM_Districts!D39*(1+SIM_Parametres!$B$6)^(2027-2023)</f>
        <v>191075.37965607998</v>
      </c>
      <c r="H820" s="125">
        <f>MAX(0,MIN(100,SIM_Districts!F39+(2027-2022)*SIM_Parametres!$B$7))</f>
        <v>42.85</v>
      </c>
      <c r="I820" s="125">
        <f>SIM_Districts!G39*(1+SIM_Parametres!$B$8)^(2027-2023)</f>
        <v>31.229958399999997</v>
      </c>
      <c r="J820" s="125">
        <f>SIM_Districts!H39*(1+SIM_Parametres!$B$9)^(2027-2023)</f>
        <v>11.809800000000003</v>
      </c>
      <c r="K820" s="125">
        <f>MAX(0,MIN(100,SIM_Districts!I39+(2027-2023)*SIM_Parametres!$B$10))</f>
        <v>100</v>
      </c>
      <c r="L820" s="125">
        <f>SIM_Districts!E39</f>
        <v>6832</v>
      </c>
      <c r="M820" s="61">
        <f t="shared" si="452"/>
        <v>27.967707795093673</v>
      </c>
      <c r="N820" s="125">
        <f>N749*(1+SIM_Parametres!$B$6)/(1+SIM_Parametres!$B$11)</f>
        <v>97480</v>
      </c>
      <c r="O820" s="132"/>
      <c r="P820" s="126">
        <f>SIM_Parametres!$D$33</f>
        <v>0.75</v>
      </c>
      <c r="Q820" s="126">
        <f>SIM_Parametres!$B$12</f>
        <v>0.2</v>
      </c>
      <c r="R820" s="66">
        <f t="shared" si="480"/>
        <v>9.3657931188497121E-3</v>
      </c>
      <c r="S820" s="66">
        <f t="shared" si="481"/>
        <v>0.66843971631205668</v>
      </c>
      <c r="T820" s="66">
        <f t="shared" si="482"/>
        <v>0.71270718232044195</v>
      </c>
      <c r="U820" s="66">
        <f t="shared" si="483"/>
        <v>0.73603986945859257</v>
      </c>
      <c r="V820" s="66">
        <f t="shared" si="484"/>
        <v>0.26413981218637</v>
      </c>
      <c r="W820" s="66">
        <f t="shared" si="485"/>
        <v>1.5937433946311558E-2</v>
      </c>
      <c r="X820" s="66">
        <f t="shared" si="486"/>
        <v>1.4103755534904061E-2</v>
      </c>
      <c r="Y820" s="66">
        <f t="shared" si="487"/>
        <v>1.880560482195431E-2</v>
      </c>
      <c r="Z820" s="66">
        <f t="shared" si="488"/>
        <v>9.6948159470131197E-3</v>
      </c>
      <c r="AA820" s="66">
        <f t="shared" si="453"/>
        <v>1.1550675331940541E-2</v>
      </c>
      <c r="AB820" s="66">
        <f t="shared" si="489"/>
        <v>1.5902001354183591E-2</v>
      </c>
      <c r="AC820" s="67">
        <f t="shared" si="454"/>
        <v>19055458.04115805</v>
      </c>
      <c r="AD820" s="67">
        <f t="shared" si="479"/>
        <v>20574433.783548769</v>
      </c>
      <c r="AE820" s="66">
        <f t="shared" si="467"/>
        <v>-0.15512670978843901</v>
      </c>
      <c r="AF820" s="64">
        <f>MIN(MAX(AD820,AH749*(1-SIM_Parametres!$E$32)),AH749*(1+SIM_Parametres!$F$32))</f>
        <v>23134489.302504726</v>
      </c>
      <c r="AG820" s="64">
        <f>IF(F820-SUM($AF$785:$AF$855)&gt;=0,IFERROR((F820-SUM($AF$785:$AF$855))/(SUM($AH$714:$AH$784)*(1+SIM_Parametres!$F$33)-SUM($AF$785:$AF$855)),0),IFERROR((F820-SUM($AF$785:$AF$855))/(SUM($AF$785:$AF$855)-SUM($AH$714:$AH$784)*(1-SIM_Parametres!$E$33)),0))</f>
        <v>6.4281496449413555E-2</v>
      </c>
      <c r="AH820" s="64">
        <f>AF820+IF(AG820&gt;=0,AG820*(AH749*(1+SIM_Parametres!$F$33)-AF820),AG820*(AF820-AH749*(1-SIM_Parametres!$E$33)))</f>
        <v>23447567.111337978</v>
      </c>
      <c r="AI820" s="67">
        <f t="shared" si="455"/>
        <v>122.71370154303331</v>
      </c>
      <c r="AJ820" s="67">
        <f t="shared" si="456"/>
        <v>-1683793.899382934</v>
      </c>
      <c r="AK820" s="66">
        <f t="shared" si="468"/>
        <v>-3.7143700710117411E-2</v>
      </c>
    </row>
    <row r="821" spans="1:37" ht="12.75" customHeight="1" x14ac:dyDescent="0.25">
      <c r="A821" s="55" t="s">
        <v>632</v>
      </c>
      <c r="B821" s="55" t="s">
        <v>421</v>
      </c>
      <c r="C821" s="55" t="s">
        <v>425</v>
      </c>
      <c r="D821" s="128">
        <v>2027</v>
      </c>
      <c r="E821" s="55" t="s">
        <v>676</v>
      </c>
      <c r="F821" s="57">
        <f>SIM_Parametres!$C$33</f>
        <v>1580389817.0408096</v>
      </c>
      <c r="G821" s="129">
        <f>SIM_Districts!D40*(1+SIM_Parametres!$B$6)^(2027-2023)</f>
        <v>120134.55936177999</v>
      </c>
      <c r="H821" s="129">
        <f>MAX(0,MIN(100,SIM_Districts!F40+(2027-2022)*SIM_Parametres!$B$7))</f>
        <v>42.85</v>
      </c>
      <c r="I821" s="129">
        <f>SIM_Districts!G40*(1+SIM_Parametres!$B$8)^(2027-2023)</f>
        <v>31.229958399999997</v>
      </c>
      <c r="J821" s="129">
        <f>SIM_Districts!H40*(1+SIM_Parametres!$B$9)^(2027-2023)</f>
        <v>11.809800000000003</v>
      </c>
      <c r="K821" s="129">
        <f>MAX(0,MIN(100,SIM_Districts!I40+(2027-2023)*SIM_Parametres!$B$10))</f>
        <v>100</v>
      </c>
      <c r="L821" s="129">
        <f>SIM_Districts!E40</f>
        <v>1601</v>
      </c>
      <c r="M821" s="68">
        <f t="shared" si="452"/>
        <v>75.037201350268575</v>
      </c>
      <c r="N821" s="129">
        <f>N750*(1+SIM_Parametres!$B$6)/(1+SIM_Parametres!$B$11)</f>
        <v>97480</v>
      </c>
      <c r="O821" s="72"/>
      <c r="P821" s="130">
        <f>SIM_Parametres!$D$33</f>
        <v>0.75</v>
      </c>
      <c r="Q821" s="130">
        <f>SIM_Parametres!$B$12</f>
        <v>0.2</v>
      </c>
      <c r="R821" s="59">
        <f t="shared" si="480"/>
        <v>5.8885421629505013E-3</v>
      </c>
      <c r="S821" s="59">
        <f t="shared" si="481"/>
        <v>0.66843971631205668</v>
      </c>
      <c r="T821" s="59">
        <f t="shared" si="482"/>
        <v>0.71270718232044195</v>
      </c>
      <c r="U821" s="59">
        <f t="shared" si="483"/>
        <v>0.5542443044598161</v>
      </c>
      <c r="V821" s="59">
        <f t="shared" si="484"/>
        <v>0.26413981218637</v>
      </c>
      <c r="W821" s="59">
        <f t="shared" si="485"/>
        <v>1.5937433946311558E-2</v>
      </c>
      <c r="X821" s="59">
        <f t="shared" si="486"/>
        <v>1.4103755534904061E-2</v>
      </c>
      <c r="Y821" s="59">
        <f t="shared" si="487"/>
        <v>1.4160780953560275E-2</v>
      </c>
      <c r="Z821" s="59">
        <f t="shared" si="488"/>
        <v>9.6948159470131197E-3</v>
      </c>
      <c r="AA821" s="59">
        <f t="shared" si="453"/>
        <v>9.2320835649813138E-3</v>
      </c>
      <c r="AB821" s="59">
        <f t="shared" si="489"/>
        <v>1.6682896199086004E-2</v>
      </c>
      <c r="AC821" s="60">
        <f t="shared" si="454"/>
        <v>16124034.986456433</v>
      </c>
      <c r="AD821" s="60">
        <f t="shared" si="479"/>
        <v>18684396.057788413</v>
      </c>
      <c r="AE821" s="59">
        <f t="shared" si="467"/>
        <v>-0.26865366137026581</v>
      </c>
      <c r="AF821" s="57">
        <f>MIN(MAX(AD821,AH750*(1-SIM_Parametres!$E$32)),AH750*(1+SIM_Parametres!$F$32))</f>
        <v>24270547.779258855</v>
      </c>
      <c r="AG821" s="57">
        <f>IF(F821-SUM($AF$785:$AF$855)&gt;=0,IFERROR((F821-SUM($AF$785:$AF$855))/(SUM($AH$714:$AH$784)*(1+SIM_Parametres!$F$33)-SUM($AF$785:$AF$855)),0),IFERROR((F821-SUM($AF$785:$AF$855))/(SUM($AF$785:$AF$855)-SUM($AH$714:$AH$784)*(1-SIM_Parametres!$E$33)),0))</f>
        <v>6.4281496449413555E-2</v>
      </c>
      <c r="AH821" s="57">
        <f>AF821+IF(AG821&gt;=0,AG821*(AH750*(1+SIM_Parametres!$F$33)-AF821),AG821*(AF821-AH750*(1-SIM_Parametres!$E$33)))</f>
        <v>24598999.806816276</v>
      </c>
      <c r="AI821" s="60">
        <f t="shared" si="455"/>
        <v>204.76205962297212</v>
      </c>
      <c r="AJ821" s="60">
        <f t="shared" si="456"/>
        <v>-1766479.4649680704</v>
      </c>
      <c r="AK821" s="59">
        <f t="shared" si="468"/>
        <v>-3.71437007101173E-2</v>
      </c>
    </row>
    <row r="822" spans="1:37" ht="12.75" customHeight="1" x14ac:dyDescent="0.25">
      <c r="A822" s="62" t="s">
        <v>633</v>
      </c>
      <c r="B822" s="62" t="s">
        <v>421</v>
      </c>
      <c r="C822" s="62" t="s">
        <v>426</v>
      </c>
      <c r="D822" s="124">
        <v>2027</v>
      </c>
      <c r="E822" s="62" t="s">
        <v>676</v>
      </c>
      <c r="F822" s="64">
        <f>SIM_Parametres!$C$33</f>
        <v>1580389817.0408096</v>
      </c>
      <c r="G822" s="125">
        <f>SIM_Districts!D41*(1+SIM_Parametres!$B$6)^(2027-2023)</f>
        <v>255430.84790306998</v>
      </c>
      <c r="H822" s="125">
        <f>MAX(0,MIN(100,SIM_Districts!F41+(2027-2022)*SIM_Parametres!$B$7))</f>
        <v>42.85</v>
      </c>
      <c r="I822" s="125">
        <f>SIM_Districts!G41*(1+SIM_Parametres!$B$8)^(2027-2023)</f>
        <v>31.229958399999997</v>
      </c>
      <c r="J822" s="125">
        <f>SIM_Districts!H41*(1+SIM_Parametres!$B$9)^(2027-2023)</f>
        <v>11.809800000000003</v>
      </c>
      <c r="K822" s="125">
        <f>MAX(0,MIN(100,SIM_Districts!I41+(2027-2023)*SIM_Parametres!$B$10))</f>
        <v>100</v>
      </c>
      <c r="L822" s="125">
        <f>SIM_Districts!E41</f>
        <v>2260</v>
      </c>
      <c r="M822" s="61">
        <f t="shared" si="452"/>
        <v>113.02249907215486</v>
      </c>
      <c r="N822" s="125">
        <f>N751*(1+SIM_Parametres!$B$6)/(1+SIM_Parametres!$B$11)</f>
        <v>97480</v>
      </c>
      <c r="O822" s="132"/>
      <c r="P822" s="126">
        <f>SIM_Parametres!$D$33</f>
        <v>0.75</v>
      </c>
      <c r="Q822" s="126">
        <f>SIM_Parametres!$B$12</f>
        <v>0.2</v>
      </c>
      <c r="R822" s="66">
        <f t="shared" si="480"/>
        <v>1.252025500061016E-2</v>
      </c>
      <c r="S822" s="66">
        <f t="shared" si="481"/>
        <v>0.66843971631205668</v>
      </c>
      <c r="T822" s="66">
        <f t="shared" si="482"/>
        <v>0.71270718232044195</v>
      </c>
      <c r="U822" s="66">
        <f t="shared" si="483"/>
        <v>0.57659503553202685</v>
      </c>
      <c r="V822" s="66">
        <f t="shared" si="484"/>
        <v>0.26413981218637</v>
      </c>
      <c r="W822" s="66">
        <f t="shared" si="485"/>
        <v>1.5937433946311558E-2</v>
      </c>
      <c r="X822" s="66">
        <f t="shared" si="486"/>
        <v>1.4103755534904061E-2</v>
      </c>
      <c r="Y822" s="66">
        <f t="shared" si="487"/>
        <v>1.4731835638865494E-2</v>
      </c>
      <c r="Z822" s="66">
        <f t="shared" si="488"/>
        <v>9.6948159470131197E-3</v>
      </c>
      <c r="AA822" s="66">
        <f t="shared" si="453"/>
        <v>1.3239664001842368E-2</v>
      </c>
      <c r="AB822" s="66">
        <f t="shared" si="489"/>
        <v>1.3775486810555675E-2</v>
      </c>
      <c r="AC822" s="67">
        <f t="shared" si="454"/>
        <v>21190866.437166169</v>
      </c>
      <c r="AD822" s="67">
        <f t="shared" si="479"/>
        <v>21335809.597920168</v>
      </c>
      <c r="AE822" s="66">
        <f t="shared" si="467"/>
        <v>1.1387650310050512E-2</v>
      </c>
      <c r="AF822" s="64">
        <f>MIN(MAX(AD822,AH751*(1-SIM_Parametres!$E$32)),AH751*(1+SIM_Parametres!$F$32))</f>
        <v>21335809.597920168</v>
      </c>
      <c r="AG822" s="64">
        <f>IF(F822-SUM($AF$785:$AF$855)&gt;=0,IFERROR((F822-SUM($AF$785:$AF$855))/(SUM($AH$714:$AH$784)*(1+SIM_Parametres!$F$33)-SUM($AF$785:$AF$855)),0),IFERROR((F822-SUM($AF$785:$AF$855))/(SUM($AF$785:$AF$855)-SUM($AH$714:$AH$784)*(1-SIM_Parametres!$E$33)),0))</f>
        <v>6.4281496449413555E-2</v>
      </c>
      <c r="AH822" s="64">
        <f>AF822+IF(AG822&gt;=0,AG822*(AH751*(1+SIM_Parametres!$F$33)-AF822),AG822*(AF822-AH751*(1-SIM_Parametres!$E$33)))</f>
        <v>21523775.634766102</v>
      </c>
      <c r="AI822" s="67">
        <f t="shared" si="455"/>
        <v>84.264589854604679</v>
      </c>
      <c r="AJ822" s="67">
        <f t="shared" si="456"/>
        <v>-246863.4454160668</v>
      </c>
      <c r="AK822" s="66">
        <f t="shared" si="468"/>
        <v>2.0297859574489818E-2</v>
      </c>
    </row>
    <row r="823" spans="1:37" ht="12.75" customHeight="1" x14ac:dyDescent="0.25">
      <c r="A823" s="55" t="s">
        <v>634</v>
      </c>
      <c r="B823" s="55" t="s">
        <v>421</v>
      </c>
      <c r="C823" s="55" t="s">
        <v>427</v>
      </c>
      <c r="D823" s="128">
        <v>2027</v>
      </c>
      <c r="E823" s="55" t="s">
        <v>676</v>
      </c>
      <c r="F823" s="57">
        <f>SIM_Parametres!$C$33</f>
        <v>1580389817.0408096</v>
      </c>
      <c r="G823" s="129">
        <f>SIM_Districts!D42*(1+SIM_Parametres!$B$6)^(2027-2023)</f>
        <v>109665.07641115999</v>
      </c>
      <c r="H823" s="129">
        <f>MAX(0,MIN(100,SIM_Districts!F42+(2027-2022)*SIM_Parametres!$B$7))</f>
        <v>42.85</v>
      </c>
      <c r="I823" s="129">
        <f>SIM_Districts!G42*(1+SIM_Parametres!$B$8)^(2027-2023)</f>
        <v>31.229958399999997</v>
      </c>
      <c r="J823" s="129">
        <f>SIM_Districts!H42*(1+SIM_Parametres!$B$9)^(2027-2023)</f>
        <v>11.809800000000003</v>
      </c>
      <c r="K823" s="129">
        <f>MAX(0,MIN(100,SIM_Districts!I42+(2027-2023)*SIM_Parametres!$B$10))</f>
        <v>100</v>
      </c>
      <c r="L823" s="129">
        <f>SIM_Districts!E42</f>
        <v>2889</v>
      </c>
      <c r="M823" s="68">
        <f t="shared" si="452"/>
        <v>37.959528006632048</v>
      </c>
      <c r="N823" s="129">
        <f>N752*(1+SIM_Parametres!$B$6)/(1+SIM_Parametres!$B$11)</f>
        <v>97480</v>
      </c>
      <c r="O823" s="72"/>
      <c r="P823" s="130">
        <f>SIM_Parametres!$D$33</f>
        <v>0.75</v>
      </c>
      <c r="Q823" s="130">
        <f>SIM_Parametres!$B$12</f>
        <v>0.2</v>
      </c>
      <c r="R823" s="59">
        <f t="shared" si="480"/>
        <v>5.3753676683959322E-3</v>
      </c>
      <c r="S823" s="59">
        <f t="shared" si="481"/>
        <v>0.66843971631205668</v>
      </c>
      <c r="T823" s="59">
        <f t="shared" si="482"/>
        <v>0.71270718232044195</v>
      </c>
      <c r="U823" s="59">
        <f t="shared" si="483"/>
        <v>0.59932709011759788</v>
      </c>
      <c r="V823" s="59">
        <f t="shared" si="484"/>
        <v>0.26413981218637</v>
      </c>
      <c r="W823" s="59">
        <f t="shared" si="485"/>
        <v>1.5937433946311558E-2</v>
      </c>
      <c r="X823" s="59">
        <f t="shared" si="486"/>
        <v>1.4103755534904061E-2</v>
      </c>
      <c r="Y823" s="59">
        <f t="shared" si="487"/>
        <v>1.5312633029150603E-2</v>
      </c>
      <c r="Z823" s="59">
        <f t="shared" si="488"/>
        <v>9.6948159470131197E-3</v>
      </c>
      <c r="AA823" s="59">
        <f t="shared" si="453"/>
        <v>8.9817714720280863E-3</v>
      </c>
      <c r="AB823" s="59">
        <f t="shared" si="489"/>
        <v>1.1507015292421272E-2</v>
      </c>
      <c r="AC823" s="60">
        <f t="shared" si="454"/>
        <v>15807562.440228073</v>
      </c>
      <c r="AD823" s="60">
        <f t="shared" si="479"/>
        <v>16402064.278339919</v>
      </c>
      <c r="AE823" s="59">
        <f t="shared" si="467"/>
        <v>-6.9210889280774679E-2</v>
      </c>
      <c r="AF823" s="57">
        <f>MIN(MAX(AD823,AH752*(1-SIM_Parametres!$E$32)),AH752*(1+SIM_Parametres!$F$32))</f>
        <v>16740592.347908609</v>
      </c>
      <c r="AG823" s="57">
        <f>IF(F823-SUM($AF$785:$AF$855)&gt;=0,IFERROR((F823-SUM($AF$785:$AF$855))/(SUM($AH$714:$AH$784)*(1+SIM_Parametres!$F$33)-SUM($AF$785:$AF$855)),0),IFERROR((F823-SUM($AF$785:$AF$855))/(SUM($AF$785:$AF$855)-SUM($AH$714:$AH$784)*(1-SIM_Parametres!$E$33)),0))</f>
        <v>6.4281496449413555E-2</v>
      </c>
      <c r="AH823" s="57">
        <f>AF823+IF(AG823&gt;=0,AG823*(AH752*(1+SIM_Parametres!$F$33)-AF823),AG823*(AF823-AH752*(1-SIM_Parametres!$E$33)))</f>
        <v>16967141.89055559</v>
      </c>
      <c r="AI823" s="60">
        <f t="shared" si="455"/>
        <v>154.71782308290938</v>
      </c>
      <c r="AJ823" s="60">
        <f t="shared" si="456"/>
        <v>-1218427.9021198638</v>
      </c>
      <c r="AK823" s="59">
        <f t="shared" si="468"/>
        <v>-3.7143700710117411E-2</v>
      </c>
    </row>
    <row r="824" spans="1:37" ht="12.75" customHeight="1" x14ac:dyDescent="0.25">
      <c r="A824" s="62" t="s">
        <v>635</v>
      </c>
      <c r="B824" s="62" t="s">
        <v>421</v>
      </c>
      <c r="C824" s="62" t="s">
        <v>428</v>
      </c>
      <c r="D824" s="124">
        <v>2027</v>
      </c>
      <c r="E824" s="62" t="s">
        <v>676</v>
      </c>
      <c r="F824" s="64">
        <f>SIM_Parametres!$C$33</f>
        <v>1580389817.0408096</v>
      </c>
      <c r="G824" s="125">
        <f>SIM_Districts!D43*(1+SIM_Parametres!$B$6)^(2027-2023)</f>
        <v>159576.89009941998</v>
      </c>
      <c r="H824" s="125">
        <f>MAX(0,MIN(100,SIM_Districts!F43+(2027-2022)*SIM_Parametres!$B$7))</f>
        <v>42.85</v>
      </c>
      <c r="I824" s="125">
        <f>SIM_Districts!G43*(1+SIM_Parametres!$B$8)^(2027-2023)</f>
        <v>31.229958399999997</v>
      </c>
      <c r="J824" s="125">
        <f>SIM_Districts!H43*(1+SIM_Parametres!$B$9)^(2027-2023)</f>
        <v>11.809800000000003</v>
      </c>
      <c r="K824" s="125">
        <f>MAX(0,MIN(100,SIM_Districts!I43+(2027-2023)*SIM_Parametres!$B$10))</f>
        <v>100</v>
      </c>
      <c r="L824" s="125">
        <f>SIM_Districts!E43</f>
        <v>8907</v>
      </c>
      <c r="M824" s="61">
        <f t="shared" si="452"/>
        <v>17.915896497071962</v>
      </c>
      <c r="N824" s="125">
        <f>N753*(1+SIM_Parametres!$B$6)/(1+SIM_Parametres!$B$11)</f>
        <v>97480</v>
      </c>
      <c r="O824" s="132"/>
      <c r="P824" s="126">
        <f>SIM_Parametres!$D$33</f>
        <v>0.75</v>
      </c>
      <c r="Q824" s="126">
        <f>SIM_Parametres!$B$12</f>
        <v>0.2</v>
      </c>
      <c r="R824" s="66">
        <f t="shared" si="480"/>
        <v>7.8218561800619084E-3</v>
      </c>
      <c r="S824" s="66">
        <f t="shared" si="481"/>
        <v>0.66843971631205668</v>
      </c>
      <c r="T824" s="66">
        <f t="shared" si="482"/>
        <v>0.71270718232044195</v>
      </c>
      <c r="U824" s="66">
        <f t="shared" si="483"/>
        <v>0.80804507507275991</v>
      </c>
      <c r="V824" s="66">
        <f t="shared" si="484"/>
        <v>0.26413981218637</v>
      </c>
      <c r="W824" s="66">
        <f t="shared" si="485"/>
        <v>1.5937433946311558E-2</v>
      </c>
      <c r="X824" s="66">
        <f t="shared" si="486"/>
        <v>1.4103755534904061E-2</v>
      </c>
      <c r="Y824" s="66">
        <f t="shared" si="487"/>
        <v>2.0645316905621231E-2</v>
      </c>
      <c r="Z824" s="66">
        <f t="shared" si="488"/>
        <v>9.6948159470131197E-3</v>
      </c>
      <c r="AA824" s="66">
        <f t="shared" si="453"/>
        <v>1.0716298772851206E-2</v>
      </c>
      <c r="AB824" s="66">
        <f t="shared" si="489"/>
        <v>1.2804320999580752E-2</v>
      </c>
      <c r="AC824" s="67">
        <f t="shared" si="454"/>
        <v>18000545.867108181</v>
      </c>
      <c r="AD824" s="67">
        <f t="shared" si="479"/>
        <v>18559364.030795943</v>
      </c>
      <c r="AE824" s="66">
        <f t="shared" si="467"/>
        <v>-5.3496963362683503E-2</v>
      </c>
      <c r="AF824" s="64">
        <f>MIN(MAX(AD824,AH753*(1-SIM_Parametres!$E$32)),AH753*(1+SIM_Parametres!$F$32))</f>
        <v>18627933.71682778</v>
      </c>
      <c r="AG824" s="64">
        <f>IF(F824-SUM($AF$785:$AF$855)&gt;=0,IFERROR((F824-SUM($AF$785:$AF$855))/(SUM($AH$714:$AH$784)*(1+SIM_Parametres!$F$33)-SUM($AF$785:$AF$855)),0),IFERROR((F824-SUM($AF$785:$AF$855))/(SUM($AF$785:$AF$855)-SUM($AH$714:$AH$784)*(1-SIM_Parametres!$E$33)),0))</f>
        <v>6.4281496449413555E-2</v>
      </c>
      <c r="AH824" s="64">
        <f>AF824+IF(AG824&gt;=0,AG824*(AH753*(1+SIM_Parametres!$F$33)-AF824),AG824*(AF824-AH753*(1-SIM_Parametres!$E$33)))</f>
        <v>18880024.549475815</v>
      </c>
      <c r="AI824" s="67">
        <f t="shared" si="455"/>
        <v>118.31302476012119</v>
      </c>
      <c r="AJ824" s="67">
        <f t="shared" si="456"/>
        <v>-1355793.972383406</v>
      </c>
      <c r="AK824" s="66">
        <f t="shared" si="468"/>
        <v>-3.71437007101173E-2</v>
      </c>
    </row>
    <row r="825" spans="1:37" ht="12.75" customHeight="1" x14ac:dyDescent="0.25">
      <c r="A825" s="55" t="s">
        <v>636</v>
      </c>
      <c r="B825" s="55" t="s">
        <v>421</v>
      </c>
      <c r="C825" s="55" t="s">
        <v>421</v>
      </c>
      <c r="D825" s="128">
        <v>2027</v>
      </c>
      <c r="E825" s="55" t="s">
        <v>676</v>
      </c>
      <c r="F825" s="57">
        <f>SIM_Parametres!$C$33</f>
        <v>1580389817.0408096</v>
      </c>
      <c r="G825" s="129">
        <f>SIM_Districts!D44*(1+SIM_Parametres!$B$6)^(2027-2023)</f>
        <v>235433.93287579998</v>
      </c>
      <c r="H825" s="129">
        <f>MAX(0,MIN(100,SIM_Districts!F44+(2027-2022)*SIM_Parametres!$B$7))</f>
        <v>42.85</v>
      </c>
      <c r="I825" s="129">
        <f>SIM_Districts!G44*(1+SIM_Parametres!$B$8)^(2027-2023)</f>
        <v>31.229958399999997</v>
      </c>
      <c r="J825" s="129">
        <f>SIM_Districts!H44*(1+SIM_Parametres!$B$9)^(2027-2023)</f>
        <v>11.809800000000003</v>
      </c>
      <c r="K825" s="129">
        <f>MAX(0,MIN(100,SIM_Districts!I44+(2027-2023)*SIM_Parametres!$B$10))</f>
        <v>100</v>
      </c>
      <c r="L825" s="129">
        <f>SIM_Districts!E44</f>
        <v>759</v>
      </c>
      <c r="M825" s="68">
        <f t="shared" si="452"/>
        <v>310.18963488247692</v>
      </c>
      <c r="N825" s="129">
        <f>N754*(1+SIM_Parametres!$B$6)/(1+SIM_Parametres!$B$11)</f>
        <v>97480</v>
      </c>
      <c r="O825" s="72"/>
      <c r="P825" s="130">
        <f>SIM_Parametres!$D$33</f>
        <v>0.75</v>
      </c>
      <c r="Q825" s="130">
        <f>SIM_Parametres!$B$12</f>
        <v>0.2</v>
      </c>
      <c r="R825" s="59">
        <f t="shared" si="480"/>
        <v>1.1540081785736905E-2</v>
      </c>
      <c r="S825" s="59">
        <f t="shared" si="481"/>
        <v>0.66843971631205668</v>
      </c>
      <c r="T825" s="59">
        <f t="shared" si="482"/>
        <v>0.71270718232044195</v>
      </c>
      <c r="U825" s="59">
        <f t="shared" si="483"/>
        <v>0.52212219334654875</v>
      </c>
      <c r="V825" s="59">
        <f t="shared" si="484"/>
        <v>0.26413981218637</v>
      </c>
      <c r="W825" s="59">
        <f t="shared" si="485"/>
        <v>1.5937433946311558E-2</v>
      </c>
      <c r="X825" s="59">
        <f t="shared" si="486"/>
        <v>1.4103755534904061E-2</v>
      </c>
      <c r="Y825" s="59">
        <f t="shared" si="487"/>
        <v>1.3340070347099038E-2</v>
      </c>
      <c r="Z825" s="59">
        <f t="shared" si="488"/>
        <v>9.6948159470131197E-3</v>
      </c>
      <c r="AA825" s="59">
        <f t="shared" si="453"/>
        <v>1.2581971808330091E-2</v>
      </c>
      <c r="AB825" s="59">
        <f t="shared" si="489"/>
        <v>1.5127385060797978E-2</v>
      </c>
      <c r="AC825" s="60">
        <f t="shared" si="454"/>
        <v>20359338.400866941</v>
      </c>
      <c r="AD825" s="60">
        <f t="shared" si="479"/>
        <v>21246295.127785306</v>
      </c>
      <c r="AE825" s="59">
        <f t="shared" si="467"/>
        <v>-8.2861715770137567E-2</v>
      </c>
      <c r="AF825" s="57">
        <f>MIN(MAX(AD825,AH754*(1-SIM_Parametres!$E$32)),AH754*(1+SIM_Parametres!$F$32))</f>
        <v>22007564.964257155</v>
      </c>
      <c r="AG825" s="57">
        <f>IF(F825-SUM($AF$785:$AF$855)&gt;=0,IFERROR((F825-SUM($AF$785:$AF$855))/(SUM($AH$714:$AH$784)*(1+SIM_Parametres!$F$33)-SUM($AF$785:$AF$855)),0),IFERROR((F825-SUM($AF$785:$AF$855))/(SUM($AF$785:$AF$855)-SUM($AH$714:$AH$784)*(1-SIM_Parametres!$E$33)),0))</f>
        <v>6.4281496449413555E-2</v>
      </c>
      <c r="AH825" s="57">
        <f>AF825+IF(AG825&gt;=0,AG825*(AH754*(1+SIM_Parametres!$F$33)-AF825),AG825*(AF825-AH754*(1-SIM_Parametres!$E$33)))</f>
        <v>22305392.166175079</v>
      </c>
      <c r="AI825" s="60">
        <f t="shared" si="455"/>
        <v>94.741619840934277</v>
      </c>
      <c r="AJ825" s="60">
        <f t="shared" si="456"/>
        <v>-1601773.1423653141</v>
      </c>
      <c r="AK825" s="59">
        <f t="shared" si="468"/>
        <v>-3.71437007101173E-2</v>
      </c>
    </row>
    <row r="826" spans="1:37" ht="12.75" customHeight="1" x14ac:dyDescent="0.25">
      <c r="A826" s="62" t="s">
        <v>637</v>
      </c>
      <c r="B826" s="62" t="s">
        <v>421</v>
      </c>
      <c r="C826" s="62" t="s">
        <v>429</v>
      </c>
      <c r="D826" s="124">
        <v>2027</v>
      </c>
      <c r="E826" s="62" t="s">
        <v>676</v>
      </c>
      <c r="F826" s="64">
        <f>SIM_Parametres!$C$33</f>
        <v>1580389817.0408096</v>
      </c>
      <c r="G826" s="125">
        <f>SIM_Districts!D45*(1+SIM_Parametres!$B$6)^(2027-2023)</f>
        <v>103933.98555063999</v>
      </c>
      <c r="H826" s="125">
        <f>MAX(0,MIN(100,SIM_Districts!F45+(2027-2022)*SIM_Parametres!$B$7))</f>
        <v>42.85</v>
      </c>
      <c r="I826" s="125">
        <f>SIM_Districts!G45*(1+SIM_Parametres!$B$8)^(2027-2023)</f>
        <v>31.229958399999997</v>
      </c>
      <c r="J826" s="125">
        <f>SIM_Districts!H45*(1+SIM_Parametres!$B$9)^(2027-2023)</f>
        <v>11.809800000000003</v>
      </c>
      <c r="K826" s="125">
        <f>MAX(0,MIN(100,SIM_Districts!I45+(2027-2023)*SIM_Parametres!$B$10))</f>
        <v>100</v>
      </c>
      <c r="L826" s="125">
        <f>SIM_Districts!E45</f>
        <v>1185</v>
      </c>
      <c r="M826" s="61">
        <f t="shared" si="452"/>
        <v>87.708004684084386</v>
      </c>
      <c r="N826" s="125">
        <f>N755*(1+SIM_Parametres!$B$6)/(1+SIM_Parametres!$B$11)</f>
        <v>97480</v>
      </c>
      <c r="O826" s="132"/>
      <c r="P826" s="126">
        <f>SIM_Parametres!$D$33</f>
        <v>0.75</v>
      </c>
      <c r="Q826" s="126">
        <f>SIM_Parametres!$B$12</f>
        <v>0.2</v>
      </c>
      <c r="R826" s="66">
        <f t="shared" si="480"/>
        <v>5.0944512497470545E-3</v>
      </c>
      <c r="S826" s="66">
        <f t="shared" si="481"/>
        <v>0.66843971631205668</v>
      </c>
      <c r="T826" s="66">
        <f t="shared" si="482"/>
        <v>0.71270718232044195</v>
      </c>
      <c r="U826" s="66">
        <f t="shared" si="483"/>
        <v>0.53967466644845508</v>
      </c>
      <c r="V826" s="66">
        <f t="shared" si="484"/>
        <v>0.26413981218637</v>
      </c>
      <c r="W826" s="66">
        <f t="shared" si="485"/>
        <v>1.5937433946311558E-2</v>
      </c>
      <c r="X826" s="66">
        <f t="shared" si="486"/>
        <v>1.4103755534904061E-2</v>
      </c>
      <c r="Y826" s="66">
        <f t="shared" si="487"/>
        <v>1.3788530935307707E-2</v>
      </c>
      <c r="Z826" s="66">
        <f t="shared" si="488"/>
        <v>9.6948159470131197E-3</v>
      </c>
      <c r="AA826" s="66">
        <f t="shared" si="453"/>
        <v>8.7370165161466153E-3</v>
      </c>
      <c r="AB826" s="66">
        <f t="shared" si="489"/>
        <v>1.2075224204691964E-2</v>
      </c>
      <c r="AC826" s="67">
        <f t="shared" si="454"/>
        <v>15498115.848271795</v>
      </c>
      <c r="AD826" s="67">
        <f t="shared" si="479"/>
        <v>16394477.229098817</v>
      </c>
      <c r="AE826" s="66">
        <f t="shared" si="467"/>
        <v>-0.11342017503993418</v>
      </c>
      <c r="AF826" s="64">
        <f>MIN(MAX(AD826,AH755*(1-SIM_Parametres!$E$32)),AH755*(1+SIM_Parametres!$F$32))</f>
        <v>17567231.882752813</v>
      </c>
      <c r="AG826" s="64">
        <f>IF(F826-SUM($AF$785:$AF$855)&gt;=0,IFERROR((F826-SUM($AF$785:$AF$855))/(SUM($AH$714:$AH$784)*(1+SIM_Parametres!$F$33)-SUM($AF$785:$AF$855)),0),IFERROR((F826-SUM($AF$785:$AF$855))/(SUM($AF$785:$AF$855)-SUM($AH$714:$AH$784)*(1-SIM_Parametres!$E$33)),0))</f>
        <v>6.4281496449413555E-2</v>
      </c>
      <c r="AH826" s="64">
        <f>AF826+IF(AG826&gt;=0,AG826*(AH755*(1+SIM_Parametres!$F$33)-AF826),AG826*(AF826-AH755*(1-SIM_Parametres!$E$33)))</f>
        <v>17804968.294099592</v>
      </c>
      <c r="AI826" s="67">
        <f t="shared" si="455"/>
        <v>171.31035820255769</v>
      </c>
      <c r="AJ826" s="67">
        <f t="shared" si="456"/>
        <v>-1278593.0774802975</v>
      </c>
      <c r="AK826" s="66">
        <f t="shared" si="468"/>
        <v>-3.71437007101173E-2</v>
      </c>
    </row>
    <row r="827" spans="1:37" ht="12.75" customHeight="1" x14ac:dyDescent="0.25">
      <c r="A827" s="55" t="s">
        <v>638</v>
      </c>
      <c r="B827" s="55" t="s">
        <v>430</v>
      </c>
      <c r="C827" s="55" t="s">
        <v>432</v>
      </c>
      <c r="D827" s="128">
        <v>2027</v>
      </c>
      <c r="E827" s="55" t="s">
        <v>676</v>
      </c>
      <c r="F827" s="57">
        <f>SIM_Parametres!$C$33</f>
        <v>1580389817.0408096</v>
      </c>
      <c r="G827" s="129">
        <f>SIM_Districts!D46*(1+SIM_Parametres!$B$6)^(2027-2023)</f>
        <v>397015.35416582995</v>
      </c>
      <c r="H827" s="129">
        <f>MAX(0,MIN(100,SIM_Districts!F46+(2027-2022)*SIM_Parametres!$B$7))</f>
        <v>40.550000000000004</v>
      </c>
      <c r="I827" s="129">
        <f>SIM_Districts!G46*(1+SIM_Parametres!$B$8)^(2027-2023)</f>
        <v>31.229958399999997</v>
      </c>
      <c r="J827" s="129">
        <f>SIM_Districts!H46*(1+SIM_Parametres!$B$9)^(2027-2023)</f>
        <v>16.599330000000002</v>
      </c>
      <c r="K827" s="129">
        <f>MAX(0,MIN(100,SIM_Districts!I46+(2027-2023)*SIM_Parametres!$B$10))</f>
        <v>89.7</v>
      </c>
      <c r="L827" s="129">
        <f>SIM_Districts!E46</f>
        <v>8704</v>
      </c>
      <c r="M827" s="68">
        <f t="shared" si="452"/>
        <v>45.61297727089039</v>
      </c>
      <c r="N827" s="129">
        <f>N756*(1+SIM_Parametres!$B$6)/(1+SIM_Parametres!$B$11)</f>
        <v>133963</v>
      </c>
      <c r="O827" s="72"/>
      <c r="P827" s="130">
        <f>SIM_Parametres!$D$33</f>
        <v>0.75</v>
      </c>
      <c r="Q827" s="130">
        <f>SIM_Parametres!$B$12</f>
        <v>0.2</v>
      </c>
      <c r="R827" s="59">
        <f t="shared" si="480"/>
        <v>1.9460192510499057E-2</v>
      </c>
      <c r="S827" s="59">
        <f t="shared" si="481"/>
        <v>0.62765957446808518</v>
      </c>
      <c r="T827" s="59">
        <f t="shared" si="482"/>
        <v>0.91436464088397784</v>
      </c>
      <c r="U827" s="59">
        <f t="shared" si="483"/>
        <v>0.80066503267175948</v>
      </c>
      <c r="V827" s="59">
        <f t="shared" si="484"/>
        <v>0.51735506215340199</v>
      </c>
      <c r="W827" s="59">
        <f t="shared" si="485"/>
        <v>1.4965123652504754E-2</v>
      </c>
      <c r="X827" s="59">
        <f t="shared" si="486"/>
        <v>1.8094353031214126E-2</v>
      </c>
      <c r="Y827" s="59">
        <f t="shared" si="487"/>
        <v>2.0456758966409912E-2</v>
      </c>
      <c r="Z827" s="59">
        <f t="shared" si="488"/>
        <v>1.8988663864475865E-2</v>
      </c>
      <c r="AA827" s="59">
        <f t="shared" si="453"/>
        <v>1.8607308150401555E-2</v>
      </c>
      <c r="AB827" s="59">
        <f t="shared" si="489"/>
        <v>1.7116997710965125E-2</v>
      </c>
      <c r="AC827" s="60">
        <f t="shared" si="454"/>
        <v>27977242.560271472</v>
      </c>
      <c r="AD827" s="60">
        <f t="shared" si="479"/>
        <v>27745814.140383638</v>
      </c>
      <c r="AE827" s="59">
        <f t="shared" si="467"/>
        <v>5.8486576456807216E-2</v>
      </c>
      <c r="AF827" s="57">
        <f>MIN(MAX(AD827,AH756*(1-SIM_Parametres!$E$32)),AH756*(1+SIM_Parametres!$F$32))</f>
        <v>27745814.140383638</v>
      </c>
      <c r="AG827" s="57">
        <f>IF(F827-SUM($AF$785:$AF$855)&gt;=0,IFERROR((F827-SUM($AF$785:$AF$855))/(SUM($AH$714:$AH$784)*(1+SIM_Parametres!$F$33)-SUM($AF$785:$AF$855)),0),IFERROR((F827-SUM($AF$785:$AF$855))/(SUM($AF$785:$AF$855)-SUM($AH$714:$AH$784)*(1-SIM_Parametres!$E$33)),0))</f>
        <v>6.4281496449413555E-2</v>
      </c>
      <c r="AH827" s="57">
        <f>AF827+IF(AG827&gt;=0,AG827*(AH756*(1+SIM_Parametres!$F$33)-AF827),AG827*(AF827-AH756*(1-SIM_Parametres!$E$33)))</f>
        <v>27900013.616836939</v>
      </c>
      <c r="AI827" s="60">
        <f t="shared" si="455"/>
        <v>70.274394488993337</v>
      </c>
      <c r="AJ827" s="60">
        <f t="shared" si="456"/>
        <v>848484.73611680791</v>
      </c>
      <c r="AK827" s="59">
        <f t="shared" si="468"/>
        <v>6.4369196267372697E-2</v>
      </c>
    </row>
    <row r="828" spans="1:37" ht="12.75" customHeight="1" x14ac:dyDescent="0.25">
      <c r="A828" s="62" t="s">
        <v>640</v>
      </c>
      <c r="B828" s="62" t="s">
        <v>430</v>
      </c>
      <c r="C828" s="62" t="s">
        <v>430</v>
      </c>
      <c r="D828" s="124">
        <v>2027</v>
      </c>
      <c r="E828" s="62" t="s">
        <v>676</v>
      </c>
      <c r="F828" s="64">
        <f>SIM_Parametres!$C$33</f>
        <v>1580389817.0408096</v>
      </c>
      <c r="G828" s="125">
        <f>SIM_Districts!D47*(1+SIM_Parametres!$B$6)^(2027-2023)</f>
        <v>322068.84801674</v>
      </c>
      <c r="H828" s="125">
        <f>MAX(0,MIN(100,SIM_Districts!F47+(2027-2022)*SIM_Parametres!$B$7))</f>
        <v>40.550000000000004</v>
      </c>
      <c r="I828" s="125">
        <f>SIM_Districts!G47*(1+SIM_Parametres!$B$8)^(2027-2023)</f>
        <v>31.229958399999997</v>
      </c>
      <c r="J828" s="125">
        <f>SIM_Districts!H47*(1+SIM_Parametres!$B$9)^(2027-2023)</f>
        <v>16.599330000000002</v>
      </c>
      <c r="K828" s="125">
        <f>MAX(0,MIN(100,SIM_Districts!I47+(2027-2023)*SIM_Parametres!$B$10))</f>
        <v>89.7</v>
      </c>
      <c r="L828" s="125">
        <f>SIM_Districts!E47</f>
        <v>3957</v>
      </c>
      <c r="M828" s="61">
        <f t="shared" si="452"/>
        <v>81.392177916790502</v>
      </c>
      <c r="N828" s="125">
        <f>N757*(1+SIM_Parametres!$B$6)/(1+SIM_Parametres!$B$11)</f>
        <v>133963</v>
      </c>
      <c r="O828" s="132"/>
      <c r="P828" s="126">
        <f>SIM_Parametres!$D$33</f>
        <v>0.75</v>
      </c>
      <c r="Q828" s="126">
        <f>SIM_Parametres!$B$12</f>
        <v>0.2</v>
      </c>
      <c r="R828" s="66">
        <f t="shared" si="480"/>
        <v>1.578659796976651E-2</v>
      </c>
      <c r="S828" s="66">
        <f t="shared" si="481"/>
        <v>0.62765957446808518</v>
      </c>
      <c r="T828" s="66">
        <f t="shared" si="482"/>
        <v>0.91436464088397784</v>
      </c>
      <c r="U828" s="66">
        <f t="shared" si="483"/>
        <v>0.63577730793030052</v>
      </c>
      <c r="V828" s="66">
        <f t="shared" si="484"/>
        <v>0.51735506215340199</v>
      </c>
      <c r="W828" s="66">
        <f t="shared" si="485"/>
        <v>1.4965123652504754E-2</v>
      </c>
      <c r="X828" s="66">
        <f t="shared" si="486"/>
        <v>1.8094353031214126E-2</v>
      </c>
      <c r="Y828" s="66">
        <f t="shared" si="487"/>
        <v>1.6243925504331402E-2</v>
      </c>
      <c r="Z828" s="66">
        <f t="shared" si="488"/>
        <v>1.8988663864475865E-2</v>
      </c>
      <c r="AA828" s="66">
        <f t="shared" si="453"/>
        <v>1.61925097528581E-2</v>
      </c>
      <c r="AB828" s="66">
        <f t="shared" si="489"/>
        <v>1.5184898700944067E-2</v>
      </c>
      <c r="AC828" s="67">
        <f t="shared" si="454"/>
        <v>24924184.322124157</v>
      </c>
      <c r="AD828" s="67">
        <f t="shared" si="479"/>
        <v>24692653.061535176</v>
      </c>
      <c r="AE828" s="66">
        <f t="shared" si="467"/>
        <v>6.1869947999828812E-2</v>
      </c>
      <c r="AF828" s="64">
        <f>MIN(MAX(AD828,AH757*(1-SIM_Parametres!$E$32)),AH757*(1+SIM_Parametres!$F$32))</f>
        <v>24692653.061535176</v>
      </c>
      <c r="AG828" s="64">
        <f>IF(F828-SUM($AF$785:$AF$855)&gt;=0,IFERROR((F828-SUM($AF$785:$AF$855))/(SUM($AH$714:$AH$784)*(1+SIM_Parametres!$F$33)-SUM($AF$785:$AF$855)),0),IFERROR((F828-SUM($AF$785:$AF$855))/(SUM($AF$785:$AF$855)-SUM($AH$714:$AH$784)*(1-SIM_Parametres!$E$33)),0))</f>
        <v>6.4281496449413555E-2</v>
      </c>
      <c r="AH828" s="64">
        <f>AF828+IF(AG828&gt;=0,AG828*(AH757*(1+SIM_Parametres!$F$33)-AF828),AG828*(AF828-AH757*(1-SIM_Parametres!$E$33)))</f>
        <v>24824389.655099221</v>
      </c>
      <c r="AI828" s="67">
        <f t="shared" si="455"/>
        <v>77.077897499136384</v>
      </c>
      <c r="AJ828" s="67">
        <f t="shared" si="456"/>
        <v>826330.37533099949</v>
      </c>
      <c r="AK828" s="66">
        <f t="shared" si="468"/>
        <v>6.7535079624564398E-2</v>
      </c>
    </row>
    <row r="829" spans="1:37" ht="12.75" customHeight="1" x14ac:dyDescent="0.25">
      <c r="A829" s="55" t="s">
        <v>641</v>
      </c>
      <c r="B829" s="55" t="s">
        <v>430</v>
      </c>
      <c r="C829" s="55" t="s">
        <v>433</v>
      </c>
      <c r="D829" s="128">
        <v>2027</v>
      </c>
      <c r="E829" s="55" t="s">
        <v>676</v>
      </c>
      <c r="F829" s="57">
        <f>SIM_Parametres!$C$33</f>
        <v>1580389817.0408096</v>
      </c>
      <c r="G829" s="129">
        <f>SIM_Districts!D48*(1+SIM_Parametres!$B$6)^(2027-2023)</f>
        <v>85377.721800169995</v>
      </c>
      <c r="H829" s="129">
        <f>MAX(0,MIN(100,SIM_Districts!F48+(2027-2022)*SIM_Parametres!$B$7))</f>
        <v>40.550000000000004</v>
      </c>
      <c r="I829" s="129">
        <f>SIM_Districts!G48*(1+SIM_Parametres!$B$8)^(2027-2023)</f>
        <v>31.229958399999997</v>
      </c>
      <c r="J829" s="129">
        <f>SIM_Districts!H48*(1+SIM_Parametres!$B$9)^(2027-2023)</f>
        <v>16.599330000000002</v>
      </c>
      <c r="K829" s="129">
        <f>MAX(0,MIN(100,SIM_Districts!I48+(2027-2023)*SIM_Parametres!$B$10))</f>
        <v>89.7</v>
      </c>
      <c r="L829" s="129">
        <f>SIM_Districts!E48</f>
        <v>14444</v>
      </c>
      <c r="M829" s="68">
        <f t="shared" si="452"/>
        <v>5.9109472306957906</v>
      </c>
      <c r="N829" s="129">
        <f>N758*(1+SIM_Parametres!$B$6)/(1+SIM_Parametres!$B$11)</f>
        <v>133963</v>
      </c>
      <c r="O829" s="72"/>
      <c r="P829" s="130">
        <f>SIM_Parametres!$D$33</f>
        <v>0.75</v>
      </c>
      <c r="Q829" s="130">
        <f>SIM_Parametres!$B$12</f>
        <v>0.2</v>
      </c>
      <c r="R829" s="59">
        <f t="shared" si="480"/>
        <v>4.1848933168593767E-3</v>
      </c>
      <c r="S829" s="59">
        <f t="shared" si="481"/>
        <v>0.62765957446808518</v>
      </c>
      <c r="T829" s="59">
        <f t="shared" si="482"/>
        <v>0.91436464088397784</v>
      </c>
      <c r="U829" s="59">
        <f t="shared" si="483"/>
        <v>1</v>
      </c>
      <c r="V829" s="59">
        <f t="shared" si="484"/>
        <v>0.51735506215340199</v>
      </c>
      <c r="W829" s="59">
        <f t="shared" si="485"/>
        <v>1.4965123652504754E-2</v>
      </c>
      <c r="X829" s="59">
        <f t="shared" si="486"/>
        <v>1.8094353031214126E-2</v>
      </c>
      <c r="Y829" s="59">
        <f t="shared" si="487"/>
        <v>2.5549709468574183E-2</v>
      </c>
      <c r="Z829" s="59">
        <f t="shared" si="488"/>
        <v>1.8988663864475865E-2</v>
      </c>
      <c r="AA829" s="59">
        <f t="shared" si="453"/>
        <v>9.6967761593259594E-3</v>
      </c>
      <c r="AB829" s="59">
        <f t="shared" si="489"/>
        <v>1.2680319607123883E-2</v>
      </c>
      <c r="AC829" s="60">
        <f t="shared" si="454"/>
        <v>16711551.34178168</v>
      </c>
      <c r="AD829" s="60">
        <f t="shared" si="479"/>
        <v>17543625.502316635</v>
      </c>
      <c r="AE829" s="59">
        <f t="shared" si="467"/>
        <v>-9.6548959207829688E-2</v>
      </c>
      <c r="AF829" s="57">
        <f>MIN(MAX(AD829,AH758*(1-SIM_Parametres!$E$32)),AH758*(1+SIM_Parametres!$F$32))</f>
        <v>18447534.481323097</v>
      </c>
      <c r="AG829" s="57">
        <f>IF(F829-SUM($AF$785:$AF$855)&gt;=0,IFERROR((F829-SUM($AF$785:$AF$855))/(SUM($AH$714:$AH$784)*(1+SIM_Parametres!$F$33)-SUM($AF$785:$AF$855)),0),IFERROR((F829-SUM($AF$785:$AF$855))/(SUM($AF$785:$AF$855)-SUM($AH$714:$AH$784)*(1-SIM_Parametres!$E$33)),0))</f>
        <v>6.4281496449413555E-2</v>
      </c>
      <c r="AH829" s="57">
        <f>AF829+IF(AG829&gt;=0,AG829*(AH758*(1+SIM_Parametres!$F$33)-AF829),AG829*(AF829-AH758*(1-SIM_Parametres!$E$33)))</f>
        <v>18697183.980746593</v>
      </c>
      <c r="AI829" s="60">
        <f t="shared" si="455"/>
        <v>218.9937092079841</v>
      </c>
      <c r="AJ829" s="60">
        <f t="shared" si="456"/>
        <v>-1342664.0031749122</v>
      </c>
      <c r="AK829" s="59">
        <f t="shared" si="468"/>
        <v>-3.71437007101173E-2</v>
      </c>
    </row>
    <row r="830" spans="1:37" ht="12.75" customHeight="1" x14ac:dyDescent="0.25">
      <c r="A830" s="62" t="s">
        <v>642</v>
      </c>
      <c r="B830" s="62" t="s">
        <v>430</v>
      </c>
      <c r="C830" s="62" t="s">
        <v>434</v>
      </c>
      <c r="D830" s="124">
        <v>2027</v>
      </c>
      <c r="E830" s="62" t="s">
        <v>676</v>
      </c>
      <c r="F830" s="64">
        <f>SIM_Parametres!$C$33</f>
        <v>1580389817.0408096</v>
      </c>
      <c r="G830" s="125">
        <f>SIM_Districts!D49*(1+SIM_Parametres!$B$6)^(2027-2023)</f>
        <v>131544.96767755999</v>
      </c>
      <c r="H830" s="125">
        <f>MAX(0,MIN(100,SIM_Districts!F49+(2027-2022)*SIM_Parametres!$B$7))</f>
        <v>40.550000000000004</v>
      </c>
      <c r="I830" s="125">
        <f>SIM_Districts!G49*(1+SIM_Parametres!$B$8)^(2027-2023)</f>
        <v>31.229958399999997</v>
      </c>
      <c r="J830" s="125">
        <f>SIM_Districts!H49*(1+SIM_Parametres!$B$9)^(2027-2023)</f>
        <v>16.599330000000002</v>
      </c>
      <c r="K830" s="125">
        <f>MAX(0,MIN(100,SIM_Districts!I49+(2027-2023)*SIM_Parametres!$B$10))</f>
        <v>89.7</v>
      </c>
      <c r="L830" s="125">
        <f>SIM_Districts!E49</f>
        <v>1898</v>
      </c>
      <c r="M830" s="61">
        <f t="shared" si="452"/>
        <v>69.307148407565862</v>
      </c>
      <c r="N830" s="125">
        <f>N759*(1+SIM_Parametres!$B$6)/(1+SIM_Parametres!$B$11)</f>
        <v>133963</v>
      </c>
      <c r="O830" s="132"/>
      <c r="P830" s="126">
        <f>SIM_Parametres!$D$33</f>
        <v>0.75</v>
      </c>
      <c r="Q830" s="126">
        <f>SIM_Parametres!$B$12</f>
        <v>0.2</v>
      </c>
      <c r="R830" s="66">
        <f t="shared" si="480"/>
        <v>6.4478372635519005E-3</v>
      </c>
      <c r="S830" s="66">
        <f t="shared" si="481"/>
        <v>0.62765957446808518</v>
      </c>
      <c r="T830" s="66">
        <f t="shared" si="482"/>
        <v>0.91436464088397784</v>
      </c>
      <c r="U830" s="66">
        <f t="shared" si="483"/>
        <v>0.56460451527951971</v>
      </c>
      <c r="V830" s="66">
        <f t="shared" si="484"/>
        <v>0.51735506215340199</v>
      </c>
      <c r="W830" s="66">
        <f t="shared" si="485"/>
        <v>1.4965123652504754E-2</v>
      </c>
      <c r="X830" s="66">
        <f t="shared" si="486"/>
        <v>1.8094353031214126E-2</v>
      </c>
      <c r="Y830" s="66">
        <f t="shared" si="487"/>
        <v>1.4425481330036882E-2</v>
      </c>
      <c r="Z830" s="66">
        <f t="shared" si="488"/>
        <v>1.8988663864475865E-2</v>
      </c>
      <c r="AA830" s="66">
        <f t="shared" si="453"/>
        <v>1.0498331120414608E-2</v>
      </c>
      <c r="AB830" s="66">
        <f t="shared" si="489"/>
        <v>1.2237118705610454E-2</v>
      </c>
      <c r="AC830" s="67">
        <f t="shared" si="454"/>
        <v>17724966.780424114</v>
      </c>
      <c r="AD830" s="67">
        <f t="shared" si="479"/>
        <v>18128579.533384681</v>
      </c>
      <c r="AE830" s="66">
        <f t="shared" si="467"/>
        <v>-3.2613376503278779E-2</v>
      </c>
      <c r="AF830" s="64">
        <f>MIN(MAX(AD830,AH759*(1-SIM_Parametres!$E$32)),AH759*(1+SIM_Parametres!$F$32))</f>
        <v>18128579.533384681</v>
      </c>
      <c r="AG830" s="64">
        <f>IF(F830-SUM($AF$785:$AF$855)&gt;=0,IFERROR((F830-SUM($AF$785:$AF$855))/(SUM($AH$714:$AH$784)*(1+SIM_Parametres!$F$33)-SUM($AF$785:$AF$855)),0),IFERROR((F830-SUM($AF$785:$AF$855))/(SUM($AF$785:$AF$855)-SUM($AH$714:$AH$784)*(1-SIM_Parametres!$E$33)),0))</f>
        <v>6.4281496449413555E-2</v>
      </c>
      <c r="AH830" s="64">
        <f>AF830+IF(AG830&gt;=0,AG830*(AH759*(1+SIM_Parametres!$F$33)-AF830),AG830*(AF830-AH759*(1-SIM_Parametres!$E$33)))</f>
        <v>18348559.060121261</v>
      </c>
      <c r="AI830" s="67">
        <f t="shared" si="455"/>
        <v>139.48507026963455</v>
      </c>
      <c r="AJ830" s="67">
        <f t="shared" si="456"/>
        <v>-990858.73214511201</v>
      </c>
      <c r="AK830" s="66">
        <f t="shared" si="468"/>
        <v>-2.0874715389967879E-2</v>
      </c>
    </row>
    <row r="831" spans="1:37" ht="12.75" customHeight="1" x14ac:dyDescent="0.25">
      <c r="A831" s="55" t="s">
        <v>643</v>
      </c>
      <c r="B831" s="55" t="s">
        <v>435</v>
      </c>
      <c r="C831" s="55" t="s">
        <v>437</v>
      </c>
      <c r="D831" s="128">
        <v>2027</v>
      </c>
      <c r="E831" s="55" t="s">
        <v>676</v>
      </c>
      <c r="F831" s="57">
        <f>SIM_Parametres!$C$33</f>
        <v>1580389817.0408096</v>
      </c>
      <c r="G831" s="129">
        <f>SIM_Districts!D50*(1+SIM_Parametres!$B$6)^(2027-2023)</f>
        <v>110693.79146349999</v>
      </c>
      <c r="H831" s="129">
        <f>MAX(0,MIN(100,SIM_Districts!F50+(2027-2022)*SIM_Parametres!$B$7))</f>
        <v>33.15</v>
      </c>
      <c r="I831" s="129">
        <f>SIM_Districts!G50*(1+SIM_Parametres!$B$8)^(2027-2023)</f>
        <v>31.229958399999997</v>
      </c>
      <c r="J831" s="129">
        <f>SIM_Districts!H50*(1+SIM_Parametres!$B$9)^(2027-2023)</f>
        <v>15.024690000000001</v>
      </c>
      <c r="K831" s="129">
        <f>MAX(0,MIN(100,SIM_Districts!I50+(2027-2023)*SIM_Parametres!$B$10))</f>
        <v>93.9</v>
      </c>
      <c r="L831" s="129">
        <f>SIM_Districts!E50</f>
        <v>2448</v>
      </c>
      <c r="M831" s="68">
        <f t="shared" si="452"/>
        <v>45.218052068423198</v>
      </c>
      <c r="N831" s="129">
        <f>N760*(1+SIM_Parametres!$B$6)/(1+SIM_Parametres!$B$11)</f>
        <v>89545</v>
      </c>
      <c r="O831" s="72"/>
      <c r="P831" s="130">
        <f>SIM_Parametres!$D$33</f>
        <v>0.75</v>
      </c>
      <c r="Q831" s="130">
        <f>SIM_Parametres!$B$12</f>
        <v>0.2</v>
      </c>
      <c r="R831" s="59">
        <f t="shared" si="480"/>
        <v>5.4257913931887594E-3</v>
      </c>
      <c r="S831" s="59">
        <f t="shared" si="481"/>
        <v>0.49645390070921974</v>
      </c>
      <c r="T831" s="59">
        <f t="shared" si="482"/>
        <v>0.84806629834254132</v>
      </c>
      <c r="U831" s="59">
        <f t="shared" si="483"/>
        <v>0.58395945065622246</v>
      </c>
      <c r="V831" s="59">
        <f t="shared" si="484"/>
        <v>0.20906585970196906</v>
      </c>
      <c r="W831" s="59">
        <f t="shared" si="485"/>
        <v>1.1836820968082851E-2</v>
      </c>
      <c r="X831" s="59">
        <f t="shared" si="486"/>
        <v>1.6782375772153281E-2</v>
      </c>
      <c r="Y831" s="59">
        <f t="shared" si="487"/>
        <v>1.4919994305694666E-2</v>
      </c>
      <c r="Z831" s="59">
        <f t="shared" si="488"/>
        <v>7.6734173990574452E-3</v>
      </c>
      <c r="AA831" s="59">
        <f t="shared" si="453"/>
        <v>8.6780249321862808E-3</v>
      </c>
      <c r="AB831" s="59">
        <f t="shared" si="489"/>
        <v>1.1977906656181517E-2</v>
      </c>
      <c r="AC831" s="60">
        <f t="shared" si="454"/>
        <v>15423532.089406177</v>
      </c>
      <c r="AD831" s="60">
        <f t="shared" si="479"/>
        <v>16300089.494278286</v>
      </c>
      <c r="AE831" s="59">
        <f t="shared" si="467"/>
        <v>-0.11136269876069771</v>
      </c>
      <c r="AF831" s="57">
        <f>MIN(MAX(AD831,AH760*(1-SIM_Parametres!$E$32)),AH760*(1+SIM_Parametres!$F$32))</f>
        <v>17425652.735901047</v>
      </c>
      <c r="AG831" s="57">
        <f>IF(F831-SUM($AF$785:$AF$855)&gt;=0,IFERROR((F831-SUM($AF$785:$AF$855))/(SUM($AH$714:$AH$784)*(1+SIM_Parametres!$F$33)-SUM($AF$785:$AF$855)),0),IFERROR((F831-SUM($AF$785:$AF$855))/(SUM($AF$785:$AF$855)-SUM($AH$714:$AH$784)*(1-SIM_Parametres!$E$33)),0))</f>
        <v>6.4281496449413555E-2</v>
      </c>
      <c r="AH831" s="57">
        <f>AF831+IF(AG831&gt;=0,AG831*(AH760*(1+SIM_Parametres!$F$33)-AF831),AG831*(AF831-AH760*(1-SIM_Parametres!$E$33)))</f>
        <v>17661473.164210845</v>
      </c>
      <c r="AI831" s="60">
        <f t="shared" si="455"/>
        <v>159.55251808349624</v>
      </c>
      <c r="AJ831" s="60">
        <f t="shared" si="456"/>
        <v>-1268288.5446837582</v>
      </c>
      <c r="AK831" s="59">
        <f t="shared" si="468"/>
        <v>-3.71437007101173E-2</v>
      </c>
    </row>
    <row r="832" spans="1:37" ht="12.75" customHeight="1" x14ac:dyDescent="0.25">
      <c r="A832" s="62" t="s">
        <v>645</v>
      </c>
      <c r="B832" s="62" t="s">
        <v>435</v>
      </c>
      <c r="C832" s="62" t="s">
        <v>438</v>
      </c>
      <c r="D832" s="124">
        <v>2027</v>
      </c>
      <c r="E832" s="62" t="s">
        <v>676</v>
      </c>
      <c r="F832" s="64">
        <f>SIM_Parametres!$C$33</f>
        <v>1580389817.0408096</v>
      </c>
      <c r="G832" s="125">
        <f>SIM_Districts!D51*(1+SIM_Parametres!$B$6)^(2027-2023)</f>
        <v>208754.87204356</v>
      </c>
      <c r="H832" s="125">
        <f>MAX(0,MIN(100,SIM_Districts!F51+(2027-2022)*SIM_Parametres!$B$7))</f>
        <v>33.15</v>
      </c>
      <c r="I832" s="125">
        <f>SIM_Districts!G51*(1+SIM_Parametres!$B$8)^(2027-2023)</f>
        <v>31.229958399999997</v>
      </c>
      <c r="J832" s="125">
        <f>SIM_Districts!H51*(1+SIM_Parametres!$B$9)^(2027-2023)</f>
        <v>15.024690000000001</v>
      </c>
      <c r="K832" s="125">
        <f>MAX(0,MIN(100,SIM_Districts!I51+(2027-2023)*SIM_Parametres!$B$10))</f>
        <v>93.9</v>
      </c>
      <c r="L832" s="125">
        <f>SIM_Districts!E51</f>
        <v>6989</v>
      </c>
      <c r="M832" s="61">
        <f t="shared" si="452"/>
        <v>29.869061674568606</v>
      </c>
      <c r="N832" s="125">
        <f>N761*(1+SIM_Parametres!$B$6)/(1+SIM_Parametres!$B$11)</f>
        <v>89545</v>
      </c>
      <c r="O832" s="132"/>
      <c r="P832" s="126">
        <f>SIM_Parametres!$D$33</f>
        <v>0.75</v>
      </c>
      <c r="Q832" s="126">
        <f>SIM_Parametres!$B$12</f>
        <v>0.2</v>
      </c>
      <c r="R832" s="66">
        <f t="shared" si="480"/>
        <v>1.0232375032466481E-2</v>
      </c>
      <c r="S832" s="66">
        <f t="shared" si="481"/>
        <v>0.49645390070921974</v>
      </c>
      <c r="T832" s="66">
        <f t="shared" si="482"/>
        <v>0.84806629834254132</v>
      </c>
      <c r="U832" s="66">
        <f t="shared" si="483"/>
        <v>0.74145452539080825</v>
      </c>
      <c r="V832" s="66">
        <f t="shared" si="484"/>
        <v>0.20906585970196906</v>
      </c>
      <c r="W832" s="66">
        <f t="shared" si="485"/>
        <v>1.1836820968082851E-2</v>
      </c>
      <c r="X832" s="66">
        <f t="shared" si="486"/>
        <v>1.6782375772153281E-2</v>
      </c>
      <c r="Y832" s="66">
        <f t="shared" si="487"/>
        <v>1.8943947707894711E-2</v>
      </c>
      <c r="Z832" s="66">
        <f t="shared" si="488"/>
        <v>7.6734173990574452E-3</v>
      </c>
      <c r="AA832" s="66">
        <f t="shared" si="453"/>
        <v>1.1763172785862917E-2</v>
      </c>
      <c r="AB832" s="66">
        <f t="shared" si="489"/>
        <v>1.2553756142431259E-2</v>
      </c>
      <c r="AC832" s="67">
        <f t="shared" si="454"/>
        <v>19324121.091018867</v>
      </c>
      <c r="AD832" s="67">
        <f t="shared" si="479"/>
        <v>19453047.911542121</v>
      </c>
      <c r="AE832" s="66">
        <f t="shared" si="467"/>
        <v>1.1881003563470438E-2</v>
      </c>
      <c r="AF832" s="64">
        <f>MIN(MAX(AD832,AH761*(1-SIM_Parametres!$E$32)),AH761*(1+SIM_Parametres!$F$32))</f>
        <v>19453047.911542121</v>
      </c>
      <c r="AG832" s="64">
        <f>IF(F832-SUM($AF$785:$AF$855)&gt;=0,IFERROR((F832-SUM($AF$785:$AF$855))/(SUM($AH$714:$AH$784)*(1+SIM_Parametres!$F$33)-SUM($AF$785:$AF$855)),0),IFERROR((F832-SUM($AF$785:$AF$855))/(SUM($AF$785:$AF$855)-SUM($AH$714:$AH$784)*(1-SIM_Parametres!$E$33)),0))</f>
        <v>6.4281496449413555E-2</v>
      </c>
      <c r="AH832" s="64">
        <f>AF832+IF(AG832&gt;=0,AG832*(AH761*(1+SIM_Parametres!$F$33)-AF832),AG832*(AF832-AH761*(1-SIM_Parametres!$E$33)))</f>
        <v>19623733.795715939</v>
      </c>
      <c r="AI832" s="67">
        <f t="shared" si="455"/>
        <v>94.00371643360323</v>
      </c>
      <c r="AJ832" s="67">
        <f t="shared" si="456"/>
        <v>-216094.57739593834</v>
      </c>
      <c r="AK832" s="66">
        <f t="shared" si="468"/>
        <v>2.0759499342501764E-2</v>
      </c>
    </row>
    <row r="833" spans="1:37" ht="12.75" customHeight="1" x14ac:dyDescent="0.25">
      <c r="A833" s="55" t="s">
        <v>646</v>
      </c>
      <c r="B833" s="55" t="s">
        <v>435</v>
      </c>
      <c r="C833" s="55" t="s">
        <v>439</v>
      </c>
      <c r="D833" s="128">
        <v>2027</v>
      </c>
      <c r="E833" s="55" t="s">
        <v>676</v>
      </c>
      <c r="F833" s="57">
        <f>SIM_Parametres!$C$33</f>
        <v>1580389817.0408096</v>
      </c>
      <c r="G833" s="129">
        <f>SIM_Districts!D52*(1+SIM_Parametres!$B$6)^(2027-2023)</f>
        <v>343270.05747070996</v>
      </c>
      <c r="H833" s="129">
        <f>MAX(0,MIN(100,SIM_Districts!F52+(2027-2022)*SIM_Parametres!$B$7))</f>
        <v>33.15</v>
      </c>
      <c r="I833" s="129">
        <f>SIM_Districts!G52*(1+SIM_Parametres!$B$8)^(2027-2023)</f>
        <v>31.229958399999997</v>
      </c>
      <c r="J833" s="129">
        <f>SIM_Districts!H52*(1+SIM_Parametres!$B$9)^(2027-2023)</f>
        <v>15.024690000000001</v>
      </c>
      <c r="K833" s="129">
        <f>MAX(0,MIN(100,SIM_Districts!I52+(2027-2023)*SIM_Parametres!$B$10))</f>
        <v>93.9</v>
      </c>
      <c r="L833" s="129">
        <f>SIM_Districts!E52</f>
        <v>5859</v>
      </c>
      <c r="M833" s="68">
        <f t="shared" si="452"/>
        <v>58.588506139394084</v>
      </c>
      <c r="N833" s="129">
        <f>N762*(1+SIM_Parametres!$B$6)/(1+SIM_Parametres!$B$11)</f>
        <v>89545</v>
      </c>
      <c r="O833" s="72"/>
      <c r="P833" s="130">
        <f>SIM_Parametres!$D$33</f>
        <v>0.75</v>
      </c>
      <c r="Q833" s="130">
        <f>SIM_Parametres!$B$12</f>
        <v>0.2</v>
      </c>
      <c r="R833" s="59">
        <f t="shared" si="480"/>
        <v>1.6825801146924585E-2</v>
      </c>
      <c r="S833" s="59">
        <f t="shared" si="481"/>
        <v>0.49645390070921974</v>
      </c>
      <c r="T833" s="59">
        <f t="shared" si="482"/>
        <v>0.84806629834254132</v>
      </c>
      <c r="U833" s="59">
        <f t="shared" si="483"/>
        <v>0.70194995546768002</v>
      </c>
      <c r="V833" s="59">
        <f t="shared" si="484"/>
        <v>0.20906585970196906</v>
      </c>
      <c r="W833" s="59">
        <f t="shared" si="485"/>
        <v>1.1836820968082851E-2</v>
      </c>
      <c r="X833" s="59">
        <f t="shared" si="486"/>
        <v>1.6782375772153281E-2</v>
      </c>
      <c r="Y833" s="59">
        <f t="shared" si="487"/>
        <v>1.7934617423677812E-2</v>
      </c>
      <c r="Z833" s="59">
        <f t="shared" si="488"/>
        <v>7.6734173990574452E-3</v>
      </c>
      <c r="AA833" s="59">
        <f t="shared" si="453"/>
        <v>1.5668761940326934E-2</v>
      </c>
      <c r="AB833" s="59">
        <f t="shared" si="489"/>
        <v>1.5484749004637879E-2</v>
      </c>
      <c r="AC833" s="60">
        <f t="shared" si="454"/>
        <v>24262003.754426837</v>
      </c>
      <c r="AD833" s="60">
        <f t="shared" si="479"/>
        <v>24314487.727410756</v>
      </c>
      <c r="AE833" s="59">
        <f t="shared" si="467"/>
        <v>2.5360134803111833E-2</v>
      </c>
      <c r="AF833" s="57">
        <f>MIN(MAX(AD833,AH762*(1-SIM_Parametres!$E$32)),AH762*(1+SIM_Parametres!$F$32))</f>
        <v>24314487.727410756</v>
      </c>
      <c r="AG833" s="57">
        <f>IF(F833-SUM($AF$785:$AF$855)&gt;=0,IFERROR((F833-SUM($AF$785:$AF$855))/(SUM($AH$714:$AH$784)*(1+SIM_Parametres!$F$33)-SUM($AF$785:$AF$855)),0),IFERROR((F833-SUM($AF$785:$AF$855))/(SUM($AF$785:$AF$855)-SUM($AH$714:$AH$784)*(1-SIM_Parametres!$E$33)),0))</f>
        <v>6.4281496449413555E-2</v>
      </c>
      <c r="AH833" s="57">
        <f>AF833+IF(AG833&gt;=0,AG833*(AH762*(1+SIM_Parametres!$F$33)-AF833),AG833*(AF833-AH762*(1-SIM_Parametres!$E$33)))</f>
        <v>24504478.121968541</v>
      </c>
      <c r="AI833" s="60">
        <f t="shared" si="455"/>
        <v>71.385422610183312</v>
      </c>
      <c r="AJ833" s="60">
        <f t="shared" si="456"/>
        <v>32538.475606024265</v>
      </c>
      <c r="AK833" s="59">
        <f t="shared" si="468"/>
        <v>3.33721718552209E-2</v>
      </c>
    </row>
    <row r="834" spans="1:37" ht="12.75" customHeight="1" x14ac:dyDescent="0.25">
      <c r="A834" s="62" t="s">
        <v>647</v>
      </c>
      <c r="B834" s="62" t="s">
        <v>435</v>
      </c>
      <c r="C834" s="62" t="s">
        <v>440</v>
      </c>
      <c r="D834" s="124">
        <v>2027</v>
      </c>
      <c r="E834" s="62" t="s">
        <v>676</v>
      </c>
      <c r="F834" s="64">
        <f>SIM_Parametres!$C$33</f>
        <v>1580389817.0408096</v>
      </c>
      <c r="G834" s="125">
        <f>SIM_Districts!D53*(1+SIM_Parametres!$B$6)^(2027-2023)</f>
        <v>249175.26993708999</v>
      </c>
      <c r="H834" s="125">
        <f>MAX(0,MIN(100,SIM_Districts!F53+(2027-2022)*SIM_Parametres!$B$7))</f>
        <v>33.15</v>
      </c>
      <c r="I834" s="125">
        <f>SIM_Districts!G53*(1+SIM_Parametres!$B$8)^(2027-2023)</f>
        <v>31.229958399999997</v>
      </c>
      <c r="J834" s="125">
        <f>SIM_Districts!H53*(1+SIM_Parametres!$B$9)^(2027-2023)</f>
        <v>15.024690000000001</v>
      </c>
      <c r="K834" s="125">
        <f>MAX(0,MIN(100,SIM_Districts!I53+(2027-2023)*SIM_Parametres!$B$10))</f>
        <v>93.9</v>
      </c>
      <c r="L834" s="125">
        <f>SIM_Districts!E53</f>
        <v>3143</v>
      </c>
      <c r="M834" s="61">
        <f t="shared" si="452"/>
        <v>79.279436823763916</v>
      </c>
      <c r="N834" s="125">
        <f>N763*(1+SIM_Parametres!$B$6)/(1+SIM_Parametres!$B$11)</f>
        <v>89545</v>
      </c>
      <c r="O834" s="132"/>
      <c r="P834" s="126">
        <f>SIM_Parametres!$D$33</f>
        <v>0.75</v>
      </c>
      <c r="Q834" s="126">
        <f>SIM_Parametres!$B$12</f>
        <v>0.2</v>
      </c>
      <c r="R834" s="66">
        <f t="shared" si="480"/>
        <v>1.2213630205863409E-2</v>
      </c>
      <c r="S834" s="66">
        <f t="shared" si="481"/>
        <v>0.49645390070921974</v>
      </c>
      <c r="T834" s="66">
        <f t="shared" si="482"/>
        <v>0.84806629834254132</v>
      </c>
      <c r="U834" s="66">
        <f t="shared" si="483"/>
        <v>0.6076065442079609</v>
      </c>
      <c r="V834" s="66">
        <f t="shared" si="484"/>
        <v>0.20906585970196906</v>
      </c>
      <c r="W834" s="66">
        <f t="shared" si="485"/>
        <v>1.1836820968082851E-2</v>
      </c>
      <c r="X834" s="66">
        <f t="shared" si="486"/>
        <v>1.6782375772153281E-2</v>
      </c>
      <c r="Y834" s="66">
        <f t="shared" si="487"/>
        <v>1.5524170675717777E-2</v>
      </c>
      <c r="Z834" s="66">
        <f t="shared" si="488"/>
        <v>7.6734173990574452E-3</v>
      </c>
      <c r="AA834" s="66">
        <f t="shared" si="453"/>
        <v>1.2780937038292226E-2</v>
      </c>
      <c r="AB834" s="66">
        <f t="shared" si="489"/>
        <v>1.3610811278947626E-2</v>
      </c>
      <c r="AC834" s="67">
        <f t="shared" si="454"/>
        <v>20610892.499568816</v>
      </c>
      <c r="AD834" s="67">
        <f t="shared" si="479"/>
        <v>20835766.261404864</v>
      </c>
      <c r="AE834" s="66">
        <f t="shared" si="467"/>
        <v>-3.6618425056433868E-4</v>
      </c>
      <c r="AF834" s="64">
        <f>MIN(MAX(AD834,AH763*(1-SIM_Parametres!$E$32)),AH763*(1+SIM_Parametres!$F$32))</f>
        <v>20835766.261404864</v>
      </c>
      <c r="AG834" s="64">
        <f>IF(F834-SUM($AF$785:$AF$855)&gt;=0,IFERROR((F834-SUM($AF$785:$AF$855))/(SUM($AH$714:$AH$784)*(1+SIM_Parametres!$F$33)-SUM($AF$785:$AF$855)),0),IFERROR((F834-SUM($AF$785:$AF$855))/(SUM($AF$785:$AF$855)-SUM($AH$714:$AH$784)*(1-SIM_Parametres!$E$33)),0))</f>
        <v>6.4281496449413555E-2</v>
      </c>
      <c r="AH834" s="64">
        <f>AF834+IF(AG834&gt;=0,AG834*(AH763*(1+SIM_Parametres!$F$33)-AF834),AG834*(AF834-AH763*(1-SIM_Parametres!$E$33)))</f>
        <v>21037233.621248804</v>
      </c>
      <c r="AI834" s="67">
        <f t="shared" si="455"/>
        <v>84.427453922534667</v>
      </c>
      <c r="AJ834" s="67">
        <f t="shared" si="456"/>
        <v>-473153.92566422373</v>
      </c>
      <c r="AK834" s="66">
        <f t="shared" si="468"/>
        <v>9.2995790884500273E-3</v>
      </c>
    </row>
    <row r="835" spans="1:37" ht="12.75" customHeight="1" x14ac:dyDescent="0.25">
      <c r="A835" s="55" t="s">
        <v>648</v>
      </c>
      <c r="B835" s="55" t="s">
        <v>435</v>
      </c>
      <c r="C835" s="55" t="s">
        <v>435</v>
      </c>
      <c r="D835" s="128">
        <v>2027</v>
      </c>
      <c r="E835" s="55" t="s">
        <v>676</v>
      </c>
      <c r="F835" s="57">
        <f>SIM_Parametres!$C$33</f>
        <v>1580389817.0408096</v>
      </c>
      <c r="G835" s="129">
        <f>SIM_Districts!D54*(1+SIM_Parametres!$B$6)^(2027-2023)</f>
        <v>441463.94809034996</v>
      </c>
      <c r="H835" s="129">
        <f>MAX(0,MIN(100,SIM_Districts!F54+(2027-2022)*SIM_Parametres!$B$7))</f>
        <v>33.15</v>
      </c>
      <c r="I835" s="129">
        <f>SIM_Districts!G54*(1+SIM_Parametres!$B$8)^(2027-2023)</f>
        <v>31.229958399999997</v>
      </c>
      <c r="J835" s="129">
        <f>SIM_Districts!H54*(1+SIM_Parametres!$B$9)^(2027-2023)</f>
        <v>15.024690000000001</v>
      </c>
      <c r="K835" s="129">
        <f>MAX(0,MIN(100,SIM_Districts!I54+(2027-2023)*SIM_Parametres!$B$10))</f>
        <v>93.9</v>
      </c>
      <c r="L835" s="129">
        <f>SIM_Districts!E54</f>
        <v>802</v>
      </c>
      <c r="M835" s="68">
        <f t="shared" si="452"/>
        <v>550.45380061140895</v>
      </c>
      <c r="N835" s="129">
        <f>N764*(1+SIM_Parametres!$B$6)/(1+SIM_Parametres!$B$11)</f>
        <v>89545</v>
      </c>
      <c r="O835" s="72"/>
      <c r="P835" s="130">
        <f>SIM_Parametres!$D$33</f>
        <v>0.75</v>
      </c>
      <c r="Q835" s="130">
        <f>SIM_Parametres!$B$12</f>
        <v>0.2</v>
      </c>
      <c r="R835" s="59">
        <f t="shared" si="480"/>
        <v>2.1638894632510352E-2</v>
      </c>
      <c r="S835" s="59">
        <f t="shared" si="481"/>
        <v>0.49645390070921974</v>
      </c>
      <c r="T835" s="59">
        <f t="shared" si="482"/>
        <v>0.84806629834254132</v>
      </c>
      <c r="U835" s="59">
        <f t="shared" si="483"/>
        <v>0.52059263207206896</v>
      </c>
      <c r="V835" s="59">
        <f t="shared" si="484"/>
        <v>0.20906585970196906</v>
      </c>
      <c r="W835" s="59">
        <f t="shared" si="485"/>
        <v>1.1836820968082851E-2</v>
      </c>
      <c r="X835" s="59">
        <f t="shared" si="486"/>
        <v>1.6782375772153281E-2</v>
      </c>
      <c r="Y835" s="59">
        <f t="shared" si="487"/>
        <v>1.3300990500921697E-2</v>
      </c>
      <c r="Z835" s="59">
        <f t="shared" si="488"/>
        <v>7.6734173990574452E-3</v>
      </c>
      <c r="AA835" s="59">
        <f t="shared" si="453"/>
        <v>1.832493668554059E-2</v>
      </c>
      <c r="AB835" s="59">
        <f t="shared" si="489"/>
        <v>1.5334110159222921E-2</v>
      </c>
      <c r="AC835" s="60">
        <f t="shared" si="454"/>
        <v>27620236.970120139</v>
      </c>
      <c r="AD835" s="60">
        <f t="shared" si="479"/>
        <v>26773645.614844587</v>
      </c>
      <c r="AE835" s="59">
        <f t="shared" si="467"/>
        <v>0.14015633938768279</v>
      </c>
      <c r="AF835" s="57">
        <f>MIN(MAX(AD835,AH764*(1-SIM_Parametres!$E$32)),AH764*(1+SIM_Parametres!$F$32))</f>
        <v>26773645.614844587</v>
      </c>
      <c r="AG835" s="57">
        <f>IF(F835-SUM($AF$785:$AF$855)&gt;=0,IFERROR((F835-SUM($AF$785:$AF$855))/(SUM($AH$714:$AH$784)*(1+SIM_Parametres!$F$33)-SUM($AF$785:$AF$855)),0),IFERROR((F835-SUM($AF$785:$AF$855))/(SUM($AF$785:$AF$855)-SUM($AH$714:$AH$784)*(1-SIM_Parametres!$E$33)),0))</f>
        <v>6.4281496449413555E-2</v>
      </c>
      <c r="AH835" s="57">
        <f>AF835+IF(AG835&gt;=0,AG835*(AH764*(1+SIM_Parametres!$F$33)-AF835),AG835*(AF835-AH764*(1-SIM_Parametres!$E$33)))</f>
        <v>26788504.482498076</v>
      </c>
      <c r="AI835" s="60">
        <f t="shared" si="455"/>
        <v>60.681069424531003</v>
      </c>
      <c r="AJ835" s="60">
        <f t="shared" si="456"/>
        <v>2554632.9334801435</v>
      </c>
      <c r="AK835" s="59">
        <f t="shared" si="468"/>
        <v>0.14078910462238281</v>
      </c>
    </row>
    <row r="836" spans="1:37" ht="12.75" customHeight="1" x14ac:dyDescent="0.25">
      <c r="A836" s="62" t="s">
        <v>649</v>
      </c>
      <c r="B836" s="62" t="s">
        <v>441</v>
      </c>
      <c r="C836" s="62" t="s">
        <v>443</v>
      </c>
      <c r="D836" s="124">
        <v>2027</v>
      </c>
      <c r="E836" s="62" t="s">
        <v>676</v>
      </c>
      <c r="F836" s="64">
        <f>SIM_Parametres!$C$33</f>
        <v>1580389817.0408096</v>
      </c>
      <c r="G836" s="125">
        <f>SIM_Districts!D55*(1+SIM_Parametres!$B$6)^(2027-2023)</f>
        <v>325179.75436758</v>
      </c>
      <c r="H836" s="125">
        <f>MAX(0,MIN(100,SIM_Districts!F55+(2027-2022)*SIM_Parametres!$B$7))</f>
        <v>60.250000000000007</v>
      </c>
      <c r="I836" s="125">
        <f>SIM_Districts!G55*(1+SIM_Parametres!$B$8)^(2027-2023)</f>
        <v>31.229958399999997</v>
      </c>
      <c r="J836" s="125">
        <f>SIM_Districts!H55*(1+SIM_Parametres!$B$9)^(2027-2023)</f>
        <v>16.074450000000002</v>
      </c>
      <c r="K836" s="125">
        <f>MAX(0,MIN(100,SIM_Districts!I55+(2027-2023)*SIM_Parametres!$B$10))</f>
        <v>89.6</v>
      </c>
      <c r="L836" s="125">
        <f>SIM_Districts!E55</f>
        <v>2865</v>
      </c>
      <c r="M836" s="61">
        <f t="shared" ref="M836:M899" si="490">IFERROR(G836/L836,0)</f>
        <v>113.50078686477487</v>
      </c>
      <c r="N836" s="125">
        <f>N765*(1+SIM_Parametres!$B$6)/(1+SIM_Parametres!$B$11)</f>
        <v>178218</v>
      </c>
      <c r="O836" s="132"/>
      <c r="P836" s="126">
        <f>SIM_Parametres!$D$33</f>
        <v>0.75</v>
      </c>
      <c r="Q836" s="126">
        <f>SIM_Parametres!$B$12</f>
        <v>0.2</v>
      </c>
      <c r="R836" s="66">
        <f t="shared" si="480"/>
        <v>1.593908284430412E-2</v>
      </c>
      <c r="S836" s="66">
        <f t="shared" si="481"/>
        <v>0.97695035460992918</v>
      </c>
      <c r="T836" s="66">
        <f t="shared" si="482"/>
        <v>0.89226519337016574</v>
      </c>
      <c r="U836" s="66">
        <f t="shared" si="483"/>
        <v>0.59754648703547397</v>
      </c>
      <c r="V836" s="66">
        <f t="shared" si="484"/>
        <v>0.82451294081719062</v>
      </c>
      <c r="W836" s="66">
        <f t="shared" si="485"/>
        <v>2.3293172690763048E-2</v>
      </c>
      <c r="X836" s="66">
        <f t="shared" si="486"/>
        <v>1.7657027278193845E-2</v>
      </c>
      <c r="Y836" s="66">
        <f t="shared" si="487"/>
        <v>1.526713913772349E-2</v>
      </c>
      <c r="Z836" s="66">
        <f t="shared" si="488"/>
        <v>3.0262386957075536E-2</v>
      </c>
      <c r="AA836" s="66">
        <f t="shared" ref="AA836:AA899" si="491">0.6*R836+0.15*W836+0.15*X836+0.05*Y836+0.05*Z836</f>
        <v>1.7982456006665957E-2</v>
      </c>
      <c r="AB836" s="66">
        <f t="shared" si="489"/>
        <v>1.4179768757041968E-2</v>
      </c>
      <c r="AC836" s="67">
        <f t="shared" ref="AC836:AC899" si="492">F836*(Q836/71+(1-Q836)*AA836)</f>
        <v>27187234.588178784</v>
      </c>
      <c r="AD836" s="67">
        <f t="shared" si="479"/>
        <v>25992816.479039721</v>
      </c>
      <c r="AE836" s="66">
        <f t="shared" si="467"/>
        <v>0.19701520381676763</v>
      </c>
      <c r="AF836" s="64">
        <f>MIN(MAX(AD836,AH765*(1-SIM_Parametres!$E$32)),AH765*(1+SIM_Parametres!$F$32))</f>
        <v>24971895.808494125</v>
      </c>
      <c r="AG836" s="64">
        <f>IF(F836-SUM($AF$785:$AF$855)&gt;=0,IFERROR((F836-SUM($AF$785:$AF$855))/(SUM($AH$714:$AH$784)*(1+SIM_Parametres!$F$33)-SUM($AF$785:$AF$855)),0),IFERROR((F836-SUM($AF$785:$AF$855))/(SUM($AF$785:$AF$855)-SUM($AH$714:$AH$784)*(1-SIM_Parametres!$E$33)),0))</f>
        <v>6.4281496449413555E-2</v>
      </c>
      <c r="AH836" s="64">
        <f>AF836+IF(AG836&gt;=0,AG836*(AH765*(1+SIM_Parametres!$F$33)-AF836),AG836*(AF836-AH765*(1-SIM_Parametres!$E$33)))</f>
        <v>24971895.808494125</v>
      </c>
      <c r="AI836" s="67">
        <f t="shared" ref="AI836:AI899" si="493">IFERROR(AH836/G836,0)</f>
        <v>76.794128395417076</v>
      </c>
      <c r="AJ836" s="67">
        <f t="shared" ref="AJ836:AJ899" si="494">AH836-F836*AB836</f>
        <v>2562333.6568715796</v>
      </c>
      <c r="AK836" s="66">
        <f t="shared" si="468"/>
        <v>0.14999999999999991</v>
      </c>
    </row>
    <row r="837" spans="1:37" ht="12.75" customHeight="1" x14ac:dyDescent="0.25">
      <c r="A837" s="55" t="s">
        <v>651</v>
      </c>
      <c r="B837" s="55" t="s">
        <v>441</v>
      </c>
      <c r="C837" s="55" t="s">
        <v>441</v>
      </c>
      <c r="D837" s="128">
        <v>2027</v>
      </c>
      <c r="E837" s="55" t="s">
        <v>676</v>
      </c>
      <c r="F837" s="57">
        <f>SIM_Parametres!$C$33</f>
        <v>1580389817.0408096</v>
      </c>
      <c r="G837" s="129">
        <f>SIM_Districts!D56*(1+SIM_Parametres!$B$6)^(2027-2023)</f>
        <v>338044.32006587996</v>
      </c>
      <c r="H837" s="129">
        <f>MAX(0,MIN(100,SIM_Districts!F56+(2027-2022)*SIM_Parametres!$B$7))</f>
        <v>60.250000000000007</v>
      </c>
      <c r="I837" s="129">
        <f>SIM_Districts!G56*(1+SIM_Parametres!$B$8)^(2027-2023)</f>
        <v>31.229958399999997</v>
      </c>
      <c r="J837" s="129">
        <f>SIM_Districts!H56*(1+SIM_Parametres!$B$9)^(2027-2023)</f>
        <v>16.074450000000002</v>
      </c>
      <c r="K837" s="129">
        <f>MAX(0,MIN(100,SIM_Districts!I56+(2027-2023)*SIM_Parametres!$B$10))</f>
        <v>89.6</v>
      </c>
      <c r="L837" s="129">
        <f>SIM_Districts!E56</f>
        <v>2749</v>
      </c>
      <c r="M837" s="68">
        <f t="shared" si="490"/>
        <v>122.96992363255001</v>
      </c>
      <c r="N837" s="129">
        <f>N766*(1+SIM_Parametres!$B$6)/(1+SIM_Parametres!$B$11)</f>
        <v>178218</v>
      </c>
      <c r="O837" s="72"/>
      <c r="P837" s="130">
        <f>SIM_Parametres!$D$33</f>
        <v>0.75</v>
      </c>
      <c r="Q837" s="130">
        <f>SIM_Parametres!$B$12</f>
        <v>0.2</v>
      </c>
      <c r="R837" s="59">
        <f t="shared" si="480"/>
        <v>1.6569655245159708E-2</v>
      </c>
      <c r="S837" s="59">
        <f t="shared" si="481"/>
        <v>0.97695035460992918</v>
      </c>
      <c r="T837" s="59">
        <f t="shared" si="482"/>
        <v>0.89226519337016574</v>
      </c>
      <c r="U837" s="59">
        <f t="shared" si="483"/>
        <v>0.59340921006518599</v>
      </c>
      <c r="V837" s="59">
        <f t="shared" si="484"/>
        <v>0.82451294081719062</v>
      </c>
      <c r="W837" s="59">
        <f t="shared" si="485"/>
        <v>2.3293172690763048E-2</v>
      </c>
      <c r="X837" s="59">
        <f t="shared" si="486"/>
        <v>1.7657027278193845E-2</v>
      </c>
      <c r="Y837" s="59">
        <f t="shared" si="487"/>
        <v>1.516143291314161E-2</v>
      </c>
      <c r="Z837" s="59">
        <f t="shared" si="488"/>
        <v>3.0262386957075536E-2</v>
      </c>
      <c r="AA837" s="59">
        <f t="shared" si="491"/>
        <v>1.8355514135950213E-2</v>
      </c>
      <c r="AB837" s="59">
        <f t="shared" si="489"/>
        <v>1.6009887012999921E-2</v>
      </c>
      <c r="AC837" s="60">
        <f t="shared" si="492"/>
        <v>27658896.403126892</v>
      </c>
      <c r="AD837" s="60">
        <f t="shared" si="479"/>
        <v>27069637.904174913</v>
      </c>
      <c r="AE837" s="59">
        <f t="shared" si="467"/>
        <v>0.10410316313425172</v>
      </c>
      <c r="AF837" s="57">
        <f>MIN(MAX(AD837,AH766*(1-SIM_Parametres!$E$32)),AH766*(1+SIM_Parametres!$F$32))</f>
        <v>27069637.904174913</v>
      </c>
      <c r="AG837" s="57">
        <f>IF(F837-SUM($AF$785:$AF$855)&gt;=0,IFERROR((F837-SUM($AF$785:$AF$855))/(SUM($AH$714:$AH$784)*(1+SIM_Parametres!$F$33)-SUM($AF$785:$AF$855)),0),IFERROR((F837-SUM($AF$785:$AF$855))/(SUM($AF$785:$AF$855)-SUM($AH$714:$AH$784)*(1-SIM_Parametres!$E$33)),0))</f>
        <v>6.4281496449413555E-2</v>
      </c>
      <c r="AH837" s="57">
        <f>AF837+IF(AG837&gt;=0,AG837*(AH766*(1+SIM_Parametres!$F$33)-AF837),AG837*(AF837-AH766*(1-SIM_Parametres!$E$33)))</f>
        <v>27141971.745066449</v>
      </c>
      <c r="AI837" s="60">
        <f t="shared" si="493"/>
        <v>80.291163418385111</v>
      </c>
      <c r="AJ837" s="60">
        <f t="shared" si="494"/>
        <v>1840109.3377474695</v>
      </c>
      <c r="AK837" s="59">
        <f t="shared" si="468"/>
        <v>0.10705348049027652</v>
      </c>
    </row>
    <row r="838" spans="1:37" ht="12.75" customHeight="1" x14ac:dyDescent="0.25">
      <c r="A838" s="62" t="s">
        <v>652</v>
      </c>
      <c r="B838" s="62" t="s">
        <v>444</v>
      </c>
      <c r="C838" s="62" t="s">
        <v>446</v>
      </c>
      <c r="D838" s="124">
        <v>2027</v>
      </c>
      <c r="E838" s="62" t="s">
        <v>676</v>
      </c>
      <c r="F838" s="64">
        <f>SIM_Parametres!$C$33</f>
        <v>1580389817.0408096</v>
      </c>
      <c r="G838" s="125">
        <f>SIM_Districts!D57*(1+SIM_Parametres!$B$6)^(2027-2023)</f>
        <v>170421.16748377</v>
      </c>
      <c r="H838" s="125">
        <f>MAX(0,MIN(100,SIM_Districts!F57+(2027-2022)*SIM_Parametres!$B$7))</f>
        <v>58.65</v>
      </c>
      <c r="I838" s="125">
        <f>SIM_Districts!G57*(1+SIM_Parametres!$B$8)^(2027-2023)</f>
        <v>31.229958399999997</v>
      </c>
      <c r="J838" s="125">
        <f>SIM_Districts!H57*(1+SIM_Parametres!$B$9)^(2027-2023)</f>
        <v>15.418350000000004</v>
      </c>
      <c r="K838" s="125">
        <f>MAX(0,MIN(100,SIM_Districts!I57+(2027-2023)*SIM_Parametres!$B$10))</f>
        <v>93.6</v>
      </c>
      <c r="L838" s="125">
        <f>SIM_Districts!E57</f>
        <v>1360</v>
      </c>
      <c r="M838" s="61">
        <f t="shared" si="490"/>
        <v>125.3096819733603</v>
      </c>
      <c r="N838" s="125">
        <f>N767*(1+SIM_Parametres!$B$6)/(1+SIM_Parametres!$B$11)</f>
        <v>71159</v>
      </c>
      <c r="O838" s="132"/>
      <c r="P838" s="126">
        <f>SIM_Parametres!$D$33</f>
        <v>0.75</v>
      </c>
      <c r="Q838" s="126">
        <f>SIM_Parametres!$B$12</f>
        <v>0.2</v>
      </c>
      <c r="R838" s="66">
        <f t="shared" si="480"/>
        <v>8.3534016815705377E-3</v>
      </c>
      <c r="S838" s="66">
        <f t="shared" si="481"/>
        <v>0.9485815602836879</v>
      </c>
      <c r="T838" s="66">
        <f t="shared" si="482"/>
        <v>0.86464088397790051</v>
      </c>
      <c r="U838" s="66">
        <f t="shared" si="483"/>
        <v>0.54526424876049673</v>
      </c>
      <c r="V838" s="66">
        <f t="shared" si="484"/>
        <v>8.1455312710388056E-2</v>
      </c>
      <c r="W838" s="66">
        <f t="shared" si="485"/>
        <v>2.2616782921158311E-2</v>
      </c>
      <c r="X838" s="66">
        <f t="shared" si="486"/>
        <v>1.7110370086918493E-2</v>
      </c>
      <c r="Y838" s="66">
        <f t="shared" si="487"/>
        <v>1.3931343139431052E-2</v>
      </c>
      <c r="Z838" s="66">
        <f t="shared" si="488"/>
        <v>2.9896828429499429E-3</v>
      </c>
      <c r="AA838" s="66">
        <f t="shared" si="491"/>
        <v>1.1817165259272892E-2</v>
      </c>
      <c r="AB838" s="66">
        <f t="shared" si="489"/>
        <v>1.3640153170255189E-2</v>
      </c>
      <c r="AC838" s="67">
        <f t="shared" si="492"/>
        <v>19392384.415158048</v>
      </c>
      <c r="AD838" s="67">
        <f t="shared" si="479"/>
        <v>19933478.10465559</v>
      </c>
      <c r="AE838" s="66">
        <f t="shared" si="467"/>
        <v>-4.5712333715316245E-2</v>
      </c>
      <c r="AF838" s="64">
        <f>MIN(MAX(AD838,AH767*(1-SIM_Parametres!$E$32)),AH767*(1+SIM_Parametres!$F$32))</f>
        <v>19933478.10465559</v>
      </c>
      <c r="AG838" s="64">
        <f>IF(F838-SUM($AF$785:$AF$855)&gt;=0,IFERROR((F838-SUM($AF$785:$AF$855))/(SUM($AH$714:$AH$784)*(1+SIM_Parametres!$F$33)-SUM($AF$785:$AF$855)),0),IFERROR((F838-SUM($AF$785:$AF$855))/(SUM($AF$785:$AF$855)-SUM($AH$714:$AH$784)*(1-SIM_Parametres!$E$33)),0))</f>
        <v>6.4281496449413555E-2</v>
      </c>
      <c r="AH838" s="64">
        <f>AF838+IF(AG838&gt;=0,AG838*(AH767*(1+SIM_Parametres!$F$33)-AF838),AG838*(AF838-AH767*(1-SIM_Parametres!$E$33)))</f>
        <v>20196267.567169026</v>
      </c>
      <c r="AI838" s="67">
        <f t="shared" si="493"/>
        <v>118.50797565444685</v>
      </c>
      <c r="AJ838" s="67">
        <f t="shared" si="494"/>
        <v>-1360491.605979193</v>
      </c>
      <c r="AK838" s="66">
        <f t="shared" si="468"/>
        <v>-3.3131652030488623E-2</v>
      </c>
    </row>
    <row r="839" spans="1:37" ht="12.75" customHeight="1" x14ac:dyDescent="0.25">
      <c r="A839" s="55" t="s">
        <v>654</v>
      </c>
      <c r="B839" s="55" t="s">
        <v>444</v>
      </c>
      <c r="C839" s="55" t="s">
        <v>447</v>
      </c>
      <c r="D839" s="128">
        <v>2027</v>
      </c>
      <c r="E839" s="55" t="s">
        <v>676</v>
      </c>
      <c r="F839" s="57">
        <f>SIM_Parametres!$C$33</f>
        <v>1580389817.0408096</v>
      </c>
      <c r="G839" s="129">
        <f>SIM_Districts!D58*(1+SIM_Parametres!$B$6)^(2027-2023)</f>
        <v>83572.40566892999</v>
      </c>
      <c r="H839" s="129">
        <f>MAX(0,MIN(100,SIM_Districts!F58+(2027-2022)*SIM_Parametres!$B$7))</f>
        <v>58.65</v>
      </c>
      <c r="I839" s="129">
        <f>SIM_Districts!G58*(1+SIM_Parametres!$B$8)^(2027-2023)</f>
        <v>31.229958399999997</v>
      </c>
      <c r="J839" s="129">
        <f>SIM_Districts!H58*(1+SIM_Parametres!$B$9)^(2027-2023)</f>
        <v>15.418350000000004</v>
      </c>
      <c r="K839" s="129">
        <f>MAX(0,MIN(100,SIM_Districts!I58+(2027-2023)*SIM_Parametres!$B$10))</f>
        <v>93.6</v>
      </c>
      <c r="L839" s="129">
        <f>SIM_Districts!E58</f>
        <v>6089</v>
      </c>
      <c r="M839" s="68">
        <f t="shared" si="490"/>
        <v>13.725144632768925</v>
      </c>
      <c r="N839" s="129">
        <f>N768*(1+SIM_Parametres!$B$6)/(1+SIM_Parametres!$B$11)</f>
        <v>71159</v>
      </c>
      <c r="O839" s="72"/>
      <c r="P839" s="130">
        <f>SIM_Parametres!$D$33</f>
        <v>0.75</v>
      </c>
      <c r="Q839" s="130">
        <f>SIM_Parametres!$B$12</f>
        <v>0.2</v>
      </c>
      <c r="R839" s="59">
        <f t="shared" si="480"/>
        <v>4.0964035416211986E-3</v>
      </c>
      <c r="S839" s="59">
        <f t="shared" si="481"/>
        <v>0.9485815602836879</v>
      </c>
      <c r="T839" s="59">
        <f t="shared" si="482"/>
        <v>0.86464088397790051</v>
      </c>
      <c r="U839" s="59">
        <f t="shared" si="483"/>
        <v>0.71048099676349064</v>
      </c>
      <c r="V839" s="59">
        <f t="shared" si="484"/>
        <v>8.1455312710388056E-2</v>
      </c>
      <c r="W839" s="59">
        <f t="shared" si="485"/>
        <v>2.2616782921158311E-2</v>
      </c>
      <c r="X839" s="59">
        <f t="shared" si="486"/>
        <v>1.7110370086918493E-2</v>
      </c>
      <c r="Y839" s="59">
        <f t="shared" si="487"/>
        <v>1.8152583050250179E-2</v>
      </c>
      <c r="Z839" s="59">
        <f t="shared" si="488"/>
        <v>2.9896828429499429E-3</v>
      </c>
      <c r="AA839" s="59">
        <f t="shared" si="491"/>
        <v>9.4740283708442466E-3</v>
      </c>
      <c r="AB839" s="59">
        <f t="shared" si="489"/>
        <v>1.1439097470633847E-2</v>
      </c>
      <c r="AC839" s="60">
        <f t="shared" si="492"/>
        <v>16429928.672433792</v>
      </c>
      <c r="AD839" s="60">
        <f t="shared" si="479"/>
        <v>16842004.794007096</v>
      </c>
      <c r="AE839" s="59">
        <f t="shared" si="467"/>
        <v>-3.8570373840714267E-2</v>
      </c>
      <c r="AF839" s="57">
        <f>MIN(MAX(AD839,AH768*(1-SIM_Parametres!$E$32)),AH768*(1+SIM_Parametres!$F$32))</f>
        <v>16842004.794007096</v>
      </c>
      <c r="AG839" s="57">
        <f>IF(F839-SUM($AF$785:$AF$855)&gt;=0,IFERROR((F839-SUM($AF$785:$AF$855))/(SUM($AH$714:$AH$784)*(1+SIM_Parametres!$F$33)-SUM($AF$785:$AF$855)),0),IFERROR((F839-SUM($AF$785:$AF$855))/(SUM($AF$785:$AF$855)-SUM($AH$714:$AH$784)*(1-SIM_Parametres!$E$33)),0))</f>
        <v>6.4281496449413555E-2</v>
      </c>
      <c r="AH839" s="57">
        <f>AF839+IF(AG839&gt;=0,AG839*(AH768*(1+SIM_Parametres!$F$33)-AF839),AG839*(AF839-AH768*(1-SIM_Parametres!$E$33)))</f>
        <v>17054346.707422137</v>
      </c>
      <c r="AI839" s="60">
        <f t="shared" si="493"/>
        <v>204.06672000064839</v>
      </c>
      <c r="AJ839" s="60">
        <f t="shared" si="494"/>
        <v>-1023886.4513048753</v>
      </c>
      <c r="AK839" s="59">
        <f t="shared" si="468"/>
        <v>-2.6448788024207803E-2</v>
      </c>
    </row>
    <row r="840" spans="1:37" ht="12.75" customHeight="1" x14ac:dyDescent="0.25">
      <c r="A840" s="62" t="s">
        <v>655</v>
      </c>
      <c r="B840" s="62" t="s">
        <v>444</v>
      </c>
      <c r="C840" s="62" t="s">
        <v>448</v>
      </c>
      <c r="D840" s="124">
        <v>2027</v>
      </c>
      <c r="E840" s="62" t="s">
        <v>676</v>
      </c>
      <c r="F840" s="64">
        <f>SIM_Parametres!$C$33</f>
        <v>1580389817.0408096</v>
      </c>
      <c r="G840" s="125">
        <f>SIM_Districts!D59*(1+SIM_Parametres!$B$6)^(2027-2023)</f>
        <v>147222.17989204999</v>
      </c>
      <c r="H840" s="125">
        <f>MAX(0,MIN(100,SIM_Districts!F59+(2027-2022)*SIM_Parametres!$B$7))</f>
        <v>58.65</v>
      </c>
      <c r="I840" s="125">
        <f>SIM_Districts!G59*(1+SIM_Parametres!$B$8)^(2027-2023)</f>
        <v>31.229958399999997</v>
      </c>
      <c r="J840" s="125">
        <f>SIM_Districts!H59*(1+SIM_Parametres!$B$9)^(2027-2023)</f>
        <v>15.418350000000004</v>
      </c>
      <c r="K840" s="125">
        <f>MAX(0,MIN(100,SIM_Districts!I59+(2027-2023)*SIM_Parametres!$B$10))</f>
        <v>93.6</v>
      </c>
      <c r="L840" s="125">
        <f>SIM_Districts!E59</f>
        <v>9596</v>
      </c>
      <c r="M840" s="61">
        <f t="shared" si="490"/>
        <v>15.342036253860982</v>
      </c>
      <c r="N840" s="125">
        <f>N769*(1+SIM_Parametres!$B$6)/(1+SIM_Parametres!$B$11)</f>
        <v>71159</v>
      </c>
      <c r="O840" s="132"/>
      <c r="P840" s="126">
        <f>SIM_Parametres!$D$33</f>
        <v>0.75</v>
      </c>
      <c r="Q840" s="126">
        <f>SIM_Parametres!$B$12</f>
        <v>0.2</v>
      </c>
      <c r="R840" s="66">
        <f t="shared" si="480"/>
        <v>7.2162749688465238E-3</v>
      </c>
      <c r="S840" s="66">
        <f t="shared" si="481"/>
        <v>0.9485815602836879</v>
      </c>
      <c r="T840" s="66">
        <f t="shared" si="482"/>
        <v>0.86464088397790051</v>
      </c>
      <c r="U840" s="66">
        <f t="shared" si="483"/>
        <v>0.83194467542502515</v>
      </c>
      <c r="V840" s="66">
        <f t="shared" si="484"/>
        <v>8.1455312710388056E-2</v>
      </c>
      <c r="W840" s="66">
        <f t="shared" si="485"/>
        <v>2.2616782921158311E-2</v>
      </c>
      <c r="X840" s="66">
        <f t="shared" si="486"/>
        <v>1.7110370086918493E-2</v>
      </c>
      <c r="Y840" s="66">
        <f t="shared" si="487"/>
        <v>2.1255944751036641E-2</v>
      </c>
      <c r="Z840" s="66">
        <f t="shared" si="488"/>
        <v>2.9896828429499429E-3</v>
      </c>
      <c r="AA840" s="66">
        <f t="shared" si="491"/>
        <v>1.1501119312218764E-2</v>
      </c>
      <c r="AB840" s="66">
        <f t="shared" si="489"/>
        <v>1.2532041925184891E-2</v>
      </c>
      <c r="AC840" s="67">
        <f t="shared" si="492"/>
        <v>18992803.778004956</v>
      </c>
      <c r="AD840" s="67">
        <f t="shared" si="479"/>
        <v>19195980.694826394</v>
      </c>
      <c r="AE840" s="66">
        <f t="shared" si="467"/>
        <v>2.3935921994322484E-4</v>
      </c>
      <c r="AF840" s="64">
        <f>MIN(MAX(AD840,AH769*(1-SIM_Parametres!$E$32)),AH769*(1+SIM_Parametres!$F$32))</f>
        <v>19195980.694826394</v>
      </c>
      <c r="AG840" s="64">
        <f>IF(F840-SUM($AF$785:$AF$855)&gt;=0,IFERROR((F840-SUM($AF$785:$AF$855))/(SUM($AH$714:$AH$784)*(1+SIM_Parametres!$F$33)-SUM($AF$785:$AF$855)),0),IFERROR((F840-SUM($AF$785:$AF$855))/(SUM($AF$785:$AF$855)-SUM($AH$714:$AH$784)*(1-SIM_Parametres!$E$33)),0))</f>
        <v>6.4281496449413555E-2</v>
      </c>
      <c r="AH840" s="64">
        <f>AF840+IF(AG840&gt;=0,AG840*(AH769*(1+SIM_Parametres!$F$33)-AF840),AG840*(AF840-AH769*(1-SIM_Parametres!$E$33)))</f>
        <v>19380733.070934042</v>
      </c>
      <c r="AI840" s="67">
        <f t="shared" si="493"/>
        <v>131.64275304947176</v>
      </c>
      <c r="AJ840" s="67">
        <f t="shared" si="494"/>
        <v>-424778.37435666472</v>
      </c>
      <c r="AK840" s="66">
        <f t="shared" si="468"/>
        <v>9.8661973185085738E-3</v>
      </c>
    </row>
    <row r="841" spans="1:37" ht="12.75" customHeight="1" x14ac:dyDescent="0.25">
      <c r="A841" s="55" t="s">
        <v>656</v>
      </c>
      <c r="B841" s="55" t="s">
        <v>444</v>
      </c>
      <c r="C841" s="55" t="s">
        <v>449</v>
      </c>
      <c r="D841" s="128">
        <v>2027</v>
      </c>
      <c r="E841" s="55" t="s">
        <v>676</v>
      </c>
      <c r="F841" s="57">
        <f>SIM_Parametres!$C$33</f>
        <v>1580389817.0408096</v>
      </c>
      <c r="G841" s="129">
        <f>SIM_Districts!D60*(1+SIM_Parametres!$B$6)^(2027-2023)</f>
        <v>108645.36542929999</v>
      </c>
      <c r="H841" s="129">
        <f>MAX(0,MIN(100,SIM_Districts!F60+(2027-2022)*SIM_Parametres!$B$7))</f>
        <v>58.65</v>
      </c>
      <c r="I841" s="129">
        <f>SIM_Districts!G60*(1+SIM_Parametres!$B$8)^(2027-2023)</f>
        <v>31.229958399999997</v>
      </c>
      <c r="J841" s="129">
        <f>SIM_Districts!H60*(1+SIM_Parametres!$B$9)^(2027-2023)</f>
        <v>15.418350000000004</v>
      </c>
      <c r="K841" s="129">
        <f>MAX(0,MIN(100,SIM_Districts!I60+(2027-2023)*SIM_Parametres!$B$10))</f>
        <v>93.6</v>
      </c>
      <c r="L841" s="129">
        <f>SIM_Districts!E60</f>
        <v>5363</v>
      </c>
      <c r="M841" s="68">
        <f t="shared" si="490"/>
        <v>20.258319117900427</v>
      </c>
      <c r="N841" s="129">
        <f>N770*(1+SIM_Parametres!$B$6)/(1+SIM_Parametres!$B$11)</f>
        <v>71159</v>
      </c>
      <c r="O841" s="72"/>
      <c r="P841" s="130">
        <f>SIM_Parametres!$D$33</f>
        <v>0.75</v>
      </c>
      <c r="Q841" s="130">
        <f>SIM_Parametres!$B$12</f>
        <v>0.2</v>
      </c>
      <c r="R841" s="59">
        <f t="shared" si="480"/>
        <v>5.3253852891155147E-3</v>
      </c>
      <c r="S841" s="59">
        <f t="shared" si="481"/>
        <v>0.9485815602836879</v>
      </c>
      <c r="T841" s="59">
        <f t="shared" si="482"/>
        <v>0.86464088397790051</v>
      </c>
      <c r="U841" s="59">
        <f t="shared" si="483"/>
        <v>0.68524994865574673</v>
      </c>
      <c r="V841" s="59">
        <f t="shared" si="484"/>
        <v>8.1455312710388056E-2</v>
      </c>
      <c r="W841" s="59">
        <f t="shared" si="485"/>
        <v>2.2616782921158311E-2</v>
      </c>
      <c r="X841" s="59">
        <f t="shared" si="486"/>
        <v>1.7110370086918493E-2</v>
      </c>
      <c r="Y841" s="59">
        <f t="shared" si="487"/>
        <v>1.7507937101509705E-2</v>
      </c>
      <c r="Z841" s="59">
        <f t="shared" si="488"/>
        <v>2.9896828429499429E-3</v>
      </c>
      <c r="AA841" s="59">
        <f t="shared" si="491"/>
        <v>1.017918512190381E-2</v>
      </c>
      <c r="AB841" s="59">
        <f t="shared" si="489"/>
        <v>1.2495102337378182E-2</v>
      </c>
      <c r="AC841" s="60">
        <f t="shared" si="492"/>
        <v>17321466.711467482</v>
      </c>
      <c r="AD841" s="60">
        <f t="shared" si="479"/>
        <v>17927883.157819435</v>
      </c>
      <c r="AE841" s="59">
        <f t="shared" si="467"/>
        <v>-6.3075339075318482E-2</v>
      </c>
      <c r="AF841" s="57">
        <f>MIN(MAX(AD841,AH770*(1-SIM_Parametres!$E$32)),AH770*(1+SIM_Parametres!$F$32))</f>
        <v>18178077.395379398</v>
      </c>
      <c r="AG841" s="57">
        <f>IF(F841-SUM($AF$785:$AF$855)&gt;=0,IFERROR((F841-SUM($AF$785:$AF$855))/(SUM($AH$714:$AH$784)*(1+SIM_Parametres!$F$33)-SUM($AF$785:$AF$855)),0),IFERROR((F841-SUM($AF$785:$AF$855))/(SUM($AF$785:$AF$855)-SUM($AH$714:$AH$784)*(1-SIM_Parametres!$E$33)),0))</f>
        <v>6.4281496449413555E-2</v>
      </c>
      <c r="AH841" s="57">
        <f>AF841+IF(AG841&gt;=0,AG841*(AH770*(1+SIM_Parametres!$F$33)-AF841),AG841*(AF841-AH770*(1-SIM_Parametres!$E$33)))</f>
        <v>18424080.346442185</v>
      </c>
      <c r="AI841" s="60">
        <f t="shared" si="493"/>
        <v>169.57999334478279</v>
      </c>
      <c r="AJ841" s="60">
        <f t="shared" si="494"/>
        <v>-1323052.1504331119</v>
      </c>
      <c r="AK841" s="59">
        <f t="shared" si="468"/>
        <v>-3.7143700710117522E-2</v>
      </c>
    </row>
    <row r="842" spans="1:37" ht="12.75" customHeight="1" x14ac:dyDescent="0.25">
      <c r="A842" s="62" t="s">
        <v>657</v>
      </c>
      <c r="B842" s="62" t="s">
        <v>444</v>
      </c>
      <c r="C842" s="62" t="s">
        <v>450</v>
      </c>
      <c r="D842" s="124">
        <v>2027</v>
      </c>
      <c r="E842" s="62" t="s">
        <v>676</v>
      </c>
      <c r="F842" s="64">
        <f>SIM_Parametres!$C$33</f>
        <v>1580389817.0408096</v>
      </c>
      <c r="G842" s="125">
        <f>SIM_Districts!D61*(1+SIM_Parametres!$B$6)^(2027-2023)</f>
        <v>138054.91063459998</v>
      </c>
      <c r="H842" s="125">
        <f>MAX(0,MIN(100,SIM_Districts!F61+(2027-2022)*SIM_Parametres!$B$7))</f>
        <v>58.65</v>
      </c>
      <c r="I842" s="125">
        <f>SIM_Districts!G61*(1+SIM_Parametres!$B$8)^(2027-2023)</f>
        <v>31.229958399999997</v>
      </c>
      <c r="J842" s="125">
        <f>SIM_Districts!H61*(1+SIM_Parametres!$B$9)^(2027-2023)</f>
        <v>15.418350000000004</v>
      </c>
      <c r="K842" s="125">
        <f>MAX(0,MIN(100,SIM_Districts!I61+(2027-2023)*SIM_Parametres!$B$10))</f>
        <v>93.6</v>
      </c>
      <c r="L842" s="125">
        <f>SIM_Districts!E61</f>
        <v>2477</v>
      </c>
      <c r="M842" s="61">
        <f t="shared" si="490"/>
        <v>55.734723711990299</v>
      </c>
      <c r="N842" s="125">
        <f>N771*(1+SIM_Parametres!$B$6)/(1+SIM_Parametres!$B$11)</f>
        <v>71159</v>
      </c>
      <c r="O842" s="132"/>
      <c r="P842" s="126">
        <f>SIM_Parametres!$D$33</f>
        <v>0.75</v>
      </c>
      <c r="Q842" s="126">
        <f>SIM_Parametres!$B$12</f>
        <v>0.2</v>
      </c>
      <c r="R842" s="66">
        <f t="shared" si="480"/>
        <v>6.7669300690242308E-3</v>
      </c>
      <c r="S842" s="66">
        <f t="shared" si="481"/>
        <v>0.9485815602836879</v>
      </c>
      <c r="T842" s="66">
        <f t="shared" si="482"/>
        <v>0.86464088397790051</v>
      </c>
      <c r="U842" s="66">
        <f t="shared" si="483"/>
        <v>0.58483187330804909</v>
      </c>
      <c r="V842" s="66">
        <f t="shared" si="484"/>
        <v>8.1455312710388056E-2</v>
      </c>
      <c r="W842" s="66">
        <f t="shared" si="485"/>
        <v>2.2616782921158311E-2</v>
      </c>
      <c r="X842" s="66">
        <f t="shared" si="486"/>
        <v>1.7110370086918493E-2</v>
      </c>
      <c r="Y842" s="66">
        <f t="shared" si="487"/>
        <v>1.4942284450982639E-2</v>
      </c>
      <c r="Z842" s="66">
        <f t="shared" si="488"/>
        <v>2.9896828429499429E-3</v>
      </c>
      <c r="AA842" s="66">
        <f t="shared" si="491"/>
        <v>1.0915829357322687E-2</v>
      </c>
      <c r="AB842" s="66">
        <f t="shared" si="489"/>
        <v>1.2431635340866318E-2</v>
      </c>
      <c r="AC842" s="67">
        <f t="shared" si="492"/>
        <v>18252814.750217728</v>
      </c>
      <c r="AD842" s="67">
        <f t="shared" si="479"/>
        <v>18601318.538130742</v>
      </c>
      <c r="AE842" s="66">
        <f t="shared" si="467"/>
        <v>-2.2918158948177836E-2</v>
      </c>
      <c r="AF842" s="64">
        <f>MIN(MAX(AD842,AH771*(1-SIM_Parametres!$E$32)),AH771*(1+SIM_Parametres!$F$32))</f>
        <v>18601318.538130742</v>
      </c>
      <c r="AG842" s="64">
        <f>IF(F842-SUM($AF$785:$AF$855)&gt;=0,IFERROR((F842-SUM($AF$785:$AF$855))/(SUM($AH$714:$AH$784)*(1+SIM_Parametres!$F$33)-SUM($AF$785:$AF$855)),0),IFERROR((F842-SUM($AF$785:$AF$855))/(SUM($AF$785:$AF$855)-SUM($AH$714:$AH$784)*(1-SIM_Parametres!$E$33)),0))</f>
        <v>6.4281496449413555E-2</v>
      </c>
      <c r="AH842" s="64">
        <f>AF842+IF(AG842&gt;=0,AG842*(AH771*(1+SIM_Parametres!$F$33)-AF842),AG842*(AF842-AH771*(1-SIM_Parametres!$E$33)))</f>
        <v>18812930.088588957</v>
      </c>
      <c r="AI842" s="67">
        <f t="shared" si="493"/>
        <v>136.27135754976882</v>
      </c>
      <c r="AJ842" s="67">
        <f t="shared" si="494"/>
        <v>-833899.81328082457</v>
      </c>
      <c r="AK842" s="66">
        <f t="shared" si="468"/>
        <v>-1.1802720927711507E-2</v>
      </c>
    </row>
    <row r="843" spans="1:37" ht="12.75" customHeight="1" x14ac:dyDescent="0.25">
      <c r="A843" s="55" t="s">
        <v>658</v>
      </c>
      <c r="B843" s="55" t="s">
        <v>444</v>
      </c>
      <c r="C843" s="55" t="s">
        <v>451</v>
      </c>
      <c r="D843" s="128">
        <v>2027</v>
      </c>
      <c r="E843" s="55" t="s">
        <v>676</v>
      </c>
      <c r="F843" s="57">
        <f>SIM_Parametres!$C$33</f>
        <v>1580389817.0408096</v>
      </c>
      <c r="G843" s="129">
        <f>SIM_Districts!D62*(1+SIM_Parametres!$B$6)^(2027-2023)</f>
        <v>463132.24370046996</v>
      </c>
      <c r="H843" s="129">
        <f>MAX(0,MIN(100,SIM_Districts!F62+(2027-2022)*SIM_Parametres!$B$7))</f>
        <v>58.65</v>
      </c>
      <c r="I843" s="129">
        <f>SIM_Districts!G62*(1+SIM_Parametres!$B$8)^(2027-2023)</f>
        <v>31.229958399999997</v>
      </c>
      <c r="J843" s="129">
        <f>SIM_Districts!H62*(1+SIM_Parametres!$B$9)^(2027-2023)</f>
        <v>15.418350000000004</v>
      </c>
      <c r="K843" s="129">
        <f>MAX(0,MIN(100,SIM_Districts!I62+(2027-2023)*SIM_Parametres!$B$10))</f>
        <v>93.6</v>
      </c>
      <c r="L843" s="129">
        <f>SIM_Districts!E62</f>
        <v>11599</v>
      </c>
      <c r="M843" s="68">
        <f t="shared" si="490"/>
        <v>39.928635546208291</v>
      </c>
      <c r="N843" s="129">
        <f>N772*(1+SIM_Parametres!$B$6)/(1+SIM_Parametres!$B$11)</f>
        <v>71159</v>
      </c>
      <c r="O843" s="72"/>
      <c r="P843" s="130">
        <f>SIM_Parametres!$D$33</f>
        <v>0.75</v>
      </c>
      <c r="Q843" s="130">
        <f>SIM_Parametres!$B$12</f>
        <v>0.2</v>
      </c>
      <c r="R843" s="59">
        <f t="shared" si="480"/>
        <v>2.2700992608124686E-2</v>
      </c>
      <c r="S843" s="59">
        <f t="shared" si="481"/>
        <v>0.9485815602836879</v>
      </c>
      <c r="T843" s="59">
        <f t="shared" si="482"/>
        <v>0.86464088397790051</v>
      </c>
      <c r="U843" s="59">
        <f t="shared" si="483"/>
        <v>0.90102051224376711</v>
      </c>
      <c r="V843" s="59">
        <f t="shared" si="484"/>
        <v>8.1455312710388056E-2</v>
      </c>
      <c r="W843" s="59">
        <f t="shared" si="485"/>
        <v>2.2616782921158311E-2</v>
      </c>
      <c r="X843" s="59">
        <f t="shared" si="486"/>
        <v>1.7110370086918493E-2</v>
      </c>
      <c r="Y843" s="59">
        <f t="shared" si="487"/>
        <v>2.3020812313054136E-2</v>
      </c>
      <c r="Z843" s="59">
        <f t="shared" si="488"/>
        <v>2.9896828429499429E-3</v>
      </c>
      <c r="AA843" s="59">
        <f t="shared" si="491"/>
        <v>2.0880193273886537E-2</v>
      </c>
      <c r="AB843" s="59">
        <f t="shared" si="489"/>
        <v>1.605311599610449E-2</v>
      </c>
      <c r="AC843" s="60">
        <f t="shared" si="492"/>
        <v>30850878.163838841</v>
      </c>
      <c r="AD843" s="60">
        <f t="shared" si="479"/>
        <v>29480703.885883745</v>
      </c>
      <c r="AE843" s="59">
        <f t="shared" ref="AE843:AE906" si="495">IFERROR(AD843/AH772-1,0)</f>
        <v>0.19920651523341992</v>
      </c>
      <c r="AF843" s="57">
        <f>MIN(MAX(AD843,AH772*(1-SIM_Parametres!$E$32)),AH772*(1+SIM_Parametres!$F$32))</f>
        <v>28271035.087036099</v>
      </c>
      <c r="AG843" s="57">
        <f>IF(F843-SUM($AF$785:$AF$855)&gt;=0,IFERROR((F843-SUM($AF$785:$AF$855))/(SUM($AH$714:$AH$784)*(1+SIM_Parametres!$F$33)-SUM($AF$785:$AF$855)),0),IFERROR((F843-SUM($AF$785:$AF$855))/(SUM($AF$785:$AF$855)-SUM($AH$714:$AH$784)*(1-SIM_Parametres!$E$33)),0))</f>
        <v>6.4281496449413555E-2</v>
      </c>
      <c r="AH843" s="57">
        <f>AF843+IF(AG843&gt;=0,AG843*(AH772*(1+SIM_Parametres!$F$33)-AF843),AG843*(AF843-AH772*(1-SIM_Parametres!$E$33)))</f>
        <v>28271035.087036099</v>
      </c>
      <c r="AI843" s="60">
        <f t="shared" si="493"/>
        <v>61.043115592963005</v>
      </c>
      <c r="AJ843" s="60">
        <f t="shared" si="494"/>
        <v>2900854.0350176282</v>
      </c>
      <c r="AK843" s="59">
        <f t="shared" ref="AK843:AK906" si="496">IFERROR(AH843/AH772-1,0)</f>
        <v>0.14999999999999991</v>
      </c>
    </row>
    <row r="844" spans="1:37" ht="12.75" customHeight="1" x14ac:dyDescent="0.25">
      <c r="A844" s="62" t="s">
        <v>659</v>
      </c>
      <c r="B844" s="62" t="s">
        <v>452</v>
      </c>
      <c r="C844" s="62" t="s">
        <v>454</v>
      </c>
      <c r="D844" s="124">
        <v>2027</v>
      </c>
      <c r="E844" s="62" t="s">
        <v>676</v>
      </c>
      <c r="F844" s="64">
        <f>SIM_Parametres!$C$33</f>
        <v>1580389817.0408096</v>
      </c>
      <c r="G844" s="125">
        <f>SIM_Districts!D63*(1+SIM_Parametres!$B$6)^(2027-2023)</f>
        <v>137388.60941907999</v>
      </c>
      <c r="H844" s="125">
        <f>MAX(0,MIN(100,SIM_Districts!F63+(2027-2022)*SIM_Parametres!$B$7))</f>
        <v>25.75</v>
      </c>
      <c r="I844" s="125">
        <f>SIM_Districts!G63*(1+SIM_Parametres!$B$8)^(2027-2023)</f>
        <v>31.229958399999997</v>
      </c>
      <c r="J844" s="125">
        <f>SIM_Districts!H63*(1+SIM_Parametres!$B$9)^(2027-2023)</f>
        <v>10.431990000000003</v>
      </c>
      <c r="K844" s="125">
        <f>MAX(0,MIN(100,SIM_Districts!I63+(2027-2023)*SIM_Parametres!$B$10))</f>
        <v>100</v>
      </c>
      <c r="L844" s="125">
        <f>SIM_Districts!E63</f>
        <v>393</v>
      </c>
      <c r="M844" s="61">
        <f t="shared" si="490"/>
        <v>349.58933694422387</v>
      </c>
      <c r="N844" s="125">
        <f>N773*(1+SIM_Parametres!$B$6)/(1+SIM_Parametres!$B$11)</f>
        <v>153373</v>
      </c>
      <c r="O844" s="132"/>
      <c r="P844" s="126">
        <f>SIM_Parametres!$D$33</f>
        <v>0.75</v>
      </c>
      <c r="Q844" s="126">
        <f>SIM_Parametres!$B$12</f>
        <v>0.2</v>
      </c>
      <c r="R844" s="66">
        <f t="shared" si="480"/>
        <v>6.7342705011059021E-3</v>
      </c>
      <c r="S844" s="66">
        <f t="shared" si="481"/>
        <v>0.36524822695035453</v>
      </c>
      <c r="T844" s="66">
        <f t="shared" si="482"/>
        <v>0.65469613259668513</v>
      </c>
      <c r="U844" s="66">
        <f t="shared" si="483"/>
        <v>0.5089487082445231</v>
      </c>
      <c r="V844" s="66">
        <f t="shared" si="484"/>
        <v>0.65207282116061327</v>
      </c>
      <c r="W844" s="66">
        <f t="shared" si="485"/>
        <v>8.708518283660956E-3</v>
      </c>
      <c r="X844" s="66">
        <f t="shared" si="486"/>
        <v>1.2955775433225826E-2</v>
      </c>
      <c r="Y844" s="66">
        <f t="shared" si="487"/>
        <v>1.3003491630053692E-2</v>
      </c>
      <c r="Z844" s="66">
        <f t="shared" si="488"/>
        <v>2.3933256909947777E-2</v>
      </c>
      <c r="AA844" s="66">
        <f t="shared" si="491"/>
        <v>9.1370437851966309E-3</v>
      </c>
      <c r="AB844" s="66">
        <f t="shared" si="489"/>
        <v>1.3288554285314209E-2</v>
      </c>
      <c r="AC844" s="67">
        <f t="shared" si="492"/>
        <v>16003875.066308023</v>
      </c>
      <c r="AD844" s="67">
        <f t="shared" si="479"/>
        <v>17253180.268657163</v>
      </c>
      <c r="AE844" s="66">
        <f t="shared" si="495"/>
        <v>-0.15217367023915773</v>
      </c>
      <c r="AF844" s="64">
        <f>MIN(MAX(AD844,AH773*(1-SIM_Parametres!$E$32)),AH773*(1+SIM_Parametres!$F$32))</f>
        <v>19332404.149146672</v>
      </c>
      <c r="AG844" s="64">
        <f>IF(F844-SUM($AF$785:$AF$855)&gt;=0,IFERROR((F844-SUM($AF$785:$AF$855))/(SUM($AH$714:$AH$784)*(1+SIM_Parametres!$F$33)-SUM($AF$785:$AF$855)),0),IFERROR((F844-SUM($AF$785:$AF$855))/(SUM($AF$785:$AF$855)-SUM($AH$714:$AH$784)*(1-SIM_Parametres!$E$33)),0))</f>
        <v>6.4281496449413555E-2</v>
      </c>
      <c r="AH844" s="64">
        <f>AF844+IF(AG844&gt;=0,AG844*(AH773*(1+SIM_Parametres!$F$33)-AF844),AG844*(AF844-AH773*(1-SIM_Parametres!$E$33)))</f>
        <v>19594028.542551305</v>
      </c>
      <c r="AI844" s="67">
        <f t="shared" si="493"/>
        <v>142.61756215017169</v>
      </c>
      <c r="AJ844" s="67">
        <f t="shared" si="494"/>
        <v>-1407067.3331532851</v>
      </c>
      <c r="AK844" s="66">
        <f t="shared" si="496"/>
        <v>-3.71437007101173E-2</v>
      </c>
    </row>
    <row r="845" spans="1:37" ht="12.75" customHeight="1" x14ac:dyDescent="0.25">
      <c r="A845" s="55" t="s">
        <v>661</v>
      </c>
      <c r="B845" s="55" t="s">
        <v>452</v>
      </c>
      <c r="C845" s="55" t="s">
        <v>455</v>
      </c>
      <c r="D845" s="128">
        <v>2027</v>
      </c>
      <c r="E845" s="55" t="s">
        <v>676</v>
      </c>
      <c r="F845" s="57">
        <f>SIM_Parametres!$C$33</f>
        <v>1580389817.0408096</v>
      </c>
      <c r="G845" s="129">
        <f>SIM_Districts!D64*(1+SIM_Parametres!$B$6)^(2027-2023)</f>
        <v>238121.64791407998</v>
      </c>
      <c r="H845" s="129">
        <f>MAX(0,MIN(100,SIM_Districts!F64+(2027-2022)*SIM_Parametres!$B$7))</f>
        <v>25.75</v>
      </c>
      <c r="I845" s="129">
        <f>SIM_Districts!G64*(1+SIM_Parametres!$B$8)^(2027-2023)</f>
        <v>31.229958399999997</v>
      </c>
      <c r="J845" s="129">
        <f>SIM_Districts!H64*(1+SIM_Parametres!$B$9)^(2027-2023)</f>
        <v>10.431990000000003</v>
      </c>
      <c r="K845" s="129">
        <f>MAX(0,MIN(100,SIM_Districts!I64+(2027-2023)*SIM_Parametres!$B$10))</f>
        <v>100</v>
      </c>
      <c r="L845" s="129">
        <f>SIM_Districts!E64</f>
        <v>537</v>
      </c>
      <c r="M845" s="68">
        <f t="shared" si="490"/>
        <v>443.42951194428304</v>
      </c>
      <c r="N845" s="129">
        <f>N774*(1+SIM_Parametres!$B$6)/(1+SIM_Parametres!$B$11)</f>
        <v>153373</v>
      </c>
      <c r="O845" s="72"/>
      <c r="P845" s="130">
        <f>SIM_Parametres!$D$33</f>
        <v>0.75</v>
      </c>
      <c r="Q845" s="130">
        <f>SIM_Parametres!$B$12</f>
        <v>0.2</v>
      </c>
      <c r="R845" s="59">
        <f t="shared" si="480"/>
        <v>1.167182342119125E-2</v>
      </c>
      <c r="S845" s="59">
        <f t="shared" si="481"/>
        <v>0.36524822695035453</v>
      </c>
      <c r="T845" s="59">
        <f t="shared" si="482"/>
        <v>0.65469613259668513</v>
      </c>
      <c r="U845" s="59">
        <f t="shared" si="483"/>
        <v>0.51275775815315705</v>
      </c>
      <c r="V845" s="59">
        <f t="shared" si="484"/>
        <v>0.65207282116061327</v>
      </c>
      <c r="W845" s="59">
        <f t="shared" si="485"/>
        <v>8.708518283660956E-3</v>
      </c>
      <c r="X845" s="59">
        <f t="shared" si="486"/>
        <v>1.2955775433225826E-2</v>
      </c>
      <c r="Y845" s="59">
        <f t="shared" si="487"/>
        <v>1.3100811748570588E-2</v>
      </c>
      <c r="Z845" s="59">
        <f t="shared" si="488"/>
        <v>2.3933256909947777E-2</v>
      </c>
      <c r="AA845" s="59">
        <f t="shared" si="491"/>
        <v>1.2104441543173684E-2</v>
      </c>
      <c r="AB845" s="59">
        <f t="shared" si="489"/>
        <v>1.3675891460855037E-2</v>
      </c>
      <c r="AC845" s="60">
        <f t="shared" si="492"/>
        <v>19755591.226161357</v>
      </c>
      <c r="AD845" s="60">
        <f t="shared" si="479"/>
        <v>20220003.32054368</v>
      </c>
      <c r="AE845" s="59">
        <f t="shared" si="495"/>
        <v>-3.452495741370365E-2</v>
      </c>
      <c r="AF845" s="57">
        <f>MIN(MAX(AD845,AH774*(1-SIM_Parametres!$E$32)),AH774*(1+SIM_Parametres!$F$32))</f>
        <v>20220003.32054368</v>
      </c>
      <c r="AG845" s="57">
        <f>IF(F845-SUM($AF$785:$AF$855)&gt;=0,IFERROR((F845-SUM($AF$785:$AF$855))/(SUM($AH$714:$AH$784)*(1+SIM_Parametres!$F$33)-SUM($AF$785:$AF$855)),0),IFERROR((F845-SUM($AF$785:$AF$855))/(SUM($AF$785:$AF$855)-SUM($AH$714:$AH$784)*(1-SIM_Parametres!$E$33)),0))</f>
        <v>6.4281496449413555E-2</v>
      </c>
      <c r="AH845" s="57">
        <f>AF845+IF(AG845&gt;=0,AG845*(AH774*(1+SIM_Parametres!$F$33)-AF845),AG845*(AF845-AH774*(1-SIM_Parametres!$E$33)))</f>
        <v>20468420.292076662</v>
      </c>
      <c r="AI845" s="60">
        <f t="shared" si="493"/>
        <v>85.957830677629786</v>
      </c>
      <c r="AJ845" s="60">
        <f t="shared" si="494"/>
        <v>-1144819.3116139993</v>
      </c>
      <c r="AK845" s="59">
        <f t="shared" si="496"/>
        <v>-2.2663417018886522E-2</v>
      </c>
    </row>
    <row r="846" spans="1:37" ht="12.75" customHeight="1" x14ac:dyDescent="0.25">
      <c r="A846" s="62" t="s">
        <v>662</v>
      </c>
      <c r="B846" s="62" t="s">
        <v>452</v>
      </c>
      <c r="C846" s="62" t="s">
        <v>456</v>
      </c>
      <c r="D846" s="124">
        <v>2027</v>
      </c>
      <c r="E846" s="62" t="s">
        <v>676</v>
      </c>
      <c r="F846" s="64">
        <f>SIM_Parametres!$C$33</f>
        <v>1580389817.0408096</v>
      </c>
      <c r="G846" s="125">
        <f>SIM_Districts!D65*(1+SIM_Parametres!$B$6)^(2027-2023)</f>
        <v>620009.03816469992</v>
      </c>
      <c r="H846" s="125">
        <f>MAX(0,MIN(100,SIM_Districts!F65+(2027-2022)*SIM_Parametres!$B$7))</f>
        <v>25.75</v>
      </c>
      <c r="I846" s="125">
        <f>SIM_Districts!G65*(1+SIM_Parametres!$B$8)^(2027-2023)</f>
        <v>31.229958399999997</v>
      </c>
      <c r="J846" s="125">
        <f>SIM_Districts!H65*(1+SIM_Parametres!$B$9)^(2027-2023)</f>
        <v>10.431990000000003</v>
      </c>
      <c r="K846" s="125">
        <f>MAX(0,MIN(100,SIM_Districts!I65+(2027-2023)*SIM_Parametres!$B$10))</f>
        <v>100</v>
      </c>
      <c r="L846" s="125">
        <f>SIM_Districts!E65</f>
        <v>487</v>
      </c>
      <c r="M846" s="61">
        <f t="shared" si="490"/>
        <v>1273.1191748761805</v>
      </c>
      <c r="N846" s="125">
        <f>N775*(1+SIM_Parametres!$B$6)/(1+SIM_Parametres!$B$11)</f>
        <v>153373</v>
      </c>
      <c r="O846" s="132"/>
      <c r="P846" s="126">
        <f>SIM_Parametres!$D$33</f>
        <v>0.75</v>
      </c>
      <c r="Q846" s="126">
        <f>SIM_Parametres!$B$12</f>
        <v>0.2</v>
      </c>
      <c r="R846" s="66">
        <f t="shared" si="480"/>
        <v>3.0390500302652685E-2</v>
      </c>
      <c r="S846" s="66">
        <f t="shared" si="481"/>
        <v>0.36524822695035453</v>
      </c>
      <c r="T846" s="66">
        <f t="shared" si="482"/>
        <v>0.65469613259668513</v>
      </c>
      <c r="U846" s="66">
        <f t="shared" si="483"/>
        <v>0.50060006219339404</v>
      </c>
      <c r="V846" s="66">
        <f t="shared" si="484"/>
        <v>0.65207282116061327</v>
      </c>
      <c r="W846" s="66">
        <f t="shared" si="485"/>
        <v>8.708518283660956E-3</v>
      </c>
      <c r="X846" s="66">
        <f t="shared" si="486"/>
        <v>1.2955775433225826E-2</v>
      </c>
      <c r="Y846" s="66">
        <f t="shared" si="487"/>
        <v>1.2790186148991385E-2</v>
      </c>
      <c r="Z846" s="66">
        <f t="shared" si="488"/>
        <v>2.3933256909947777E-2</v>
      </c>
      <c r="AA846" s="66">
        <f t="shared" si="491"/>
        <v>2.3320116392071585E-2</v>
      </c>
      <c r="AB846" s="66">
        <f t="shared" si="489"/>
        <v>1.4612295705791038E-2</v>
      </c>
      <c r="AC846" s="67">
        <f t="shared" si="492"/>
        <v>33935701.884112529</v>
      </c>
      <c r="AD846" s="67">
        <f t="shared" si="479"/>
        <v>31225057.247339718</v>
      </c>
      <c r="AE846" s="66">
        <f t="shared" si="495"/>
        <v>0.39540497008452991</v>
      </c>
      <c r="AF846" s="64">
        <f>MIN(MAX(AD846,AH775*(1-SIM_Parametres!$E$32)),AH775*(1+SIM_Parametres!$F$32))</f>
        <v>25733616.121680729</v>
      </c>
      <c r="AG846" s="64">
        <f>IF(F846-SUM($AF$785:$AF$855)&gt;=0,IFERROR((F846-SUM($AF$785:$AF$855))/(SUM($AH$714:$AH$784)*(1+SIM_Parametres!$F$33)-SUM($AF$785:$AF$855)),0),IFERROR((F846-SUM($AF$785:$AF$855))/(SUM($AF$785:$AF$855)-SUM($AH$714:$AH$784)*(1-SIM_Parametres!$E$33)),0))</f>
        <v>6.4281496449413555E-2</v>
      </c>
      <c r="AH846" s="64">
        <f>AF846+IF(AG846&gt;=0,AG846*(AH775*(1+SIM_Parametres!$F$33)-AF846),AG846*(AF846-AH775*(1-SIM_Parametres!$E$33)))</f>
        <v>25733616.121680729</v>
      </c>
      <c r="AI846" s="67">
        <f t="shared" si="493"/>
        <v>41.505227404192809</v>
      </c>
      <c r="AJ846" s="67">
        <f t="shared" si="494"/>
        <v>2640492.7846594229</v>
      </c>
      <c r="AK846" s="66">
        <f t="shared" si="496"/>
        <v>0.14999999999999991</v>
      </c>
    </row>
    <row r="847" spans="1:37" ht="12.75" customHeight="1" x14ac:dyDescent="0.25">
      <c r="A847" s="55" t="s">
        <v>663</v>
      </c>
      <c r="B847" s="55" t="s">
        <v>452</v>
      </c>
      <c r="C847" s="55" t="s">
        <v>457</v>
      </c>
      <c r="D847" s="128">
        <v>2027</v>
      </c>
      <c r="E847" s="55" t="s">
        <v>676</v>
      </c>
      <c r="F847" s="57">
        <f>SIM_Parametres!$C$33</f>
        <v>1580389817.0408096</v>
      </c>
      <c r="G847" s="129">
        <f>SIM_Districts!D66*(1+SIM_Parametres!$B$6)^(2027-2023)</f>
        <v>124273.05525614999</v>
      </c>
      <c r="H847" s="129">
        <f>MAX(0,MIN(100,SIM_Districts!F66+(2027-2022)*SIM_Parametres!$B$7))</f>
        <v>25.75</v>
      </c>
      <c r="I847" s="129">
        <f>SIM_Districts!G66*(1+SIM_Parametres!$B$8)^(2027-2023)</f>
        <v>31.229958399999997</v>
      </c>
      <c r="J847" s="129">
        <f>SIM_Districts!H66*(1+SIM_Parametres!$B$9)^(2027-2023)</f>
        <v>10.431990000000003</v>
      </c>
      <c r="K847" s="129">
        <f>MAX(0,MIN(100,SIM_Districts!I66+(2027-2023)*SIM_Parametres!$B$10))</f>
        <v>100</v>
      </c>
      <c r="L847" s="129">
        <f>SIM_Districts!E66</f>
        <v>230</v>
      </c>
      <c r="M847" s="68">
        <f t="shared" si="490"/>
        <v>540.31763154847829</v>
      </c>
      <c r="N847" s="129">
        <f>N776*(1+SIM_Parametres!$B$6)/(1+SIM_Parametres!$B$11)</f>
        <v>153373</v>
      </c>
      <c r="O847" s="72"/>
      <c r="P847" s="130">
        <f>SIM_Parametres!$D$33</f>
        <v>0.75</v>
      </c>
      <c r="Q847" s="130">
        <f>SIM_Parametres!$B$12</f>
        <v>0.2</v>
      </c>
      <c r="R847" s="59">
        <f t="shared" si="480"/>
        <v>6.0913955940918845E-3</v>
      </c>
      <c r="S847" s="59">
        <f t="shared" si="481"/>
        <v>0.36524822695035453</v>
      </c>
      <c r="T847" s="59">
        <f t="shared" si="482"/>
        <v>0.65469613259668513</v>
      </c>
      <c r="U847" s="59">
        <f t="shared" si="483"/>
        <v>0.50090567337352976</v>
      </c>
      <c r="V847" s="59">
        <f t="shared" si="484"/>
        <v>0.65207282116061327</v>
      </c>
      <c r="W847" s="59">
        <f t="shared" si="485"/>
        <v>8.708518283660956E-3</v>
      </c>
      <c r="X847" s="59">
        <f t="shared" si="486"/>
        <v>1.2955775433225826E-2</v>
      </c>
      <c r="Y847" s="59">
        <f t="shared" si="487"/>
        <v>1.2797994425854201E-2</v>
      </c>
      <c r="Z847" s="59">
        <f t="shared" si="488"/>
        <v>2.3933256909947777E-2</v>
      </c>
      <c r="AA847" s="59">
        <f t="shared" si="491"/>
        <v>8.7410439807782472E-3</v>
      </c>
      <c r="AB847" s="59">
        <f t="shared" si="489"/>
        <v>1.2028135068315944E-2</v>
      </c>
      <c r="AC847" s="60">
        <f t="shared" si="492"/>
        <v>15503207.819545651</v>
      </c>
      <c r="AD847" s="60">
        <f t="shared" si="479"/>
        <v>16379691.409648733</v>
      </c>
      <c r="AE847" s="59">
        <f t="shared" si="495"/>
        <v>-0.11075200686437014</v>
      </c>
      <c r="AF847" s="57">
        <f>MIN(MAX(AD847,AH776*(1-SIM_Parametres!$E$32)),AH776*(1+SIM_Parametres!$F$32))</f>
        <v>17498725.843953572</v>
      </c>
      <c r="AG847" s="57">
        <f>IF(F847-SUM($AF$785:$AF$855)&gt;=0,IFERROR((F847-SUM($AF$785:$AF$855))/(SUM($AH$714:$AH$784)*(1+SIM_Parametres!$F$33)-SUM($AF$785:$AF$855)),0),IFERROR((F847-SUM($AF$785:$AF$855))/(SUM($AF$785:$AF$855)-SUM($AH$714:$AH$784)*(1-SIM_Parametres!$E$33)),0))</f>
        <v>6.4281496449413555E-2</v>
      </c>
      <c r="AH847" s="57">
        <f>AF847+IF(AG847&gt;=0,AG847*(AH776*(1+SIM_Parametres!$F$33)-AF847),AG847*(AF847-AH776*(1-SIM_Parametres!$E$33)))</f>
        <v>17735535.16673407</v>
      </c>
      <c r="AI847" s="60">
        <f t="shared" si="493"/>
        <v>142.71424429195707</v>
      </c>
      <c r="AJ847" s="60">
        <f t="shared" si="494"/>
        <v>-1273607.0132239126</v>
      </c>
      <c r="AK847" s="59">
        <f t="shared" si="496"/>
        <v>-3.7143700710117411E-2</v>
      </c>
    </row>
    <row r="848" spans="1:37" ht="12.75" customHeight="1" x14ac:dyDescent="0.25">
      <c r="A848" s="62" t="s">
        <v>664</v>
      </c>
      <c r="B848" s="62" t="s">
        <v>452</v>
      </c>
      <c r="C848" s="62" t="s">
        <v>458</v>
      </c>
      <c r="D848" s="124">
        <v>2027</v>
      </c>
      <c r="E848" s="62" t="s">
        <v>676</v>
      </c>
      <c r="F848" s="64">
        <f>SIM_Parametres!$C$33</f>
        <v>1580389817.0408096</v>
      </c>
      <c r="G848" s="125">
        <f>SIM_Districts!D67*(1+SIM_Parametres!$B$6)^(2027-2023)</f>
        <v>205909.58577188</v>
      </c>
      <c r="H848" s="125">
        <f>MAX(0,MIN(100,SIM_Districts!F67+(2027-2022)*SIM_Parametres!$B$7))</f>
        <v>25.75</v>
      </c>
      <c r="I848" s="125">
        <f>SIM_Districts!G67*(1+SIM_Parametres!$B$8)^(2027-2023)</f>
        <v>31.229958399999997</v>
      </c>
      <c r="J848" s="125">
        <f>SIM_Districts!H67*(1+SIM_Parametres!$B$9)^(2027-2023)</f>
        <v>10.431990000000003</v>
      </c>
      <c r="K848" s="125">
        <f>MAX(0,MIN(100,SIM_Districts!I67+(2027-2023)*SIM_Parametres!$B$10))</f>
        <v>100</v>
      </c>
      <c r="L848" s="125">
        <f>SIM_Districts!E67</f>
        <v>557</v>
      </c>
      <c r="M848" s="61">
        <f t="shared" si="490"/>
        <v>369.67609653838417</v>
      </c>
      <c r="N848" s="125">
        <f>N777*(1+SIM_Parametres!$B$6)/(1+SIM_Parametres!$B$11)</f>
        <v>153373</v>
      </c>
      <c r="O848" s="132"/>
      <c r="P848" s="126">
        <f>SIM_Parametres!$D$33</f>
        <v>0.75</v>
      </c>
      <c r="Q848" s="126">
        <f>SIM_Parametres!$B$12</f>
        <v>0.2</v>
      </c>
      <c r="R848" s="66">
        <f t="shared" si="480"/>
        <v>1.0092909850544963E-2</v>
      </c>
      <c r="S848" s="66">
        <f t="shared" si="481"/>
        <v>0.36524822695035453</v>
      </c>
      <c r="T848" s="66">
        <f t="shared" si="482"/>
        <v>0.65469613259668513</v>
      </c>
      <c r="U848" s="66">
        <f t="shared" si="483"/>
        <v>0.51437733390901985</v>
      </c>
      <c r="V848" s="66">
        <f t="shared" si="484"/>
        <v>0.65207282116061327</v>
      </c>
      <c r="W848" s="66">
        <f t="shared" si="485"/>
        <v>8.708518283660956E-3</v>
      </c>
      <c r="X848" s="66">
        <f t="shared" si="486"/>
        <v>1.2955775433225826E-2</v>
      </c>
      <c r="Y848" s="66">
        <f t="shared" si="487"/>
        <v>1.3142191438595229E-2</v>
      </c>
      <c r="Z848" s="66">
        <f t="shared" si="488"/>
        <v>2.3933256909947777E-2</v>
      </c>
      <c r="AA848" s="66">
        <f t="shared" si="491"/>
        <v>1.1159162385287144E-2</v>
      </c>
      <c r="AB848" s="66">
        <f t="shared" si="489"/>
        <v>1.2110542929091968E-2</v>
      </c>
      <c r="AC848" s="67">
        <f t="shared" si="492"/>
        <v>18560463.581853516</v>
      </c>
      <c r="AD848" s="67">
        <f t="shared" si="479"/>
        <v>18705192.367383271</v>
      </c>
      <c r="AE848" s="66">
        <f t="shared" si="495"/>
        <v>8.5885650489330168E-3</v>
      </c>
      <c r="AF848" s="64">
        <f>MIN(MAX(AD848,AH777*(1-SIM_Parametres!$E$32)),AH777*(1+SIM_Parametres!$F$32))</f>
        <v>18705192.367383271</v>
      </c>
      <c r="AG848" s="64">
        <f>IF(F848-SUM($AF$785:$AF$855)&gt;=0,IFERROR((F848-SUM($AF$785:$AF$855))/(SUM($AH$714:$AH$784)*(1+SIM_Parametres!$F$33)-SUM($AF$785:$AF$855)),0),IFERROR((F848-SUM($AF$785:$AF$855))/(SUM($AF$785:$AF$855)-SUM($AH$714:$AH$784)*(1-SIM_Parametres!$E$33)),0))</f>
        <v>6.4281496449413555E-2</v>
      </c>
      <c r="AH848" s="64">
        <f>AF848+IF(AG848&gt;=0,AG848*(AH777*(1+SIM_Parametres!$F$33)-AF848),AG848*(AF848-AH777*(1-SIM_Parametres!$E$33)))</f>
        <v>18873777.257254243</v>
      </c>
      <c r="AI848" s="67">
        <f t="shared" si="493"/>
        <v>91.660508113322308</v>
      </c>
      <c r="AJ848" s="67">
        <f t="shared" si="494"/>
        <v>-265601.46671828255</v>
      </c>
      <c r="AK848" s="66">
        <f t="shared" si="496"/>
        <v>1.7678703702646459E-2</v>
      </c>
    </row>
    <row r="849" spans="1:37" ht="12.75" customHeight="1" x14ac:dyDescent="0.25">
      <c r="A849" s="55" t="s">
        <v>665</v>
      </c>
      <c r="B849" s="55" t="s">
        <v>452</v>
      </c>
      <c r="C849" s="55" t="s">
        <v>459</v>
      </c>
      <c r="D849" s="128">
        <v>2027</v>
      </c>
      <c r="E849" s="55" t="s">
        <v>676</v>
      </c>
      <c r="F849" s="57">
        <f>SIM_Parametres!$C$33</f>
        <v>1580389817.0408096</v>
      </c>
      <c r="G849" s="129">
        <f>SIM_Districts!D68*(1+SIM_Parametres!$B$6)^(2027-2023)</f>
        <v>261545.73726779997</v>
      </c>
      <c r="H849" s="129">
        <f>MAX(0,MIN(100,SIM_Districts!F68+(2027-2022)*SIM_Parametres!$B$7))</f>
        <v>25.75</v>
      </c>
      <c r="I849" s="129">
        <f>SIM_Districts!G68*(1+SIM_Parametres!$B$8)^(2027-2023)</f>
        <v>31.229958399999997</v>
      </c>
      <c r="J849" s="129">
        <f>SIM_Districts!H68*(1+SIM_Parametres!$B$9)^(2027-2023)</f>
        <v>10.431990000000003</v>
      </c>
      <c r="K849" s="129">
        <f>MAX(0,MIN(100,SIM_Districts!I68+(2027-2023)*SIM_Parametres!$B$10))</f>
        <v>100</v>
      </c>
      <c r="L849" s="129">
        <f>SIM_Districts!E68</f>
        <v>793</v>
      </c>
      <c r="M849" s="68">
        <f t="shared" si="490"/>
        <v>329.81807978284991</v>
      </c>
      <c r="N849" s="129">
        <f>N778*(1+SIM_Parametres!$B$6)/(1+SIM_Parametres!$B$11)</f>
        <v>153373</v>
      </c>
      <c r="O849" s="72"/>
      <c r="P849" s="130">
        <f>SIM_Parametres!$D$33</f>
        <v>0.75</v>
      </c>
      <c r="Q849" s="130">
        <f>SIM_Parametres!$B$12</f>
        <v>0.2</v>
      </c>
      <c r="R849" s="59">
        <f t="shared" ref="R849:R855" si="497">IFERROR(G849/SUM($G$785:$G$855),1/71)</f>
        <v>1.2819983771725508E-2</v>
      </c>
      <c r="S849" s="59">
        <f t="shared" ref="S849:S855" si="498">IF(MAX($H$785:$H$855)=MIN($H$785:$H$855),1,(H849-MIN($H$785:$H$855))/(MAX($H$785:$H$855)-MIN($H$785:$H$855)))</f>
        <v>0.36524822695035453</v>
      </c>
      <c r="T849" s="59">
        <f t="shared" ref="T849:T855" si="499">(IF(MAX($I$785:$I$855)=MIN($I$785:$I$855),1,(I849-MIN($I$785:$I$855))/(MAX($I$785:$I$855)-MIN($I$785:$I$855)))+IF(MAX($J$785:$J$855)=MIN($J$785:$J$855),1,(J849-MIN($J$785:$J$855))/(MAX($J$785:$J$855)-MIN($J$785:$J$855))))/2</f>
        <v>0.65469613259668513</v>
      </c>
      <c r="U849" s="59">
        <f t="shared" ref="U849:U855" si="500">(IF(MAX($L$785:$L$855)=MIN($L$785:$L$855),1,(L849-MIN($L$785:$L$855))/(MAX($L$785:$L$855)-MIN($L$785:$L$855)))+IF(MAX($M$785:$M$855)=MIN($M$785:$M$855),1,(MAX($M$785:$M$855)-M849)/(MAX($M$785:$M$855)-MIN($M$785:$M$855))))/2</f>
        <v>0.52305332187907938</v>
      </c>
      <c r="V849" s="59">
        <f t="shared" ref="V849:V855" si="501">IF(MAX($N$785:$N$855)=MIN($N$785:$N$855),1,(N849-MIN($N$785:$N$855))/(MAX($N$785:$N$855)-MIN($N$785:$N$855)))</f>
        <v>0.65207282116061327</v>
      </c>
      <c r="W849" s="59">
        <f t="shared" ref="W849:W855" si="502">IFERROR(S849/SUM($S$785:$S$855),1/71)</f>
        <v>8.708518283660956E-3</v>
      </c>
      <c r="X849" s="59">
        <f t="shared" ref="X849:X855" si="503">IFERROR(T849/SUM($T$785:$T$855),1/71)</f>
        <v>1.2955775433225826E-2</v>
      </c>
      <c r="Y849" s="59">
        <f t="shared" ref="Y849:Y855" si="504">IFERROR(U849/SUM($U$785:$U$855),1/71)</f>
        <v>1.3363860410583095E-2</v>
      </c>
      <c r="Z849" s="59">
        <f t="shared" ref="Z849:Z855" si="505">IFERROR(V849/SUM($V$785:$V$855),1/71)</f>
        <v>2.3933256909947777E-2</v>
      </c>
      <c r="AA849" s="59">
        <f t="shared" si="491"/>
        <v>1.2806490186594865E-2</v>
      </c>
      <c r="AB849" s="59">
        <f t="shared" ref="AB849:AB855" si="506">IFERROR(AH778/SUM($AH$714:$AH$784),1/71)</f>
        <v>1.3098296168192827E-2</v>
      </c>
      <c r="AC849" s="60">
        <f t="shared" si="492"/>
        <v>20643199.647865474</v>
      </c>
      <c r="AD849" s="60">
        <f t="shared" si="479"/>
        <v>20657503.207098253</v>
      </c>
      <c r="AE849" s="59">
        <f t="shared" si="495"/>
        <v>2.9860727827416778E-2</v>
      </c>
      <c r="AF849" s="57">
        <f>MIN(MAX(AD849,AH778*(1-SIM_Parametres!$E$32)),AH778*(1+SIM_Parametres!$F$32))</f>
        <v>20657503.207098253</v>
      </c>
      <c r="AG849" s="57">
        <f>IF(F849-SUM($AF$785:$AF$855)&gt;=0,IFERROR((F849-SUM($AF$785:$AF$855))/(SUM($AH$714:$AH$784)*(1+SIM_Parametres!$F$33)-SUM($AF$785:$AF$855)),0),IFERROR((F849-SUM($AF$785:$AF$855))/(SUM($AF$785:$AF$855)-SUM($AH$714:$AH$784)*(1-SIM_Parametres!$E$33)),0))</f>
        <v>6.4281496449413555E-2</v>
      </c>
      <c r="AH849" s="57">
        <f>AF849+IF(AG849&gt;=0,AG849*(AH778*(1+SIM_Parametres!$F$33)-AF849),AG849*(AF849-AH778*(1-SIM_Parametres!$E$33)))</f>
        <v>20812409.944318894</v>
      </c>
      <c r="AI849" s="60">
        <f t="shared" si="493"/>
        <v>79.574647867454274</v>
      </c>
      <c r="AJ849" s="60">
        <f t="shared" si="494"/>
        <v>111996.05952229351</v>
      </c>
      <c r="AK849" s="59">
        <f t="shared" si="496"/>
        <v>3.7583460025013782E-2</v>
      </c>
    </row>
    <row r="850" spans="1:37" ht="12.75" customHeight="1" x14ac:dyDescent="0.25">
      <c r="A850" s="62" t="s">
        <v>666</v>
      </c>
      <c r="B850" s="62" t="s">
        <v>452</v>
      </c>
      <c r="C850" s="62" t="s">
        <v>452</v>
      </c>
      <c r="D850" s="124">
        <v>2027</v>
      </c>
      <c r="E850" s="62" t="s">
        <v>676</v>
      </c>
      <c r="F850" s="64">
        <f>SIM_Parametres!$C$33</f>
        <v>1580389817.0408096</v>
      </c>
      <c r="G850" s="125">
        <f>SIM_Districts!D69*(1+SIM_Parametres!$B$6)^(2027-2023)</f>
        <v>697357.38011432998</v>
      </c>
      <c r="H850" s="125">
        <f>MAX(0,MIN(100,SIM_Districts!F69+(2027-2022)*SIM_Parametres!$B$7))</f>
        <v>25.75</v>
      </c>
      <c r="I850" s="125">
        <f>SIM_Districts!G69*(1+SIM_Parametres!$B$8)^(2027-2023)</f>
        <v>31.229958399999997</v>
      </c>
      <c r="J850" s="125">
        <f>SIM_Districts!H69*(1+SIM_Parametres!$B$9)^(2027-2023)</f>
        <v>10.431990000000003</v>
      </c>
      <c r="K850" s="125">
        <f>MAX(0,MIN(100,SIM_Districts!I69+(2027-2023)*SIM_Parametres!$B$10))</f>
        <v>100</v>
      </c>
      <c r="L850" s="125">
        <f>SIM_Districts!E69</f>
        <v>503</v>
      </c>
      <c r="M850" s="61">
        <f t="shared" si="490"/>
        <v>1386.3963819370376</v>
      </c>
      <c r="N850" s="125">
        <f>N779*(1+SIM_Parametres!$B$6)/(1+SIM_Parametres!$B$11)</f>
        <v>153373</v>
      </c>
      <c r="O850" s="132"/>
      <c r="P850" s="126">
        <f>SIM_Parametres!$D$33</f>
        <v>0.75</v>
      </c>
      <c r="Q850" s="126">
        <f>SIM_Parametres!$B$12</f>
        <v>0.2</v>
      </c>
      <c r="R850" s="66">
        <f t="shared" si="497"/>
        <v>3.4181823758820569E-2</v>
      </c>
      <c r="S850" s="66">
        <f t="shared" si="498"/>
        <v>0.36524822695035453</v>
      </c>
      <c r="T850" s="66">
        <f t="shared" si="499"/>
        <v>0.65469613259668513</v>
      </c>
      <c r="U850" s="66">
        <f t="shared" si="500"/>
        <v>0.49973089584614416</v>
      </c>
      <c r="V850" s="66">
        <f t="shared" si="501"/>
        <v>0.65207282116061327</v>
      </c>
      <c r="W850" s="66">
        <f t="shared" si="502"/>
        <v>8.708518283660956E-3</v>
      </c>
      <c r="X850" s="66">
        <f t="shared" si="503"/>
        <v>1.2955775433225826E-2</v>
      </c>
      <c r="Y850" s="66">
        <f t="shared" si="504"/>
        <v>1.2767979201339289E-2</v>
      </c>
      <c r="Z850" s="66">
        <f t="shared" si="505"/>
        <v>2.3933256909947777E-2</v>
      </c>
      <c r="AA850" s="66">
        <f t="shared" si="491"/>
        <v>2.5593800118389711E-2</v>
      </c>
      <c r="AB850" s="66">
        <f t="shared" si="506"/>
        <v>1.802570101994495E-2</v>
      </c>
      <c r="AC850" s="67">
        <f t="shared" si="492"/>
        <v>36810347.170708179</v>
      </c>
      <c r="AD850" s="67">
        <f t="shared" si="479"/>
        <v>34729668.962266922</v>
      </c>
      <c r="AE850" s="66">
        <f t="shared" si="495"/>
        <v>0.25812547104272343</v>
      </c>
      <c r="AF850" s="64">
        <f>MIN(MAX(AD850,AH779*(1-SIM_Parametres!$E$32)),AH779*(1+SIM_Parametres!$F$32))</f>
        <v>31744941.363841683</v>
      </c>
      <c r="AG850" s="64">
        <f>IF(F850-SUM($AF$785:$AF$855)&gt;=0,IFERROR((F850-SUM($AF$785:$AF$855))/(SUM($AH$714:$AH$784)*(1+SIM_Parametres!$F$33)-SUM($AF$785:$AF$855)),0),IFERROR((F850-SUM($AF$785:$AF$855))/(SUM($AF$785:$AF$855)-SUM($AH$714:$AH$784)*(1-SIM_Parametres!$E$33)),0))</f>
        <v>6.4281496449413555E-2</v>
      </c>
      <c r="AH850" s="64">
        <f>AF850+IF(AG850&gt;=0,AG850*(AH779*(1+SIM_Parametres!$F$33)-AF850),AG850*(AF850-AH779*(1-SIM_Parametres!$E$33)))</f>
        <v>31744941.363841683</v>
      </c>
      <c r="AI850" s="67">
        <f t="shared" si="493"/>
        <v>45.521768707226101</v>
      </c>
      <c r="AJ850" s="67">
        <f t="shared" si="494"/>
        <v>3257307.026898548</v>
      </c>
      <c r="AK850" s="66">
        <f t="shared" si="496"/>
        <v>0.14999999999999991</v>
      </c>
    </row>
    <row r="851" spans="1:37" ht="12.75" customHeight="1" x14ac:dyDescent="0.25">
      <c r="A851" s="55" t="s">
        <v>667</v>
      </c>
      <c r="B851" s="55" t="s">
        <v>452</v>
      </c>
      <c r="C851" s="55" t="s">
        <v>460</v>
      </c>
      <c r="D851" s="128">
        <v>2027</v>
      </c>
      <c r="E851" s="55" t="s">
        <v>676</v>
      </c>
      <c r="F851" s="57">
        <f>SIM_Parametres!$C$33</f>
        <v>1580389817.0408096</v>
      </c>
      <c r="G851" s="129">
        <f>SIM_Districts!D70*(1+SIM_Parametres!$B$6)^(2027-2023)</f>
        <v>488285.11458634998</v>
      </c>
      <c r="H851" s="129">
        <f>MAX(0,MIN(100,SIM_Districts!F70+(2027-2022)*SIM_Parametres!$B$7))</f>
        <v>25.75</v>
      </c>
      <c r="I851" s="129">
        <f>SIM_Districts!G70*(1+SIM_Parametres!$B$8)^(2027-2023)</f>
        <v>31.229958399999997</v>
      </c>
      <c r="J851" s="129">
        <f>SIM_Districts!H70*(1+SIM_Parametres!$B$9)^(2027-2023)</f>
        <v>10.431990000000003</v>
      </c>
      <c r="K851" s="129">
        <f>MAX(0,MIN(100,SIM_Districts!I70+(2027-2023)*SIM_Parametres!$B$10))</f>
        <v>100</v>
      </c>
      <c r="L851" s="129">
        <f>SIM_Districts!E70</f>
        <v>1739</v>
      </c>
      <c r="M851" s="68">
        <f t="shared" si="490"/>
        <v>280.7849997621334</v>
      </c>
      <c r="N851" s="129">
        <f>N780*(1+SIM_Parametres!$B$6)/(1+SIM_Parametres!$B$11)</f>
        <v>153373</v>
      </c>
      <c r="O851" s="72"/>
      <c r="P851" s="130">
        <f>SIM_Parametres!$D$33</f>
        <v>0.75</v>
      </c>
      <c r="Q851" s="130">
        <f>SIM_Parametres!$B$12</f>
        <v>0.2</v>
      </c>
      <c r="R851" s="59">
        <f t="shared" si="497"/>
        <v>2.393389129704164E-2</v>
      </c>
      <c r="S851" s="59">
        <f t="shared" si="498"/>
        <v>0.36524822695035453</v>
      </c>
      <c r="T851" s="59">
        <f t="shared" si="499"/>
        <v>0.65469613259668513</v>
      </c>
      <c r="U851" s="59">
        <f t="shared" si="500"/>
        <v>0.55643930835847488</v>
      </c>
      <c r="V851" s="59">
        <f t="shared" si="501"/>
        <v>0.65207282116061327</v>
      </c>
      <c r="W851" s="59">
        <f t="shared" si="502"/>
        <v>8.708518283660956E-3</v>
      </c>
      <c r="X851" s="59">
        <f t="shared" si="503"/>
        <v>1.2955775433225826E-2</v>
      </c>
      <c r="Y851" s="59">
        <f t="shared" si="504"/>
        <v>1.4216862665453396E-2</v>
      </c>
      <c r="Z851" s="59">
        <f t="shared" si="505"/>
        <v>2.3933256909947777E-2</v>
      </c>
      <c r="AA851" s="59">
        <f t="shared" si="491"/>
        <v>1.9517484814528058E-2</v>
      </c>
      <c r="AB851" s="59">
        <f t="shared" si="506"/>
        <v>1.5864002481716374E-2</v>
      </c>
      <c r="AC851" s="60">
        <f t="shared" si="492"/>
        <v>29127989.705626432</v>
      </c>
      <c r="AD851" s="60">
        <f t="shared" si="479"/>
        <v>28113819.274123501</v>
      </c>
      <c r="AE851" s="59">
        <f t="shared" si="495"/>
        <v>0.15723764848990296</v>
      </c>
      <c r="AF851" s="57">
        <f>MIN(MAX(AD851,AH780*(1-SIM_Parametres!$E$32)),AH780*(1+SIM_Parametres!$F$32))</f>
        <v>27937988.543175291</v>
      </c>
      <c r="AG851" s="57">
        <f>IF(F851-SUM($AF$785:$AF$855)&gt;=0,IFERROR((F851-SUM($AF$785:$AF$855))/(SUM($AH$714:$AH$784)*(1+SIM_Parametres!$F$33)-SUM($AF$785:$AF$855)),0),IFERROR((F851-SUM($AF$785:$AF$855))/(SUM($AF$785:$AF$855)-SUM($AH$714:$AH$784)*(1-SIM_Parametres!$E$33)),0))</f>
        <v>6.4281496449413555E-2</v>
      </c>
      <c r="AH851" s="57">
        <f>AF851+IF(AG851&gt;=0,AG851*(AH780*(1+SIM_Parametres!$F$33)-AF851),AG851*(AF851-AH780*(1-SIM_Parametres!$E$33)))</f>
        <v>27937988.543175291</v>
      </c>
      <c r="AI851" s="60">
        <f t="shared" si="493"/>
        <v>57.216547686166756</v>
      </c>
      <c r="AJ851" s="60">
        <f t="shared" si="494"/>
        <v>2866680.5635606013</v>
      </c>
      <c r="AK851" s="59">
        <f t="shared" si="496"/>
        <v>0.14999999999999991</v>
      </c>
    </row>
    <row r="852" spans="1:37" ht="12.75" customHeight="1" x14ac:dyDescent="0.25">
      <c r="A852" s="62" t="s">
        <v>668</v>
      </c>
      <c r="B852" s="62" t="s">
        <v>461</v>
      </c>
      <c r="C852" s="62" t="s">
        <v>463</v>
      </c>
      <c r="D852" s="124">
        <v>2027</v>
      </c>
      <c r="E852" s="62" t="s">
        <v>676</v>
      </c>
      <c r="F852" s="64">
        <f>SIM_Parametres!$C$33</f>
        <v>1580389817.0408096</v>
      </c>
      <c r="G852" s="125">
        <f>SIM_Districts!D71*(1+SIM_Parametres!$B$6)^(2027-2023)</f>
        <v>179718.99576317999</v>
      </c>
      <c r="H852" s="125">
        <f>MAX(0,MIN(100,SIM_Districts!F71+(2027-2022)*SIM_Parametres!$B$7))</f>
        <v>44.15</v>
      </c>
      <c r="I852" s="125">
        <f>SIM_Districts!G71*(1+SIM_Parametres!$B$8)^(2027-2023)</f>
        <v>31.229958399999997</v>
      </c>
      <c r="J852" s="125">
        <f>SIM_Districts!H71*(1+SIM_Parametres!$B$9)^(2027-2023)</f>
        <v>6.757830000000002</v>
      </c>
      <c r="K852" s="125">
        <f>MAX(0,MIN(100,SIM_Districts!I71+(2027-2023)*SIM_Parametres!$B$10))</f>
        <v>100</v>
      </c>
      <c r="L852" s="125">
        <f>SIM_Districts!E71</f>
        <v>2537</v>
      </c>
      <c r="M852" s="61">
        <f t="shared" si="490"/>
        <v>70.839178464004732</v>
      </c>
      <c r="N852" s="125">
        <f>N781*(1+SIM_Parametres!$B$6)/(1+SIM_Parametres!$B$11)</f>
        <v>69419</v>
      </c>
      <c r="O852" s="132"/>
      <c r="P852" s="126">
        <f>SIM_Parametres!$D$33</f>
        <v>0.75</v>
      </c>
      <c r="Q852" s="126">
        <f>SIM_Parametres!$B$12</f>
        <v>0.2</v>
      </c>
      <c r="R852" s="66">
        <f t="shared" si="497"/>
        <v>8.8091460913227726E-3</v>
      </c>
      <c r="S852" s="66">
        <f t="shared" si="498"/>
        <v>0.6914893617021276</v>
      </c>
      <c r="T852" s="66">
        <f t="shared" si="499"/>
        <v>0.5</v>
      </c>
      <c r="U852" s="66">
        <f t="shared" si="500"/>
        <v>0.58672050041788648</v>
      </c>
      <c r="V852" s="66">
        <f t="shared" si="501"/>
        <v>6.9378604793203735E-2</v>
      </c>
      <c r="W852" s="66">
        <f t="shared" si="502"/>
        <v>1.6487000634115404E-2</v>
      </c>
      <c r="X852" s="66">
        <f t="shared" si="503"/>
        <v>9.8944951620838582E-3</v>
      </c>
      <c r="Y852" s="66">
        <f t="shared" si="504"/>
        <v>1.4990538324933458E-2</v>
      </c>
      <c r="Z852" s="66">
        <f t="shared" si="505"/>
        <v>2.5464272067252584E-3</v>
      </c>
      <c r="AA852" s="66">
        <f t="shared" si="491"/>
        <v>1.0119560300806487E-2</v>
      </c>
      <c r="AB852" s="66">
        <f t="shared" si="506"/>
        <v>1.6657781993018789E-2</v>
      </c>
      <c r="AC852" s="67">
        <f t="shared" si="492"/>
        <v>17246082.343383413</v>
      </c>
      <c r="AD852" s="67">
        <f t="shared" si="479"/>
        <v>19516009.016600721</v>
      </c>
      <c r="AE852" s="66">
        <f t="shared" si="495"/>
        <v>-0.23495089634742294</v>
      </c>
      <c r="AF852" s="64">
        <f>MIN(MAX(AD852,AH781*(1-SIM_Parametres!$E$32)),AH781*(1+SIM_Parametres!$F$32))</f>
        <v>24234011.22523259</v>
      </c>
      <c r="AG852" s="64">
        <f>IF(F852-SUM($AF$785:$AF$855)&gt;=0,IFERROR((F852-SUM($AF$785:$AF$855))/(SUM($AH$714:$AH$784)*(1+SIM_Parametres!$F$33)-SUM($AF$785:$AF$855)),0),IFERROR((F852-SUM($AF$785:$AF$855))/(SUM($AF$785:$AF$855)-SUM($AH$714:$AH$784)*(1-SIM_Parametres!$E$33)),0))</f>
        <v>6.4281496449413555E-2</v>
      </c>
      <c r="AH852" s="64">
        <f>AF852+IF(AG852&gt;=0,AG852*(AH781*(1+SIM_Parametres!$F$33)-AF852),AG852*(AF852-AH781*(1-SIM_Parametres!$E$33)))</f>
        <v>24561968.805554662</v>
      </c>
      <c r="AI852" s="67">
        <f t="shared" si="493"/>
        <v>136.66874055940394</v>
      </c>
      <c r="AJ852" s="67">
        <f t="shared" si="494"/>
        <v>-1763820.2306979932</v>
      </c>
      <c r="AK852" s="66">
        <f t="shared" si="496"/>
        <v>-3.71437007101173E-2</v>
      </c>
    </row>
    <row r="853" spans="1:37" ht="12.75" customHeight="1" x14ac:dyDescent="0.25">
      <c r="A853" s="55" t="s">
        <v>670</v>
      </c>
      <c r="B853" s="55" t="s">
        <v>461</v>
      </c>
      <c r="C853" s="55" t="s">
        <v>464</v>
      </c>
      <c r="D853" s="128">
        <v>2027</v>
      </c>
      <c r="E853" s="55" t="s">
        <v>676</v>
      </c>
      <c r="F853" s="57">
        <f>SIM_Parametres!$C$33</f>
        <v>1580389817.0408096</v>
      </c>
      <c r="G853" s="129">
        <f>SIM_Districts!D72*(1+SIM_Parametres!$B$6)^(2027-2023)</f>
        <v>109758.49364238999</v>
      </c>
      <c r="H853" s="129">
        <f>MAX(0,MIN(100,SIM_Districts!F72+(2027-2022)*SIM_Parametres!$B$7))</f>
        <v>44.15</v>
      </c>
      <c r="I853" s="129">
        <f>SIM_Districts!G72*(1+SIM_Parametres!$B$8)^(2027-2023)</f>
        <v>31.229958399999997</v>
      </c>
      <c r="J853" s="129">
        <f>SIM_Districts!H72*(1+SIM_Parametres!$B$9)^(2027-2023)</f>
        <v>6.757830000000002</v>
      </c>
      <c r="K853" s="129">
        <f>MAX(0,MIN(100,SIM_Districts!I72+(2027-2023)*SIM_Parametres!$B$10))</f>
        <v>100</v>
      </c>
      <c r="L853" s="129">
        <f>SIM_Districts!E72</f>
        <v>1893</v>
      </c>
      <c r="M853" s="68">
        <f t="shared" si="490"/>
        <v>57.981243339878496</v>
      </c>
      <c r="N853" s="129">
        <f>N782*(1+SIM_Parametres!$B$6)/(1+SIM_Parametres!$B$11)</f>
        <v>69419</v>
      </c>
      <c r="O853" s="72"/>
      <c r="P853" s="130">
        <f>SIM_Parametres!$D$33</f>
        <v>0.75</v>
      </c>
      <c r="Q853" s="130">
        <f>SIM_Parametres!$B$12</f>
        <v>0.2</v>
      </c>
      <c r="R853" s="59">
        <f t="shared" si="497"/>
        <v>5.3799466280871847E-3</v>
      </c>
      <c r="S853" s="59">
        <f t="shared" si="498"/>
        <v>0.6914893617021276</v>
      </c>
      <c r="T853" s="59">
        <f t="shared" si="499"/>
        <v>0.5</v>
      </c>
      <c r="U853" s="59">
        <f t="shared" si="500"/>
        <v>0.56457363162952046</v>
      </c>
      <c r="V853" s="59">
        <f t="shared" si="501"/>
        <v>6.9378604793203735E-2</v>
      </c>
      <c r="W853" s="59">
        <f t="shared" si="502"/>
        <v>1.6487000634115404E-2</v>
      </c>
      <c r="X853" s="59">
        <f t="shared" si="503"/>
        <v>9.8944951620838582E-3</v>
      </c>
      <c r="Y853" s="59">
        <f t="shared" si="504"/>
        <v>1.4424692261752073E-2</v>
      </c>
      <c r="Z853" s="59">
        <f t="shared" si="505"/>
        <v>2.5464272067252584E-3</v>
      </c>
      <c r="AA853" s="59">
        <f t="shared" si="491"/>
        <v>8.0337483197060675E-3</v>
      </c>
      <c r="AB853" s="59">
        <f t="shared" si="506"/>
        <v>1.1290405265091554E-2</v>
      </c>
      <c r="AC853" s="60">
        <f t="shared" si="492"/>
        <v>14608965.531229157</v>
      </c>
      <c r="AD853" s="60">
        <f t="shared" si="479"/>
        <v>15417534.526225526</v>
      </c>
      <c r="AE853" s="59">
        <f t="shared" si="495"/>
        <v>-0.10829567480412139</v>
      </c>
      <c r="AF853" s="57">
        <f>MIN(MAX(AD853,AH782*(1-SIM_Parametres!$E$32)),AH782*(1+SIM_Parametres!$F$32))</f>
        <v>16425464.569432084</v>
      </c>
      <c r="AG853" s="57">
        <f>IF(F853-SUM($AF$785:$AF$855)&gt;=0,IFERROR((F853-SUM($AF$785:$AF$855))/(SUM($AH$714:$AH$784)*(1+SIM_Parametres!$F$33)-SUM($AF$785:$AF$855)),0),IFERROR((F853-SUM($AF$785:$AF$855))/(SUM($AF$785:$AF$855)-SUM($AH$714:$AH$784)*(1-SIM_Parametres!$E$33)),0))</f>
        <v>6.4281496449413555E-2</v>
      </c>
      <c r="AH853" s="57">
        <f>AF853+IF(AG853&gt;=0,AG853*(AH782*(1+SIM_Parametres!$F$33)-AF853),AG853*(AF853-AH782*(1-SIM_Parametres!$E$33)))</f>
        <v>16647749.504674172</v>
      </c>
      <c r="AI853" s="60">
        <f t="shared" si="493"/>
        <v>151.67618424971369</v>
      </c>
      <c r="AJ853" s="60">
        <f t="shared" si="494"/>
        <v>-1195492.0065404642</v>
      </c>
      <c r="AK853" s="59">
        <f t="shared" si="496"/>
        <v>-3.71437007101173E-2</v>
      </c>
    </row>
    <row r="854" spans="1:37" ht="12.75" customHeight="1" x14ac:dyDescent="0.25">
      <c r="A854" s="62" t="s">
        <v>671</v>
      </c>
      <c r="B854" s="62" t="s">
        <v>461</v>
      </c>
      <c r="C854" s="62" t="s">
        <v>465</v>
      </c>
      <c r="D854" s="124">
        <v>2027</v>
      </c>
      <c r="E854" s="62" t="s">
        <v>676</v>
      </c>
      <c r="F854" s="64">
        <f>SIM_Parametres!$C$33</f>
        <v>1580389817.0408096</v>
      </c>
      <c r="G854" s="125">
        <f>SIM_Districts!D73*(1+SIM_Parametres!$B$6)^(2027-2023)</f>
        <v>66093.253849629997</v>
      </c>
      <c r="H854" s="125">
        <f>MAX(0,MIN(100,SIM_Districts!F73+(2027-2022)*SIM_Parametres!$B$7))</f>
        <v>44.15</v>
      </c>
      <c r="I854" s="125">
        <f>SIM_Districts!G73*(1+SIM_Parametres!$B$8)^(2027-2023)</f>
        <v>31.229958399999997</v>
      </c>
      <c r="J854" s="125">
        <f>SIM_Districts!H73*(1+SIM_Parametres!$B$9)^(2027-2023)</f>
        <v>6.757830000000002</v>
      </c>
      <c r="K854" s="125">
        <f>MAX(0,MIN(100,SIM_Districts!I73+(2027-2023)*SIM_Parametres!$B$10))</f>
        <v>100</v>
      </c>
      <c r="L854" s="125">
        <f>SIM_Districts!E73</f>
        <v>877</v>
      </c>
      <c r="M854" s="61">
        <f t="shared" si="490"/>
        <v>75.362889224207521</v>
      </c>
      <c r="N854" s="125">
        <f>N783*(1+SIM_Parametres!$B$6)/(1+SIM_Parametres!$B$11)</f>
        <v>69419</v>
      </c>
      <c r="O854" s="132"/>
      <c r="P854" s="126">
        <f>SIM_Parametres!$D$33</f>
        <v>0.75</v>
      </c>
      <c r="Q854" s="126">
        <f>SIM_Parametres!$B$12</f>
        <v>0.2</v>
      </c>
      <c r="R854" s="66">
        <f t="shared" si="497"/>
        <v>3.2396415656555516E-3</v>
      </c>
      <c r="S854" s="66">
        <f t="shared" si="498"/>
        <v>0.6914893617021276</v>
      </c>
      <c r="T854" s="66">
        <f t="shared" si="499"/>
        <v>0.5</v>
      </c>
      <c r="U854" s="66">
        <f t="shared" si="500"/>
        <v>0.52916053895252124</v>
      </c>
      <c r="V854" s="66">
        <f t="shared" si="501"/>
        <v>6.9378604793203735E-2</v>
      </c>
      <c r="W854" s="66">
        <f t="shared" si="502"/>
        <v>1.6487000634115404E-2</v>
      </c>
      <c r="X854" s="66">
        <f t="shared" si="503"/>
        <v>9.8944951620838582E-3</v>
      </c>
      <c r="Y854" s="66">
        <f t="shared" si="504"/>
        <v>1.3519898032471051E-2</v>
      </c>
      <c r="Z854" s="66">
        <f t="shared" si="505"/>
        <v>2.5464272067252584E-3</v>
      </c>
      <c r="AA854" s="66">
        <f t="shared" si="491"/>
        <v>6.7043255707830368E-3</v>
      </c>
      <c r="AB854" s="66">
        <f t="shared" si="506"/>
        <v>1.2568875317700628E-2</v>
      </c>
      <c r="AC854" s="67">
        <f t="shared" si="492"/>
        <v>12928160.591276867</v>
      </c>
      <c r="AD854" s="67">
        <f t="shared" si="479"/>
        <v>14662051.084395062</v>
      </c>
      <c r="AE854" s="66">
        <f t="shared" si="495"/>
        <v>-0.23824768139334107</v>
      </c>
      <c r="AF854" s="64">
        <f>MIN(MAX(AD854,AH783*(1-SIM_Parametres!$E$32)),AH783*(1+SIM_Parametres!$F$32))</f>
        <v>18285403.522831559</v>
      </c>
      <c r="AG854" s="64">
        <f>IF(F854-SUM($AF$785:$AF$855)&gt;=0,IFERROR((F854-SUM($AF$785:$AF$855))/(SUM($AH$714:$AH$784)*(1+SIM_Parametres!$F$33)-SUM($AF$785:$AF$855)),0),IFERROR((F854-SUM($AF$785:$AF$855))/(SUM($AF$785:$AF$855)-SUM($AH$714:$AH$784)*(1-SIM_Parametres!$E$33)),0))</f>
        <v>6.4281496449413555E-2</v>
      </c>
      <c r="AH854" s="64">
        <f>AF854+IF(AG854&gt;=0,AG854*(AH783*(1+SIM_Parametres!$F$33)-AF854),AG854*(AF854-AH783*(1-SIM_Parametres!$E$33)))</f>
        <v>18532858.91264819</v>
      </c>
      <c r="AI854" s="67">
        <f t="shared" si="493"/>
        <v>280.4046984101077</v>
      </c>
      <c r="AJ854" s="67">
        <f t="shared" si="494"/>
        <v>-1330863.6511014551</v>
      </c>
      <c r="AK854" s="66">
        <f t="shared" si="496"/>
        <v>-3.7143700710117189E-2</v>
      </c>
    </row>
    <row r="855" spans="1:37" ht="12.75" customHeight="1" x14ac:dyDescent="0.25">
      <c r="A855" s="55" t="s">
        <v>672</v>
      </c>
      <c r="B855" s="55" t="s">
        <v>461</v>
      </c>
      <c r="C855" s="55" t="s">
        <v>461</v>
      </c>
      <c r="D855" s="128">
        <v>2027</v>
      </c>
      <c r="E855" s="55" t="s">
        <v>676</v>
      </c>
      <c r="F855" s="57">
        <f>SIM_Parametres!$C$33</f>
        <v>1580389817.0408096</v>
      </c>
      <c r="G855" s="129">
        <f>SIM_Districts!D74*(1+SIM_Parametres!$B$6)^(2027-2023)</f>
        <v>339506.35601006995</v>
      </c>
      <c r="H855" s="129">
        <f>MAX(0,MIN(100,SIM_Districts!F74+(2027-2022)*SIM_Parametres!$B$7))</f>
        <v>44.15</v>
      </c>
      <c r="I855" s="129">
        <f>SIM_Districts!G74*(1+SIM_Parametres!$B$8)^(2027-2023)</f>
        <v>31.229958399999997</v>
      </c>
      <c r="J855" s="129">
        <f>SIM_Districts!H74*(1+SIM_Parametres!$B$9)^(2027-2023)</f>
        <v>6.757830000000002</v>
      </c>
      <c r="K855" s="129">
        <f>MAX(0,MIN(100,SIM_Districts!I74+(2027-2023)*SIM_Parametres!$B$10))</f>
        <v>100</v>
      </c>
      <c r="L855" s="129">
        <f>SIM_Districts!E74</f>
        <v>1136</v>
      </c>
      <c r="M855" s="68">
        <f t="shared" si="490"/>
        <v>298.86122888210383</v>
      </c>
      <c r="N855" s="129">
        <f>N784*(1+SIM_Parametres!$B$6)/(1+SIM_Parametres!$B$11)</f>
        <v>69419</v>
      </c>
      <c r="O855" s="72"/>
      <c r="P855" s="130">
        <f>SIM_Parametres!$D$33</f>
        <v>0.75</v>
      </c>
      <c r="Q855" s="130">
        <f>SIM_Parametres!$B$12</f>
        <v>0.2</v>
      </c>
      <c r="R855" s="59">
        <f t="shared" si="497"/>
        <v>1.6641318722737261E-2</v>
      </c>
      <c r="S855" s="59">
        <f t="shared" si="498"/>
        <v>0.6914893617021276</v>
      </c>
      <c r="T855" s="59">
        <f t="shared" si="499"/>
        <v>0.5</v>
      </c>
      <c r="U855" s="59">
        <f t="shared" si="500"/>
        <v>0.53532398626606015</v>
      </c>
      <c r="V855" s="59">
        <f t="shared" si="501"/>
        <v>6.9378604793203735E-2</v>
      </c>
      <c r="W855" s="59">
        <f t="shared" si="502"/>
        <v>1.6487000634115404E-2</v>
      </c>
      <c r="X855" s="59">
        <f t="shared" si="503"/>
        <v>9.8944951620838582E-3</v>
      </c>
      <c r="Y855" s="59">
        <f t="shared" si="504"/>
        <v>1.3677372320656833E-2</v>
      </c>
      <c r="Z855" s="59">
        <f t="shared" si="505"/>
        <v>2.5464272067252584E-3</v>
      </c>
      <c r="AA855" s="59">
        <f t="shared" si="491"/>
        <v>1.4753205579441351E-2</v>
      </c>
      <c r="AB855" s="59">
        <f t="shared" si="506"/>
        <v>1.5494685745087803E-2</v>
      </c>
      <c r="AC855" s="60">
        <f t="shared" si="492"/>
        <v>23104454.994690422</v>
      </c>
      <c r="AD855" s="60">
        <f t="shared" si="479"/>
        <v>23450252.138463855</v>
      </c>
      <c r="AE855" s="59">
        <f t="shared" si="495"/>
        <v>-1.1719517317851702E-2</v>
      </c>
      <c r="AF855" s="57">
        <f>MIN(MAX(AD855,AH784*(1-SIM_Parametres!$E$32)),AH784*(1+SIM_Parametres!$F$32))</f>
        <v>23450252.138463855</v>
      </c>
      <c r="AG855" s="57">
        <f>IF(F855-SUM($AF$785:$AF$855)&gt;=0,IFERROR((F855-SUM($AF$785:$AF$855))/(SUM($AH$714:$AH$784)*(1+SIM_Parametres!$F$33)-SUM($AF$785:$AF$855)),0),IFERROR((F855-SUM($AF$785:$AF$855))/(SUM($AF$785:$AF$855)-SUM($AH$714:$AH$784)*(1-SIM_Parametres!$E$33)),0))</f>
        <v>6.4281496449413555E-2</v>
      </c>
      <c r="AH855" s="57">
        <f>AF855+IF(AG855&gt;=0,AG855*(AH784*(1+SIM_Parametres!$F$33)-AF855),AG855*(AF855-AH784*(1-SIM_Parametres!$E$33)))</f>
        <v>23696921.785751119</v>
      </c>
      <c r="AI855" s="60">
        <f t="shared" si="493"/>
        <v>69.79816832957394</v>
      </c>
      <c r="AJ855" s="60">
        <f t="shared" si="494"/>
        <v>-790721.784033034</v>
      </c>
      <c r="AK855" s="59">
        <f t="shared" si="496"/>
        <v>-1.3239447395834159E-3</v>
      </c>
    </row>
    <row r="856" spans="1:37" ht="12" customHeight="1" x14ac:dyDescent="0.25">
      <c r="A856" s="133" t="s">
        <v>587</v>
      </c>
      <c r="B856" s="133" t="s">
        <v>376</v>
      </c>
      <c r="C856" s="133" t="s">
        <v>379</v>
      </c>
      <c r="D856" s="124">
        <v>2028</v>
      </c>
      <c r="E856" s="133" t="s">
        <v>676</v>
      </c>
      <c r="F856" s="64">
        <f>SIM_Parametres!$C$34</f>
        <v>1630962291.1861155</v>
      </c>
      <c r="G856" s="125">
        <f>SIM_Districts!D4*(1+SIM_Parametres!$B$6)^(2028-2023)</f>
        <v>526267.5365914508</v>
      </c>
      <c r="H856" s="125">
        <f>MAX(0,MIN(100,SIM_Districts!F4+(2028-2022)*SIM_Parametres!$B$7))</f>
        <v>4.3200000000000012</v>
      </c>
      <c r="I856" s="125">
        <f>SIM_Districts!G4*(1+SIM_Parametres!$B$8)^(2028-2023)</f>
        <v>29.356160895999995</v>
      </c>
      <c r="J856" s="125">
        <f>SIM_Districts!H4*(1+SIM_Parametres!$B$9)^(2028-2023)</f>
        <v>6.1410960000000019</v>
      </c>
      <c r="K856" s="125">
        <f>MAX(0,MIN(100,SIM_Districts!I4+(2028-2023)*SIM_Parametres!$B$10))</f>
        <v>100</v>
      </c>
      <c r="L856" s="125">
        <f>SIM_Districts!E4</f>
        <v>13</v>
      </c>
      <c r="M856" s="61">
        <f t="shared" si="490"/>
        <v>40482.118199342367</v>
      </c>
      <c r="N856" s="125">
        <f>N785*(1+SIM_Parametres!$B$6)/(1+SIM_Parametres!$B$11)</f>
        <v>73189</v>
      </c>
      <c r="O856" s="3"/>
      <c r="P856" s="126">
        <f>SIM_Parametres!$D$34</f>
        <v>1</v>
      </c>
      <c r="Q856" s="126">
        <f>SIM_Parametres!$B$12</f>
        <v>0.2</v>
      </c>
      <c r="R856" s="66">
        <f t="shared" ref="R856:R887" si="507">IFERROR(G856/SUM($G$856:$G$926),1/71)</f>
        <v>2.5044316606264862E-2</v>
      </c>
      <c r="S856" s="66">
        <f t="shared" ref="S856:S887" si="508">IF(MAX($H$856:$H$926)=MIN($H$856:$H$926),1,(H856-MIN($H$856:$H$926))/(MAX($H$856:$H$926)-MIN($H$856:$H$926)))</f>
        <v>0</v>
      </c>
      <c r="T856" s="66">
        <f t="shared" ref="T856:T887" si="509">(IF(MAX($I$856:$I$926)=MIN($I$856:$I$926),1,(I856-MIN($I$856:$I$926))/(MAX($I$856:$I$926)-MIN($I$856:$I$926)))+IF(MAX($J$856:$J$926)=MIN($J$856:$J$926),1,(J856-MIN($J$856:$J$926))/(MAX($J$856:$J$926)-MIN($J$856:$J$926))))/2</f>
        <v>0.50276243093922657</v>
      </c>
      <c r="U856" s="66">
        <f t="shared" ref="U856:U887" si="510">(IF(MAX($L$856:$L$926)=MIN($L$856:$L$926),1,(L856-MIN($L$856:$L$926))/(MAX($L$856:$L$926)-MIN($L$856:$L$926)))+IF(MAX($M$856:$M$926)=MIN($M$856:$M$926),1,(MAX($M$856:$M$926)-M856)/(MAX($M$856:$M$926)-MIN($M$856:$M$926))))/2</f>
        <v>6.3061112543856303E-3</v>
      </c>
      <c r="V856" s="66">
        <f t="shared" ref="V856:V887" si="511">IF(MAX($N$856:$N$926)=MIN($N$856:$N$926),1,(N856-MIN($N$856:$N$926))/(MAX($N$856:$N$926)-MIN($N$856:$N$926)))</f>
        <v>9.5544805280436421E-2</v>
      </c>
      <c r="W856" s="66">
        <f t="shared" ref="W856:W887" si="512">IFERROR(S856/SUM($S$856:$S$926),1/71)</f>
        <v>0</v>
      </c>
      <c r="X856" s="66">
        <f t="shared" ref="X856:X887" si="513">IFERROR(T856/SUM($T$856:$T$926),1/71)</f>
        <v>9.9491608812113941E-3</v>
      </c>
      <c r="Y856" s="66">
        <f t="shared" ref="Y856:Y887" si="514">IFERROR(U856/SUM($U$856:$U$926),1/71)</f>
        <v>1.6111931042605876E-4</v>
      </c>
      <c r="Z856" s="66">
        <f t="shared" ref="Z856:Z887" si="515">IFERROR(V856/SUM($V$856:$V$926),1/71)</f>
        <v>3.506814418545408E-3</v>
      </c>
      <c r="AA856" s="66">
        <f t="shared" si="491"/>
        <v>1.6702360782389195E-2</v>
      </c>
      <c r="AB856" s="66">
        <f t="shared" ref="AB856:AB887" si="516">IFERROR(AH785/SUM($AH$785:$AH$855),1/71)</f>
        <v>1.6227354483972261E-2</v>
      </c>
      <c r="AC856" s="67">
        <f t="shared" si="492"/>
        <v>26386996.463062238</v>
      </c>
      <c r="AD856" s="67">
        <f t="shared" si="479"/>
        <v>26386996.463062238</v>
      </c>
      <c r="AE856" s="66">
        <f t="shared" si="495"/>
        <v>2.8911479807307128E-2</v>
      </c>
      <c r="AF856" s="64">
        <f t="shared" ref="AF856:AF919" si="517">AD856</f>
        <v>26386996.463062238</v>
      </c>
      <c r="AG856" s="64">
        <v>1</v>
      </c>
      <c r="AH856" s="64">
        <f t="shared" ref="AH856:AH919" si="518">AF856</f>
        <v>26386996.463062238</v>
      </c>
      <c r="AI856" s="67">
        <f t="shared" si="493"/>
        <v>50.139890128824057</v>
      </c>
      <c r="AJ856" s="67">
        <f t="shared" si="494"/>
        <v>-79206.786006446928</v>
      </c>
      <c r="AK856" s="66">
        <f t="shared" si="496"/>
        <v>2.8911479807307128E-2</v>
      </c>
    </row>
    <row r="857" spans="1:37" ht="12" customHeight="1" x14ac:dyDescent="0.25">
      <c r="A857" s="134" t="s">
        <v>590</v>
      </c>
      <c r="B857" s="134" t="s">
        <v>376</v>
      </c>
      <c r="C857" s="134" t="s">
        <v>381</v>
      </c>
      <c r="D857" s="128">
        <v>2028</v>
      </c>
      <c r="E857" s="134" t="s">
        <v>676</v>
      </c>
      <c r="F857" s="57">
        <f>SIM_Parametres!$C$34</f>
        <v>1630962291.1861155</v>
      </c>
      <c r="G857" s="129">
        <f>SIM_Districts!D5*(1+SIM_Parametres!$B$6)^(2028-2023)</f>
        <v>275837.67323894199</v>
      </c>
      <c r="H857" s="129">
        <f>MAX(0,MIN(100,SIM_Districts!F5+(2028-2022)*SIM_Parametres!$B$7))</f>
        <v>4.3200000000000012</v>
      </c>
      <c r="I857" s="129">
        <f>SIM_Districts!G5*(1+SIM_Parametres!$B$8)^(2028-2023)</f>
        <v>29.356160895999995</v>
      </c>
      <c r="J857" s="129">
        <f>SIM_Districts!H5*(1+SIM_Parametres!$B$9)^(2028-2023)</f>
        <v>6.1410960000000019</v>
      </c>
      <c r="K857" s="129">
        <f>MAX(0,MIN(100,SIM_Districts!I5+(2028-2023)*SIM_Parametres!$B$10))</f>
        <v>100</v>
      </c>
      <c r="L857" s="129">
        <f>SIM_Districts!E5</f>
        <v>10</v>
      </c>
      <c r="M857" s="68">
        <f t="shared" si="490"/>
        <v>27583.767323894201</v>
      </c>
      <c r="N857" s="129">
        <f>N786*(1+SIM_Parametres!$B$6)/(1+SIM_Parametres!$B$11)</f>
        <v>73189</v>
      </c>
      <c r="O857" s="135"/>
      <c r="P857" s="130">
        <f>SIM_Parametres!$D$34</f>
        <v>1</v>
      </c>
      <c r="Q857" s="130">
        <f>SIM_Parametres!$B$12</f>
        <v>0.2</v>
      </c>
      <c r="R857" s="59">
        <f t="shared" si="507"/>
        <v>1.3126718902850368E-2</v>
      </c>
      <c r="S857" s="59">
        <f t="shared" si="508"/>
        <v>0</v>
      </c>
      <c r="T857" s="59">
        <f t="shared" si="509"/>
        <v>0.50276243093922657</v>
      </c>
      <c r="U857" s="59">
        <f t="shared" si="510"/>
        <v>0.16355896203869907</v>
      </c>
      <c r="V857" s="59">
        <f t="shared" si="511"/>
        <v>9.5544805280436421E-2</v>
      </c>
      <c r="W857" s="59">
        <f t="shared" si="512"/>
        <v>0</v>
      </c>
      <c r="X857" s="59">
        <f t="shared" si="513"/>
        <v>9.9491608812113941E-3</v>
      </c>
      <c r="Y857" s="59">
        <f t="shared" si="514"/>
        <v>4.1788839610703149E-3</v>
      </c>
      <c r="Z857" s="59">
        <f t="shared" si="515"/>
        <v>3.506814418545408E-3</v>
      </c>
      <c r="AA857" s="59">
        <f t="shared" si="491"/>
        <v>9.7526903928727166E-3</v>
      </c>
      <c r="AB857" s="59">
        <f t="shared" si="516"/>
        <v>1.2219559345232615E-2</v>
      </c>
      <c r="AC857" s="60">
        <f t="shared" si="492"/>
        <v>17319276.18988296</v>
      </c>
      <c r="AD857" s="60">
        <f t="shared" ref="AD857:AD920" si="519">F857*((1-P857)*AB857+P857*(Q857/71+(1-Q857)*AA857))</f>
        <v>17319276.18988296</v>
      </c>
      <c r="AE857" s="59">
        <f t="shared" si="495"/>
        <v>-0.10317032453773611</v>
      </c>
      <c r="AF857" s="57">
        <f t="shared" si="517"/>
        <v>17319276.18988296</v>
      </c>
      <c r="AG857" s="57">
        <v>1</v>
      </c>
      <c r="AH857" s="57">
        <f t="shared" si="518"/>
        <v>17319276.18988296</v>
      </c>
      <c r="AI857" s="60">
        <f t="shared" si="493"/>
        <v>62.787928807970651</v>
      </c>
      <c r="AJ857" s="60">
        <f t="shared" si="494"/>
        <v>-2610364.3171023354</v>
      </c>
      <c r="AK857" s="59">
        <f t="shared" si="496"/>
        <v>-0.10317032453773611</v>
      </c>
    </row>
    <row r="858" spans="1:37" ht="12" customHeight="1" x14ac:dyDescent="0.25">
      <c r="A858" s="133" t="s">
        <v>591</v>
      </c>
      <c r="B858" s="133" t="s">
        <v>376</v>
      </c>
      <c r="C858" s="133" t="s">
        <v>382</v>
      </c>
      <c r="D858" s="124">
        <v>2028</v>
      </c>
      <c r="E858" s="133" t="s">
        <v>676</v>
      </c>
      <c r="F858" s="64">
        <f>SIM_Parametres!$C$34</f>
        <v>1630962291.1861155</v>
      </c>
      <c r="G858" s="125">
        <f>SIM_Districts!D6*(1+SIM_Parametres!$B$6)^(2028-2023)</f>
        <v>210229.71627800778</v>
      </c>
      <c r="H858" s="125">
        <f>MAX(0,MIN(100,SIM_Districts!F6+(2028-2022)*SIM_Parametres!$B$7))</f>
        <v>4.3200000000000012</v>
      </c>
      <c r="I858" s="125">
        <f>SIM_Districts!G6*(1+SIM_Parametres!$B$8)^(2028-2023)</f>
        <v>29.356160895999995</v>
      </c>
      <c r="J858" s="125">
        <f>SIM_Districts!H6*(1+SIM_Parametres!$B$9)^(2028-2023)</f>
        <v>6.1410960000000019</v>
      </c>
      <c r="K858" s="125">
        <f>MAX(0,MIN(100,SIM_Districts!I6+(2028-2023)*SIM_Parametres!$B$10))</f>
        <v>100</v>
      </c>
      <c r="L858" s="125">
        <f>SIM_Districts!E6</f>
        <v>169</v>
      </c>
      <c r="M858" s="61">
        <f t="shared" si="490"/>
        <v>1243.9628182130639</v>
      </c>
      <c r="N858" s="125">
        <f>N787*(1+SIM_Parametres!$B$6)/(1+SIM_Parametres!$B$11)</f>
        <v>73189</v>
      </c>
      <c r="O858" s="3"/>
      <c r="P858" s="126">
        <f>SIM_Parametres!$D$34</f>
        <v>1</v>
      </c>
      <c r="Q858" s="126">
        <f>SIM_Parametres!$B$12</f>
        <v>0.2</v>
      </c>
      <c r="R858" s="66">
        <f t="shared" si="507"/>
        <v>1.000453041168489E-2</v>
      </c>
      <c r="S858" s="66">
        <f t="shared" si="508"/>
        <v>0</v>
      </c>
      <c r="T858" s="66">
        <f t="shared" si="509"/>
        <v>0.50276243093922657</v>
      </c>
      <c r="U858" s="66">
        <f t="shared" si="510"/>
        <v>0.49040605765544509</v>
      </c>
      <c r="V858" s="66">
        <f t="shared" si="511"/>
        <v>9.5544805280436421E-2</v>
      </c>
      <c r="W858" s="66">
        <f t="shared" si="512"/>
        <v>0</v>
      </c>
      <c r="X858" s="66">
        <f t="shared" si="513"/>
        <v>9.9491608812113941E-3</v>
      </c>
      <c r="Y858" s="66">
        <f t="shared" si="514"/>
        <v>1.2529732294725463E-2</v>
      </c>
      <c r="Z858" s="66">
        <f t="shared" si="515"/>
        <v>3.506814418545408E-3</v>
      </c>
      <c r="AA858" s="66">
        <f t="shared" si="491"/>
        <v>8.2969197148561862E-3</v>
      </c>
      <c r="AB858" s="66">
        <f t="shared" si="516"/>
        <v>1.0566169783779169E-2</v>
      </c>
      <c r="AC858" s="67">
        <f t="shared" si="492"/>
        <v>15419830.525515435</v>
      </c>
      <c r="AD858" s="67">
        <f t="shared" si="519"/>
        <v>15419830.525515435</v>
      </c>
      <c r="AE858" s="66">
        <f t="shared" si="495"/>
        <v>-7.6583154561364108E-2</v>
      </c>
      <c r="AF858" s="64">
        <f t="shared" si="517"/>
        <v>15419830.525515435</v>
      </c>
      <c r="AG858" s="64">
        <v>1</v>
      </c>
      <c r="AH858" s="64">
        <f t="shared" si="518"/>
        <v>15419830.525515435</v>
      </c>
      <c r="AI858" s="67">
        <f t="shared" si="493"/>
        <v>73.347530494329604</v>
      </c>
      <c r="AJ858" s="67">
        <f t="shared" si="494"/>
        <v>-1813193.9540985394</v>
      </c>
      <c r="AK858" s="66">
        <f t="shared" si="496"/>
        <v>-7.6583154561364108E-2</v>
      </c>
    </row>
    <row r="859" spans="1:37" ht="12" customHeight="1" x14ac:dyDescent="0.25">
      <c r="A859" s="134" t="s">
        <v>592</v>
      </c>
      <c r="B859" s="134" t="s">
        <v>376</v>
      </c>
      <c r="C859" s="134" t="s">
        <v>383</v>
      </c>
      <c r="D859" s="128">
        <v>2028</v>
      </c>
      <c r="E859" s="134" t="s">
        <v>676</v>
      </c>
      <c r="F859" s="57">
        <f>SIM_Parametres!$C$34</f>
        <v>1630962291.1861155</v>
      </c>
      <c r="G859" s="129">
        <f>SIM_Districts!D7*(1+SIM_Parametres!$B$6)^(2028-2023)</f>
        <v>532876.5580890351</v>
      </c>
      <c r="H859" s="129">
        <f>MAX(0,MIN(100,SIM_Districts!F7+(2028-2022)*SIM_Parametres!$B$7))</f>
        <v>4.3200000000000012</v>
      </c>
      <c r="I859" s="129">
        <f>SIM_Districts!G7*(1+SIM_Parametres!$B$8)^(2028-2023)</f>
        <v>29.356160895999995</v>
      </c>
      <c r="J859" s="129">
        <f>SIM_Districts!H7*(1+SIM_Parametres!$B$9)^(2028-2023)</f>
        <v>6.1410960000000019</v>
      </c>
      <c r="K859" s="129">
        <f>MAX(0,MIN(100,SIM_Districts!I7+(2028-2023)*SIM_Parametres!$B$10))</f>
        <v>100</v>
      </c>
      <c r="L859" s="129">
        <f>SIM_Districts!E7</f>
        <v>13</v>
      </c>
      <c r="M859" s="68">
        <f t="shared" si="490"/>
        <v>40990.504468387313</v>
      </c>
      <c r="N859" s="129">
        <f>N788*(1+SIM_Parametres!$B$6)/(1+SIM_Parametres!$B$11)</f>
        <v>73189</v>
      </c>
      <c r="O859" s="135"/>
      <c r="P859" s="130">
        <f>SIM_Parametres!$D$34</f>
        <v>1</v>
      </c>
      <c r="Q859" s="130">
        <f>SIM_Parametres!$B$12</f>
        <v>0.2</v>
      </c>
      <c r="R859" s="59">
        <f t="shared" si="507"/>
        <v>2.5358830452045938E-2</v>
      </c>
      <c r="S859" s="59">
        <f t="shared" si="508"/>
        <v>0</v>
      </c>
      <c r="T859" s="59">
        <f t="shared" si="509"/>
        <v>0.50276243093922657</v>
      </c>
      <c r="U859" s="59">
        <f t="shared" si="510"/>
        <v>1.0392129693778578E-4</v>
      </c>
      <c r="V859" s="59">
        <f t="shared" si="511"/>
        <v>9.5544805280436421E-2</v>
      </c>
      <c r="W859" s="59">
        <f t="shared" si="512"/>
        <v>0</v>
      </c>
      <c r="X859" s="59">
        <f t="shared" si="513"/>
        <v>9.9491608812113941E-3</v>
      </c>
      <c r="Y859" s="59">
        <f t="shared" si="514"/>
        <v>2.6551589443578546E-6</v>
      </c>
      <c r="Z859" s="59">
        <f t="shared" si="515"/>
        <v>3.506814418545408E-3</v>
      </c>
      <c r="AA859" s="59">
        <f t="shared" si="491"/>
        <v>1.6883145882283759E-2</v>
      </c>
      <c r="AB859" s="59">
        <f t="shared" si="516"/>
        <v>1.6464985783383672E-2</v>
      </c>
      <c r="AC859" s="60">
        <f t="shared" si="492"/>
        <v>26622879.407651316</v>
      </c>
      <c r="AD859" s="60">
        <f t="shared" si="519"/>
        <v>26622879.407651316</v>
      </c>
      <c r="AE859" s="59">
        <f t="shared" si="495"/>
        <v>2.3126756109027813E-2</v>
      </c>
      <c r="AF859" s="57">
        <f t="shared" si="517"/>
        <v>26622879.407651316</v>
      </c>
      <c r="AG859" s="57">
        <v>1</v>
      </c>
      <c r="AH859" s="57">
        <f t="shared" si="518"/>
        <v>26622879.407651316</v>
      </c>
      <c r="AI859" s="60">
        <f t="shared" si="493"/>
        <v>49.960687899509857</v>
      </c>
      <c r="AJ859" s="60">
        <f t="shared" si="494"/>
        <v>-230891.52996293455</v>
      </c>
      <c r="AK859" s="59">
        <f t="shared" si="496"/>
        <v>2.3126756109027813E-2</v>
      </c>
    </row>
    <row r="860" spans="1:37" ht="12" customHeight="1" x14ac:dyDescent="0.25">
      <c r="A860" s="133" t="s">
        <v>593</v>
      </c>
      <c r="B860" s="133" t="s">
        <v>376</v>
      </c>
      <c r="C860" s="133" t="s">
        <v>384</v>
      </c>
      <c r="D860" s="124">
        <v>2028</v>
      </c>
      <c r="E860" s="133" t="s">
        <v>676</v>
      </c>
      <c r="F860" s="64">
        <f>SIM_Parametres!$C$34</f>
        <v>1630962291.1861155</v>
      </c>
      <c r="G860" s="125">
        <f>SIM_Districts!D8*(1+SIM_Parametres!$B$6)^(2028-2023)</f>
        <v>377897.84419216536</v>
      </c>
      <c r="H860" s="125">
        <f>MAX(0,MIN(100,SIM_Districts!F8+(2028-2022)*SIM_Parametres!$B$7))</f>
        <v>4.3200000000000012</v>
      </c>
      <c r="I860" s="125">
        <f>SIM_Districts!G8*(1+SIM_Parametres!$B$8)^(2028-2023)</f>
        <v>29.356160895999995</v>
      </c>
      <c r="J860" s="125">
        <f>SIM_Districts!H8*(1+SIM_Parametres!$B$9)^(2028-2023)</f>
        <v>6.1410960000000019</v>
      </c>
      <c r="K860" s="125">
        <f>MAX(0,MIN(100,SIM_Districts!I8+(2028-2023)*SIM_Parametres!$B$10))</f>
        <v>100</v>
      </c>
      <c r="L860" s="125">
        <f>SIM_Districts!E8</f>
        <v>34</v>
      </c>
      <c r="M860" s="61">
        <f t="shared" si="490"/>
        <v>11114.642476240158</v>
      </c>
      <c r="N860" s="125">
        <f>N789*(1+SIM_Parametres!$B$6)/(1+SIM_Parametres!$B$11)</f>
        <v>73189</v>
      </c>
      <c r="O860" s="3"/>
      <c r="P860" s="126">
        <f>SIM_Parametres!$D$34</f>
        <v>1</v>
      </c>
      <c r="Q860" s="126">
        <f>SIM_Parametres!$B$12</f>
        <v>0.2</v>
      </c>
      <c r="R860" s="66">
        <f t="shared" si="507"/>
        <v>1.7983615930542814E-2</v>
      </c>
      <c r="S860" s="66">
        <f t="shared" si="508"/>
        <v>0</v>
      </c>
      <c r="T860" s="66">
        <f t="shared" si="509"/>
        <v>0.50276243093922657</v>
      </c>
      <c r="U860" s="66">
        <f t="shared" si="510"/>
        <v>0.36530968637307892</v>
      </c>
      <c r="V860" s="66">
        <f t="shared" si="511"/>
        <v>9.5544805280436421E-2</v>
      </c>
      <c r="W860" s="66">
        <f t="shared" si="512"/>
        <v>0</v>
      </c>
      <c r="X860" s="66">
        <f t="shared" si="513"/>
        <v>9.9491608812113941E-3</v>
      </c>
      <c r="Y860" s="66">
        <f t="shared" si="514"/>
        <v>9.3335563528881196E-3</v>
      </c>
      <c r="Z860" s="66">
        <f t="shared" si="515"/>
        <v>3.506814418545408E-3</v>
      </c>
      <c r="AA860" s="66">
        <f t="shared" si="491"/>
        <v>1.2924562229079074E-2</v>
      </c>
      <c r="AB860" s="66">
        <f t="shared" si="516"/>
        <v>1.3013092442380338E-2</v>
      </c>
      <c r="AC860" s="67">
        <f t="shared" si="492"/>
        <v>21457838.875745222</v>
      </c>
      <c r="AD860" s="67">
        <f t="shared" si="519"/>
        <v>21457838.875745222</v>
      </c>
      <c r="AE860" s="66">
        <f t="shared" si="495"/>
        <v>4.3376959778610225E-2</v>
      </c>
      <c r="AF860" s="64">
        <f t="shared" si="517"/>
        <v>21457838.875745222</v>
      </c>
      <c r="AG860" s="64">
        <v>1</v>
      </c>
      <c r="AH860" s="64">
        <f t="shared" si="518"/>
        <v>21457838.875745222</v>
      </c>
      <c r="AI860" s="67">
        <f t="shared" si="493"/>
        <v>56.782115075611983</v>
      </c>
      <c r="AJ860" s="67">
        <f t="shared" si="494"/>
        <v>233975.8105038628</v>
      </c>
      <c r="AK860" s="66">
        <f t="shared" si="496"/>
        <v>4.3376959778610225E-2</v>
      </c>
    </row>
    <row r="861" spans="1:37" ht="12" customHeight="1" x14ac:dyDescent="0.25">
      <c r="A861" s="134" t="s">
        <v>594</v>
      </c>
      <c r="B861" s="134" t="s">
        <v>376</v>
      </c>
      <c r="C861" s="134" t="s">
        <v>385</v>
      </c>
      <c r="D861" s="128">
        <v>2028</v>
      </c>
      <c r="E861" s="134" t="s">
        <v>676</v>
      </c>
      <c r="F861" s="57">
        <f>SIM_Parametres!$C$34</f>
        <v>1630962291.1861155</v>
      </c>
      <c r="G861" s="129">
        <f>SIM_Districts!D9*(1+SIM_Parametres!$B$6)^(2028-2023)</f>
        <v>554442.53369323805</v>
      </c>
      <c r="H861" s="129">
        <f>MAX(0,MIN(100,SIM_Districts!F9+(2028-2022)*SIM_Parametres!$B$7))</f>
        <v>4.3200000000000012</v>
      </c>
      <c r="I861" s="129">
        <f>SIM_Districts!G9*(1+SIM_Parametres!$B$8)^(2028-2023)</f>
        <v>29.356160895999995</v>
      </c>
      <c r="J861" s="129">
        <f>SIM_Districts!H9*(1+SIM_Parametres!$B$9)^(2028-2023)</f>
        <v>6.1410960000000019</v>
      </c>
      <c r="K861" s="129">
        <f>MAX(0,MIN(100,SIM_Districts!I9+(2028-2023)*SIM_Parametres!$B$10))</f>
        <v>100</v>
      </c>
      <c r="L861" s="129">
        <f>SIM_Districts!E9</f>
        <v>28</v>
      </c>
      <c r="M861" s="68">
        <f t="shared" si="490"/>
        <v>19801.519060472787</v>
      </c>
      <c r="N861" s="129">
        <f>N790*(1+SIM_Parametres!$B$6)/(1+SIM_Parametres!$B$11)</f>
        <v>73189</v>
      </c>
      <c r="O861" s="135"/>
      <c r="P861" s="130">
        <f>SIM_Parametres!$D$34</f>
        <v>1</v>
      </c>
      <c r="Q861" s="130">
        <f>SIM_Parametres!$B$12</f>
        <v>0.2</v>
      </c>
      <c r="R861" s="59">
        <f t="shared" si="507"/>
        <v>2.6385124272966028E-2</v>
      </c>
      <c r="S861" s="59">
        <f t="shared" si="508"/>
        <v>0</v>
      </c>
      <c r="T861" s="59">
        <f t="shared" si="509"/>
        <v>0.50276243093922657</v>
      </c>
      <c r="U861" s="59">
        <f t="shared" si="510"/>
        <v>0.25912404305391828</v>
      </c>
      <c r="V861" s="59">
        <f t="shared" si="511"/>
        <v>9.5544805280436421E-2</v>
      </c>
      <c r="W861" s="59">
        <f t="shared" si="512"/>
        <v>0</v>
      </c>
      <c r="X861" s="59">
        <f t="shared" si="513"/>
        <v>9.9491608812113941E-3</v>
      </c>
      <c r="Y861" s="59">
        <f t="shared" si="514"/>
        <v>6.6205440163499205E-3</v>
      </c>
      <c r="Z861" s="59">
        <f t="shared" si="515"/>
        <v>3.506814418545408E-3</v>
      </c>
      <c r="AA861" s="59">
        <f t="shared" si="491"/>
        <v>1.7829816617706089E-2</v>
      </c>
      <c r="AB861" s="59">
        <f t="shared" si="516"/>
        <v>1.419657691190125E-2</v>
      </c>
      <c r="AC861" s="60">
        <f t="shared" si="492"/>
        <v>27858066.824965917</v>
      </c>
      <c r="AD861" s="60">
        <f t="shared" si="519"/>
        <v>27858066.824965917</v>
      </c>
      <c r="AE861" s="59">
        <f t="shared" si="495"/>
        <v>0.24166120907089605</v>
      </c>
      <c r="AF861" s="57">
        <f t="shared" si="517"/>
        <v>27858066.824965917</v>
      </c>
      <c r="AG861" s="57">
        <v>1</v>
      </c>
      <c r="AH861" s="57">
        <f t="shared" si="518"/>
        <v>27858066.824965917</v>
      </c>
      <c r="AI861" s="60">
        <f t="shared" si="493"/>
        <v>50.24518346274499</v>
      </c>
      <c r="AJ861" s="60">
        <f t="shared" si="494"/>
        <v>4703985.2177315466</v>
      </c>
      <c r="AK861" s="59">
        <f t="shared" si="496"/>
        <v>0.24166120907089605</v>
      </c>
    </row>
    <row r="862" spans="1:37" ht="12" customHeight="1" x14ac:dyDescent="0.25">
      <c r="A862" s="133" t="s">
        <v>595</v>
      </c>
      <c r="B862" s="133" t="s">
        <v>376</v>
      </c>
      <c r="C862" s="133" t="s">
        <v>386</v>
      </c>
      <c r="D862" s="124">
        <v>2028</v>
      </c>
      <c r="E862" s="133" t="s">
        <v>676</v>
      </c>
      <c r="F862" s="64">
        <f>SIM_Parametres!$C$34</f>
        <v>1630962291.1861155</v>
      </c>
      <c r="G862" s="125">
        <f>SIM_Districts!D10*(1+SIM_Parametres!$B$6)^(2028-2023)</f>
        <v>708858.9996640723</v>
      </c>
      <c r="H862" s="125">
        <f>MAX(0,MIN(100,SIM_Districts!F10+(2028-2022)*SIM_Parametres!$B$7))</f>
        <v>4.3200000000000012</v>
      </c>
      <c r="I862" s="125">
        <f>SIM_Districts!G10*(1+SIM_Parametres!$B$8)^(2028-2023)</f>
        <v>29.356160895999995</v>
      </c>
      <c r="J862" s="125">
        <f>SIM_Districts!H10*(1+SIM_Parametres!$B$9)^(2028-2023)</f>
        <v>6.1410960000000019</v>
      </c>
      <c r="K862" s="125">
        <f>MAX(0,MIN(100,SIM_Districts!I10+(2028-2023)*SIM_Parametres!$B$10))</f>
        <v>100</v>
      </c>
      <c r="L862" s="125">
        <f>SIM_Districts!E10</f>
        <v>22</v>
      </c>
      <c r="M862" s="61">
        <f t="shared" si="490"/>
        <v>32220.863621094195</v>
      </c>
      <c r="N862" s="125">
        <f>N791*(1+SIM_Parametres!$B$6)/(1+SIM_Parametres!$B$11)</f>
        <v>73189</v>
      </c>
      <c r="O862" s="3"/>
      <c r="P862" s="126">
        <f>SIM_Parametres!$D$34</f>
        <v>1</v>
      </c>
      <c r="Q862" s="126">
        <f>SIM_Parametres!$B$12</f>
        <v>0.2</v>
      </c>
      <c r="R862" s="66">
        <f t="shared" si="507"/>
        <v>3.3733582222779307E-2</v>
      </c>
      <c r="S862" s="66">
        <f t="shared" si="508"/>
        <v>0</v>
      </c>
      <c r="T862" s="66">
        <f t="shared" si="509"/>
        <v>0.50276243093922657</v>
      </c>
      <c r="U862" s="66">
        <f t="shared" si="510"/>
        <v>0.10740318997556658</v>
      </c>
      <c r="V862" s="66">
        <f t="shared" si="511"/>
        <v>9.5544805280436421E-2</v>
      </c>
      <c r="W862" s="66">
        <f t="shared" si="512"/>
        <v>0</v>
      </c>
      <c r="X862" s="66">
        <f t="shared" si="513"/>
        <v>9.9491608812113941E-3</v>
      </c>
      <c r="Y862" s="66">
        <f t="shared" si="514"/>
        <v>2.7441202998738055E-3</v>
      </c>
      <c r="Z862" s="66">
        <f t="shared" si="515"/>
        <v>3.506814418545408E-3</v>
      </c>
      <c r="AA862" s="66">
        <f t="shared" si="491"/>
        <v>2.204507020177025E-2</v>
      </c>
      <c r="AB862" s="66">
        <f t="shared" si="516"/>
        <v>2.0320273048715715E-2</v>
      </c>
      <c r="AC862" s="67">
        <f t="shared" si="492"/>
        <v>33358002.53968253</v>
      </c>
      <c r="AD862" s="67">
        <f t="shared" si="519"/>
        <v>33358002.53968253</v>
      </c>
      <c r="AE862" s="66">
        <f t="shared" si="495"/>
        <v>3.8738611508799536E-2</v>
      </c>
      <c r="AF862" s="64">
        <f t="shared" si="517"/>
        <v>33358002.53968253</v>
      </c>
      <c r="AG862" s="64">
        <v>1</v>
      </c>
      <c r="AH862" s="64">
        <f t="shared" si="518"/>
        <v>33358002.53968253</v>
      </c>
      <c r="AI862" s="67">
        <f t="shared" si="493"/>
        <v>47.058727554409074</v>
      </c>
      <c r="AJ862" s="67">
        <f t="shared" si="494"/>
        <v>216403.4506216757</v>
      </c>
      <c r="AK862" s="66">
        <f t="shared" si="496"/>
        <v>3.8738611508799536E-2</v>
      </c>
    </row>
    <row r="863" spans="1:37" ht="12" customHeight="1" x14ac:dyDescent="0.25">
      <c r="A863" s="134" t="s">
        <v>596</v>
      </c>
      <c r="B863" s="134" t="s">
        <v>376</v>
      </c>
      <c r="C863" s="134" t="s">
        <v>387</v>
      </c>
      <c r="D863" s="128">
        <v>2028</v>
      </c>
      <c r="E863" s="134" t="s">
        <v>676</v>
      </c>
      <c r="F863" s="57">
        <f>SIM_Parametres!$C$34</f>
        <v>1630962291.1861155</v>
      </c>
      <c r="G863" s="129">
        <f>SIM_Districts!D11*(1+SIM_Parametres!$B$6)^(2028-2023)</f>
        <v>341581.26526656927</v>
      </c>
      <c r="H863" s="129">
        <f>MAX(0,MIN(100,SIM_Districts!F11+(2028-2022)*SIM_Parametres!$B$7))</f>
        <v>4.3200000000000012</v>
      </c>
      <c r="I863" s="129">
        <f>SIM_Districts!G11*(1+SIM_Parametres!$B$8)^(2028-2023)</f>
        <v>29.356160895999995</v>
      </c>
      <c r="J863" s="129">
        <f>SIM_Districts!H11*(1+SIM_Parametres!$B$9)^(2028-2023)</f>
        <v>6.1410960000000019</v>
      </c>
      <c r="K863" s="129">
        <f>MAX(0,MIN(100,SIM_Districts!I11+(2028-2023)*SIM_Parametres!$B$10))</f>
        <v>100</v>
      </c>
      <c r="L863" s="129">
        <f>SIM_Districts!E11</f>
        <v>34</v>
      </c>
      <c r="M863" s="68">
        <f t="shared" si="490"/>
        <v>10046.50780195792</v>
      </c>
      <c r="N863" s="129">
        <f>N792*(1+SIM_Parametres!$B$6)/(1+SIM_Parametres!$B$11)</f>
        <v>73189</v>
      </c>
      <c r="O863" s="135"/>
      <c r="P863" s="130">
        <f>SIM_Parametres!$D$34</f>
        <v>1</v>
      </c>
      <c r="Q863" s="130">
        <f>SIM_Parametres!$B$12</f>
        <v>0.2</v>
      </c>
      <c r="R863" s="59">
        <f t="shared" si="507"/>
        <v>1.6255362072134839E-2</v>
      </c>
      <c r="S863" s="59">
        <f t="shared" si="508"/>
        <v>0</v>
      </c>
      <c r="T863" s="59">
        <f t="shared" si="509"/>
        <v>0.50276243093922657</v>
      </c>
      <c r="U863" s="59">
        <f t="shared" si="510"/>
        <v>0.37834067197086152</v>
      </c>
      <c r="V863" s="59">
        <f t="shared" si="511"/>
        <v>9.5544805280436421E-2</v>
      </c>
      <c r="W863" s="59">
        <f t="shared" si="512"/>
        <v>0</v>
      </c>
      <c r="X863" s="59">
        <f t="shared" si="513"/>
        <v>9.9491608812113941E-3</v>
      </c>
      <c r="Y863" s="59">
        <f t="shared" si="514"/>
        <v>9.666494249000639E-3</v>
      </c>
      <c r="Z863" s="59">
        <f t="shared" si="515"/>
        <v>3.506814418545408E-3</v>
      </c>
      <c r="AA863" s="59">
        <f t="shared" si="491"/>
        <v>1.1904256808839914E-2</v>
      </c>
      <c r="AB863" s="59">
        <f t="shared" si="516"/>
        <v>1.2525230355195874E-2</v>
      </c>
      <c r="AC863" s="60">
        <f t="shared" si="492"/>
        <v>20126575.143022928</v>
      </c>
      <c r="AD863" s="60">
        <f t="shared" si="519"/>
        <v>20126575.143022928</v>
      </c>
      <c r="AE863" s="59">
        <f t="shared" si="495"/>
        <v>1.6763469712665513E-2</v>
      </c>
      <c r="AF863" s="57">
        <f t="shared" si="517"/>
        <v>20126575.143022928</v>
      </c>
      <c r="AG863" s="57">
        <v>1</v>
      </c>
      <c r="AH863" s="57">
        <f t="shared" si="518"/>
        <v>20126575.143022928</v>
      </c>
      <c r="AI863" s="60">
        <f t="shared" si="493"/>
        <v>58.921777010563481</v>
      </c>
      <c r="AJ863" s="60">
        <f t="shared" si="494"/>
        <v>-301603.25472121686</v>
      </c>
      <c r="AK863" s="59">
        <f t="shared" si="496"/>
        <v>1.6763469712665513E-2</v>
      </c>
    </row>
    <row r="864" spans="1:37" ht="12" customHeight="1" x14ac:dyDescent="0.25">
      <c r="A864" s="133" t="s">
        <v>597</v>
      </c>
      <c r="B864" s="133" t="s">
        <v>376</v>
      </c>
      <c r="C864" s="133" t="s">
        <v>388</v>
      </c>
      <c r="D864" s="124">
        <v>2028</v>
      </c>
      <c r="E864" s="133" t="s">
        <v>676</v>
      </c>
      <c r="F864" s="64">
        <f>SIM_Parametres!$C$34</f>
        <v>1630962291.1861155</v>
      </c>
      <c r="G864" s="125">
        <f>SIM_Districts!D12*(1+SIM_Parametres!$B$6)^(2028-2023)</f>
        <v>531283.71551094693</v>
      </c>
      <c r="H864" s="125">
        <f>MAX(0,MIN(100,SIM_Districts!F12+(2028-2022)*SIM_Parametres!$B$7))</f>
        <v>4.3200000000000012</v>
      </c>
      <c r="I864" s="125">
        <f>SIM_Districts!G12*(1+SIM_Parametres!$B$8)^(2028-2023)</f>
        <v>29.356160895999995</v>
      </c>
      <c r="J864" s="125">
        <f>SIM_Districts!H12*(1+SIM_Parametres!$B$9)^(2028-2023)</f>
        <v>6.1410960000000019</v>
      </c>
      <c r="K864" s="125">
        <f>MAX(0,MIN(100,SIM_Districts!I12+(2028-2023)*SIM_Parametres!$B$10))</f>
        <v>100</v>
      </c>
      <c r="L864" s="125">
        <f>SIM_Districts!E12</f>
        <v>18</v>
      </c>
      <c r="M864" s="61">
        <f t="shared" si="490"/>
        <v>29515.761972830383</v>
      </c>
      <c r="N864" s="125">
        <f>N793*(1+SIM_Parametres!$B$6)/(1+SIM_Parametres!$B$11)</f>
        <v>73189</v>
      </c>
      <c r="O864" s="3"/>
      <c r="P864" s="126">
        <f>SIM_Parametres!$D$34</f>
        <v>1</v>
      </c>
      <c r="Q864" s="126">
        <f>SIM_Parametres!$B$12</f>
        <v>0.2</v>
      </c>
      <c r="R864" s="66">
        <f t="shared" si="507"/>
        <v>2.5283029360289547E-2</v>
      </c>
      <c r="S864" s="66">
        <f t="shared" si="508"/>
        <v>0</v>
      </c>
      <c r="T864" s="66">
        <f t="shared" si="509"/>
        <v>0.50276243093922657</v>
      </c>
      <c r="U864" s="66">
        <f t="shared" si="510"/>
        <v>0.14026621640536643</v>
      </c>
      <c r="V864" s="66">
        <f t="shared" si="511"/>
        <v>9.5544805280436421E-2</v>
      </c>
      <c r="W864" s="66">
        <f t="shared" si="512"/>
        <v>0</v>
      </c>
      <c r="X864" s="66">
        <f t="shared" si="513"/>
        <v>9.9491608812113941E-3</v>
      </c>
      <c r="Y864" s="66">
        <f t="shared" si="514"/>
        <v>3.5837610774132663E-3</v>
      </c>
      <c r="Z864" s="66">
        <f t="shared" si="515"/>
        <v>3.506814418545408E-3</v>
      </c>
      <c r="AA864" s="66">
        <f t="shared" si="491"/>
        <v>1.7016720523153367E-2</v>
      </c>
      <c r="AB864" s="66">
        <f t="shared" si="516"/>
        <v>1.6789401992150593E-2</v>
      </c>
      <c r="AC864" s="67">
        <f t="shared" si="492"/>
        <v>26797163.569504965</v>
      </c>
      <c r="AD864" s="67">
        <f t="shared" si="519"/>
        <v>26797163.569504965</v>
      </c>
      <c r="AE864" s="66">
        <f t="shared" si="495"/>
        <v>9.9255902839101573E-3</v>
      </c>
      <c r="AF864" s="64">
        <f t="shared" si="517"/>
        <v>26797163.569504965</v>
      </c>
      <c r="AG864" s="64">
        <v>1</v>
      </c>
      <c r="AH864" s="64">
        <f t="shared" si="518"/>
        <v>26797163.569504965</v>
      </c>
      <c r="AI864" s="67">
        <f t="shared" si="493"/>
        <v>50.438518605324759</v>
      </c>
      <c r="AJ864" s="67">
        <f t="shared" si="494"/>
        <v>-585717.97125769779</v>
      </c>
      <c r="AK864" s="66">
        <f t="shared" si="496"/>
        <v>9.9255902839101573E-3</v>
      </c>
    </row>
    <row r="865" spans="1:37" ht="12" customHeight="1" x14ac:dyDescent="0.25">
      <c r="A865" s="134" t="s">
        <v>598</v>
      </c>
      <c r="B865" s="134" t="s">
        <v>376</v>
      </c>
      <c r="C865" s="134" t="s">
        <v>389</v>
      </c>
      <c r="D865" s="128">
        <v>2028</v>
      </c>
      <c r="E865" s="134" t="s">
        <v>676</v>
      </c>
      <c r="F865" s="57">
        <f>SIM_Parametres!$C$34</f>
        <v>1630962291.1861155</v>
      </c>
      <c r="G865" s="129">
        <f>SIM_Districts!D13*(1+SIM_Parametres!$B$6)^(2028-2023)</f>
        <v>582951.40172842366</v>
      </c>
      <c r="H865" s="129">
        <f>MAX(0,MIN(100,SIM_Districts!F13+(2028-2022)*SIM_Parametres!$B$7))</f>
        <v>4.3200000000000012</v>
      </c>
      <c r="I865" s="129">
        <f>SIM_Districts!G13*(1+SIM_Parametres!$B$8)^(2028-2023)</f>
        <v>29.356160895999995</v>
      </c>
      <c r="J865" s="129">
        <f>SIM_Districts!H13*(1+SIM_Parametres!$B$9)^(2028-2023)</f>
        <v>6.1410960000000019</v>
      </c>
      <c r="K865" s="129">
        <f>MAX(0,MIN(100,SIM_Districts!I13+(2028-2023)*SIM_Parametres!$B$10))</f>
        <v>100</v>
      </c>
      <c r="L865" s="129">
        <f>SIM_Districts!E13</f>
        <v>203</v>
      </c>
      <c r="M865" s="68">
        <f t="shared" si="490"/>
        <v>2871.6817819134171</v>
      </c>
      <c r="N865" s="129">
        <f>N794*(1+SIM_Parametres!$B$6)/(1+SIM_Parametres!$B$11)</f>
        <v>73189</v>
      </c>
      <c r="O865" s="135"/>
      <c r="P865" s="130">
        <f>SIM_Parametres!$D$34</f>
        <v>1</v>
      </c>
      <c r="Q865" s="130">
        <f>SIM_Parametres!$B$12</f>
        <v>0.2</v>
      </c>
      <c r="R865" s="59">
        <f t="shared" si="507"/>
        <v>2.774182037811395E-2</v>
      </c>
      <c r="S865" s="59">
        <f t="shared" si="508"/>
        <v>0</v>
      </c>
      <c r="T865" s="59">
        <f t="shared" si="509"/>
        <v>0.50276243093922657</v>
      </c>
      <c r="U865" s="59">
        <f t="shared" si="510"/>
        <v>0.47172605328939682</v>
      </c>
      <c r="V865" s="59">
        <f t="shared" si="511"/>
        <v>9.5544805280436421E-2</v>
      </c>
      <c r="W865" s="59">
        <f t="shared" si="512"/>
        <v>0</v>
      </c>
      <c r="X865" s="59">
        <f t="shared" si="513"/>
        <v>9.9491608812113941E-3</v>
      </c>
      <c r="Y865" s="59">
        <f t="shared" si="514"/>
        <v>1.2052463610301233E-2</v>
      </c>
      <c r="Z865" s="59">
        <f t="shared" si="515"/>
        <v>3.506814418545408E-3</v>
      </c>
      <c r="AA865" s="59">
        <f t="shared" si="491"/>
        <v>1.8915430260492406E-2</v>
      </c>
      <c r="AB865" s="59">
        <f t="shared" si="516"/>
        <v>1.8454745130169186E-2</v>
      </c>
      <c r="AC865" s="60">
        <f t="shared" si="492"/>
        <v>29274542.75631126</v>
      </c>
      <c r="AD865" s="60">
        <f t="shared" si="519"/>
        <v>29274542.75631126</v>
      </c>
      <c r="AE865" s="59">
        <f t="shared" si="495"/>
        <v>3.7321754339416646E-3</v>
      </c>
      <c r="AF865" s="57">
        <f t="shared" si="517"/>
        <v>29274542.75631126</v>
      </c>
      <c r="AG865" s="57">
        <v>1</v>
      </c>
      <c r="AH865" s="57">
        <f t="shared" si="518"/>
        <v>29274542.75631126</v>
      </c>
      <c r="AI865" s="60">
        <f t="shared" si="493"/>
        <v>50.217810043021785</v>
      </c>
      <c r="AJ865" s="60">
        <f t="shared" si="494"/>
        <v>-824450.64444528148</v>
      </c>
      <c r="AK865" s="59">
        <f t="shared" si="496"/>
        <v>3.7321754339416646E-3</v>
      </c>
    </row>
    <row r="866" spans="1:37" ht="12" customHeight="1" x14ac:dyDescent="0.25">
      <c r="A866" s="133" t="s">
        <v>599</v>
      </c>
      <c r="B866" s="133" t="s">
        <v>390</v>
      </c>
      <c r="C866" s="133" t="s">
        <v>392</v>
      </c>
      <c r="D866" s="124">
        <v>2028</v>
      </c>
      <c r="E866" s="133" t="s">
        <v>676</v>
      </c>
      <c r="F866" s="64">
        <f>SIM_Parametres!$C$34</f>
        <v>1630962291.1861155</v>
      </c>
      <c r="G866" s="125">
        <f>SIM_Districts!D14*(1+SIM_Parametres!$B$6)^(2028-2023)</f>
        <v>1006306.7009220406</v>
      </c>
      <c r="H866" s="125">
        <f>MAX(0,MIN(100,SIM_Districts!F14+(2028-2022)*SIM_Parametres!$B$7))</f>
        <v>32.42</v>
      </c>
      <c r="I866" s="125">
        <f>SIM_Districts!G14*(1+SIM_Parametres!$B$8)^(2028-2023)</f>
        <v>29.356160895999995</v>
      </c>
      <c r="J866" s="125">
        <f>SIM_Districts!H14*(1+SIM_Parametres!$B$9)^(2028-2023)</f>
        <v>10.333575000000003</v>
      </c>
      <c r="K866" s="125">
        <f>MAX(0,MIN(100,SIM_Districts!I14+(2028-2023)*SIM_Parametres!$B$10))</f>
        <v>100</v>
      </c>
      <c r="L866" s="125">
        <f>SIM_Districts!E14</f>
        <v>1335</v>
      </c>
      <c r="M866" s="61">
        <f t="shared" si="490"/>
        <v>753.78779095283937</v>
      </c>
      <c r="N866" s="125">
        <f>N795*(1+SIM_Parametres!$B$6)/(1+SIM_Parametres!$B$11)</f>
        <v>203502</v>
      </c>
      <c r="O866" s="3"/>
      <c r="P866" s="126">
        <f>SIM_Parametres!$D$34</f>
        <v>1</v>
      </c>
      <c r="Q866" s="126">
        <f>SIM_Parametres!$B$12</f>
        <v>0.2</v>
      </c>
      <c r="R866" s="66">
        <f t="shared" si="507"/>
        <v>4.7888691337733713E-2</v>
      </c>
      <c r="S866" s="66">
        <f t="shared" si="508"/>
        <v>0.4982269503546099</v>
      </c>
      <c r="T866" s="66">
        <f t="shared" si="509"/>
        <v>0.69889502762430944</v>
      </c>
      <c r="U866" s="66">
        <f t="shared" si="510"/>
        <v>0.53677681892865114</v>
      </c>
      <c r="V866" s="66">
        <f t="shared" si="511"/>
        <v>1</v>
      </c>
      <c r="W866" s="66">
        <f t="shared" si="512"/>
        <v>1.1879095328683149E-2</v>
      </c>
      <c r="X866" s="66">
        <f t="shared" si="513"/>
        <v>1.3830426939266388E-2</v>
      </c>
      <c r="Y866" s="66">
        <f t="shared" si="514"/>
        <v>1.3714491773092488E-2</v>
      </c>
      <c r="Z866" s="66">
        <f t="shared" si="515"/>
        <v>3.6703349891733537E-2</v>
      </c>
      <c r="AA866" s="66">
        <f t="shared" si="491"/>
        <v>3.5110535226073956E-2</v>
      </c>
      <c r="AB866" s="66">
        <f t="shared" si="516"/>
        <v>1.6361325375466435E-2</v>
      </c>
      <c r="AC866" s="67">
        <f t="shared" si="492"/>
        <v>50405427.15684288</v>
      </c>
      <c r="AD866" s="67">
        <f t="shared" si="519"/>
        <v>50405427.15684288</v>
      </c>
      <c r="AE866" s="66">
        <f t="shared" si="495"/>
        <v>0.94937142341737291</v>
      </c>
      <c r="AF866" s="64">
        <f t="shared" si="517"/>
        <v>50405427.15684288</v>
      </c>
      <c r="AG866" s="64">
        <v>1</v>
      </c>
      <c r="AH866" s="64">
        <f t="shared" si="518"/>
        <v>50405427.15684288</v>
      </c>
      <c r="AI866" s="67">
        <f t="shared" si="493"/>
        <v>50.089527487651928</v>
      </c>
      <c r="AJ866" s="67">
        <f t="shared" si="494"/>
        <v>23720722.435630612</v>
      </c>
      <c r="AK866" s="66">
        <f t="shared" si="496"/>
        <v>0.94937142341737291</v>
      </c>
    </row>
    <row r="867" spans="1:37" ht="12" customHeight="1" x14ac:dyDescent="0.25">
      <c r="A867" s="134" t="s">
        <v>601</v>
      </c>
      <c r="B867" s="134" t="s">
        <v>390</v>
      </c>
      <c r="C867" s="134" t="s">
        <v>390</v>
      </c>
      <c r="D867" s="128">
        <v>2028</v>
      </c>
      <c r="E867" s="134" t="s">
        <v>676</v>
      </c>
      <c r="F867" s="57">
        <f>SIM_Parametres!$C$34</f>
        <v>1630962291.1861155</v>
      </c>
      <c r="G867" s="129">
        <f>SIM_Districts!D15*(1+SIM_Parametres!$B$6)^(2028-2023)</f>
        <v>901260.23995342036</v>
      </c>
      <c r="H867" s="129">
        <f>MAX(0,MIN(100,SIM_Districts!F15+(2028-2022)*SIM_Parametres!$B$7))</f>
        <v>32.42</v>
      </c>
      <c r="I867" s="129">
        <f>SIM_Districts!G15*(1+SIM_Parametres!$B$8)^(2028-2023)</f>
        <v>29.356160895999995</v>
      </c>
      <c r="J867" s="129">
        <f>SIM_Districts!H15*(1+SIM_Parametres!$B$9)^(2028-2023)</f>
        <v>10.333575000000003</v>
      </c>
      <c r="K867" s="129">
        <f>MAX(0,MIN(100,SIM_Districts!I15+(2028-2023)*SIM_Parametres!$B$10))</f>
        <v>100</v>
      </c>
      <c r="L867" s="129">
        <f>SIM_Districts!E15</f>
        <v>1292</v>
      </c>
      <c r="M867" s="68">
        <f t="shared" si="490"/>
        <v>697.56984516518605</v>
      </c>
      <c r="N867" s="129">
        <f>N796*(1+SIM_Parametres!$B$6)/(1+SIM_Parametres!$B$11)</f>
        <v>203502</v>
      </c>
      <c r="O867" s="135"/>
      <c r="P867" s="130">
        <f>SIM_Parametres!$D$34</f>
        <v>1</v>
      </c>
      <c r="Q867" s="130">
        <f>SIM_Parametres!$B$12</f>
        <v>0.2</v>
      </c>
      <c r="R867" s="59">
        <f t="shared" si="507"/>
        <v>4.2889681055045287E-2</v>
      </c>
      <c r="S867" s="59">
        <f t="shared" si="508"/>
        <v>0.4982269503546099</v>
      </c>
      <c r="T867" s="59">
        <f t="shared" si="509"/>
        <v>0.69889502762430944</v>
      </c>
      <c r="U867" s="59">
        <f t="shared" si="510"/>
        <v>0.53597312572887268</v>
      </c>
      <c r="V867" s="59">
        <f t="shared" si="511"/>
        <v>1</v>
      </c>
      <c r="W867" s="59">
        <f t="shared" si="512"/>
        <v>1.1879095328683149E-2</v>
      </c>
      <c r="X867" s="59">
        <f t="shared" si="513"/>
        <v>1.3830426939266388E-2</v>
      </c>
      <c r="Y867" s="59">
        <f t="shared" si="514"/>
        <v>1.3693957645336279E-2</v>
      </c>
      <c r="Z867" s="59">
        <f t="shared" si="515"/>
        <v>3.6703349891733537E-2</v>
      </c>
      <c r="AA867" s="59">
        <f t="shared" si="491"/>
        <v>3.2110102350073097E-2</v>
      </c>
      <c r="AB867" s="59">
        <f t="shared" si="516"/>
        <v>1.6665955038772957E-2</v>
      </c>
      <c r="AC867" s="60">
        <f t="shared" si="492"/>
        <v>46490552.85444887</v>
      </c>
      <c r="AD867" s="60">
        <f t="shared" si="519"/>
        <v>46490552.85444887</v>
      </c>
      <c r="AE867" s="59">
        <f t="shared" si="495"/>
        <v>0.76510393105604657</v>
      </c>
      <c r="AF867" s="57">
        <f t="shared" si="517"/>
        <v>46490552.85444887</v>
      </c>
      <c r="AG867" s="57">
        <v>1</v>
      </c>
      <c r="AH867" s="57">
        <f t="shared" si="518"/>
        <v>46490552.85444887</v>
      </c>
      <c r="AI867" s="60">
        <f t="shared" si="493"/>
        <v>51.583938571229581</v>
      </c>
      <c r="AJ867" s="60">
        <f t="shared" si="494"/>
        <v>19309008.639606941</v>
      </c>
      <c r="AK867" s="59">
        <f t="shared" si="496"/>
        <v>0.76510393105604657</v>
      </c>
    </row>
    <row r="868" spans="1:37" ht="12" customHeight="1" x14ac:dyDescent="0.25">
      <c r="A868" s="133" t="s">
        <v>602</v>
      </c>
      <c r="B868" s="133" t="s">
        <v>390</v>
      </c>
      <c r="C868" s="133" t="s">
        <v>393</v>
      </c>
      <c r="D868" s="124">
        <v>2028</v>
      </c>
      <c r="E868" s="133" t="s">
        <v>676</v>
      </c>
      <c r="F868" s="64">
        <f>SIM_Parametres!$C$34</f>
        <v>1630962291.1861155</v>
      </c>
      <c r="G868" s="125">
        <f>SIM_Districts!D16*(1+SIM_Parametres!$B$6)^(2028-2023)</f>
        <v>504109.17193528061</v>
      </c>
      <c r="H868" s="125">
        <f>MAX(0,MIN(100,SIM_Districts!F16+(2028-2022)*SIM_Parametres!$B$7))</f>
        <v>32.42</v>
      </c>
      <c r="I868" s="125">
        <f>SIM_Districts!G16*(1+SIM_Parametres!$B$8)^(2028-2023)</f>
        <v>29.356160895999995</v>
      </c>
      <c r="J868" s="125">
        <f>SIM_Districts!H16*(1+SIM_Parametres!$B$9)^(2028-2023)</f>
        <v>10.333575000000003</v>
      </c>
      <c r="K868" s="125">
        <f>MAX(0,MIN(100,SIM_Districts!I16+(2028-2023)*SIM_Parametres!$B$10))</f>
        <v>100</v>
      </c>
      <c r="L868" s="125">
        <f>SIM_Districts!E16</f>
        <v>1729</v>
      </c>
      <c r="M868" s="61">
        <f t="shared" si="490"/>
        <v>291.56111737147518</v>
      </c>
      <c r="N868" s="125">
        <f>N797*(1+SIM_Parametres!$B$6)/(1+SIM_Parametres!$B$11)</f>
        <v>203502</v>
      </c>
      <c r="O868" s="3"/>
      <c r="P868" s="126">
        <f>SIM_Parametres!$D$34</f>
        <v>1</v>
      </c>
      <c r="Q868" s="126">
        <f>SIM_Parametres!$B$12</f>
        <v>0.2</v>
      </c>
      <c r="R868" s="66">
        <f t="shared" si="507"/>
        <v>2.3989831840739596E-2</v>
      </c>
      <c r="S868" s="66">
        <f t="shared" si="508"/>
        <v>0.4982269503546099</v>
      </c>
      <c r="T868" s="66">
        <f t="shared" si="509"/>
        <v>0.69889502762430944</v>
      </c>
      <c r="U868" s="66">
        <f t="shared" si="510"/>
        <v>0.55606420327741413</v>
      </c>
      <c r="V868" s="66">
        <f t="shared" si="511"/>
        <v>1</v>
      </c>
      <c r="W868" s="66">
        <f t="shared" si="512"/>
        <v>1.1879095328683149E-2</v>
      </c>
      <c r="X868" s="66">
        <f t="shared" si="513"/>
        <v>1.3830426939266388E-2</v>
      </c>
      <c r="Y868" s="66">
        <f t="shared" si="514"/>
        <v>1.4207278839612108E-2</v>
      </c>
      <c r="Z868" s="66">
        <f t="shared" si="515"/>
        <v>3.6703349891733537E-2</v>
      </c>
      <c r="AA868" s="66">
        <f t="shared" si="491"/>
        <v>2.0795858881203472E-2</v>
      </c>
      <c r="AB868" s="66">
        <f t="shared" si="516"/>
        <v>1.5210618119894196E-2</v>
      </c>
      <c r="AC868" s="67">
        <f t="shared" si="492"/>
        <v>31728069.293628752</v>
      </c>
      <c r="AD868" s="67">
        <f t="shared" si="519"/>
        <v>31728069.293628752</v>
      </c>
      <c r="AE868" s="66">
        <f t="shared" si="495"/>
        <v>0.31987426070376945</v>
      </c>
      <c r="AF868" s="64">
        <f t="shared" si="517"/>
        <v>31728069.293628752</v>
      </c>
      <c r="AG868" s="64">
        <v>1</v>
      </c>
      <c r="AH868" s="64">
        <f t="shared" si="518"/>
        <v>31728069.293628752</v>
      </c>
      <c r="AI868" s="67">
        <f t="shared" si="493"/>
        <v>62.938885185969433</v>
      </c>
      <c r="AJ868" s="67">
        <f t="shared" si="494"/>
        <v>6920124.7144490704</v>
      </c>
      <c r="AK868" s="66">
        <f t="shared" si="496"/>
        <v>0.31987426070376945</v>
      </c>
    </row>
    <row r="869" spans="1:37" ht="12" customHeight="1" x14ac:dyDescent="0.25">
      <c r="A869" s="134" t="s">
        <v>603</v>
      </c>
      <c r="B869" s="134" t="s">
        <v>394</v>
      </c>
      <c r="C869" s="134" t="s">
        <v>396</v>
      </c>
      <c r="D869" s="128">
        <v>2028</v>
      </c>
      <c r="E869" s="134" t="s">
        <v>676</v>
      </c>
      <c r="F869" s="57">
        <f>SIM_Parametres!$C$34</f>
        <v>1630962291.1861155</v>
      </c>
      <c r="G869" s="129">
        <f>SIM_Districts!D17*(1+SIM_Parametres!$B$6)^(2028-2023)</f>
        <v>111709.96834769659</v>
      </c>
      <c r="H869" s="129">
        <f>MAX(0,MIN(100,SIM_Districts!F17+(2028-2022)*SIM_Parametres!$B$7))</f>
        <v>41.52</v>
      </c>
      <c r="I869" s="129">
        <f>SIM_Districts!G17*(1+SIM_Parametres!$B$8)^(2028-2023)</f>
        <v>29.356160895999995</v>
      </c>
      <c r="J869" s="129">
        <f>SIM_Districts!H17*(1+SIM_Parametres!$B$9)^(2028-2023)</f>
        <v>9.388791000000003</v>
      </c>
      <c r="K869" s="129">
        <f>MAX(0,MIN(100,SIM_Districts!I17+(2028-2023)*SIM_Parametres!$B$10))</f>
        <v>100</v>
      </c>
      <c r="L869" s="129">
        <f>SIM_Districts!E17</f>
        <v>978</v>
      </c>
      <c r="M869" s="68">
        <f t="shared" si="490"/>
        <v>114.22287152116216</v>
      </c>
      <c r="N869" s="129">
        <f>N798*(1+SIM_Parametres!$B$6)/(1+SIM_Parametres!$B$11)</f>
        <v>95110</v>
      </c>
      <c r="O869" s="135"/>
      <c r="P869" s="130">
        <f>SIM_Parametres!$D$34</f>
        <v>1</v>
      </c>
      <c r="Q869" s="130">
        <f>SIM_Parametres!$B$12</f>
        <v>0.2</v>
      </c>
      <c r="R869" s="59">
        <f t="shared" si="507"/>
        <v>5.3161170333549095E-3</v>
      </c>
      <c r="S869" s="59">
        <f t="shared" si="508"/>
        <v>0.65957446808510634</v>
      </c>
      <c r="T869" s="59">
        <f t="shared" si="509"/>
        <v>0.65469613259668513</v>
      </c>
      <c r="U869" s="59">
        <f t="shared" si="510"/>
        <v>0.53221272247018292</v>
      </c>
      <c r="V869" s="59">
        <f t="shared" si="511"/>
        <v>0.24769050312675686</v>
      </c>
      <c r="W869" s="59">
        <f t="shared" si="512"/>
        <v>1.5726062143310078E-2</v>
      </c>
      <c r="X869" s="59">
        <f t="shared" si="513"/>
        <v>1.2955775433225826E-2</v>
      </c>
      <c r="Y869" s="59">
        <f t="shared" si="514"/>
        <v>1.3597880434592077E-2</v>
      </c>
      <c r="Z869" s="59">
        <f t="shared" si="515"/>
        <v>9.0910712011208778E-3</v>
      </c>
      <c r="AA869" s="59">
        <f t="shared" si="491"/>
        <v>8.6263934382789786E-3</v>
      </c>
      <c r="AB869" s="59">
        <f t="shared" si="516"/>
        <v>1.0282062100057316E-2</v>
      </c>
      <c r="AC869" s="60">
        <f t="shared" si="492"/>
        <v>15849717.900586842</v>
      </c>
      <c r="AD869" s="60">
        <f t="shared" si="519"/>
        <v>15849717.900586842</v>
      </c>
      <c r="AE869" s="59">
        <f t="shared" si="495"/>
        <v>-2.4612711091450801E-2</v>
      </c>
      <c r="AF869" s="57">
        <f t="shared" si="517"/>
        <v>15849717.900586842</v>
      </c>
      <c r="AG869" s="57">
        <v>1</v>
      </c>
      <c r="AH869" s="57">
        <f t="shared" si="518"/>
        <v>15849717.900586842</v>
      </c>
      <c r="AI869" s="60">
        <f t="shared" si="493"/>
        <v>141.88275348225588</v>
      </c>
      <c r="AJ869" s="60">
        <f t="shared" si="494"/>
        <v>-919937.66024056077</v>
      </c>
      <c r="AK869" s="59">
        <f t="shared" si="496"/>
        <v>-2.4612711091450801E-2</v>
      </c>
    </row>
    <row r="870" spans="1:37" ht="12" customHeight="1" x14ac:dyDescent="0.25">
      <c r="A870" s="133" t="s">
        <v>605</v>
      </c>
      <c r="B870" s="133" t="s">
        <v>394</v>
      </c>
      <c r="C870" s="133" t="s">
        <v>394</v>
      </c>
      <c r="D870" s="124">
        <v>2028</v>
      </c>
      <c r="E870" s="133" t="s">
        <v>676</v>
      </c>
      <c r="F870" s="64">
        <f>SIM_Parametres!$C$34</f>
        <v>1630962291.1861155</v>
      </c>
      <c r="G870" s="125">
        <f>SIM_Districts!D18*(1+SIM_Parametres!$B$6)^(2028-2023)</f>
        <v>273071.64529766218</v>
      </c>
      <c r="H870" s="125">
        <f>MAX(0,MIN(100,SIM_Districts!F18+(2028-2022)*SIM_Parametres!$B$7))</f>
        <v>41.52</v>
      </c>
      <c r="I870" s="125">
        <f>SIM_Districts!G18*(1+SIM_Parametres!$B$8)^(2028-2023)</f>
        <v>29.356160895999995</v>
      </c>
      <c r="J870" s="125">
        <f>SIM_Districts!H18*(1+SIM_Parametres!$B$9)^(2028-2023)</f>
        <v>9.388791000000003</v>
      </c>
      <c r="K870" s="125">
        <f>MAX(0,MIN(100,SIM_Districts!I18+(2028-2023)*SIM_Parametres!$B$10))</f>
        <v>100</v>
      </c>
      <c r="L870" s="125">
        <f>SIM_Districts!E18</f>
        <v>1155</v>
      </c>
      <c r="M870" s="61">
        <f t="shared" si="490"/>
        <v>236.42566692438285</v>
      </c>
      <c r="N870" s="125">
        <f>N799*(1+SIM_Parametres!$B$6)/(1+SIM_Parametres!$B$11)</f>
        <v>95110</v>
      </c>
      <c r="O870" s="3"/>
      <c r="P870" s="126">
        <f>SIM_Parametres!$D$34</f>
        <v>1</v>
      </c>
      <c r="Q870" s="126">
        <f>SIM_Parametres!$B$12</f>
        <v>0.2</v>
      </c>
      <c r="R870" s="66">
        <f t="shared" si="507"/>
        <v>1.2995087603774127E-2</v>
      </c>
      <c r="S870" s="66">
        <f t="shared" si="508"/>
        <v>0.65957446808510634</v>
      </c>
      <c r="T870" s="66">
        <f t="shared" si="509"/>
        <v>0.65469613259668513</v>
      </c>
      <c r="U870" s="66">
        <f t="shared" si="510"/>
        <v>0.5368532343373823</v>
      </c>
      <c r="V870" s="66">
        <f t="shared" si="511"/>
        <v>0.24769050312675686</v>
      </c>
      <c r="W870" s="66">
        <f t="shared" si="512"/>
        <v>1.5726062143310078E-2</v>
      </c>
      <c r="X870" s="66">
        <f t="shared" si="513"/>
        <v>1.2955775433225826E-2</v>
      </c>
      <c r="Y870" s="66">
        <f t="shared" si="514"/>
        <v>1.3716444164584491E-2</v>
      </c>
      <c r="Z870" s="66">
        <f t="shared" si="515"/>
        <v>9.0910712011208778E-3</v>
      </c>
      <c r="AA870" s="66">
        <f t="shared" si="491"/>
        <v>1.323970396703013E-2</v>
      </c>
      <c r="AB870" s="66">
        <f t="shared" si="516"/>
        <v>1.3579014191458632E-2</v>
      </c>
      <c r="AC870" s="67">
        <f t="shared" si="492"/>
        <v>21869026.308526848</v>
      </c>
      <c r="AD870" s="67">
        <f t="shared" si="519"/>
        <v>21869026.308526848</v>
      </c>
      <c r="AE870" s="66">
        <f t="shared" si="495"/>
        <v>1.9053493397577448E-2</v>
      </c>
      <c r="AF870" s="64">
        <f t="shared" si="517"/>
        <v>21869026.308526848</v>
      </c>
      <c r="AG870" s="64">
        <v>1</v>
      </c>
      <c r="AH870" s="64">
        <f t="shared" si="518"/>
        <v>21869026.308526848</v>
      </c>
      <c r="AI870" s="67">
        <f t="shared" si="493"/>
        <v>80.08530612795218</v>
      </c>
      <c r="AJ870" s="67">
        <f t="shared" si="494"/>
        <v>-277833.78922330216</v>
      </c>
      <c r="AK870" s="66">
        <f t="shared" si="496"/>
        <v>1.9053493397577448E-2</v>
      </c>
    </row>
    <row r="871" spans="1:37" ht="12" customHeight="1" x14ac:dyDescent="0.25">
      <c r="A871" s="134" t="s">
        <v>606</v>
      </c>
      <c r="B871" s="134" t="s">
        <v>394</v>
      </c>
      <c r="C871" s="134" t="s">
        <v>397</v>
      </c>
      <c r="D871" s="128">
        <v>2028</v>
      </c>
      <c r="E871" s="134" t="s">
        <v>676</v>
      </c>
      <c r="F871" s="57">
        <f>SIM_Parametres!$C$34</f>
        <v>1630962291.1861155</v>
      </c>
      <c r="G871" s="129">
        <f>SIM_Districts!D19*(1+SIM_Parametres!$B$6)^(2028-2023)</f>
        <v>74609.720147873697</v>
      </c>
      <c r="H871" s="129">
        <f>MAX(0,MIN(100,SIM_Districts!F19+(2028-2022)*SIM_Parametres!$B$7))</f>
        <v>41.52</v>
      </c>
      <c r="I871" s="129">
        <f>SIM_Districts!G19*(1+SIM_Parametres!$B$8)^(2028-2023)</f>
        <v>29.356160895999995</v>
      </c>
      <c r="J871" s="129">
        <f>SIM_Districts!H19*(1+SIM_Parametres!$B$9)^(2028-2023)</f>
        <v>9.388791000000003</v>
      </c>
      <c r="K871" s="129">
        <f>MAX(0,MIN(100,SIM_Districts!I19+(2028-2023)*SIM_Parametres!$B$10))</f>
        <v>100</v>
      </c>
      <c r="L871" s="129">
        <f>SIM_Districts!E19</f>
        <v>733</v>
      </c>
      <c r="M871" s="68">
        <f t="shared" si="490"/>
        <v>101.78679419900914</v>
      </c>
      <c r="N871" s="129">
        <f>N800*(1+SIM_Parametres!$B$6)/(1+SIM_Parametres!$B$11)</f>
        <v>95110</v>
      </c>
      <c r="O871" s="135"/>
      <c r="P871" s="130">
        <f>SIM_Parametres!$D$34</f>
        <v>1</v>
      </c>
      <c r="Q871" s="130">
        <f>SIM_Parametres!$B$12</f>
        <v>0.2</v>
      </c>
      <c r="R871" s="59">
        <f t="shared" si="507"/>
        <v>3.5505694791483013E-3</v>
      </c>
      <c r="S871" s="59">
        <f t="shared" si="508"/>
        <v>0.65957446808510634</v>
      </c>
      <c r="T871" s="59">
        <f t="shared" si="509"/>
        <v>0.65469613259668513</v>
      </c>
      <c r="U871" s="59">
        <f t="shared" si="510"/>
        <v>0.52387753369973944</v>
      </c>
      <c r="V871" s="59">
        <f t="shared" si="511"/>
        <v>0.24769050312675686</v>
      </c>
      <c r="W871" s="59">
        <f t="shared" si="512"/>
        <v>1.5726062143310078E-2</v>
      </c>
      <c r="X871" s="59">
        <f t="shared" si="513"/>
        <v>1.2955775433225826E-2</v>
      </c>
      <c r="Y871" s="59">
        <f t="shared" si="514"/>
        <v>1.3384918783141523E-2</v>
      </c>
      <c r="Z871" s="59">
        <f t="shared" si="515"/>
        <v>9.0910712011208778E-3</v>
      </c>
      <c r="AA871" s="59">
        <f t="shared" si="491"/>
        <v>7.5564168231824873E-3</v>
      </c>
      <c r="AB871" s="59">
        <f t="shared" si="516"/>
        <v>1.1099970045205016E-2</v>
      </c>
      <c r="AC871" s="60">
        <f t="shared" si="492"/>
        <v>14453644.691248171</v>
      </c>
      <c r="AD871" s="60">
        <f t="shared" si="519"/>
        <v>14453644.691248171</v>
      </c>
      <c r="AE871" s="59">
        <f t="shared" si="495"/>
        <v>-0.1760680483375423</v>
      </c>
      <c r="AF871" s="57">
        <f t="shared" si="517"/>
        <v>14453644.691248171</v>
      </c>
      <c r="AG871" s="57">
        <v>1</v>
      </c>
      <c r="AH871" s="57">
        <f t="shared" si="518"/>
        <v>14453644.691248171</v>
      </c>
      <c r="AI871" s="60">
        <f t="shared" si="493"/>
        <v>193.72334680523642</v>
      </c>
      <c r="AJ871" s="60">
        <f t="shared" si="494"/>
        <v>-3649987.8857766502</v>
      </c>
      <c r="AK871" s="59">
        <f t="shared" si="496"/>
        <v>-0.1760680483375423</v>
      </c>
    </row>
    <row r="872" spans="1:37" ht="12" customHeight="1" x14ac:dyDescent="0.25">
      <c r="A872" s="133" t="s">
        <v>607</v>
      </c>
      <c r="B872" s="133" t="s">
        <v>394</v>
      </c>
      <c r="C872" s="133" t="s">
        <v>398</v>
      </c>
      <c r="D872" s="124">
        <v>2028</v>
      </c>
      <c r="E872" s="133" t="s">
        <v>676</v>
      </c>
      <c r="F872" s="64">
        <f>SIM_Parametres!$C$34</f>
        <v>1630962291.1861155</v>
      </c>
      <c r="G872" s="125">
        <f>SIM_Districts!D20*(1+SIM_Parametres!$B$6)^(2028-2023)</f>
        <v>140864.55204226729</v>
      </c>
      <c r="H872" s="125">
        <f>MAX(0,MIN(100,SIM_Districts!F20+(2028-2022)*SIM_Parametres!$B$7))</f>
        <v>41.52</v>
      </c>
      <c r="I872" s="125">
        <f>SIM_Districts!G20*(1+SIM_Parametres!$B$8)^(2028-2023)</f>
        <v>29.356160895999995</v>
      </c>
      <c r="J872" s="125">
        <f>SIM_Districts!H20*(1+SIM_Parametres!$B$9)^(2028-2023)</f>
        <v>9.388791000000003</v>
      </c>
      <c r="K872" s="125">
        <f>MAX(0,MIN(100,SIM_Districts!I20+(2028-2023)*SIM_Parametres!$B$10))</f>
        <v>100</v>
      </c>
      <c r="L872" s="125">
        <f>SIM_Districts!E20</f>
        <v>1476</v>
      </c>
      <c r="M872" s="61">
        <f t="shared" si="490"/>
        <v>95.436688375519836</v>
      </c>
      <c r="N872" s="125">
        <f>N801*(1+SIM_Parametres!$B$6)/(1+SIM_Parametres!$B$11)</f>
        <v>95110</v>
      </c>
      <c r="O872" s="3"/>
      <c r="P872" s="126">
        <f>SIM_Parametres!$D$34</f>
        <v>1</v>
      </c>
      <c r="Q872" s="126">
        <f>SIM_Parametres!$B$12</f>
        <v>0.2</v>
      </c>
      <c r="R872" s="66">
        <f t="shared" si="507"/>
        <v>6.7035418198043662E-3</v>
      </c>
      <c r="S872" s="66">
        <f t="shared" si="508"/>
        <v>0.65957446808510634</v>
      </c>
      <c r="T872" s="66">
        <f t="shared" si="509"/>
        <v>0.65469613259668513</v>
      </c>
      <c r="U872" s="66">
        <f t="shared" si="510"/>
        <v>0.54969284466862123</v>
      </c>
      <c r="V872" s="66">
        <f t="shared" si="511"/>
        <v>0.24769050312675686</v>
      </c>
      <c r="W872" s="66">
        <f t="shared" si="512"/>
        <v>1.5726062143310078E-2</v>
      </c>
      <c r="X872" s="66">
        <f t="shared" si="513"/>
        <v>1.2955775433225826E-2</v>
      </c>
      <c r="Y872" s="66">
        <f t="shared" si="514"/>
        <v>1.4044492478237349E-2</v>
      </c>
      <c r="Z872" s="66">
        <f t="shared" si="515"/>
        <v>9.0910712011208778E-3</v>
      </c>
      <c r="AA872" s="66">
        <f t="shared" si="491"/>
        <v>9.4811789123309155E-3</v>
      </c>
      <c r="AB872" s="66">
        <f t="shared" si="516"/>
        <v>1.1752392586947718E-2</v>
      </c>
      <c r="AC872" s="67">
        <f t="shared" si="492"/>
        <v>16965016.200772729</v>
      </c>
      <c r="AD872" s="67">
        <f t="shared" si="519"/>
        <v>16965016.200772729</v>
      </c>
      <c r="AE872" s="66">
        <f t="shared" si="495"/>
        <v>-8.6594199085592183E-2</v>
      </c>
      <c r="AF872" s="64">
        <f t="shared" si="517"/>
        <v>16965016.200772729</v>
      </c>
      <c r="AG872" s="64">
        <v>1</v>
      </c>
      <c r="AH872" s="64">
        <f t="shared" si="518"/>
        <v>16965016.200772729</v>
      </c>
      <c r="AI872" s="67">
        <f t="shared" si="493"/>
        <v>120.43495652250589</v>
      </c>
      <c r="AJ872" s="67">
        <f t="shared" si="494"/>
        <v>-2202692.9397542402</v>
      </c>
      <c r="AK872" s="66">
        <f t="shared" si="496"/>
        <v>-8.6594199085592183E-2</v>
      </c>
    </row>
    <row r="873" spans="1:37" ht="12" customHeight="1" x14ac:dyDescent="0.25">
      <c r="A873" s="134" t="s">
        <v>608</v>
      </c>
      <c r="B873" s="134" t="s">
        <v>394</v>
      </c>
      <c r="C873" s="134" t="s">
        <v>399</v>
      </c>
      <c r="D873" s="128">
        <v>2028</v>
      </c>
      <c r="E873" s="134" t="s">
        <v>676</v>
      </c>
      <c r="F873" s="57">
        <f>SIM_Parametres!$C$34</f>
        <v>1630962291.1861155</v>
      </c>
      <c r="G873" s="129">
        <f>SIM_Districts!D21*(1+SIM_Parametres!$B$6)^(2028-2023)</f>
        <v>114472.51846675348</v>
      </c>
      <c r="H873" s="129">
        <f>MAX(0,MIN(100,SIM_Districts!F21+(2028-2022)*SIM_Parametres!$B$7))</f>
        <v>41.52</v>
      </c>
      <c r="I873" s="129">
        <f>SIM_Districts!G21*(1+SIM_Parametres!$B$8)^(2028-2023)</f>
        <v>29.356160895999995</v>
      </c>
      <c r="J873" s="129">
        <f>SIM_Districts!H21*(1+SIM_Parametres!$B$9)^(2028-2023)</f>
        <v>9.388791000000003</v>
      </c>
      <c r="K873" s="129">
        <f>MAX(0,MIN(100,SIM_Districts!I21+(2028-2023)*SIM_Parametres!$B$10))</f>
        <v>100</v>
      </c>
      <c r="L873" s="129">
        <f>SIM_Districts!E21</f>
        <v>406</v>
      </c>
      <c r="M873" s="68">
        <f t="shared" si="490"/>
        <v>281.95201592796423</v>
      </c>
      <c r="N873" s="129">
        <f>N802*(1+SIM_Parametres!$B$6)/(1+SIM_Parametres!$B$11)</f>
        <v>95110</v>
      </c>
      <c r="O873" s="135"/>
      <c r="P873" s="130">
        <f>SIM_Parametres!$D$34</f>
        <v>1</v>
      </c>
      <c r="Q873" s="130">
        <f>SIM_Parametres!$B$12</f>
        <v>0.2</v>
      </c>
      <c r="R873" s="59">
        <f t="shared" si="507"/>
        <v>5.4475828278639973E-3</v>
      </c>
      <c r="S873" s="59">
        <f t="shared" si="508"/>
        <v>0.65957446808510634</v>
      </c>
      <c r="T873" s="59">
        <f t="shared" si="509"/>
        <v>0.65469613259668513</v>
      </c>
      <c r="U873" s="59">
        <f t="shared" si="510"/>
        <v>0.51035214004959606</v>
      </c>
      <c r="V873" s="59">
        <f t="shared" si="511"/>
        <v>0.24769050312675686</v>
      </c>
      <c r="W873" s="59">
        <f t="shared" si="512"/>
        <v>1.5726062143310078E-2</v>
      </c>
      <c r="X873" s="59">
        <f t="shared" si="513"/>
        <v>1.2955775433225826E-2</v>
      </c>
      <c r="Y873" s="59">
        <f t="shared" si="514"/>
        <v>1.3039348904932262E-2</v>
      </c>
      <c r="Z873" s="59">
        <f t="shared" si="515"/>
        <v>9.0910712011208778E-3</v>
      </c>
      <c r="AA873" s="59">
        <f t="shared" si="491"/>
        <v>8.6773463385014411E-3</v>
      </c>
      <c r="AB873" s="59">
        <f t="shared" si="516"/>
        <v>1.0068663046205181E-2</v>
      </c>
      <c r="AC873" s="60">
        <f t="shared" si="492"/>
        <v>15916199.707698366</v>
      </c>
      <c r="AD873" s="60">
        <f t="shared" si="519"/>
        <v>15916199.707698366</v>
      </c>
      <c r="AE873" s="59">
        <f t="shared" si="495"/>
        <v>2.3800025601583563E-4</v>
      </c>
      <c r="AF873" s="57">
        <f t="shared" si="517"/>
        <v>15916199.707698366</v>
      </c>
      <c r="AG873" s="57">
        <v>1</v>
      </c>
      <c r="AH873" s="57">
        <f t="shared" si="518"/>
        <v>15916199.707698366</v>
      </c>
      <c r="AI873" s="60">
        <f t="shared" si="493"/>
        <v>139.03948232187227</v>
      </c>
      <c r="AJ873" s="60">
        <f t="shared" si="494"/>
        <v>-505410.04332140833</v>
      </c>
      <c r="AK873" s="59">
        <f t="shared" si="496"/>
        <v>2.3800025601583563E-4</v>
      </c>
    </row>
    <row r="874" spans="1:37" ht="12" customHeight="1" x14ac:dyDescent="0.25">
      <c r="A874" s="133" t="s">
        <v>609</v>
      </c>
      <c r="B874" s="133" t="s">
        <v>394</v>
      </c>
      <c r="C874" s="133" t="s">
        <v>400</v>
      </c>
      <c r="D874" s="124">
        <v>2028</v>
      </c>
      <c r="E874" s="133" t="s">
        <v>676</v>
      </c>
      <c r="F874" s="64">
        <f>SIM_Parametres!$C$34</f>
        <v>1630962291.1861155</v>
      </c>
      <c r="G874" s="125">
        <f>SIM_Districts!D22*(1+SIM_Parametres!$B$6)^(2028-2023)</f>
        <v>120299.02996418529</v>
      </c>
      <c r="H874" s="125">
        <f>MAX(0,MIN(100,SIM_Districts!F22+(2028-2022)*SIM_Parametres!$B$7))</f>
        <v>41.52</v>
      </c>
      <c r="I874" s="125">
        <f>SIM_Districts!G22*(1+SIM_Parametres!$B$8)^(2028-2023)</f>
        <v>29.356160895999995</v>
      </c>
      <c r="J874" s="125">
        <f>SIM_Districts!H22*(1+SIM_Parametres!$B$9)^(2028-2023)</f>
        <v>9.388791000000003</v>
      </c>
      <c r="K874" s="125">
        <f>MAX(0,MIN(100,SIM_Districts!I22+(2028-2023)*SIM_Parametres!$B$10))</f>
        <v>100</v>
      </c>
      <c r="L874" s="125">
        <f>SIM_Districts!E22</f>
        <v>866</v>
      </c>
      <c r="M874" s="61">
        <f t="shared" si="490"/>
        <v>138.91342951984444</v>
      </c>
      <c r="N874" s="125">
        <f>N803*(1+SIM_Parametres!$B$6)/(1+SIM_Parametres!$B$11)</f>
        <v>95110</v>
      </c>
      <c r="O874" s="3"/>
      <c r="P874" s="126">
        <f>SIM_Parametres!$D$34</f>
        <v>1</v>
      </c>
      <c r="Q874" s="126">
        <f>SIM_Parametres!$B$12</f>
        <v>0.2</v>
      </c>
      <c r="R874" s="66">
        <f t="shared" si="507"/>
        <v>5.7248581460354947E-3</v>
      </c>
      <c r="S874" s="66">
        <f t="shared" si="508"/>
        <v>0.65957446808510634</v>
      </c>
      <c r="T874" s="66">
        <f t="shared" si="509"/>
        <v>0.65469613259668513</v>
      </c>
      <c r="U874" s="66">
        <f t="shared" si="510"/>
        <v>0.52803177519419775</v>
      </c>
      <c r="V874" s="66">
        <f t="shared" si="511"/>
        <v>0.24769050312675686</v>
      </c>
      <c r="W874" s="66">
        <f t="shared" si="512"/>
        <v>1.5726062143310078E-2</v>
      </c>
      <c r="X874" s="66">
        <f t="shared" si="513"/>
        <v>1.2955775433225826E-2</v>
      </c>
      <c r="Y874" s="66">
        <f t="shared" si="514"/>
        <v>1.3491058446387229E-2</v>
      </c>
      <c r="Z874" s="66">
        <f t="shared" si="515"/>
        <v>9.0910712011208778E-3</v>
      </c>
      <c r="AA874" s="66">
        <f t="shared" si="491"/>
        <v>8.8662970064770866E-3</v>
      </c>
      <c r="AB874" s="66">
        <f t="shared" si="516"/>
        <v>1.0911785316554201E-2</v>
      </c>
      <c r="AC874" s="67">
        <f t="shared" si="492"/>
        <v>16162736.839188531</v>
      </c>
      <c r="AD874" s="67">
        <f t="shared" si="519"/>
        <v>16162736.839188531</v>
      </c>
      <c r="AE874" s="66">
        <f t="shared" si="495"/>
        <v>-6.2751257894232526E-2</v>
      </c>
      <c r="AF874" s="64">
        <f t="shared" si="517"/>
        <v>16162736.839188531</v>
      </c>
      <c r="AG874" s="64">
        <v>1</v>
      </c>
      <c r="AH874" s="64">
        <f t="shared" si="518"/>
        <v>16162736.839188531</v>
      </c>
      <c r="AI874" s="67">
        <f t="shared" si="493"/>
        <v>134.35467305098308</v>
      </c>
      <c r="AJ874" s="67">
        <f t="shared" si="494"/>
        <v>-1633973.5416297205</v>
      </c>
      <c r="AK874" s="66">
        <f t="shared" si="496"/>
        <v>-6.2751257894232526E-2</v>
      </c>
    </row>
    <row r="875" spans="1:37" ht="12" customHeight="1" x14ac:dyDescent="0.25">
      <c r="A875" s="134" t="s">
        <v>610</v>
      </c>
      <c r="B875" s="134" t="s">
        <v>394</v>
      </c>
      <c r="C875" s="134" t="s">
        <v>401</v>
      </c>
      <c r="D875" s="128">
        <v>2028</v>
      </c>
      <c r="E875" s="134" t="s">
        <v>676</v>
      </c>
      <c r="F875" s="57">
        <f>SIM_Parametres!$C$34</f>
        <v>1630962291.1861155</v>
      </c>
      <c r="G875" s="129">
        <f>SIM_Districts!D23*(1+SIM_Parametres!$B$6)^(2028-2023)</f>
        <v>216339.09064956877</v>
      </c>
      <c r="H875" s="129">
        <f>MAX(0,MIN(100,SIM_Districts!F23+(2028-2022)*SIM_Parametres!$B$7))</f>
        <v>41.52</v>
      </c>
      <c r="I875" s="129">
        <f>SIM_Districts!G23*(1+SIM_Parametres!$B$8)^(2028-2023)</f>
        <v>29.356160895999995</v>
      </c>
      <c r="J875" s="129">
        <f>SIM_Districts!H23*(1+SIM_Parametres!$B$9)^(2028-2023)</f>
        <v>9.388791000000003</v>
      </c>
      <c r="K875" s="129">
        <f>MAX(0,MIN(100,SIM_Districts!I23+(2028-2023)*SIM_Parametres!$B$10))</f>
        <v>100</v>
      </c>
      <c r="L875" s="129">
        <f>SIM_Districts!E23</f>
        <v>1459</v>
      </c>
      <c r="M875" s="68">
        <f t="shared" si="490"/>
        <v>148.27902032184289</v>
      </c>
      <c r="N875" s="129">
        <f>N804*(1+SIM_Parametres!$B$6)/(1+SIM_Parametres!$B$11)</f>
        <v>95110</v>
      </c>
      <c r="O875" s="135"/>
      <c r="P875" s="130">
        <f>SIM_Parametres!$D$34</f>
        <v>1</v>
      </c>
      <c r="Q875" s="130">
        <f>SIM_Parametres!$B$12</f>
        <v>0.2</v>
      </c>
      <c r="R875" s="59">
        <f t="shared" si="507"/>
        <v>1.0295266767984887E-2</v>
      </c>
      <c r="S875" s="59">
        <f t="shared" si="508"/>
        <v>0.65957446808510634</v>
      </c>
      <c r="T875" s="59">
        <f t="shared" si="509"/>
        <v>0.65469613259668513</v>
      </c>
      <c r="U875" s="59">
        <f t="shared" si="510"/>
        <v>0.54845929360495993</v>
      </c>
      <c r="V875" s="59">
        <f t="shared" si="511"/>
        <v>0.24769050312675686</v>
      </c>
      <c r="W875" s="59">
        <f t="shared" si="512"/>
        <v>1.5726062143310078E-2</v>
      </c>
      <c r="X875" s="59">
        <f t="shared" si="513"/>
        <v>1.2955775433225826E-2</v>
      </c>
      <c r="Y875" s="59">
        <f t="shared" si="514"/>
        <v>1.4012975606946153E-2</v>
      </c>
      <c r="Z875" s="59">
        <f t="shared" si="515"/>
        <v>9.0910712011208778E-3</v>
      </c>
      <c r="AA875" s="59">
        <f t="shared" si="491"/>
        <v>1.1634638037674668E-2</v>
      </c>
      <c r="AB875" s="59">
        <f t="shared" si="516"/>
        <v>1.2497149153325412E-2</v>
      </c>
      <c r="AC875" s="60">
        <f t="shared" si="492"/>
        <v>19774784.704009764</v>
      </c>
      <c r="AD875" s="60">
        <f t="shared" si="519"/>
        <v>19774784.704009764</v>
      </c>
      <c r="AE875" s="59">
        <f t="shared" si="495"/>
        <v>1.2363030888375981E-3</v>
      </c>
      <c r="AF875" s="57">
        <f t="shared" si="517"/>
        <v>19774784.704009764</v>
      </c>
      <c r="AG875" s="57">
        <v>1</v>
      </c>
      <c r="AH875" s="57">
        <f t="shared" si="518"/>
        <v>19774784.704009764</v>
      </c>
      <c r="AI875" s="60">
        <f t="shared" si="493"/>
        <v>91.406433505082234</v>
      </c>
      <c r="AJ875" s="60">
        <f t="shared" si="494"/>
        <v>-607594.31239247322</v>
      </c>
      <c r="AK875" s="59">
        <f t="shared" si="496"/>
        <v>1.2363030888375981E-3</v>
      </c>
    </row>
    <row r="876" spans="1:37" ht="12" customHeight="1" x14ac:dyDescent="0.25">
      <c r="A876" s="133" t="s">
        <v>611</v>
      </c>
      <c r="B876" s="133" t="s">
        <v>402</v>
      </c>
      <c r="C876" s="133" t="s">
        <v>404</v>
      </c>
      <c r="D876" s="124">
        <v>2028</v>
      </c>
      <c r="E876" s="133" t="s">
        <v>676</v>
      </c>
      <c r="F876" s="64">
        <f>SIM_Parametres!$C$34</f>
        <v>1630962291.1861155</v>
      </c>
      <c r="G876" s="125">
        <f>SIM_Districts!D24*(1+SIM_Parametres!$B$6)^(2028-2023)</f>
        <v>169778.00672938357</v>
      </c>
      <c r="H876" s="125">
        <f>MAX(0,MIN(100,SIM_Districts!F24+(2028-2022)*SIM_Parametres!$B$7))</f>
        <v>53.220000000000006</v>
      </c>
      <c r="I876" s="125">
        <f>SIM_Districts!G24*(1+SIM_Parametres!$B$8)^(2028-2023)</f>
        <v>29.356160895999995</v>
      </c>
      <c r="J876" s="125">
        <f>SIM_Districts!H24*(1+SIM_Parametres!$B$9)^(2028-2023)</f>
        <v>16.769916000000006</v>
      </c>
      <c r="K876" s="125">
        <f>MAX(0,MIN(100,SIM_Districts!I24+(2028-2023)*SIM_Parametres!$B$10))</f>
        <v>95.4</v>
      </c>
      <c r="L876" s="125">
        <f>SIM_Districts!E24</f>
        <v>1150</v>
      </c>
      <c r="M876" s="61">
        <f t="shared" si="490"/>
        <v>147.63304932989877</v>
      </c>
      <c r="N876" s="125">
        <f>N805*(1+SIM_Parametres!$B$6)/(1+SIM_Parametres!$B$11)</f>
        <v>169739</v>
      </c>
      <c r="O876" s="3"/>
      <c r="P876" s="126">
        <f>SIM_Parametres!$D$34</f>
        <v>1</v>
      </c>
      <c r="Q876" s="126">
        <f>SIM_Parametres!$B$12</f>
        <v>0.2</v>
      </c>
      <c r="R876" s="66">
        <f t="shared" si="507"/>
        <v>8.0794916229311679E-3</v>
      </c>
      <c r="S876" s="66">
        <f t="shared" si="508"/>
        <v>0.86702127659574468</v>
      </c>
      <c r="T876" s="66">
        <f t="shared" si="509"/>
        <v>1</v>
      </c>
      <c r="U876" s="66">
        <f t="shared" si="510"/>
        <v>0.53776328071078594</v>
      </c>
      <c r="V876" s="66">
        <f t="shared" si="511"/>
        <v>0.76566328194948607</v>
      </c>
      <c r="W876" s="66">
        <f t="shared" si="512"/>
        <v>2.06721623335447E-2</v>
      </c>
      <c r="X876" s="66">
        <f t="shared" si="513"/>
        <v>1.9788990324167716E-2</v>
      </c>
      <c r="Y876" s="66">
        <f t="shared" si="514"/>
        <v>1.3739695585027883E-2</v>
      </c>
      <c r="Z876" s="66">
        <f t="shared" si="515"/>
        <v>2.8102407336645013E-2</v>
      </c>
      <c r="AA876" s="66">
        <f t="shared" si="491"/>
        <v>1.3008973018499209E-2</v>
      </c>
      <c r="AB876" s="66">
        <f t="shared" si="516"/>
        <v>1.3045536178123108E-2</v>
      </c>
      <c r="AC876" s="67">
        <f t="shared" si="492"/>
        <v>21567975.527356017</v>
      </c>
      <c r="AD876" s="67">
        <f t="shared" si="519"/>
        <v>21567975.527356017</v>
      </c>
      <c r="AE876" s="66">
        <f t="shared" si="495"/>
        <v>4.6124144784483123E-2</v>
      </c>
      <c r="AF876" s="64">
        <f t="shared" si="517"/>
        <v>21567975.527356017</v>
      </c>
      <c r="AG876" s="64">
        <v>1</v>
      </c>
      <c r="AH876" s="64">
        <f t="shared" si="518"/>
        <v>21567975.527356017</v>
      </c>
      <c r="AI876" s="67">
        <f t="shared" si="493"/>
        <v>127.0363337563159</v>
      </c>
      <c r="AJ876" s="67">
        <f t="shared" si="494"/>
        <v>291197.95253299177</v>
      </c>
      <c r="AK876" s="66">
        <f t="shared" si="496"/>
        <v>4.6124144784483123E-2</v>
      </c>
    </row>
    <row r="877" spans="1:37" ht="12" customHeight="1" x14ac:dyDescent="0.25">
      <c r="A877" s="134" t="s">
        <v>613</v>
      </c>
      <c r="B877" s="134" t="s">
        <v>402</v>
      </c>
      <c r="C877" s="134" t="s">
        <v>402</v>
      </c>
      <c r="D877" s="128">
        <v>2028</v>
      </c>
      <c r="E877" s="134" t="s">
        <v>676</v>
      </c>
      <c r="F877" s="57">
        <f>SIM_Parametres!$C$34</f>
        <v>1630962291.1861155</v>
      </c>
      <c r="G877" s="129">
        <f>SIM_Districts!D25*(1+SIM_Parametres!$B$6)^(2028-2023)</f>
        <v>348357.22223085276</v>
      </c>
      <c r="H877" s="129">
        <f>MAX(0,MIN(100,SIM_Districts!F25+(2028-2022)*SIM_Parametres!$B$7))</f>
        <v>53.220000000000006</v>
      </c>
      <c r="I877" s="129">
        <f>SIM_Districts!G25*(1+SIM_Parametres!$B$8)^(2028-2023)</f>
        <v>29.356160895999995</v>
      </c>
      <c r="J877" s="129">
        <f>SIM_Districts!H25*(1+SIM_Parametres!$B$9)^(2028-2023)</f>
        <v>16.769916000000006</v>
      </c>
      <c r="K877" s="129">
        <f>MAX(0,MIN(100,SIM_Districts!I25+(2028-2023)*SIM_Parametres!$B$10))</f>
        <v>95.4</v>
      </c>
      <c r="L877" s="129">
        <f>SIM_Districts!E25</f>
        <v>2609</v>
      </c>
      <c r="M877" s="68">
        <f t="shared" si="490"/>
        <v>133.52135769676227</v>
      </c>
      <c r="N877" s="129">
        <f>N806*(1+SIM_Parametres!$B$6)/(1+SIM_Parametres!$B$11)</f>
        <v>169739</v>
      </c>
      <c r="O877" s="135"/>
      <c r="P877" s="130">
        <f>SIM_Parametres!$D$34</f>
        <v>1</v>
      </c>
      <c r="Q877" s="130">
        <f>SIM_Parametres!$B$12</f>
        <v>0.2</v>
      </c>
      <c r="R877" s="59">
        <f t="shared" si="507"/>
        <v>1.6577820137139297E-2</v>
      </c>
      <c r="S877" s="59">
        <f t="shared" si="508"/>
        <v>0.86702127659574468</v>
      </c>
      <c r="T877" s="59">
        <f t="shared" si="509"/>
        <v>1</v>
      </c>
      <c r="U877" s="59">
        <f t="shared" si="510"/>
        <v>0.58847583069176312</v>
      </c>
      <c r="V877" s="59">
        <f t="shared" si="511"/>
        <v>0.76566328194948607</v>
      </c>
      <c r="W877" s="59">
        <f t="shared" si="512"/>
        <v>2.06721623335447E-2</v>
      </c>
      <c r="X877" s="59">
        <f t="shared" si="513"/>
        <v>1.9788990324167716E-2</v>
      </c>
      <c r="Y877" s="59">
        <f t="shared" si="514"/>
        <v>1.5035386503452399E-2</v>
      </c>
      <c r="Z877" s="59">
        <f t="shared" si="515"/>
        <v>2.8102407336645013E-2</v>
      </c>
      <c r="AA877" s="59">
        <f t="shared" si="491"/>
        <v>1.8172754672945313E-2</v>
      </c>
      <c r="AB877" s="59">
        <f t="shared" si="516"/>
        <v>1.6422877259490695E-2</v>
      </c>
      <c r="AC877" s="60">
        <f t="shared" si="492"/>
        <v>28305522.054012217</v>
      </c>
      <c r="AD877" s="60">
        <f t="shared" si="519"/>
        <v>28305522.054012217</v>
      </c>
      <c r="AE877" s="59">
        <f t="shared" si="495"/>
        <v>9.0580428052240869E-2</v>
      </c>
      <c r="AF877" s="57">
        <f t="shared" si="517"/>
        <v>28305522.054012217</v>
      </c>
      <c r="AG877" s="57">
        <v>1</v>
      </c>
      <c r="AH877" s="57">
        <f t="shared" si="518"/>
        <v>28305522.054012217</v>
      </c>
      <c r="AI877" s="60">
        <f t="shared" si="493"/>
        <v>81.254299459462445</v>
      </c>
      <c r="AJ877" s="60">
        <f t="shared" si="494"/>
        <v>1520428.5310049206</v>
      </c>
      <c r="AK877" s="59">
        <f t="shared" si="496"/>
        <v>9.0580428052240869E-2</v>
      </c>
    </row>
    <row r="878" spans="1:37" ht="12" customHeight="1" x14ac:dyDescent="0.25">
      <c r="A878" s="133" t="s">
        <v>614</v>
      </c>
      <c r="B878" s="133" t="s">
        <v>402</v>
      </c>
      <c r="C878" s="133" t="s">
        <v>405</v>
      </c>
      <c r="D878" s="124">
        <v>2028</v>
      </c>
      <c r="E878" s="133" t="s">
        <v>676</v>
      </c>
      <c r="F878" s="64">
        <f>SIM_Parametres!$C$34</f>
        <v>1630962291.1861155</v>
      </c>
      <c r="G878" s="125">
        <f>SIM_Districts!D26*(1+SIM_Parametres!$B$6)^(2028-2023)</f>
        <v>274149.77018676116</v>
      </c>
      <c r="H878" s="125">
        <f>MAX(0,MIN(100,SIM_Districts!F26+(2028-2022)*SIM_Parametres!$B$7))</f>
        <v>53.220000000000006</v>
      </c>
      <c r="I878" s="125">
        <f>SIM_Districts!G26*(1+SIM_Parametres!$B$8)^(2028-2023)</f>
        <v>29.356160895999995</v>
      </c>
      <c r="J878" s="125">
        <f>SIM_Districts!H26*(1+SIM_Parametres!$B$9)^(2028-2023)</f>
        <v>16.769916000000006</v>
      </c>
      <c r="K878" s="125">
        <f>MAX(0,MIN(100,SIM_Districts!I26+(2028-2023)*SIM_Parametres!$B$10))</f>
        <v>95.4</v>
      </c>
      <c r="L878" s="125">
        <f>SIM_Districts!E26</f>
        <v>4537</v>
      </c>
      <c r="M878" s="61">
        <f t="shared" si="490"/>
        <v>60.425340574556131</v>
      </c>
      <c r="N878" s="125">
        <f>N807*(1+SIM_Parametres!$B$6)/(1+SIM_Parametres!$B$11)</f>
        <v>169739</v>
      </c>
      <c r="O878" s="3"/>
      <c r="P878" s="126">
        <f>SIM_Parametres!$D$34</f>
        <v>1</v>
      </c>
      <c r="Q878" s="126">
        <f>SIM_Parametres!$B$12</f>
        <v>0.2</v>
      </c>
      <c r="R878" s="66">
        <f t="shared" si="507"/>
        <v>1.3046394019591772E-2</v>
      </c>
      <c r="S878" s="66">
        <f t="shared" si="508"/>
        <v>0.86702127659574468</v>
      </c>
      <c r="T878" s="66">
        <f t="shared" si="509"/>
        <v>1</v>
      </c>
      <c r="U878" s="66">
        <f t="shared" si="510"/>
        <v>0.65615433798264988</v>
      </c>
      <c r="V878" s="66">
        <f t="shared" si="511"/>
        <v>0.76566328194948607</v>
      </c>
      <c r="W878" s="66">
        <f t="shared" si="512"/>
        <v>2.06721623335447E-2</v>
      </c>
      <c r="X878" s="66">
        <f t="shared" si="513"/>
        <v>1.9788990324167716E-2</v>
      </c>
      <c r="Y878" s="66">
        <f t="shared" si="514"/>
        <v>1.6764552702001334E-2</v>
      </c>
      <c r="Z878" s="66">
        <f t="shared" si="515"/>
        <v>2.8102407336645013E-2</v>
      </c>
      <c r="AA878" s="66">
        <f t="shared" si="491"/>
        <v>1.6140357312344245E-2</v>
      </c>
      <c r="AB878" s="66">
        <f t="shared" si="516"/>
        <v>1.6890494691783369E-2</v>
      </c>
      <c r="AC878" s="67">
        <f t="shared" si="492"/>
        <v>25653711.289334994</v>
      </c>
      <c r="AD878" s="67">
        <f t="shared" si="519"/>
        <v>25653711.289334994</v>
      </c>
      <c r="AE878" s="66">
        <f t="shared" si="495"/>
        <v>-3.8955249872634989E-2</v>
      </c>
      <c r="AF878" s="64">
        <f t="shared" si="517"/>
        <v>25653711.289334994</v>
      </c>
      <c r="AG878" s="64">
        <v>1</v>
      </c>
      <c r="AH878" s="64">
        <f t="shared" si="518"/>
        <v>25653711.289334994</v>
      </c>
      <c r="AI878" s="67">
        <f t="shared" si="493"/>
        <v>93.575534540330708</v>
      </c>
      <c r="AJ878" s="67">
        <f t="shared" si="494"/>
        <v>-1894048.6324429326</v>
      </c>
      <c r="AK878" s="66">
        <f t="shared" si="496"/>
        <v>-3.8955249872634989E-2</v>
      </c>
    </row>
    <row r="879" spans="1:37" ht="12" customHeight="1" x14ac:dyDescent="0.25">
      <c r="A879" s="134" t="s">
        <v>615</v>
      </c>
      <c r="B879" s="134" t="s">
        <v>402</v>
      </c>
      <c r="C879" s="134" t="s">
        <v>406</v>
      </c>
      <c r="D879" s="128">
        <v>2028</v>
      </c>
      <c r="E879" s="134" t="s">
        <v>676</v>
      </c>
      <c r="F879" s="57">
        <f>SIM_Parametres!$C$34</f>
        <v>1630962291.1861155</v>
      </c>
      <c r="G879" s="129">
        <f>SIM_Districts!D27*(1+SIM_Parametres!$B$6)^(2028-2023)</f>
        <v>158789.24777909389</v>
      </c>
      <c r="H879" s="129">
        <f>MAX(0,MIN(100,SIM_Districts!F27+(2028-2022)*SIM_Parametres!$B$7))</f>
        <v>53.220000000000006</v>
      </c>
      <c r="I879" s="129">
        <f>SIM_Districts!G27*(1+SIM_Parametres!$B$8)^(2028-2023)</f>
        <v>29.356160895999995</v>
      </c>
      <c r="J879" s="129">
        <f>SIM_Districts!H27*(1+SIM_Parametres!$B$9)^(2028-2023)</f>
        <v>16.769916000000006</v>
      </c>
      <c r="K879" s="129">
        <f>MAX(0,MIN(100,SIM_Districts!I27+(2028-2023)*SIM_Parametres!$B$10))</f>
        <v>95.4</v>
      </c>
      <c r="L879" s="129">
        <f>SIM_Districts!E27</f>
        <v>2765</v>
      </c>
      <c r="M879" s="68">
        <f t="shared" si="490"/>
        <v>57.428299377610806</v>
      </c>
      <c r="N879" s="129">
        <f>N808*(1+SIM_Parametres!$B$6)/(1+SIM_Parametres!$B$11)</f>
        <v>169739</v>
      </c>
      <c r="O879" s="135"/>
      <c r="P879" s="130">
        <f>SIM_Parametres!$D$34</f>
        <v>1</v>
      </c>
      <c r="Q879" s="130">
        <f>SIM_Parametres!$B$12</f>
        <v>0.2</v>
      </c>
      <c r="R879" s="59">
        <f t="shared" si="507"/>
        <v>7.5565523589145303E-3</v>
      </c>
      <c r="S879" s="59">
        <f t="shared" si="508"/>
        <v>0.86702127659574468</v>
      </c>
      <c r="T879" s="59">
        <f t="shared" si="509"/>
        <v>1</v>
      </c>
      <c r="U879" s="59">
        <f t="shared" si="510"/>
        <v>0.59480805510502432</v>
      </c>
      <c r="V879" s="59">
        <f t="shared" si="511"/>
        <v>0.76566328194948607</v>
      </c>
      <c r="W879" s="59">
        <f t="shared" si="512"/>
        <v>2.06721623335447E-2</v>
      </c>
      <c r="X879" s="59">
        <f t="shared" si="513"/>
        <v>1.9788990324167716E-2</v>
      </c>
      <c r="Y879" s="59">
        <f t="shared" si="514"/>
        <v>1.5197172997501035E-2</v>
      </c>
      <c r="Z879" s="59">
        <f t="shared" si="515"/>
        <v>2.8102407336645013E-2</v>
      </c>
      <c r="AA879" s="59">
        <f t="shared" si="491"/>
        <v>1.2768083330712884E-2</v>
      </c>
      <c r="AB879" s="59">
        <f t="shared" si="516"/>
        <v>1.3127618568154554E-2</v>
      </c>
      <c r="AC879" s="60">
        <f t="shared" si="492"/>
        <v>21253669.929663941</v>
      </c>
      <c r="AD879" s="60">
        <f t="shared" si="519"/>
        <v>21253669.929663941</v>
      </c>
      <c r="AE879" s="59">
        <f t="shared" si="495"/>
        <v>2.4433470666280765E-2</v>
      </c>
      <c r="AF879" s="57">
        <f t="shared" si="517"/>
        <v>21253669.929663941</v>
      </c>
      <c r="AG879" s="57">
        <v>1</v>
      </c>
      <c r="AH879" s="57">
        <f t="shared" si="518"/>
        <v>21253669.929663941</v>
      </c>
      <c r="AI879" s="60">
        <f t="shared" si="493"/>
        <v>133.84829405597947</v>
      </c>
      <c r="AJ879" s="60">
        <f t="shared" si="494"/>
        <v>-156980.92807080224</v>
      </c>
      <c r="AK879" s="59">
        <f t="shared" si="496"/>
        <v>2.4433470666280765E-2</v>
      </c>
    </row>
    <row r="880" spans="1:37" ht="12" customHeight="1" x14ac:dyDescent="0.25">
      <c r="A880" s="133" t="s">
        <v>616</v>
      </c>
      <c r="B880" s="133" t="s">
        <v>407</v>
      </c>
      <c r="C880" s="133" t="s">
        <v>409</v>
      </c>
      <c r="D880" s="124">
        <v>2028</v>
      </c>
      <c r="E880" s="133" t="s">
        <v>676</v>
      </c>
      <c r="F880" s="64">
        <f>SIM_Parametres!$C$34</f>
        <v>1630962291.1861155</v>
      </c>
      <c r="G880" s="125">
        <f>SIM_Districts!D28*(1+SIM_Parametres!$B$6)^(2028-2023)</f>
        <v>185758.59984360909</v>
      </c>
      <c r="H880" s="125">
        <f>MAX(0,MIN(100,SIM_Districts!F28+(2028-2022)*SIM_Parametres!$B$7))</f>
        <v>44.620000000000005</v>
      </c>
      <c r="I880" s="125">
        <f>SIM_Districts!G28*(1+SIM_Parametres!$B$8)^(2028-2023)</f>
        <v>29.356160895999995</v>
      </c>
      <c r="J880" s="125">
        <f>SIM_Districts!H28*(1+SIM_Parametres!$B$9)^(2028-2023)</f>
        <v>8.6211540000000024</v>
      </c>
      <c r="K880" s="125">
        <f>MAX(0,MIN(100,SIM_Districts!I28+(2028-2023)*SIM_Parametres!$B$10))</f>
        <v>100</v>
      </c>
      <c r="L880" s="125">
        <f>SIM_Districts!E28</f>
        <v>1066</v>
      </c>
      <c r="M880" s="61">
        <f t="shared" si="490"/>
        <v>174.25759835235374</v>
      </c>
      <c r="N880" s="125">
        <f>N809*(1+SIM_Parametres!$B$6)/(1+SIM_Parametres!$B$11)</f>
        <v>190293</v>
      </c>
      <c r="O880" s="3"/>
      <c r="P880" s="126">
        <f>SIM_Parametres!$D$34</f>
        <v>1</v>
      </c>
      <c r="Q880" s="126">
        <f>SIM_Parametres!$B$12</f>
        <v>0.2</v>
      </c>
      <c r="R880" s="66">
        <f t="shared" si="507"/>
        <v>8.8399851090024146E-3</v>
      </c>
      <c r="S880" s="66">
        <f t="shared" si="508"/>
        <v>0.71453900709219853</v>
      </c>
      <c r="T880" s="66">
        <f t="shared" si="509"/>
        <v>0.61878453038674031</v>
      </c>
      <c r="U880" s="66">
        <f t="shared" si="510"/>
        <v>0.53452867131516968</v>
      </c>
      <c r="V880" s="66">
        <f t="shared" si="511"/>
        <v>0.90832112938040932</v>
      </c>
      <c r="W880" s="66">
        <f t="shared" si="512"/>
        <v>1.7036567321919251E-2</v>
      </c>
      <c r="X880" s="66">
        <f t="shared" si="513"/>
        <v>1.2245121084567868E-2</v>
      </c>
      <c r="Y880" s="66">
        <f t="shared" si="514"/>
        <v>1.3657052254725568E-2</v>
      </c>
      <c r="Z880" s="66">
        <f t="shared" si="515"/>
        <v>3.333842822570373E-2</v>
      </c>
      <c r="AA880" s="66">
        <f t="shared" si="491"/>
        <v>1.204601835039598E-2</v>
      </c>
      <c r="AB880" s="66">
        <f t="shared" si="516"/>
        <v>1.251816951020052E-2</v>
      </c>
      <c r="AC880" s="67">
        <f t="shared" si="492"/>
        <v>20311541.325917613</v>
      </c>
      <c r="AD880" s="67">
        <f t="shared" si="519"/>
        <v>20311541.325917613</v>
      </c>
      <c r="AE880" s="66">
        <f t="shared" si="495"/>
        <v>2.6686449095876918E-2</v>
      </c>
      <c r="AF880" s="64">
        <f t="shared" si="517"/>
        <v>20311541.325917613</v>
      </c>
      <c r="AG880" s="64">
        <v>1</v>
      </c>
      <c r="AH880" s="64">
        <f t="shared" si="518"/>
        <v>20311541.325917613</v>
      </c>
      <c r="AI880" s="67">
        <f t="shared" si="493"/>
        <v>109.34374690064406</v>
      </c>
      <c r="AJ880" s="67">
        <f t="shared" si="494"/>
        <v>-105121.09989520162</v>
      </c>
      <c r="AK880" s="66">
        <f t="shared" si="496"/>
        <v>2.6686449095876918E-2</v>
      </c>
    </row>
    <row r="881" spans="1:37" ht="12" customHeight="1" x14ac:dyDescent="0.25">
      <c r="A881" s="134" t="s">
        <v>618</v>
      </c>
      <c r="B881" s="134" t="s">
        <v>407</v>
      </c>
      <c r="C881" s="134" t="s">
        <v>410</v>
      </c>
      <c r="D881" s="128">
        <v>2028</v>
      </c>
      <c r="E881" s="134" t="s">
        <v>676</v>
      </c>
      <c r="F881" s="57">
        <f>SIM_Parametres!$C$34</f>
        <v>1630962291.1861155</v>
      </c>
      <c r="G881" s="129">
        <f>SIM_Districts!D29*(1+SIM_Parametres!$B$6)^(2028-2023)</f>
        <v>504963.55692803976</v>
      </c>
      <c r="H881" s="129">
        <f>MAX(0,MIN(100,SIM_Districts!F29+(2028-2022)*SIM_Parametres!$B$7))</f>
        <v>44.620000000000005</v>
      </c>
      <c r="I881" s="129">
        <f>SIM_Districts!G29*(1+SIM_Parametres!$B$8)^(2028-2023)</f>
        <v>29.356160895999995</v>
      </c>
      <c r="J881" s="129">
        <f>SIM_Districts!H29*(1+SIM_Parametres!$B$9)^(2028-2023)</f>
        <v>8.6211540000000024</v>
      </c>
      <c r="K881" s="129">
        <f>MAX(0,MIN(100,SIM_Districts!I29+(2028-2023)*SIM_Parametres!$B$10))</f>
        <v>100</v>
      </c>
      <c r="L881" s="129">
        <f>SIM_Districts!E29</f>
        <v>535</v>
      </c>
      <c r="M881" s="68">
        <f t="shared" si="490"/>
        <v>943.8571157533454</v>
      </c>
      <c r="N881" s="129">
        <f>N810*(1+SIM_Parametres!$B$6)/(1+SIM_Parametres!$B$11)</f>
        <v>190293</v>
      </c>
      <c r="O881" s="135"/>
      <c r="P881" s="130">
        <f>SIM_Parametres!$D$34</f>
        <v>1</v>
      </c>
      <c r="Q881" s="130">
        <f>SIM_Parametres!$B$12</f>
        <v>0.2</v>
      </c>
      <c r="R881" s="59">
        <f t="shared" si="507"/>
        <v>2.4030490796070354E-2</v>
      </c>
      <c r="S881" s="59">
        <f t="shared" si="508"/>
        <v>0.71453900709219853</v>
      </c>
      <c r="T881" s="59">
        <f t="shared" si="509"/>
        <v>0.61878453038674031</v>
      </c>
      <c r="U881" s="59">
        <f t="shared" si="510"/>
        <v>0.50674567312414032</v>
      </c>
      <c r="V881" s="59">
        <f t="shared" si="511"/>
        <v>0.90832112938040932</v>
      </c>
      <c r="W881" s="59">
        <f t="shared" si="512"/>
        <v>1.7036567321919251E-2</v>
      </c>
      <c r="X881" s="59">
        <f t="shared" si="513"/>
        <v>1.2245121084567868E-2</v>
      </c>
      <c r="Y881" s="59">
        <f t="shared" si="514"/>
        <v>1.2947204722778846E-2</v>
      </c>
      <c r="Z881" s="59">
        <f t="shared" si="515"/>
        <v>3.333842822570373E-2</v>
      </c>
      <c r="AA881" s="59">
        <f t="shared" si="491"/>
        <v>2.1124829386039407E-2</v>
      </c>
      <c r="AB881" s="59">
        <f t="shared" si="516"/>
        <v>1.7679996246765906E-2</v>
      </c>
      <c r="AC881" s="60">
        <f t="shared" si="492"/>
        <v>32157300.084268648</v>
      </c>
      <c r="AD881" s="60">
        <f t="shared" si="519"/>
        <v>32157300.084268648</v>
      </c>
      <c r="AE881" s="59">
        <f t="shared" si="495"/>
        <v>0.15088833225048548</v>
      </c>
      <c r="AF881" s="57">
        <f t="shared" si="517"/>
        <v>32157300.084268648</v>
      </c>
      <c r="AG881" s="57">
        <v>1</v>
      </c>
      <c r="AH881" s="57">
        <f t="shared" si="518"/>
        <v>32157300.084268648</v>
      </c>
      <c r="AI881" s="60">
        <f t="shared" si="493"/>
        <v>63.682417558800687</v>
      </c>
      <c r="AJ881" s="60">
        <f t="shared" si="494"/>
        <v>3321892.8974814042</v>
      </c>
      <c r="AK881" s="59">
        <f t="shared" si="496"/>
        <v>0.15088833225048548</v>
      </c>
    </row>
    <row r="882" spans="1:37" ht="12" customHeight="1" x14ac:dyDescent="0.25">
      <c r="A882" s="133" t="s">
        <v>619</v>
      </c>
      <c r="B882" s="133" t="s">
        <v>407</v>
      </c>
      <c r="C882" s="133" t="s">
        <v>411</v>
      </c>
      <c r="D882" s="124">
        <v>2028</v>
      </c>
      <c r="E882" s="133" t="s">
        <v>676</v>
      </c>
      <c r="F882" s="64">
        <f>SIM_Parametres!$C$34</f>
        <v>1630962291.1861155</v>
      </c>
      <c r="G882" s="125">
        <f>SIM_Districts!D30*(1+SIM_Parametres!$B$6)^(2028-2023)</f>
        <v>283275.57569965074</v>
      </c>
      <c r="H882" s="125">
        <f>MAX(0,MIN(100,SIM_Districts!F30+(2028-2022)*SIM_Parametres!$B$7))</f>
        <v>44.620000000000005</v>
      </c>
      <c r="I882" s="125">
        <f>SIM_Districts!G30*(1+SIM_Parametres!$B$8)^(2028-2023)</f>
        <v>29.356160895999995</v>
      </c>
      <c r="J882" s="125">
        <f>SIM_Districts!H30*(1+SIM_Parametres!$B$9)^(2028-2023)</f>
        <v>8.6211540000000024</v>
      </c>
      <c r="K882" s="125">
        <f>MAX(0,MIN(100,SIM_Districts!I30+(2028-2023)*SIM_Parametres!$B$10))</f>
        <v>100</v>
      </c>
      <c r="L882" s="125">
        <f>SIM_Districts!E30</f>
        <v>1359</v>
      </c>
      <c r="M882" s="61">
        <f t="shared" si="490"/>
        <v>208.44413222932357</v>
      </c>
      <c r="N882" s="125">
        <f>N811*(1+SIM_Parametres!$B$6)/(1+SIM_Parametres!$B$11)</f>
        <v>190293</v>
      </c>
      <c r="O882" s="3"/>
      <c r="P882" s="126">
        <f>SIM_Parametres!$D$34</f>
        <v>1</v>
      </c>
      <c r="Q882" s="126">
        <f>SIM_Parametres!$B$12</f>
        <v>0.2</v>
      </c>
      <c r="R882" s="66">
        <f t="shared" si="507"/>
        <v>1.3480678003803077E-2</v>
      </c>
      <c r="S882" s="66">
        <f t="shared" si="508"/>
        <v>0.71453900709219853</v>
      </c>
      <c r="T882" s="66">
        <f t="shared" si="509"/>
        <v>0.61878453038674031</v>
      </c>
      <c r="U882" s="66">
        <f t="shared" si="510"/>
        <v>0.54426125050867202</v>
      </c>
      <c r="V882" s="66">
        <f t="shared" si="511"/>
        <v>0.90832112938040932</v>
      </c>
      <c r="W882" s="66">
        <f t="shared" si="512"/>
        <v>1.7036567321919251E-2</v>
      </c>
      <c r="X882" s="66">
        <f t="shared" si="513"/>
        <v>1.2245121084567868E-2</v>
      </c>
      <c r="Y882" s="66">
        <f t="shared" si="514"/>
        <v>1.3905716825499443E-2</v>
      </c>
      <c r="Z882" s="66">
        <f t="shared" si="515"/>
        <v>3.333842822570373E-2</v>
      </c>
      <c r="AA882" s="66">
        <f t="shared" si="491"/>
        <v>1.4842867315815073E-2</v>
      </c>
      <c r="AB882" s="66">
        <f t="shared" si="516"/>
        <v>1.4558089353034903E-2</v>
      </c>
      <c r="AC882" s="67">
        <f t="shared" si="492"/>
        <v>23960785.483310767</v>
      </c>
      <c r="AD882" s="67">
        <f t="shared" si="519"/>
        <v>23960785.483310767</v>
      </c>
      <c r="AE882" s="66">
        <f t="shared" si="495"/>
        <v>4.1435667950299626E-2</v>
      </c>
      <c r="AF882" s="64">
        <f t="shared" si="517"/>
        <v>23960785.483310767</v>
      </c>
      <c r="AG882" s="64">
        <v>1</v>
      </c>
      <c r="AH882" s="64">
        <f t="shared" si="518"/>
        <v>23960785.483310767</v>
      </c>
      <c r="AI882" s="67">
        <f t="shared" si="493"/>
        <v>84.58472081163724</v>
      </c>
      <c r="AJ882" s="67">
        <f t="shared" si="494"/>
        <v>217090.716792766</v>
      </c>
      <c r="AK882" s="66">
        <f t="shared" si="496"/>
        <v>4.1435667950299626E-2</v>
      </c>
    </row>
    <row r="883" spans="1:37" ht="12" customHeight="1" x14ac:dyDescent="0.25">
      <c r="A883" s="134" t="s">
        <v>620</v>
      </c>
      <c r="B883" s="134" t="s">
        <v>407</v>
      </c>
      <c r="C883" s="134" t="s">
        <v>412</v>
      </c>
      <c r="D883" s="128">
        <v>2028</v>
      </c>
      <c r="E883" s="134" t="s">
        <v>676</v>
      </c>
      <c r="F883" s="57">
        <f>SIM_Parametres!$C$34</f>
        <v>1630962291.1861155</v>
      </c>
      <c r="G883" s="129">
        <f>SIM_Districts!D31*(1+SIM_Parametres!$B$6)^(2028-2023)</f>
        <v>575627.1081269962</v>
      </c>
      <c r="H883" s="129">
        <f>MAX(0,MIN(100,SIM_Districts!F31+(2028-2022)*SIM_Parametres!$B$7))</f>
        <v>44.620000000000005</v>
      </c>
      <c r="I883" s="129">
        <f>SIM_Districts!G31*(1+SIM_Parametres!$B$8)^(2028-2023)</f>
        <v>29.356160895999995</v>
      </c>
      <c r="J883" s="129">
        <f>SIM_Districts!H31*(1+SIM_Parametres!$B$9)^(2028-2023)</f>
        <v>8.6211540000000024</v>
      </c>
      <c r="K883" s="129">
        <f>MAX(0,MIN(100,SIM_Districts!I31+(2028-2023)*SIM_Parametres!$B$10))</f>
        <v>100</v>
      </c>
      <c r="L883" s="129">
        <f>SIM_Districts!E31</f>
        <v>2302</v>
      </c>
      <c r="M883" s="68">
        <f t="shared" si="490"/>
        <v>250.05521638879071</v>
      </c>
      <c r="N883" s="129">
        <f>N812*(1+SIM_Parametres!$B$6)/(1+SIM_Parametres!$B$11)</f>
        <v>190293</v>
      </c>
      <c r="O883" s="135"/>
      <c r="P883" s="130">
        <f>SIM_Parametres!$D$34</f>
        <v>1</v>
      </c>
      <c r="Q883" s="130">
        <f>SIM_Parametres!$B$12</f>
        <v>0.2</v>
      </c>
      <c r="R883" s="59">
        <f t="shared" si="507"/>
        <v>2.7393267759688256E-2</v>
      </c>
      <c r="S883" s="59">
        <f t="shared" si="508"/>
        <v>0.71453900709219853</v>
      </c>
      <c r="T883" s="59">
        <f t="shared" si="509"/>
        <v>0.61878453038674031</v>
      </c>
      <c r="U883" s="59">
        <f t="shared" si="510"/>
        <v>0.5764195329812869</v>
      </c>
      <c r="V883" s="59">
        <f t="shared" si="511"/>
        <v>0.90832112938040932</v>
      </c>
      <c r="W883" s="59">
        <f t="shared" si="512"/>
        <v>1.7036567321919251E-2</v>
      </c>
      <c r="X883" s="59">
        <f t="shared" si="513"/>
        <v>1.2245121084567868E-2</v>
      </c>
      <c r="Y883" s="59">
        <f t="shared" si="514"/>
        <v>1.4727351599683094E-2</v>
      </c>
      <c r="Z883" s="59">
        <f t="shared" si="515"/>
        <v>3.333842822570373E-2</v>
      </c>
      <c r="AA883" s="59">
        <f t="shared" si="491"/>
        <v>2.3231502908055361E-2</v>
      </c>
      <c r="AB883" s="59">
        <f t="shared" si="516"/>
        <v>2.099264783362962E-2</v>
      </c>
      <c r="AC883" s="60">
        <f t="shared" si="492"/>
        <v>34906024.143667258</v>
      </c>
      <c r="AD883" s="60">
        <f t="shared" si="519"/>
        <v>34906024.143667258</v>
      </c>
      <c r="AE883" s="59">
        <f t="shared" si="495"/>
        <v>5.2128880046705461E-2</v>
      </c>
      <c r="AF883" s="57">
        <f t="shared" si="517"/>
        <v>34906024.143667258</v>
      </c>
      <c r="AG883" s="57">
        <v>1</v>
      </c>
      <c r="AH883" s="57">
        <f t="shared" si="518"/>
        <v>34906024.143667258</v>
      </c>
      <c r="AI883" s="60">
        <f t="shared" si="493"/>
        <v>60.639993584121143</v>
      </c>
      <c r="AJ883" s="60">
        <f t="shared" si="494"/>
        <v>667807.13486745209</v>
      </c>
      <c r="AK883" s="59">
        <f t="shared" si="496"/>
        <v>5.2128880046705461E-2</v>
      </c>
    </row>
    <row r="884" spans="1:37" ht="12" customHeight="1" x14ac:dyDescent="0.25">
      <c r="A884" s="133" t="s">
        <v>621</v>
      </c>
      <c r="B884" s="133" t="s">
        <v>413</v>
      </c>
      <c r="C884" s="133" t="s">
        <v>413</v>
      </c>
      <c r="D884" s="124">
        <v>2028</v>
      </c>
      <c r="E884" s="133" t="s">
        <v>676</v>
      </c>
      <c r="F884" s="64">
        <f>SIM_Parametres!$C$34</f>
        <v>1630962291.1861155</v>
      </c>
      <c r="G884" s="125">
        <f>SIM_Districts!D32*(1+SIM_Parametres!$B$6)^(2028-2023)</f>
        <v>147435.31749539968</v>
      </c>
      <c r="H884" s="125">
        <f>MAX(0,MIN(100,SIM_Districts!F32+(2028-2022)*SIM_Parametres!$B$7))</f>
        <v>60.720000000000006</v>
      </c>
      <c r="I884" s="125">
        <f>SIM_Districts!G32*(1+SIM_Parametres!$B$8)^(2028-2023)</f>
        <v>29.356160895999995</v>
      </c>
      <c r="J884" s="125">
        <f>SIM_Districts!H32*(1+SIM_Parametres!$B$9)^(2028-2023)</f>
        <v>12.577437000000005</v>
      </c>
      <c r="K884" s="125">
        <f>MAX(0,MIN(100,SIM_Districts!I32+(2028-2023)*SIM_Parametres!$B$10))</f>
        <v>97.6</v>
      </c>
      <c r="L884" s="125">
        <f>SIM_Districts!E32</f>
        <v>7061</v>
      </c>
      <c r="M884" s="61">
        <f t="shared" si="490"/>
        <v>20.880231907010295</v>
      </c>
      <c r="N884" s="125">
        <f>N813*(1+SIM_Parametres!$B$6)/(1+SIM_Parametres!$B$11)</f>
        <v>59423</v>
      </c>
      <c r="O884" s="3"/>
      <c r="P884" s="126">
        <f>SIM_Parametres!$D$34</f>
        <v>1</v>
      </c>
      <c r="Q884" s="126">
        <f>SIM_Parametres!$B$12</f>
        <v>0.2</v>
      </c>
      <c r="R884" s="66">
        <f t="shared" si="507"/>
        <v>7.0162351153467547E-3</v>
      </c>
      <c r="S884" s="66">
        <f t="shared" si="508"/>
        <v>1</v>
      </c>
      <c r="T884" s="66">
        <f t="shared" si="509"/>
        <v>0.80386740331491713</v>
      </c>
      <c r="U884" s="66">
        <f t="shared" si="510"/>
        <v>0.7440692299347168</v>
      </c>
      <c r="V884" s="66">
        <f t="shared" si="511"/>
        <v>0</v>
      </c>
      <c r="W884" s="66">
        <f t="shared" si="512"/>
        <v>2.3842739378566891E-2</v>
      </c>
      <c r="X884" s="66">
        <f t="shared" si="513"/>
        <v>1.590772426611272E-2</v>
      </c>
      <c r="Y884" s="66">
        <f t="shared" si="514"/>
        <v>1.9010752649337735E-2</v>
      </c>
      <c r="Z884" s="66">
        <f t="shared" si="515"/>
        <v>0</v>
      </c>
      <c r="AA884" s="66">
        <f t="shared" si="491"/>
        <v>1.1122848248376881E-2</v>
      </c>
      <c r="AB884" s="66">
        <f t="shared" si="516"/>
        <v>1.5486065471735666E-2</v>
      </c>
      <c r="AC884" s="67">
        <f t="shared" si="492"/>
        <v>19107016.826122742</v>
      </c>
      <c r="AD884" s="67">
        <f t="shared" si="519"/>
        <v>19107016.826122742</v>
      </c>
      <c r="AE884" s="66">
        <f t="shared" si="495"/>
        <v>-0.21929390073629629</v>
      </c>
      <c r="AF884" s="64">
        <f t="shared" si="517"/>
        <v>19107016.826122742</v>
      </c>
      <c r="AG884" s="64">
        <v>1</v>
      </c>
      <c r="AH884" s="64">
        <f t="shared" si="518"/>
        <v>19107016.826122742</v>
      </c>
      <c r="AI884" s="67">
        <f t="shared" si="493"/>
        <v>129.5959282396426</v>
      </c>
      <c r="AJ884" s="67">
        <f t="shared" si="494"/>
        <v>-6150171.9971174523</v>
      </c>
      <c r="AK884" s="66">
        <f t="shared" si="496"/>
        <v>-0.21929390073629629</v>
      </c>
    </row>
    <row r="885" spans="1:37" ht="12" customHeight="1" x14ac:dyDescent="0.25">
      <c r="A885" s="134" t="s">
        <v>623</v>
      </c>
      <c r="B885" s="134" t="s">
        <v>413</v>
      </c>
      <c r="C885" s="134" t="s">
        <v>415</v>
      </c>
      <c r="D885" s="128">
        <v>2028</v>
      </c>
      <c r="E885" s="134" t="s">
        <v>676</v>
      </c>
      <c r="F885" s="57">
        <f>SIM_Parametres!$C$34</f>
        <v>1630962291.1861155</v>
      </c>
      <c r="G885" s="129">
        <f>SIM_Districts!D33*(1+SIM_Parametres!$B$6)^(2028-2023)</f>
        <v>41515.923148831593</v>
      </c>
      <c r="H885" s="129">
        <f>MAX(0,MIN(100,SIM_Districts!F33+(2028-2022)*SIM_Parametres!$B$7))</f>
        <v>60.720000000000006</v>
      </c>
      <c r="I885" s="129">
        <f>SIM_Districts!G33*(1+SIM_Parametres!$B$8)^(2028-2023)</f>
        <v>29.356160895999995</v>
      </c>
      <c r="J885" s="129">
        <f>SIM_Districts!H33*(1+SIM_Parametres!$B$9)^(2028-2023)</f>
        <v>12.577437000000005</v>
      </c>
      <c r="K885" s="129">
        <f>MAX(0,MIN(100,SIM_Districts!I33+(2028-2023)*SIM_Parametres!$B$10))</f>
        <v>97.6</v>
      </c>
      <c r="L885" s="129">
        <f>SIM_Districts!E33</f>
        <v>1931</v>
      </c>
      <c r="M885" s="68">
        <f t="shared" si="490"/>
        <v>21.499701268167577</v>
      </c>
      <c r="N885" s="129">
        <f>N814*(1+SIM_Parametres!$B$6)/(1+SIM_Parametres!$B$11)</f>
        <v>59423</v>
      </c>
      <c r="O885" s="135"/>
      <c r="P885" s="130">
        <f>SIM_Parametres!$D$34</f>
        <v>1</v>
      </c>
      <c r="Q885" s="130">
        <f>SIM_Parametres!$B$12</f>
        <v>0.2</v>
      </c>
      <c r="R885" s="59">
        <f t="shared" si="507"/>
        <v>1.9756831863027543E-3</v>
      </c>
      <c r="S885" s="59">
        <f t="shared" si="508"/>
        <v>1</v>
      </c>
      <c r="T885" s="59">
        <f t="shared" si="509"/>
        <v>0.80386740331491713</v>
      </c>
      <c r="U885" s="59">
        <f t="shared" si="510"/>
        <v>0.56635625479419383</v>
      </c>
      <c r="V885" s="59">
        <f t="shared" si="511"/>
        <v>0</v>
      </c>
      <c r="W885" s="59">
        <f t="shared" si="512"/>
        <v>2.3842739378566891E-2</v>
      </c>
      <c r="X885" s="59">
        <f t="shared" si="513"/>
        <v>1.590772426611272E-2</v>
      </c>
      <c r="Y885" s="59">
        <f t="shared" si="514"/>
        <v>1.4470237765701426E-2</v>
      </c>
      <c r="Z885" s="59">
        <f t="shared" si="515"/>
        <v>0</v>
      </c>
      <c r="AA885" s="59">
        <f t="shared" si="491"/>
        <v>7.8714913467686654E-3</v>
      </c>
      <c r="AB885" s="59">
        <f t="shared" si="516"/>
        <v>1.1216395616627114E-2</v>
      </c>
      <c r="AC885" s="60">
        <f t="shared" si="492"/>
        <v>14864744.424754161</v>
      </c>
      <c r="AD885" s="60">
        <f t="shared" si="519"/>
        <v>14864744.424754161</v>
      </c>
      <c r="AE885" s="59">
        <f t="shared" si="495"/>
        <v>-0.1614288733298318</v>
      </c>
      <c r="AF885" s="57">
        <f t="shared" si="517"/>
        <v>14864744.424754161</v>
      </c>
      <c r="AG885" s="57">
        <v>1</v>
      </c>
      <c r="AH885" s="57">
        <f t="shared" si="518"/>
        <v>14864744.424754161</v>
      </c>
      <c r="AI885" s="60">
        <f t="shared" si="493"/>
        <v>358.04923261528171</v>
      </c>
      <c r="AJ885" s="60">
        <f t="shared" si="494"/>
        <v>-3428773.8689898998</v>
      </c>
      <c r="AK885" s="59">
        <f t="shared" si="496"/>
        <v>-0.1614288733298318</v>
      </c>
    </row>
    <row r="886" spans="1:37" ht="12" customHeight="1" x14ac:dyDescent="0.25">
      <c r="A886" s="133" t="s">
        <v>624</v>
      </c>
      <c r="B886" s="133" t="s">
        <v>413</v>
      </c>
      <c r="C886" s="133" t="s">
        <v>416</v>
      </c>
      <c r="D886" s="124">
        <v>2028</v>
      </c>
      <c r="E886" s="133" t="s">
        <v>676</v>
      </c>
      <c r="F886" s="64">
        <f>SIM_Parametres!$C$34</f>
        <v>1630962291.1861155</v>
      </c>
      <c r="G886" s="125">
        <f>SIM_Districts!D34*(1+SIM_Parametres!$B$6)^(2028-2023)</f>
        <v>95241.320848190793</v>
      </c>
      <c r="H886" s="125">
        <f>MAX(0,MIN(100,SIM_Districts!F34+(2028-2022)*SIM_Parametres!$B$7))</f>
        <v>60.720000000000006</v>
      </c>
      <c r="I886" s="125">
        <f>SIM_Districts!G34*(1+SIM_Parametres!$B$8)^(2028-2023)</f>
        <v>29.356160895999995</v>
      </c>
      <c r="J886" s="125">
        <f>SIM_Districts!H34*(1+SIM_Parametres!$B$9)^(2028-2023)</f>
        <v>12.577437000000005</v>
      </c>
      <c r="K886" s="125">
        <f>MAX(0,MIN(100,SIM_Districts!I34+(2028-2023)*SIM_Parametres!$B$10))</f>
        <v>97.6</v>
      </c>
      <c r="L886" s="125">
        <f>SIM_Districts!E34</f>
        <v>7918</v>
      </c>
      <c r="M886" s="61">
        <f t="shared" si="490"/>
        <v>12.028456788101893</v>
      </c>
      <c r="N886" s="125">
        <f>N815*(1+SIM_Parametres!$B$6)/(1+SIM_Parametres!$B$11)</f>
        <v>59423</v>
      </c>
      <c r="O886" s="3"/>
      <c r="P886" s="126">
        <f>SIM_Parametres!$D$34</f>
        <v>1</v>
      </c>
      <c r="Q886" s="126">
        <f>SIM_Parametres!$B$12</f>
        <v>0.2</v>
      </c>
      <c r="R886" s="66">
        <f t="shared" si="507"/>
        <v>4.5323977396930937E-3</v>
      </c>
      <c r="S886" s="66">
        <f t="shared" si="508"/>
        <v>1</v>
      </c>
      <c r="T886" s="66">
        <f t="shared" si="509"/>
        <v>0.80386740331491713</v>
      </c>
      <c r="U886" s="66">
        <f t="shared" si="510"/>
        <v>0.77386406994971746</v>
      </c>
      <c r="V886" s="66">
        <f t="shared" si="511"/>
        <v>0</v>
      </c>
      <c r="W886" s="66">
        <f t="shared" si="512"/>
        <v>2.3842739378566891E-2</v>
      </c>
      <c r="X886" s="66">
        <f t="shared" si="513"/>
        <v>1.590772426611272E-2</v>
      </c>
      <c r="Y886" s="66">
        <f t="shared" si="514"/>
        <v>1.9772002155383651E-2</v>
      </c>
      <c r="Z886" s="66">
        <f t="shared" si="515"/>
        <v>0</v>
      </c>
      <c r="AA886" s="66">
        <f t="shared" si="491"/>
        <v>9.6706082982869791E-3</v>
      </c>
      <c r="AB886" s="66">
        <f t="shared" si="516"/>
        <v>1.1259597558223991E-2</v>
      </c>
      <c r="AC886" s="67">
        <f t="shared" si="492"/>
        <v>17212177.949042231</v>
      </c>
      <c r="AD886" s="67">
        <f t="shared" si="519"/>
        <v>17212177.949042231</v>
      </c>
      <c r="AE886" s="66">
        <f t="shared" si="495"/>
        <v>-3.2727732206377369E-2</v>
      </c>
      <c r="AF886" s="64">
        <f t="shared" si="517"/>
        <v>17212177.949042231</v>
      </c>
      <c r="AG886" s="64">
        <v>1</v>
      </c>
      <c r="AH886" s="64">
        <f t="shared" si="518"/>
        <v>17212177.949042231</v>
      </c>
      <c r="AI886" s="67">
        <f t="shared" si="493"/>
        <v>180.72174761706063</v>
      </c>
      <c r="AJ886" s="67">
        <f t="shared" si="494"/>
        <v>-1151801.0823523626</v>
      </c>
      <c r="AK886" s="66">
        <f t="shared" si="496"/>
        <v>-3.2727732206377369E-2</v>
      </c>
    </row>
    <row r="887" spans="1:37" ht="12" customHeight="1" x14ac:dyDescent="0.25">
      <c r="A887" s="134" t="s">
        <v>625</v>
      </c>
      <c r="B887" s="134" t="s">
        <v>417</v>
      </c>
      <c r="C887" s="134" t="s">
        <v>417</v>
      </c>
      <c r="D887" s="128">
        <v>2028</v>
      </c>
      <c r="E887" s="134" t="s">
        <v>676</v>
      </c>
      <c r="F887" s="57">
        <f>SIM_Parametres!$C$34</f>
        <v>1630962291.1861155</v>
      </c>
      <c r="G887" s="129">
        <f>SIM_Districts!D35*(1+SIM_Parametres!$B$6)^(2028-2023)</f>
        <v>393794.96957304125</v>
      </c>
      <c r="H887" s="129">
        <f>MAX(0,MIN(100,SIM_Districts!F35+(2028-2022)*SIM_Parametres!$B$7))</f>
        <v>57.52</v>
      </c>
      <c r="I887" s="129">
        <f>SIM_Districts!G35*(1+SIM_Parametres!$B$8)^(2028-2023)</f>
        <v>29.356160895999995</v>
      </c>
      <c r="J887" s="129">
        <f>SIM_Districts!H35*(1+SIM_Parametres!$B$9)^(2028-2023)</f>
        <v>10.569771000000003</v>
      </c>
      <c r="K887" s="129">
        <f>MAX(0,MIN(100,SIM_Districts!I35+(2028-2023)*SIM_Parametres!$B$10))</f>
        <v>98.5</v>
      </c>
      <c r="L887" s="129">
        <f>SIM_Districts!E35</f>
        <v>3571</v>
      </c>
      <c r="M887" s="68">
        <f t="shared" si="490"/>
        <v>110.27582457940107</v>
      </c>
      <c r="N887" s="129">
        <f>N816*(1+SIM_Parametres!$B$6)/(1+SIM_Parametres!$B$11)</f>
        <v>155501</v>
      </c>
      <c r="O887" s="135"/>
      <c r="P887" s="130">
        <f>SIM_Parametres!$D$34</f>
        <v>1</v>
      </c>
      <c r="Q887" s="130">
        <f>SIM_Parametres!$B$12</f>
        <v>0.2</v>
      </c>
      <c r="R887" s="59">
        <f t="shared" si="507"/>
        <v>1.8740137307002372E-2</v>
      </c>
      <c r="S887" s="59">
        <f t="shared" si="508"/>
        <v>0.94326241134751765</v>
      </c>
      <c r="T887" s="59">
        <f t="shared" si="509"/>
        <v>0.70994475138121549</v>
      </c>
      <c r="U887" s="59">
        <f t="shared" si="510"/>
        <v>0.62208351647816396</v>
      </c>
      <c r="V887" s="59">
        <f t="shared" si="511"/>
        <v>0.66684249613059499</v>
      </c>
      <c r="W887" s="59">
        <f t="shared" si="512"/>
        <v>2.2489959839357421E-2</v>
      </c>
      <c r="X887" s="59">
        <f t="shared" si="513"/>
        <v>1.4049089815776529E-2</v>
      </c>
      <c r="Y887" s="59">
        <f t="shared" si="514"/>
        <v>1.589405311120607E-2</v>
      </c>
      <c r="Z887" s="59">
        <f t="shared" si="515"/>
        <v>2.4475353458158197E-2</v>
      </c>
      <c r="AA887" s="59">
        <f t="shared" si="491"/>
        <v>1.8743410160939729E-2</v>
      </c>
      <c r="AB887" s="59">
        <f t="shared" si="516"/>
        <v>1.7478192463047021E-2</v>
      </c>
      <c r="AC887" s="60">
        <f t="shared" si="492"/>
        <v>29050096.119754061</v>
      </c>
      <c r="AD887" s="60">
        <f t="shared" si="519"/>
        <v>29050096.119754061</v>
      </c>
      <c r="AE887" s="59">
        <f t="shared" si="495"/>
        <v>5.1687794447621727E-2</v>
      </c>
      <c r="AF887" s="57">
        <f t="shared" si="517"/>
        <v>29050096.119754061</v>
      </c>
      <c r="AG887" s="57">
        <v>1</v>
      </c>
      <c r="AH887" s="57">
        <f t="shared" si="518"/>
        <v>29050096.119754061</v>
      </c>
      <c r="AI887" s="60">
        <f t="shared" si="493"/>
        <v>73.76959678091022</v>
      </c>
      <c r="AJ887" s="60">
        <f t="shared" si="494"/>
        <v>543823.29443099722</v>
      </c>
      <c r="AK887" s="59">
        <f t="shared" si="496"/>
        <v>5.1687794447621727E-2</v>
      </c>
    </row>
    <row r="888" spans="1:37" ht="12" customHeight="1" x14ac:dyDescent="0.25">
      <c r="A888" s="133" t="s">
        <v>627</v>
      </c>
      <c r="B888" s="133" t="s">
        <v>417</v>
      </c>
      <c r="C888" s="133" t="s">
        <v>419</v>
      </c>
      <c r="D888" s="124">
        <v>2028</v>
      </c>
      <c r="E888" s="133" t="s">
        <v>676</v>
      </c>
      <c r="F888" s="64">
        <f>SIM_Parametres!$C$34</f>
        <v>1630962291.1861155</v>
      </c>
      <c r="G888" s="125">
        <f>SIM_Districts!D36*(1+SIM_Parametres!$B$6)^(2028-2023)</f>
        <v>221055.01758382117</v>
      </c>
      <c r="H888" s="125">
        <f>MAX(0,MIN(100,SIM_Districts!F36+(2028-2022)*SIM_Parametres!$B$7))</f>
        <v>57.52</v>
      </c>
      <c r="I888" s="125">
        <f>SIM_Districts!G36*(1+SIM_Parametres!$B$8)^(2028-2023)</f>
        <v>29.356160895999995</v>
      </c>
      <c r="J888" s="125">
        <f>SIM_Districts!H36*(1+SIM_Parametres!$B$9)^(2028-2023)</f>
        <v>10.569771000000003</v>
      </c>
      <c r="K888" s="125">
        <f>MAX(0,MIN(100,SIM_Districts!I36+(2028-2023)*SIM_Parametres!$B$10))</f>
        <v>98.5</v>
      </c>
      <c r="L888" s="125">
        <f>SIM_Districts!E36</f>
        <v>4702</v>
      </c>
      <c r="M888" s="61">
        <f t="shared" si="490"/>
        <v>47.012976942539595</v>
      </c>
      <c r="N888" s="125">
        <f>N817*(1+SIM_Parametres!$B$6)/(1+SIM_Parametres!$B$11)</f>
        <v>155501</v>
      </c>
      <c r="O888" s="3"/>
      <c r="P888" s="126">
        <f>SIM_Parametres!$D$34</f>
        <v>1</v>
      </c>
      <c r="Q888" s="126">
        <f>SIM_Parametres!$B$12</f>
        <v>0.2</v>
      </c>
      <c r="R888" s="66">
        <f t="shared" ref="R888:R919" si="520">IFERROR(G888/SUM($G$856:$G$926),1/71)</f>
        <v>1.0519690961045302E-2</v>
      </c>
      <c r="S888" s="66">
        <f t="shared" ref="S888:S919" si="521">IF(MAX($H$856:$H$926)=MIN($H$856:$H$926),1,(H888-MIN($H$856:$H$926))/(MAX($H$856:$H$926)-MIN($H$856:$H$926)))</f>
        <v>0.94326241134751765</v>
      </c>
      <c r="T888" s="66">
        <f t="shared" ref="T888:T919" si="522">(IF(MAX($I$856:$I$926)=MIN($I$856:$I$926),1,(I888-MIN($I$856:$I$926))/(MAX($I$856:$I$926)-MIN($I$856:$I$926)))+IF(MAX($J$856:$J$926)=MIN($J$856:$J$926),1,(J888-MIN($J$856:$J$926))/(MAX($J$856:$J$926)-MIN($J$856:$J$926))))/2</f>
        <v>0.70994475138121549</v>
      </c>
      <c r="U888" s="66">
        <f t="shared" ref="U888:U919" si="523">(IF(MAX($L$856:$L$926)=MIN($L$856:$L$926),1,(L888-MIN($L$856:$L$926))/(MAX($L$856:$L$926)-MIN($L$856:$L$926)))+IF(MAX($M$856:$M$926)=MIN($M$856:$M$926),1,(MAX($M$856:$M$926)-M888)/(MAX($M$856:$M$926)-MIN($M$856:$M$926))))/2</f>
        <v>0.66203363691805861</v>
      </c>
      <c r="V888" s="66">
        <f t="shared" ref="V888:V919" si="524">IF(MAX($N$856:$N$926)=MIN($N$856:$N$926),1,(N888-MIN($N$856:$N$926))/(MAX($N$856:$N$926)-MIN($N$856:$N$926)))</f>
        <v>0.66684249613059499</v>
      </c>
      <c r="W888" s="66">
        <f t="shared" ref="W888:W919" si="525">IFERROR(S888/SUM($S$856:$S$926),1/71)</f>
        <v>2.2489959839357421E-2</v>
      </c>
      <c r="X888" s="66">
        <f t="shared" ref="X888:X919" si="526">IFERROR(T888/SUM($T$856:$T$926),1/71)</f>
        <v>1.4049089815776529E-2</v>
      </c>
      <c r="Y888" s="66">
        <f t="shared" ref="Y888:Y919" si="527">IFERROR(U888/SUM($U$856:$U$926),1/71)</f>
        <v>1.6914767081679924E-2</v>
      </c>
      <c r="Z888" s="66">
        <f t="shared" ref="Z888:Z919" si="528">IFERROR(V888/SUM($V$856:$V$926),1/71)</f>
        <v>2.4475353458158197E-2</v>
      </c>
      <c r="AA888" s="66">
        <f t="shared" si="491"/>
        <v>1.3862178051889183E-2</v>
      </c>
      <c r="AB888" s="66">
        <f t="shared" ref="AB888:AB919" si="529">IFERROR(AH817/SUM($AH$785:$AH$855),1/71)</f>
        <v>1.4026279775036074E-2</v>
      </c>
      <c r="AC888" s="67">
        <f t="shared" si="492"/>
        <v>22681211.716243409</v>
      </c>
      <c r="AD888" s="67">
        <f t="shared" si="519"/>
        <v>22681211.716243409</v>
      </c>
      <c r="AE888" s="66">
        <f t="shared" si="495"/>
        <v>2.3197646371196923E-2</v>
      </c>
      <c r="AF888" s="64">
        <f t="shared" si="517"/>
        <v>22681211.716243409</v>
      </c>
      <c r="AG888" s="64">
        <v>1</v>
      </c>
      <c r="AH888" s="64">
        <f t="shared" si="518"/>
        <v>22681211.716243409</v>
      </c>
      <c r="AI888" s="67">
        <f t="shared" si="493"/>
        <v>102.60437407914974</v>
      </c>
      <c r="AJ888" s="67">
        <f t="shared" si="494"/>
        <v>-195121.68246690184</v>
      </c>
      <c r="AK888" s="66">
        <f t="shared" si="496"/>
        <v>2.3197646371196923E-2</v>
      </c>
    </row>
    <row r="889" spans="1:37" ht="12" customHeight="1" x14ac:dyDescent="0.25">
      <c r="A889" s="134" t="s">
        <v>628</v>
      </c>
      <c r="B889" s="134" t="s">
        <v>417</v>
      </c>
      <c r="C889" s="134" t="s">
        <v>420</v>
      </c>
      <c r="D889" s="128">
        <v>2028</v>
      </c>
      <c r="E889" s="134" t="s">
        <v>676</v>
      </c>
      <c r="F889" s="57">
        <f>SIM_Parametres!$C$34</f>
        <v>1630962291.1861155</v>
      </c>
      <c r="G889" s="129">
        <f>SIM_Districts!D37*(1+SIM_Parametres!$B$6)^(2028-2023)</f>
        <v>445651.61746462883</v>
      </c>
      <c r="H889" s="129">
        <f>MAX(0,MIN(100,SIM_Districts!F37+(2028-2022)*SIM_Parametres!$B$7))</f>
        <v>57.52</v>
      </c>
      <c r="I889" s="129">
        <f>SIM_Districts!G37*(1+SIM_Parametres!$B$8)^(2028-2023)</f>
        <v>29.356160895999995</v>
      </c>
      <c r="J889" s="129">
        <f>SIM_Districts!H37*(1+SIM_Parametres!$B$9)^(2028-2023)</f>
        <v>10.569771000000003</v>
      </c>
      <c r="K889" s="129">
        <f>MAX(0,MIN(100,SIM_Districts!I37+(2028-2023)*SIM_Parametres!$B$10))</f>
        <v>98.5</v>
      </c>
      <c r="L889" s="129">
        <f>SIM_Districts!E37</f>
        <v>5498</v>
      </c>
      <c r="M889" s="68">
        <f t="shared" si="490"/>
        <v>81.057042099786983</v>
      </c>
      <c r="N889" s="129">
        <f>N818*(1+SIM_Parametres!$B$6)/(1+SIM_Parametres!$B$11)</f>
        <v>155501</v>
      </c>
      <c r="O889" s="135"/>
      <c r="P889" s="130">
        <f>SIM_Parametres!$D$34</f>
        <v>1</v>
      </c>
      <c r="Q889" s="130">
        <f>SIM_Parametres!$B$12</f>
        <v>0.2</v>
      </c>
      <c r="R889" s="59">
        <f t="shared" si="520"/>
        <v>2.1207920739642123E-2</v>
      </c>
      <c r="S889" s="59">
        <f t="shared" si="521"/>
        <v>0.94326241134751765</v>
      </c>
      <c r="T889" s="59">
        <f t="shared" si="522"/>
        <v>0.70994475138121549</v>
      </c>
      <c r="U889" s="59">
        <f t="shared" si="523"/>
        <v>0.68919209164884077</v>
      </c>
      <c r="V889" s="59">
        <f t="shared" si="524"/>
        <v>0.66684249613059499</v>
      </c>
      <c r="W889" s="59">
        <f t="shared" si="525"/>
        <v>2.2489959839357421E-2</v>
      </c>
      <c r="X889" s="59">
        <f t="shared" si="526"/>
        <v>1.4049089815776529E-2</v>
      </c>
      <c r="Y889" s="59">
        <f t="shared" si="527"/>
        <v>1.7608657709666832E-2</v>
      </c>
      <c r="Z889" s="59">
        <f t="shared" si="528"/>
        <v>2.4475353458158197E-2</v>
      </c>
      <c r="AA889" s="59">
        <f t="shared" si="491"/>
        <v>2.0309810450446615E-2</v>
      </c>
      <c r="AB889" s="59">
        <f t="shared" si="529"/>
        <v>1.9185654069359098E-2</v>
      </c>
      <c r="AC889" s="60">
        <f t="shared" si="492"/>
        <v>31093887.963825054</v>
      </c>
      <c r="AD889" s="60">
        <f t="shared" si="519"/>
        <v>31093887.963825054</v>
      </c>
      <c r="AE889" s="59">
        <f t="shared" si="495"/>
        <v>2.5496534560788708E-2</v>
      </c>
      <c r="AF889" s="57">
        <f t="shared" si="517"/>
        <v>31093887.963825054</v>
      </c>
      <c r="AG889" s="57">
        <v>1</v>
      </c>
      <c r="AH889" s="57">
        <f t="shared" si="518"/>
        <v>31093887.963825054</v>
      </c>
      <c r="AI889" s="60">
        <f t="shared" si="493"/>
        <v>69.771738158883636</v>
      </c>
      <c r="AJ889" s="60">
        <f t="shared" si="494"/>
        <v>-197190.35504107922</v>
      </c>
      <c r="AK889" s="59">
        <f t="shared" si="496"/>
        <v>2.5496534560788708E-2</v>
      </c>
    </row>
    <row r="890" spans="1:37" ht="12" customHeight="1" x14ac:dyDescent="0.25">
      <c r="A890" s="133" t="s">
        <v>629</v>
      </c>
      <c r="B890" s="133" t="s">
        <v>421</v>
      </c>
      <c r="C890" s="133" t="s">
        <v>423</v>
      </c>
      <c r="D890" s="124">
        <v>2028</v>
      </c>
      <c r="E890" s="133" t="s">
        <v>676</v>
      </c>
      <c r="F890" s="64">
        <f>SIM_Parametres!$C$34</f>
        <v>1630962291.1861155</v>
      </c>
      <c r="G890" s="125">
        <f>SIM_Districts!D38*(1+SIM_Parametres!$B$6)^(2028-2023)</f>
        <v>94727.762433275886</v>
      </c>
      <c r="H890" s="125">
        <f>MAX(0,MIN(100,SIM_Districts!F38+(2028-2022)*SIM_Parametres!$B$7))</f>
        <v>42.02</v>
      </c>
      <c r="I890" s="125">
        <f>SIM_Districts!G38*(1+SIM_Parametres!$B$8)^(2028-2023)</f>
        <v>29.356160895999995</v>
      </c>
      <c r="J890" s="125">
        <f>SIM_Districts!H38*(1+SIM_Parametres!$B$9)^(2028-2023)</f>
        <v>10.628820000000003</v>
      </c>
      <c r="K890" s="125">
        <f>MAX(0,MIN(100,SIM_Districts!I38+(2028-2023)*SIM_Parametres!$B$10))</f>
        <v>100</v>
      </c>
      <c r="L890" s="125">
        <f>SIM_Districts!E38</f>
        <v>822</v>
      </c>
      <c r="M890" s="61">
        <f t="shared" si="490"/>
        <v>115.24058690179548</v>
      </c>
      <c r="N890" s="125">
        <f>N819*(1+SIM_Parametres!$B$6)/(1+SIM_Parametres!$B$11)</f>
        <v>97480</v>
      </c>
      <c r="O890" s="3"/>
      <c r="P890" s="126">
        <f>SIM_Parametres!$D$34</f>
        <v>1</v>
      </c>
      <c r="Q890" s="126">
        <f>SIM_Parametres!$B$12</f>
        <v>0.2</v>
      </c>
      <c r="R890" s="66">
        <f t="shared" si="520"/>
        <v>4.5079582319433979E-3</v>
      </c>
      <c r="S890" s="66">
        <f t="shared" si="521"/>
        <v>0.66843971631205668</v>
      </c>
      <c r="T890" s="66">
        <f t="shared" si="522"/>
        <v>0.71270718232044195</v>
      </c>
      <c r="U890" s="66">
        <f t="shared" si="523"/>
        <v>0.52679639914705134</v>
      </c>
      <c r="V890" s="66">
        <f t="shared" si="524"/>
        <v>0.26413981218637</v>
      </c>
      <c r="W890" s="66">
        <f t="shared" si="525"/>
        <v>1.5937433946311558E-2</v>
      </c>
      <c r="X890" s="66">
        <f t="shared" si="526"/>
        <v>1.4103755534904061E-2</v>
      </c>
      <c r="Y890" s="66">
        <f t="shared" si="527"/>
        <v>1.3459494947298202E-2</v>
      </c>
      <c r="Z890" s="66">
        <f t="shared" si="528"/>
        <v>9.6948159470131197E-3</v>
      </c>
      <c r="AA890" s="66">
        <f t="shared" si="491"/>
        <v>8.3686689060639453E-3</v>
      </c>
      <c r="AB890" s="66">
        <f t="shared" si="529"/>
        <v>9.8724134151966687E-3</v>
      </c>
      <c r="AC890" s="67">
        <f t="shared" si="492"/>
        <v>15513446.7057418</v>
      </c>
      <c r="AD890" s="67">
        <f t="shared" si="519"/>
        <v>15513446.7057418</v>
      </c>
      <c r="AE890" s="66">
        <f t="shared" si="495"/>
        <v>-5.6924391702076749E-3</v>
      </c>
      <c r="AF890" s="64">
        <f t="shared" si="517"/>
        <v>15513446.7057418</v>
      </c>
      <c r="AG890" s="64">
        <v>1</v>
      </c>
      <c r="AH890" s="64">
        <f t="shared" si="518"/>
        <v>15513446.7057418</v>
      </c>
      <c r="AI890" s="67">
        <f t="shared" si="493"/>
        <v>163.76874431789861</v>
      </c>
      <c r="AJ890" s="67">
        <f t="shared" si="494"/>
        <v>-588087.29744390212</v>
      </c>
      <c r="AK890" s="66">
        <f t="shared" si="496"/>
        <v>-5.6924391702076749E-3</v>
      </c>
    </row>
    <row r="891" spans="1:37" ht="12" customHeight="1" x14ac:dyDescent="0.25">
      <c r="A891" s="134" t="s">
        <v>631</v>
      </c>
      <c r="B891" s="134" t="s">
        <v>421</v>
      </c>
      <c r="C891" s="134" t="s">
        <v>424</v>
      </c>
      <c r="D891" s="128">
        <v>2028</v>
      </c>
      <c r="E891" s="134" t="s">
        <v>676</v>
      </c>
      <c r="F891" s="57">
        <f>SIM_Parametres!$C$34</f>
        <v>1630962291.1861155</v>
      </c>
      <c r="G891" s="129">
        <f>SIM_Districts!D39*(1+SIM_Parametres!$B$6)^(2028-2023)</f>
        <v>196807.64104576237</v>
      </c>
      <c r="H891" s="129">
        <f>MAX(0,MIN(100,SIM_Districts!F39+(2028-2022)*SIM_Parametres!$B$7))</f>
        <v>42.02</v>
      </c>
      <c r="I891" s="129">
        <f>SIM_Districts!G39*(1+SIM_Parametres!$B$8)^(2028-2023)</f>
        <v>29.356160895999995</v>
      </c>
      <c r="J891" s="129">
        <f>SIM_Districts!H39*(1+SIM_Parametres!$B$9)^(2028-2023)</f>
        <v>10.628820000000003</v>
      </c>
      <c r="K891" s="129">
        <f>MAX(0,MIN(100,SIM_Districts!I39+(2028-2023)*SIM_Parametres!$B$10))</f>
        <v>100</v>
      </c>
      <c r="L891" s="129">
        <f>SIM_Districts!E39</f>
        <v>6832</v>
      </c>
      <c r="M891" s="68">
        <f t="shared" si="490"/>
        <v>28.806739028946485</v>
      </c>
      <c r="N891" s="129">
        <f>N820*(1+SIM_Parametres!$B$6)/(1+SIM_Parametres!$B$11)</f>
        <v>97480</v>
      </c>
      <c r="O891" s="135"/>
      <c r="P891" s="130">
        <f>SIM_Parametres!$D$34</f>
        <v>1</v>
      </c>
      <c r="Q891" s="130">
        <f>SIM_Parametres!$B$12</f>
        <v>0.2</v>
      </c>
      <c r="R891" s="59">
        <f t="shared" si="520"/>
        <v>9.3657931188497138E-3</v>
      </c>
      <c r="S891" s="59">
        <f t="shared" si="521"/>
        <v>0.66843971631205668</v>
      </c>
      <c r="T891" s="59">
        <f t="shared" si="522"/>
        <v>0.71270718232044195</v>
      </c>
      <c r="U891" s="59">
        <f t="shared" si="523"/>
        <v>0.73603986945859257</v>
      </c>
      <c r="V891" s="59">
        <f t="shared" si="524"/>
        <v>0.26413981218637</v>
      </c>
      <c r="W891" s="59">
        <f t="shared" si="525"/>
        <v>1.5937433946311558E-2</v>
      </c>
      <c r="X891" s="59">
        <f t="shared" si="526"/>
        <v>1.4103755534904061E-2</v>
      </c>
      <c r="Y891" s="59">
        <f t="shared" si="527"/>
        <v>1.880560482195431E-2</v>
      </c>
      <c r="Z891" s="59">
        <f t="shared" si="528"/>
        <v>9.6948159470131197E-3</v>
      </c>
      <c r="AA891" s="59">
        <f t="shared" si="491"/>
        <v>1.1550675331940541E-2</v>
      </c>
      <c r="AB891" s="59">
        <f t="shared" si="529"/>
        <v>1.4836571875185969E-2</v>
      </c>
      <c r="AC891" s="60">
        <f t="shared" si="492"/>
        <v>19665232.698475108</v>
      </c>
      <c r="AD891" s="60">
        <f t="shared" si="519"/>
        <v>19665232.698475108</v>
      </c>
      <c r="AE891" s="59">
        <f t="shared" si="495"/>
        <v>-0.16131031398280715</v>
      </c>
      <c r="AF891" s="57">
        <f t="shared" si="517"/>
        <v>19665232.698475108</v>
      </c>
      <c r="AG891" s="57">
        <v>1</v>
      </c>
      <c r="AH891" s="57">
        <f t="shared" si="518"/>
        <v>19665232.698475108</v>
      </c>
      <c r="AI891" s="60">
        <f t="shared" si="493"/>
        <v>99.921083317605962</v>
      </c>
      <c r="AJ891" s="60">
        <f t="shared" si="494"/>
        <v>-4532656.5604256801</v>
      </c>
      <c r="AK891" s="59">
        <f t="shared" si="496"/>
        <v>-0.16131031398280715</v>
      </c>
    </row>
    <row r="892" spans="1:37" ht="12" customHeight="1" x14ac:dyDescent="0.25">
      <c r="A892" s="133" t="s">
        <v>632</v>
      </c>
      <c r="B892" s="133" t="s">
        <v>421</v>
      </c>
      <c r="C892" s="133" t="s">
        <v>425</v>
      </c>
      <c r="D892" s="124">
        <v>2028</v>
      </c>
      <c r="E892" s="133" t="s">
        <v>676</v>
      </c>
      <c r="F892" s="64">
        <f>SIM_Parametres!$C$34</f>
        <v>1630962291.1861155</v>
      </c>
      <c r="G892" s="125">
        <f>SIM_Districts!D40*(1+SIM_Parametres!$B$6)^(2028-2023)</f>
        <v>123738.59614263338</v>
      </c>
      <c r="H892" s="125">
        <f>MAX(0,MIN(100,SIM_Districts!F40+(2028-2022)*SIM_Parametres!$B$7))</f>
        <v>42.02</v>
      </c>
      <c r="I892" s="125">
        <f>SIM_Districts!G40*(1+SIM_Parametres!$B$8)^(2028-2023)</f>
        <v>29.356160895999995</v>
      </c>
      <c r="J892" s="125">
        <f>SIM_Districts!H40*(1+SIM_Parametres!$B$9)^(2028-2023)</f>
        <v>10.628820000000003</v>
      </c>
      <c r="K892" s="125">
        <f>MAX(0,MIN(100,SIM_Districts!I40+(2028-2023)*SIM_Parametres!$B$10))</f>
        <v>100</v>
      </c>
      <c r="L892" s="125">
        <f>SIM_Districts!E40</f>
        <v>1601</v>
      </c>
      <c r="M892" s="61">
        <f t="shared" si="490"/>
        <v>77.288317390776626</v>
      </c>
      <c r="N892" s="125">
        <f>N821*(1+SIM_Parametres!$B$6)/(1+SIM_Parametres!$B$11)</f>
        <v>97480</v>
      </c>
      <c r="O892" s="3"/>
      <c r="P892" s="126">
        <f>SIM_Parametres!$D$34</f>
        <v>1</v>
      </c>
      <c r="Q892" s="126">
        <f>SIM_Parametres!$B$12</f>
        <v>0.2</v>
      </c>
      <c r="R892" s="66">
        <f t="shared" si="520"/>
        <v>5.8885421629505021E-3</v>
      </c>
      <c r="S892" s="66">
        <f t="shared" si="521"/>
        <v>0.66843971631205668</v>
      </c>
      <c r="T892" s="66">
        <f t="shared" si="522"/>
        <v>0.71270718232044195</v>
      </c>
      <c r="U892" s="66">
        <f t="shared" si="523"/>
        <v>0.5542443044598161</v>
      </c>
      <c r="V892" s="66">
        <f t="shared" si="524"/>
        <v>0.26413981218637</v>
      </c>
      <c r="W892" s="66">
        <f t="shared" si="525"/>
        <v>1.5937433946311558E-2</v>
      </c>
      <c r="X892" s="66">
        <f t="shared" si="526"/>
        <v>1.4103755534904061E-2</v>
      </c>
      <c r="Y892" s="66">
        <f t="shared" si="527"/>
        <v>1.4160780953560275E-2</v>
      </c>
      <c r="Z892" s="66">
        <f t="shared" si="528"/>
        <v>9.6948159470131197E-3</v>
      </c>
      <c r="AA892" s="66">
        <f t="shared" si="491"/>
        <v>9.2320835649813138E-3</v>
      </c>
      <c r="AB892" s="66">
        <f t="shared" si="529"/>
        <v>1.5565146991946902E-2</v>
      </c>
      <c r="AC892" s="67">
        <f t="shared" si="492"/>
        <v>16640004.10602304</v>
      </c>
      <c r="AD892" s="67">
        <f t="shared" si="519"/>
        <v>16640004.10602304</v>
      </c>
      <c r="AE892" s="66">
        <f t="shared" si="495"/>
        <v>-0.32354956556354919</v>
      </c>
      <c r="AF892" s="64">
        <f t="shared" si="517"/>
        <v>16640004.10602304</v>
      </c>
      <c r="AG892" s="64">
        <v>1</v>
      </c>
      <c r="AH892" s="64">
        <f t="shared" si="518"/>
        <v>16640004.10602304</v>
      </c>
      <c r="AI892" s="67">
        <f t="shared" si="493"/>
        <v>134.47707202724459</v>
      </c>
      <c r="AJ892" s="67">
        <f t="shared" si="494"/>
        <v>-8746163.6946113519</v>
      </c>
      <c r="AK892" s="66">
        <f t="shared" si="496"/>
        <v>-0.32354956556354919</v>
      </c>
    </row>
    <row r="893" spans="1:37" ht="12" customHeight="1" x14ac:dyDescent="0.25">
      <c r="A893" s="134" t="s">
        <v>633</v>
      </c>
      <c r="B893" s="134" t="s">
        <v>421</v>
      </c>
      <c r="C893" s="134" t="s">
        <v>426</v>
      </c>
      <c r="D893" s="128">
        <v>2028</v>
      </c>
      <c r="E893" s="134" t="s">
        <v>676</v>
      </c>
      <c r="F893" s="57">
        <f>SIM_Parametres!$C$34</f>
        <v>1630962291.1861155</v>
      </c>
      <c r="G893" s="129">
        <f>SIM_Districts!D41*(1+SIM_Parametres!$B$6)^(2028-2023)</f>
        <v>263093.77334016206</v>
      </c>
      <c r="H893" s="129">
        <f>MAX(0,MIN(100,SIM_Districts!F41+(2028-2022)*SIM_Parametres!$B$7))</f>
        <v>42.02</v>
      </c>
      <c r="I893" s="129">
        <f>SIM_Districts!G41*(1+SIM_Parametres!$B$8)^(2028-2023)</f>
        <v>29.356160895999995</v>
      </c>
      <c r="J893" s="129">
        <f>SIM_Districts!H41*(1+SIM_Parametres!$B$9)^(2028-2023)</f>
        <v>10.628820000000003</v>
      </c>
      <c r="K893" s="129">
        <f>MAX(0,MIN(100,SIM_Districts!I41+(2028-2023)*SIM_Parametres!$B$10))</f>
        <v>100</v>
      </c>
      <c r="L893" s="129">
        <f>SIM_Districts!E41</f>
        <v>2260</v>
      </c>
      <c r="M893" s="68">
        <f t="shared" si="490"/>
        <v>116.4131740443195</v>
      </c>
      <c r="N893" s="129">
        <f>N822*(1+SIM_Parametres!$B$6)/(1+SIM_Parametres!$B$11)</f>
        <v>97480</v>
      </c>
      <c r="O893" s="135"/>
      <c r="P893" s="130">
        <f>SIM_Parametres!$D$34</f>
        <v>1</v>
      </c>
      <c r="Q893" s="130">
        <f>SIM_Parametres!$B$12</f>
        <v>0.2</v>
      </c>
      <c r="R893" s="59">
        <f t="shared" si="520"/>
        <v>1.2520255000610164E-2</v>
      </c>
      <c r="S893" s="59">
        <f t="shared" si="521"/>
        <v>0.66843971631205668</v>
      </c>
      <c r="T893" s="59">
        <f t="shared" si="522"/>
        <v>0.71270718232044195</v>
      </c>
      <c r="U893" s="59">
        <f t="shared" si="523"/>
        <v>0.57659503553202685</v>
      </c>
      <c r="V893" s="59">
        <f t="shared" si="524"/>
        <v>0.26413981218637</v>
      </c>
      <c r="W893" s="59">
        <f t="shared" si="525"/>
        <v>1.5937433946311558E-2</v>
      </c>
      <c r="X893" s="59">
        <f t="shared" si="526"/>
        <v>1.4103755534904061E-2</v>
      </c>
      <c r="Y893" s="59">
        <f t="shared" si="527"/>
        <v>1.4731835638865494E-2</v>
      </c>
      <c r="Z893" s="59">
        <f t="shared" si="528"/>
        <v>9.6948159470131197E-3</v>
      </c>
      <c r="AA893" s="59">
        <f t="shared" si="491"/>
        <v>1.3239664001842372E-2</v>
      </c>
      <c r="AB893" s="59">
        <f t="shared" si="529"/>
        <v>1.3619282662215673E-2</v>
      </c>
      <c r="AC893" s="60">
        <f t="shared" si="492"/>
        <v>21868974.163155492</v>
      </c>
      <c r="AD893" s="60">
        <f t="shared" si="519"/>
        <v>21868974.163155492</v>
      </c>
      <c r="AE893" s="59">
        <f t="shared" si="495"/>
        <v>1.6038009977757506E-2</v>
      </c>
      <c r="AF893" s="57">
        <f t="shared" si="517"/>
        <v>21868974.163155492</v>
      </c>
      <c r="AG893" s="57">
        <v>1</v>
      </c>
      <c r="AH893" s="57">
        <f t="shared" si="518"/>
        <v>21868974.163155492</v>
      </c>
      <c r="AI893" s="60">
        <f t="shared" si="493"/>
        <v>83.122355521810164</v>
      </c>
      <c r="AJ893" s="60">
        <f t="shared" si="494"/>
        <v>-343562.29192312062</v>
      </c>
      <c r="AK893" s="59">
        <f t="shared" si="496"/>
        <v>1.6038009977757506E-2</v>
      </c>
    </row>
    <row r="894" spans="1:37" ht="12" customHeight="1" x14ac:dyDescent="0.25">
      <c r="A894" s="133" t="s">
        <v>634</v>
      </c>
      <c r="B894" s="133" t="s">
        <v>421</v>
      </c>
      <c r="C894" s="133" t="s">
        <v>427</v>
      </c>
      <c r="D894" s="124">
        <v>2028</v>
      </c>
      <c r="E894" s="133" t="s">
        <v>676</v>
      </c>
      <c r="F894" s="64">
        <f>SIM_Parametres!$C$34</f>
        <v>1630962291.1861155</v>
      </c>
      <c r="G894" s="125">
        <f>SIM_Districts!D42*(1+SIM_Parametres!$B$6)^(2028-2023)</f>
        <v>112955.02870349478</v>
      </c>
      <c r="H894" s="125">
        <f>MAX(0,MIN(100,SIM_Districts!F42+(2028-2022)*SIM_Parametres!$B$7))</f>
        <v>42.02</v>
      </c>
      <c r="I894" s="125">
        <f>SIM_Districts!G42*(1+SIM_Parametres!$B$8)^(2028-2023)</f>
        <v>29.356160895999995</v>
      </c>
      <c r="J894" s="125">
        <f>SIM_Districts!H42*(1+SIM_Parametres!$B$9)^(2028-2023)</f>
        <v>10.628820000000003</v>
      </c>
      <c r="K894" s="125">
        <f>MAX(0,MIN(100,SIM_Districts!I42+(2028-2023)*SIM_Parametres!$B$10))</f>
        <v>100</v>
      </c>
      <c r="L894" s="125">
        <f>SIM_Districts!E42</f>
        <v>2889</v>
      </c>
      <c r="M894" s="61">
        <f t="shared" si="490"/>
        <v>39.098313846831012</v>
      </c>
      <c r="N894" s="125">
        <f>N823*(1+SIM_Parametres!$B$6)/(1+SIM_Parametres!$B$11)</f>
        <v>97480</v>
      </c>
      <c r="O894" s="3"/>
      <c r="P894" s="126">
        <f>SIM_Parametres!$D$34</f>
        <v>1</v>
      </c>
      <c r="Q894" s="126">
        <f>SIM_Parametres!$B$12</f>
        <v>0.2</v>
      </c>
      <c r="R894" s="66">
        <f t="shared" si="520"/>
        <v>5.375367668395933E-3</v>
      </c>
      <c r="S894" s="66">
        <f t="shared" si="521"/>
        <v>0.66843971631205668</v>
      </c>
      <c r="T894" s="66">
        <f t="shared" si="522"/>
        <v>0.71270718232044195</v>
      </c>
      <c r="U894" s="66">
        <f t="shared" si="523"/>
        <v>0.59932709011759788</v>
      </c>
      <c r="V894" s="66">
        <f t="shared" si="524"/>
        <v>0.26413981218637</v>
      </c>
      <c r="W894" s="66">
        <f t="shared" si="525"/>
        <v>1.5937433946311558E-2</v>
      </c>
      <c r="X894" s="66">
        <f t="shared" si="526"/>
        <v>1.4103755534904061E-2</v>
      </c>
      <c r="Y894" s="66">
        <f t="shared" si="527"/>
        <v>1.5312633029150603E-2</v>
      </c>
      <c r="Z894" s="66">
        <f t="shared" si="528"/>
        <v>9.6948159470131197E-3</v>
      </c>
      <c r="AA894" s="66">
        <f t="shared" si="491"/>
        <v>8.9817714720280863E-3</v>
      </c>
      <c r="AB894" s="66">
        <f t="shared" si="529"/>
        <v>1.0736048604973677E-2</v>
      </c>
      <c r="AC894" s="67">
        <f t="shared" si="492"/>
        <v>16313404.438315371</v>
      </c>
      <c r="AD894" s="67">
        <f t="shared" si="519"/>
        <v>16313404.438315371</v>
      </c>
      <c r="AE894" s="66">
        <f t="shared" si="495"/>
        <v>-3.8529615444785614E-2</v>
      </c>
      <c r="AF894" s="64">
        <f t="shared" si="517"/>
        <v>16313404.438315371</v>
      </c>
      <c r="AG894" s="64">
        <v>1</v>
      </c>
      <c r="AH894" s="64">
        <f t="shared" si="518"/>
        <v>16313404.438315371</v>
      </c>
      <c r="AI894" s="67">
        <f t="shared" si="493"/>
        <v>144.42388821074809</v>
      </c>
      <c r="AJ894" s="67">
        <f t="shared" si="494"/>
        <v>-1196685.9927379955</v>
      </c>
      <c r="AK894" s="66">
        <f t="shared" si="496"/>
        <v>-3.8529615444785614E-2</v>
      </c>
    </row>
    <row r="895" spans="1:37" ht="12" customHeight="1" x14ac:dyDescent="0.25">
      <c r="A895" s="134" t="s">
        <v>635</v>
      </c>
      <c r="B895" s="134" t="s">
        <v>421</v>
      </c>
      <c r="C895" s="134" t="s">
        <v>428</v>
      </c>
      <c r="D895" s="128">
        <v>2028</v>
      </c>
      <c r="E895" s="134" t="s">
        <v>676</v>
      </c>
      <c r="F895" s="57">
        <f>SIM_Parametres!$C$34</f>
        <v>1630962291.1861155</v>
      </c>
      <c r="G895" s="129">
        <f>SIM_Districts!D43*(1+SIM_Parametres!$B$6)^(2028-2023)</f>
        <v>164364.19680240258</v>
      </c>
      <c r="H895" s="129">
        <f>MAX(0,MIN(100,SIM_Districts!F43+(2028-2022)*SIM_Parametres!$B$7))</f>
        <v>42.02</v>
      </c>
      <c r="I895" s="129">
        <f>SIM_Districts!G43*(1+SIM_Parametres!$B$8)^(2028-2023)</f>
        <v>29.356160895999995</v>
      </c>
      <c r="J895" s="129">
        <f>SIM_Districts!H43*(1+SIM_Parametres!$B$9)^(2028-2023)</f>
        <v>10.628820000000003</v>
      </c>
      <c r="K895" s="129">
        <f>MAX(0,MIN(100,SIM_Districts!I43+(2028-2023)*SIM_Parametres!$B$10))</f>
        <v>100</v>
      </c>
      <c r="L895" s="129">
        <f>SIM_Districts!E43</f>
        <v>8907</v>
      </c>
      <c r="M895" s="68">
        <f t="shared" si="490"/>
        <v>18.453373391984123</v>
      </c>
      <c r="N895" s="129">
        <f>N824*(1+SIM_Parametres!$B$6)/(1+SIM_Parametres!$B$11)</f>
        <v>97480</v>
      </c>
      <c r="O895" s="135"/>
      <c r="P895" s="130">
        <f>SIM_Parametres!$D$34</f>
        <v>1</v>
      </c>
      <c r="Q895" s="130">
        <f>SIM_Parametres!$B$12</f>
        <v>0.2</v>
      </c>
      <c r="R895" s="59">
        <f t="shared" si="520"/>
        <v>7.8218561800619101E-3</v>
      </c>
      <c r="S895" s="59">
        <f t="shared" si="521"/>
        <v>0.66843971631205668</v>
      </c>
      <c r="T895" s="59">
        <f t="shared" si="522"/>
        <v>0.71270718232044195</v>
      </c>
      <c r="U895" s="59">
        <f t="shared" si="523"/>
        <v>0.80804507507275991</v>
      </c>
      <c r="V895" s="59">
        <f t="shared" si="524"/>
        <v>0.26413981218637</v>
      </c>
      <c r="W895" s="59">
        <f t="shared" si="525"/>
        <v>1.5937433946311558E-2</v>
      </c>
      <c r="X895" s="59">
        <f t="shared" si="526"/>
        <v>1.4103755534904061E-2</v>
      </c>
      <c r="Y895" s="59">
        <f t="shared" si="527"/>
        <v>2.0645316905621231E-2</v>
      </c>
      <c r="Z895" s="59">
        <f t="shared" si="528"/>
        <v>9.6948159470131197E-3</v>
      </c>
      <c r="AA895" s="59">
        <f t="shared" si="491"/>
        <v>1.0716298772851206E-2</v>
      </c>
      <c r="AB895" s="59">
        <f t="shared" si="529"/>
        <v>1.1946435205984552E-2</v>
      </c>
      <c r="AC895" s="60">
        <f t="shared" si="492"/>
        <v>18576563.334855646</v>
      </c>
      <c r="AD895" s="60">
        <f t="shared" si="519"/>
        <v>18576563.334855646</v>
      </c>
      <c r="AE895" s="59">
        <f t="shared" si="495"/>
        <v>-1.6073136654294995E-2</v>
      </c>
      <c r="AF895" s="57">
        <f t="shared" si="517"/>
        <v>18576563.334855646</v>
      </c>
      <c r="AG895" s="57">
        <v>1</v>
      </c>
      <c r="AH895" s="57">
        <f t="shared" si="518"/>
        <v>18576563.334855646</v>
      </c>
      <c r="AI895" s="60">
        <f t="shared" si="493"/>
        <v>113.02074111181435</v>
      </c>
      <c r="AJ895" s="60">
        <f t="shared" si="494"/>
        <v>-907622.0002033934</v>
      </c>
      <c r="AK895" s="59">
        <f t="shared" si="496"/>
        <v>-1.6073136654294995E-2</v>
      </c>
    </row>
    <row r="896" spans="1:37" ht="12" customHeight="1" x14ac:dyDescent="0.25">
      <c r="A896" s="133" t="s">
        <v>636</v>
      </c>
      <c r="B896" s="133" t="s">
        <v>421</v>
      </c>
      <c r="C896" s="133" t="s">
        <v>421</v>
      </c>
      <c r="D896" s="124">
        <v>2028</v>
      </c>
      <c r="E896" s="133" t="s">
        <v>676</v>
      </c>
      <c r="F896" s="64">
        <f>SIM_Parametres!$C$34</f>
        <v>1630962291.1861155</v>
      </c>
      <c r="G896" s="125">
        <f>SIM_Districts!D44*(1+SIM_Parametres!$B$6)^(2028-2023)</f>
        <v>242496.95086207398</v>
      </c>
      <c r="H896" s="125">
        <f>MAX(0,MIN(100,SIM_Districts!F44+(2028-2022)*SIM_Parametres!$B$7))</f>
        <v>42.02</v>
      </c>
      <c r="I896" s="125">
        <f>SIM_Districts!G44*(1+SIM_Parametres!$B$8)^(2028-2023)</f>
        <v>29.356160895999995</v>
      </c>
      <c r="J896" s="125">
        <f>SIM_Districts!H44*(1+SIM_Parametres!$B$9)^(2028-2023)</f>
        <v>10.628820000000003</v>
      </c>
      <c r="K896" s="125">
        <f>MAX(0,MIN(100,SIM_Districts!I44+(2028-2023)*SIM_Parametres!$B$10))</f>
        <v>100</v>
      </c>
      <c r="L896" s="125">
        <f>SIM_Districts!E44</f>
        <v>759</v>
      </c>
      <c r="M896" s="61">
        <f t="shared" si="490"/>
        <v>319.49532392895122</v>
      </c>
      <c r="N896" s="125">
        <f>N825*(1+SIM_Parametres!$B$6)/(1+SIM_Parametres!$B$11)</f>
        <v>97480</v>
      </c>
      <c r="O896" s="3"/>
      <c r="P896" s="126">
        <f>SIM_Parametres!$D$34</f>
        <v>1</v>
      </c>
      <c r="Q896" s="126">
        <f>SIM_Parametres!$B$12</f>
        <v>0.2</v>
      </c>
      <c r="R896" s="66">
        <f t="shared" si="520"/>
        <v>1.1540081785736908E-2</v>
      </c>
      <c r="S896" s="66">
        <f t="shared" si="521"/>
        <v>0.66843971631205668</v>
      </c>
      <c r="T896" s="66">
        <f t="shared" si="522"/>
        <v>0.71270718232044195</v>
      </c>
      <c r="U896" s="66">
        <f t="shared" si="523"/>
        <v>0.52212219334654864</v>
      </c>
      <c r="V896" s="66">
        <f t="shared" si="524"/>
        <v>0.26413981218637</v>
      </c>
      <c r="W896" s="66">
        <f t="shared" si="525"/>
        <v>1.5937433946311558E-2</v>
      </c>
      <c r="X896" s="66">
        <f t="shared" si="526"/>
        <v>1.4103755534904061E-2</v>
      </c>
      <c r="Y896" s="66">
        <f t="shared" si="527"/>
        <v>1.3340070347099034E-2</v>
      </c>
      <c r="Z896" s="66">
        <f t="shared" si="528"/>
        <v>9.6948159470131197E-3</v>
      </c>
      <c r="AA896" s="66">
        <f t="shared" si="491"/>
        <v>1.2581971808330095E-2</v>
      </c>
      <c r="AB896" s="66">
        <f t="shared" si="529"/>
        <v>1.411385464881105E-2</v>
      </c>
      <c r="AC896" s="67">
        <f t="shared" si="492"/>
        <v>21010837.229694687</v>
      </c>
      <c r="AD896" s="67">
        <f t="shared" si="519"/>
        <v>21010837.229694687</v>
      </c>
      <c r="AE896" s="66">
        <f t="shared" si="495"/>
        <v>-5.8037757275727908E-2</v>
      </c>
      <c r="AF896" s="64">
        <f t="shared" si="517"/>
        <v>21010837.229694687</v>
      </c>
      <c r="AG896" s="64">
        <v>1</v>
      </c>
      <c r="AH896" s="64">
        <f t="shared" si="518"/>
        <v>21010837.229694687</v>
      </c>
      <c r="AI896" s="67">
        <f t="shared" si="493"/>
        <v>86.643717189026063</v>
      </c>
      <c r="AJ896" s="67">
        <f t="shared" si="494"/>
        <v>-2008327.4857979901</v>
      </c>
      <c r="AK896" s="66">
        <f t="shared" si="496"/>
        <v>-5.8037757275727908E-2</v>
      </c>
    </row>
    <row r="897" spans="1:37" ht="12" customHeight="1" x14ac:dyDescent="0.25">
      <c r="A897" s="134" t="s">
        <v>637</v>
      </c>
      <c r="B897" s="134" t="s">
        <v>421</v>
      </c>
      <c r="C897" s="134" t="s">
        <v>429</v>
      </c>
      <c r="D897" s="128">
        <v>2028</v>
      </c>
      <c r="E897" s="134" t="s">
        <v>676</v>
      </c>
      <c r="F897" s="57">
        <f>SIM_Parametres!$C$34</f>
        <v>1630962291.1861155</v>
      </c>
      <c r="G897" s="129">
        <f>SIM_Districts!D45*(1+SIM_Parametres!$B$6)^(2028-2023)</f>
        <v>107052.00511715919</v>
      </c>
      <c r="H897" s="129">
        <f>MAX(0,MIN(100,SIM_Districts!F45+(2028-2022)*SIM_Parametres!$B$7))</f>
        <v>42.02</v>
      </c>
      <c r="I897" s="129">
        <f>SIM_Districts!G45*(1+SIM_Parametres!$B$8)^(2028-2023)</f>
        <v>29.356160895999995</v>
      </c>
      <c r="J897" s="129">
        <f>SIM_Districts!H45*(1+SIM_Parametres!$B$9)^(2028-2023)</f>
        <v>10.628820000000003</v>
      </c>
      <c r="K897" s="129">
        <f>MAX(0,MIN(100,SIM_Districts!I45+(2028-2023)*SIM_Parametres!$B$10))</f>
        <v>100</v>
      </c>
      <c r="L897" s="129">
        <f>SIM_Districts!E45</f>
        <v>1185</v>
      </c>
      <c r="M897" s="68">
        <f t="shared" si="490"/>
        <v>90.339244824606908</v>
      </c>
      <c r="N897" s="129">
        <f>N826*(1+SIM_Parametres!$B$6)/(1+SIM_Parametres!$B$11)</f>
        <v>97480</v>
      </c>
      <c r="O897" s="135"/>
      <c r="P897" s="130">
        <f>SIM_Parametres!$D$34</f>
        <v>1</v>
      </c>
      <c r="Q897" s="130">
        <f>SIM_Parametres!$B$12</f>
        <v>0.2</v>
      </c>
      <c r="R897" s="59">
        <f t="shared" si="520"/>
        <v>5.0944512497470553E-3</v>
      </c>
      <c r="S897" s="59">
        <f t="shared" si="521"/>
        <v>0.66843971631205668</v>
      </c>
      <c r="T897" s="59">
        <f t="shared" si="522"/>
        <v>0.71270718232044195</v>
      </c>
      <c r="U897" s="59">
        <f t="shared" si="523"/>
        <v>0.53967466644845496</v>
      </c>
      <c r="V897" s="59">
        <f t="shared" si="524"/>
        <v>0.26413981218637</v>
      </c>
      <c r="W897" s="59">
        <f t="shared" si="525"/>
        <v>1.5937433946311558E-2</v>
      </c>
      <c r="X897" s="59">
        <f t="shared" si="526"/>
        <v>1.4103755534904061E-2</v>
      </c>
      <c r="Y897" s="59">
        <f t="shared" si="527"/>
        <v>1.3788530935307705E-2</v>
      </c>
      <c r="Z897" s="59">
        <f t="shared" si="528"/>
        <v>9.6948159470131197E-3</v>
      </c>
      <c r="AA897" s="59">
        <f t="shared" si="491"/>
        <v>8.7370165161466153E-3</v>
      </c>
      <c r="AB897" s="59">
        <f t="shared" si="529"/>
        <v>1.1266187684908261E-2</v>
      </c>
      <c r="AC897" s="60">
        <f t="shared" si="492"/>
        <v>15994055.555416491</v>
      </c>
      <c r="AD897" s="60">
        <f t="shared" si="519"/>
        <v>15994055.555416491</v>
      </c>
      <c r="AE897" s="59">
        <f t="shared" si="495"/>
        <v>-0.10170828213624061</v>
      </c>
      <c r="AF897" s="57">
        <f t="shared" si="517"/>
        <v>15994055.555416491</v>
      </c>
      <c r="AG897" s="57">
        <v>1</v>
      </c>
      <c r="AH897" s="57">
        <f t="shared" si="518"/>
        <v>15994055.555416491</v>
      </c>
      <c r="AI897" s="60">
        <f t="shared" si="493"/>
        <v>149.40453976469078</v>
      </c>
      <c r="AJ897" s="60">
        <f t="shared" si="494"/>
        <v>-2380671.7240942828</v>
      </c>
      <c r="AK897" s="59">
        <f t="shared" si="496"/>
        <v>-0.10170828213624061</v>
      </c>
    </row>
    <row r="898" spans="1:37" ht="12" customHeight="1" x14ac:dyDescent="0.25">
      <c r="A898" s="133" t="s">
        <v>638</v>
      </c>
      <c r="B898" s="133" t="s">
        <v>430</v>
      </c>
      <c r="C898" s="133" t="s">
        <v>432</v>
      </c>
      <c r="D898" s="124">
        <v>2028</v>
      </c>
      <c r="E898" s="133" t="s">
        <v>676</v>
      </c>
      <c r="F898" s="64">
        <f>SIM_Parametres!$C$34</f>
        <v>1630962291.1861155</v>
      </c>
      <c r="G898" s="125">
        <f>SIM_Districts!D46*(1+SIM_Parametres!$B$6)^(2028-2023)</f>
        <v>408925.81479080487</v>
      </c>
      <c r="H898" s="125">
        <f>MAX(0,MIN(100,SIM_Districts!F46+(2028-2022)*SIM_Parametres!$B$7))</f>
        <v>39.720000000000006</v>
      </c>
      <c r="I898" s="125">
        <f>SIM_Districts!G46*(1+SIM_Parametres!$B$8)^(2028-2023)</f>
        <v>29.356160895999995</v>
      </c>
      <c r="J898" s="125">
        <f>SIM_Districts!H46*(1+SIM_Parametres!$B$9)^(2028-2023)</f>
        <v>14.939397000000005</v>
      </c>
      <c r="K898" s="125">
        <f>MAX(0,MIN(100,SIM_Districts!I46+(2028-2023)*SIM_Parametres!$B$10))</f>
        <v>91.7</v>
      </c>
      <c r="L898" s="125">
        <f>SIM_Districts!E46</f>
        <v>8704</v>
      </c>
      <c r="M898" s="61">
        <f t="shared" si="490"/>
        <v>46.981366589017107</v>
      </c>
      <c r="N898" s="125">
        <f>N827*(1+SIM_Parametres!$B$6)/(1+SIM_Parametres!$B$11)</f>
        <v>133963</v>
      </c>
      <c r="O898" s="3"/>
      <c r="P898" s="126">
        <f>SIM_Parametres!$D$34</f>
        <v>1</v>
      </c>
      <c r="Q898" s="126">
        <f>SIM_Parametres!$B$12</f>
        <v>0.2</v>
      </c>
      <c r="R898" s="66">
        <f t="shared" si="520"/>
        <v>1.9460192510499064E-2</v>
      </c>
      <c r="S898" s="66">
        <f t="shared" si="521"/>
        <v>0.62765957446808518</v>
      </c>
      <c r="T898" s="66">
        <f t="shared" si="522"/>
        <v>0.91436464088397795</v>
      </c>
      <c r="U898" s="66">
        <f t="shared" si="523"/>
        <v>0.80066503267175937</v>
      </c>
      <c r="V898" s="66">
        <f t="shared" si="524"/>
        <v>0.51735506215340199</v>
      </c>
      <c r="W898" s="66">
        <f t="shared" si="525"/>
        <v>1.4965123652504754E-2</v>
      </c>
      <c r="X898" s="66">
        <f t="shared" si="526"/>
        <v>1.8094353031214129E-2</v>
      </c>
      <c r="Y898" s="66">
        <f t="shared" si="527"/>
        <v>2.0456758966409909E-2</v>
      </c>
      <c r="Z898" s="66">
        <f t="shared" si="528"/>
        <v>1.8988663864475865E-2</v>
      </c>
      <c r="AA898" s="66">
        <f t="shared" si="491"/>
        <v>1.8607308150401559E-2</v>
      </c>
      <c r="AB898" s="66">
        <f t="shared" si="529"/>
        <v>1.7653880907103115E-2</v>
      </c>
      <c r="AC898" s="67">
        <f t="shared" si="492"/>
        <v>28872514.322200164</v>
      </c>
      <c r="AD898" s="67">
        <f t="shared" si="519"/>
        <v>28872514.322200164</v>
      </c>
      <c r="AE898" s="66">
        <f t="shared" si="495"/>
        <v>3.4856639094123842E-2</v>
      </c>
      <c r="AF898" s="64">
        <f t="shared" si="517"/>
        <v>28872514.322200164</v>
      </c>
      <c r="AG898" s="64">
        <v>1</v>
      </c>
      <c r="AH898" s="64">
        <f t="shared" si="518"/>
        <v>28872514.322200164</v>
      </c>
      <c r="AI898" s="67">
        <f t="shared" si="493"/>
        <v>70.605751160441031</v>
      </c>
      <c r="AJ898" s="67">
        <f t="shared" si="494"/>
        <v>79700.269624449313</v>
      </c>
      <c r="AK898" s="66">
        <f t="shared" si="496"/>
        <v>3.4856639094123842E-2</v>
      </c>
    </row>
    <row r="899" spans="1:37" ht="12" customHeight="1" x14ac:dyDescent="0.25">
      <c r="A899" s="134" t="s">
        <v>640</v>
      </c>
      <c r="B899" s="134" t="s">
        <v>430</v>
      </c>
      <c r="C899" s="134" t="s">
        <v>430</v>
      </c>
      <c r="D899" s="128">
        <v>2028</v>
      </c>
      <c r="E899" s="134" t="s">
        <v>676</v>
      </c>
      <c r="F899" s="57">
        <f>SIM_Parametres!$C$34</f>
        <v>1630962291.1861155</v>
      </c>
      <c r="G899" s="129">
        <f>SIM_Districts!D47*(1+SIM_Parametres!$B$6)^(2028-2023)</f>
        <v>331730.91345724213</v>
      </c>
      <c r="H899" s="129">
        <f>MAX(0,MIN(100,SIM_Districts!F47+(2028-2022)*SIM_Parametres!$B$7))</f>
        <v>39.720000000000006</v>
      </c>
      <c r="I899" s="129">
        <f>SIM_Districts!G47*(1+SIM_Parametres!$B$8)^(2028-2023)</f>
        <v>29.356160895999995</v>
      </c>
      <c r="J899" s="129">
        <f>SIM_Districts!H47*(1+SIM_Parametres!$B$9)^(2028-2023)</f>
        <v>14.939397000000005</v>
      </c>
      <c r="K899" s="129">
        <f>MAX(0,MIN(100,SIM_Districts!I47+(2028-2023)*SIM_Parametres!$B$10))</f>
        <v>91.7</v>
      </c>
      <c r="L899" s="129">
        <f>SIM_Districts!E47</f>
        <v>3957</v>
      </c>
      <c r="M899" s="68">
        <f t="shared" si="490"/>
        <v>83.833943254294198</v>
      </c>
      <c r="N899" s="129">
        <f>N828*(1+SIM_Parametres!$B$6)/(1+SIM_Parametres!$B$11)</f>
        <v>133963</v>
      </c>
      <c r="O899" s="135"/>
      <c r="P899" s="130">
        <f>SIM_Parametres!$D$34</f>
        <v>1</v>
      </c>
      <c r="Q899" s="130">
        <f>SIM_Parametres!$B$12</f>
        <v>0.2</v>
      </c>
      <c r="R899" s="59">
        <f t="shared" si="520"/>
        <v>1.578659796976651E-2</v>
      </c>
      <c r="S899" s="59">
        <f t="shared" si="521"/>
        <v>0.62765957446808518</v>
      </c>
      <c r="T899" s="59">
        <f t="shared" si="522"/>
        <v>0.91436464088397795</v>
      </c>
      <c r="U899" s="59">
        <f t="shared" si="523"/>
        <v>0.63577730793030052</v>
      </c>
      <c r="V899" s="59">
        <f t="shared" si="524"/>
        <v>0.51735506215340199</v>
      </c>
      <c r="W899" s="59">
        <f t="shared" si="525"/>
        <v>1.4965123652504754E-2</v>
      </c>
      <c r="X899" s="59">
        <f t="shared" si="526"/>
        <v>1.8094353031214129E-2</v>
      </c>
      <c r="Y899" s="59">
        <f t="shared" si="527"/>
        <v>1.6243925504331402E-2</v>
      </c>
      <c r="Z899" s="59">
        <f t="shared" si="528"/>
        <v>1.8988663864475865E-2</v>
      </c>
      <c r="AA899" s="59">
        <f t="shared" si="491"/>
        <v>1.61925097528581E-2</v>
      </c>
      <c r="AB899" s="59">
        <f t="shared" si="529"/>
        <v>1.5707763608336506E-2</v>
      </c>
      <c r="AC899" s="60">
        <f t="shared" si="492"/>
        <v>25721758.220432129</v>
      </c>
      <c r="AD899" s="60">
        <f t="shared" si="519"/>
        <v>25721758.220432129</v>
      </c>
      <c r="AE899" s="59">
        <f t="shared" si="495"/>
        <v>3.6148665800070479E-2</v>
      </c>
      <c r="AF899" s="57">
        <f t="shared" si="517"/>
        <v>25721758.220432129</v>
      </c>
      <c r="AG899" s="57">
        <v>1</v>
      </c>
      <c r="AH899" s="57">
        <f t="shared" si="518"/>
        <v>25721758.220432129</v>
      </c>
      <c r="AI899" s="60">
        <f t="shared" si="493"/>
        <v>77.538020054761915</v>
      </c>
      <c r="AJ899" s="60">
        <f t="shared" si="494"/>
        <v>102988.0963697359</v>
      </c>
      <c r="AK899" s="59">
        <f t="shared" si="496"/>
        <v>3.6148665800070479E-2</v>
      </c>
    </row>
    <row r="900" spans="1:37" ht="12" customHeight="1" x14ac:dyDescent="0.25">
      <c r="A900" s="133" t="s">
        <v>641</v>
      </c>
      <c r="B900" s="133" t="s">
        <v>430</v>
      </c>
      <c r="C900" s="133" t="s">
        <v>433</v>
      </c>
      <c r="D900" s="124">
        <v>2028</v>
      </c>
      <c r="E900" s="133" t="s">
        <v>676</v>
      </c>
      <c r="F900" s="64">
        <f>SIM_Parametres!$C$34</f>
        <v>1630962291.1861155</v>
      </c>
      <c r="G900" s="125">
        <f>SIM_Districts!D48*(1+SIM_Parametres!$B$6)^(2028-2023)</f>
        <v>87939.053454175082</v>
      </c>
      <c r="H900" s="125">
        <f>MAX(0,MIN(100,SIM_Districts!F48+(2028-2022)*SIM_Parametres!$B$7))</f>
        <v>39.720000000000006</v>
      </c>
      <c r="I900" s="125">
        <f>SIM_Districts!G48*(1+SIM_Parametres!$B$8)^(2028-2023)</f>
        <v>29.356160895999995</v>
      </c>
      <c r="J900" s="125">
        <f>SIM_Districts!H48*(1+SIM_Parametres!$B$9)^(2028-2023)</f>
        <v>14.939397000000005</v>
      </c>
      <c r="K900" s="125">
        <f>MAX(0,MIN(100,SIM_Districts!I48+(2028-2023)*SIM_Parametres!$B$10))</f>
        <v>91.7</v>
      </c>
      <c r="L900" s="125">
        <f>SIM_Districts!E48</f>
        <v>14444</v>
      </c>
      <c r="M900" s="61">
        <f t="shared" ref="M900:M963" si="530">IFERROR(G900/L900,0)</f>
        <v>6.0882756476166628</v>
      </c>
      <c r="N900" s="125">
        <f>N829*(1+SIM_Parametres!$B$6)/(1+SIM_Parametres!$B$11)</f>
        <v>133963</v>
      </c>
      <c r="O900" s="3"/>
      <c r="P900" s="126">
        <f>SIM_Parametres!$D$34</f>
        <v>1</v>
      </c>
      <c r="Q900" s="126">
        <f>SIM_Parametres!$B$12</f>
        <v>0.2</v>
      </c>
      <c r="R900" s="66">
        <f t="shared" si="520"/>
        <v>4.1848933168593776E-3</v>
      </c>
      <c r="S900" s="66">
        <f t="shared" si="521"/>
        <v>0.62765957446808518</v>
      </c>
      <c r="T900" s="66">
        <f t="shared" si="522"/>
        <v>0.91436464088397795</v>
      </c>
      <c r="U900" s="66">
        <f t="shared" si="523"/>
        <v>1</v>
      </c>
      <c r="V900" s="66">
        <f t="shared" si="524"/>
        <v>0.51735506215340199</v>
      </c>
      <c r="W900" s="66">
        <f t="shared" si="525"/>
        <v>1.4965123652504754E-2</v>
      </c>
      <c r="X900" s="66">
        <f t="shared" si="526"/>
        <v>1.8094353031214129E-2</v>
      </c>
      <c r="Y900" s="66">
        <f t="shared" si="527"/>
        <v>2.5549709468574183E-2</v>
      </c>
      <c r="Z900" s="66">
        <f t="shared" si="528"/>
        <v>1.8988663864475865E-2</v>
      </c>
      <c r="AA900" s="66">
        <f t="shared" ref="AA900:AA963" si="531">0.6*R900+0.15*W900+0.15*X900+0.05*Y900+0.05*Z900</f>
        <v>9.6967761593259628E-3</v>
      </c>
      <c r="AB900" s="66">
        <f t="shared" si="529"/>
        <v>1.1830741870860702E-2</v>
      </c>
      <c r="AC900" s="67">
        <f t="shared" ref="AC900:AC963" si="532">F900*(Q900/71+(1-Q900)*AA900)</f>
        <v>17246320.984718695</v>
      </c>
      <c r="AD900" s="67">
        <f t="shared" si="519"/>
        <v>17246320.984718695</v>
      </c>
      <c r="AE900" s="66">
        <f t="shared" si="495"/>
        <v>-7.759794188910607E-2</v>
      </c>
      <c r="AF900" s="64">
        <f t="shared" si="517"/>
        <v>17246320.984718695</v>
      </c>
      <c r="AG900" s="64">
        <v>1</v>
      </c>
      <c r="AH900" s="64">
        <f t="shared" si="518"/>
        <v>17246320.984718695</v>
      </c>
      <c r="AI900" s="67">
        <f t="shared" ref="AI900:AI963" si="533">IFERROR(AH900/G900,0)</f>
        <v>196.1167457153235</v>
      </c>
      <c r="AJ900" s="67">
        <f t="shared" ref="AJ900:AJ963" si="534">AH900-F900*AB900</f>
        <v>-2049172.8834117837</v>
      </c>
      <c r="AK900" s="66">
        <f t="shared" si="496"/>
        <v>-7.759794188910607E-2</v>
      </c>
    </row>
    <row r="901" spans="1:37" ht="12" customHeight="1" x14ac:dyDescent="0.25">
      <c r="A901" s="134" t="s">
        <v>642</v>
      </c>
      <c r="B901" s="134" t="s">
        <v>430</v>
      </c>
      <c r="C901" s="134" t="s">
        <v>434</v>
      </c>
      <c r="D901" s="128">
        <v>2028</v>
      </c>
      <c r="E901" s="134" t="s">
        <v>676</v>
      </c>
      <c r="F901" s="57">
        <f>SIM_Parametres!$C$34</f>
        <v>1630962291.1861155</v>
      </c>
      <c r="G901" s="129">
        <f>SIM_Districts!D49*(1+SIM_Parametres!$B$6)^(2028-2023)</f>
        <v>135491.31670788678</v>
      </c>
      <c r="H901" s="129">
        <f>MAX(0,MIN(100,SIM_Districts!F49+(2028-2022)*SIM_Parametres!$B$7))</f>
        <v>39.720000000000006</v>
      </c>
      <c r="I901" s="129">
        <f>SIM_Districts!G49*(1+SIM_Parametres!$B$8)^(2028-2023)</f>
        <v>29.356160895999995</v>
      </c>
      <c r="J901" s="129">
        <f>SIM_Districts!H49*(1+SIM_Parametres!$B$9)^(2028-2023)</f>
        <v>14.939397000000005</v>
      </c>
      <c r="K901" s="129">
        <f>MAX(0,MIN(100,SIM_Districts!I49+(2028-2023)*SIM_Parametres!$B$10))</f>
        <v>91.7</v>
      </c>
      <c r="L901" s="129">
        <f>SIM_Districts!E49</f>
        <v>1898</v>
      </c>
      <c r="M901" s="68">
        <f t="shared" si="530"/>
        <v>71.386362859792825</v>
      </c>
      <c r="N901" s="129">
        <f>N830*(1+SIM_Parametres!$B$6)/(1+SIM_Parametres!$B$11)</f>
        <v>133963</v>
      </c>
      <c r="O901" s="135"/>
      <c r="P901" s="130">
        <f>SIM_Parametres!$D$34</f>
        <v>1</v>
      </c>
      <c r="Q901" s="130">
        <f>SIM_Parametres!$B$12</f>
        <v>0.2</v>
      </c>
      <c r="R901" s="59">
        <f t="shared" si="520"/>
        <v>6.4478372635519022E-3</v>
      </c>
      <c r="S901" s="59">
        <f t="shared" si="521"/>
        <v>0.62765957446808518</v>
      </c>
      <c r="T901" s="59">
        <f t="shared" si="522"/>
        <v>0.91436464088397795</v>
      </c>
      <c r="U901" s="59">
        <f t="shared" si="523"/>
        <v>0.5646045152795196</v>
      </c>
      <c r="V901" s="59">
        <f t="shared" si="524"/>
        <v>0.51735506215340199</v>
      </c>
      <c r="W901" s="59">
        <f t="shared" si="525"/>
        <v>1.4965123652504754E-2</v>
      </c>
      <c r="X901" s="59">
        <f t="shared" si="526"/>
        <v>1.8094353031214129E-2</v>
      </c>
      <c r="Y901" s="59">
        <f t="shared" si="527"/>
        <v>1.442548133003688E-2</v>
      </c>
      <c r="Z901" s="59">
        <f t="shared" si="528"/>
        <v>1.8988663864475865E-2</v>
      </c>
      <c r="AA901" s="59">
        <f t="shared" si="531"/>
        <v>1.0498331120414612E-2</v>
      </c>
      <c r="AB901" s="59">
        <f t="shared" si="529"/>
        <v>1.1610147611858126E-2</v>
      </c>
      <c r="AC901" s="60">
        <f t="shared" si="532"/>
        <v>18292165.717397686</v>
      </c>
      <c r="AD901" s="60">
        <f t="shared" si="519"/>
        <v>18292165.717397686</v>
      </c>
      <c r="AE901" s="59">
        <f t="shared" si="495"/>
        <v>-3.0734480314663637E-3</v>
      </c>
      <c r="AF901" s="57">
        <f t="shared" si="517"/>
        <v>18292165.717397686</v>
      </c>
      <c r="AG901" s="57">
        <v>1</v>
      </c>
      <c r="AH901" s="57">
        <f t="shared" si="518"/>
        <v>18292165.717397686</v>
      </c>
      <c r="AI901" s="60">
        <f t="shared" si="533"/>
        <v>135.00618461650038</v>
      </c>
      <c r="AJ901" s="60">
        <f t="shared" si="534"/>
        <v>-643547.23264744878</v>
      </c>
      <c r="AK901" s="59">
        <f t="shared" si="496"/>
        <v>-3.0734480314663637E-3</v>
      </c>
    </row>
    <row r="902" spans="1:37" ht="12" customHeight="1" x14ac:dyDescent="0.25">
      <c r="A902" s="133" t="s">
        <v>643</v>
      </c>
      <c r="B902" s="133" t="s">
        <v>435</v>
      </c>
      <c r="C902" s="133" t="s">
        <v>437</v>
      </c>
      <c r="D902" s="124">
        <v>2028</v>
      </c>
      <c r="E902" s="133" t="s">
        <v>676</v>
      </c>
      <c r="F902" s="64">
        <f>SIM_Parametres!$C$34</f>
        <v>1630962291.1861155</v>
      </c>
      <c r="G902" s="125">
        <f>SIM_Districts!D50*(1+SIM_Parametres!$B$6)^(2028-2023)</f>
        <v>114014.60520740498</v>
      </c>
      <c r="H902" s="125">
        <f>MAX(0,MIN(100,SIM_Districts!F50+(2028-2022)*SIM_Parametres!$B$7))</f>
        <v>32.32</v>
      </c>
      <c r="I902" s="125">
        <f>SIM_Districts!G50*(1+SIM_Parametres!$B$8)^(2028-2023)</f>
        <v>29.356160895999995</v>
      </c>
      <c r="J902" s="125">
        <f>SIM_Districts!H50*(1+SIM_Parametres!$B$9)^(2028-2023)</f>
        <v>13.522221000000004</v>
      </c>
      <c r="K902" s="125">
        <f>MAX(0,MIN(100,SIM_Districts!I50+(2028-2023)*SIM_Parametres!$B$10))</f>
        <v>95.9</v>
      </c>
      <c r="L902" s="125">
        <f>SIM_Districts!E50</f>
        <v>2448</v>
      </c>
      <c r="M902" s="61">
        <f t="shared" si="530"/>
        <v>46.574593630475889</v>
      </c>
      <c r="N902" s="125">
        <f>N831*(1+SIM_Parametres!$B$6)/(1+SIM_Parametres!$B$11)</f>
        <v>89545</v>
      </c>
      <c r="O902" s="3"/>
      <c r="P902" s="126">
        <f>SIM_Parametres!$D$34</f>
        <v>1</v>
      </c>
      <c r="Q902" s="126">
        <f>SIM_Parametres!$B$12</f>
        <v>0.2</v>
      </c>
      <c r="R902" s="66">
        <f t="shared" si="520"/>
        <v>5.4257913931887603E-3</v>
      </c>
      <c r="S902" s="66">
        <f t="shared" si="521"/>
        <v>0.4964539007092198</v>
      </c>
      <c r="T902" s="66">
        <f t="shared" si="522"/>
        <v>0.84806629834254144</v>
      </c>
      <c r="U902" s="66">
        <f t="shared" si="523"/>
        <v>0.58395945065622235</v>
      </c>
      <c r="V902" s="66">
        <f t="shared" si="524"/>
        <v>0.20906585970196906</v>
      </c>
      <c r="W902" s="66">
        <f t="shared" si="525"/>
        <v>1.1836820968082853E-2</v>
      </c>
      <c r="X902" s="66">
        <f t="shared" si="526"/>
        <v>1.6782375772153284E-2</v>
      </c>
      <c r="Y902" s="66">
        <f t="shared" si="527"/>
        <v>1.4919994305694663E-2</v>
      </c>
      <c r="Z902" s="66">
        <f t="shared" si="528"/>
        <v>7.6734173990574452E-3</v>
      </c>
      <c r="AA902" s="66">
        <f t="shared" si="531"/>
        <v>8.6780249321862825E-3</v>
      </c>
      <c r="AB902" s="66">
        <f t="shared" si="529"/>
        <v>1.1175390383924993E-2</v>
      </c>
      <c r="AC902" s="67">
        <f t="shared" si="532"/>
        <v>15917085.116267174</v>
      </c>
      <c r="AD902" s="67">
        <f t="shared" si="519"/>
        <v>15917085.116267174</v>
      </c>
      <c r="AE902" s="66">
        <f t="shared" si="495"/>
        <v>-9.876798111487628E-2</v>
      </c>
      <c r="AF902" s="64">
        <f t="shared" si="517"/>
        <v>15917085.116267174</v>
      </c>
      <c r="AG902" s="64">
        <v>1</v>
      </c>
      <c r="AH902" s="64">
        <f t="shared" si="518"/>
        <v>15917085.116267174</v>
      </c>
      <c r="AI902" s="67">
        <f t="shared" si="533"/>
        <v>139.60566795203354</v>
      </c>
      <c r="AJ902" s="67">
        <f t="shared" si="534"/>
        <v>-2309555.1891984157</v>
      </c>
      <c r="AK902" s="66">
        <f t="shared" si="496"/>
        <v>-9.876798111487628E-2</v>
      </c>
    </row>
    <row r="903" spans="1:37" ht="12" customHeight="1" x14ac:dyDescent="0.25">
      <c r="A903" s="134" t="s">
        <v>645</v>
      </c>
      <c r="B903" s="134" t="s">
        <v>435</v>
      </c>
      <c r="C903" s="134" t="s">
        <v>438</v>
      </c>
      <c r="D903" s="128">
        <v>2028</v>
      </c>
      <c r="E903" s="134" t="s">
        <v>676</v>
      </c>
      <c r="F903" s="57">
        <f>SIM_Parametres!$C$34</f>
        <v>1630962291.1861155</v>
      </c>
      <c r="G903" s="129">
        <f>SIM_Districts!D51*(1+SIM_Parametres!$B$6)^(2028-2023)</f>
        <v>215017.51820486676</v>
      </c>
      <c r="H903" s="129">
        <f>MAX(0,MIN(100,SIM_Districts!F51+(2028-2022)*SIM_Parametres!$B$7))</f>
        <v>32.32</v>
      </c>
      <c r="I903" s="129">
        <f>SIM_Districts!G51*(1+SIM_Parametres!$B$8)^(2028-2023)</f>
        <v>29.356160895999995</v>
      </c>
      <c r="J903" s="129">
        <f>SIM_Districts!H51*(1+SIM_Parametres!$B$9)^(2028-2023)</f>
        <v>13.522221000000004</v>
      </c>
      <c r="K903" s="129">
        <f>MAX(0,MIN(100,SIM_Districts!I51+(2028-2023)*SIM_Parametres!$B$10))</f>
        <v>95.9</v>
      </c>
      <c r="L903" s="129">
        <f>SIM_Districts!E51</f>
        <v>6989</v>
      </c>
      <c r="M903" s="68">
        <f t="shared" si="530"/>
        <v>30.765133524805659</v>
      </c>
      <c r="N903" s="129">
        <f>N832*(1+SIM_Parametres!$B$6)/(1+SIM_Parametres!$B$11)</f>
        <v>89545</v>
      </c>
      <c r="O903" s="135"/>
      <c r="P903" s="130">
        <f>SIM_Parametres!$D$34</f>
        <v>1</v>
      </c>
      <c r="Q903" s="130">
        <f>SIM_Parametres!$B$12</f>
        <v>0.2</v>
      </c>
      <c r="R903" s="59">
        <f t="shared" si="520"/>
        <v>1.0232375032466481E-2</v>
      </c>
      <c r="S903" s="59">
        <f t="shared" si="521"/>
        <v>0.4964539007092198</v>
      </c>
      <c r="T903" s="59">
        <f t="shared" si="522"/>
        <v>0.84806629834254144</v>
      </c>
      <c r="U903" s="59">
        <f t="shared" si="523"/>
        <v>0.74145452539080825</v>
      </c>
      <c r="V903" s="59">
        <f t="shared" si="524"/>
        <v>0.20906585970196906</v>
      </c>
      <c r="W903" s="59">
        <f t="shared" si="525"/>
        <v>1.1836820968082853E-2</v>
      </c>
      <c r="X903" s="59">
        <f t="shared" si="526"/>
        <v>1.6782375772153284E-2</v>
      </c>
      <c r="Y903" s="59">
        <f t="shared" si="527"/>
        <v>1.8943947707894711E-2</v>
      </c>
      <c r="Z903" s="59">
        <f t="shared" si="528"/>
        <v>7.6734173990574452E-3</v>
      </c>
      <c r="AA903" s="59">
        <f t="shared" si="531"/>
        <v>1.1763172785862917E-2</v>
      </c>
      <c r="AB903" s="59">
        <f t="shared" si="529"/>
        <v>1.2417021157767433E-2</v>
      </c>
      <c r="AC903" s="60">
        <f t="shared" si="532"/>
        <v>19942492.965931471</v>
      </c>
      <c r="AD903" s="60">
        <f t="shared" si="519"/>
        <v>19942492.965931471</v>
      </c>
      <c r="AE903" s="59">
        <f t="shared" si="495"/>
        <v>1.6243553522170107E-2</v>
      </c>
      <c r="AF903" s="57">
        <f t="shared" si="517"/>
        <v>19942492.965931471</v>
      </c>
      <c r="AG903" s="57">
        <v>1</v>
      </c>
      <c r="AH903" s="57">
        <f t="shared" si="518"/>
        <v>19942492.965931471</v>
      </c>
      <c r="AI903" s="60">
        <f t="shared" si="533"/>
        <v>92.748224109490664</v>
      </c>
      <c r="AJ903" s="60">
        <f t="shared" si="534"/>
        <v>-309200.31124737486</v>
      </c>
      <c r="AK903" s="59">
        <f t="shared" si="496"/>
        <v>1.6243553522170107E-2</v>
      </c>
    </row>
    <row r="904" spans="1:37" ht="12" customHeight="1" x14ac:dyDescent="0.25">
      <c r="A904" s="133" t="s">
        <v>646</v>
      </c>
      <c r="B904" s="133" t="s">
        <v>435</v>
      </c>
      <c r="C904" s="133" t="s">
        <v>439</v>
      </c>
      <c r="D904" s="124">
        <v>2028</v>
      </c>
      <c r="E904" s="133" t="s">
        <v>676</v>
      </c>
      <c r="F904" s="64">
        <f>SIM_Parametres!$C$34</f>
        <v>1630962291.1861155</v>
      </c>
      <c r="G904" s="125">
        <f>SIM_Districts!D52*(1+SIM_Parametres!$B$6)^(2028-2023)</f>
        <v>353568.15919483127</v>
      </c>
      <c r="H904" s="125">
        <f>MAX(0,MIN(100,SIM_Districts!F52+(2028-2022)*SIM_Parametres!$B$7))</f>
        <v>32.32</v>
      </c>
      <c r="I904" s="125">
        <f>SIM_Districts!G52*(1+SIM_Parametres!$B$8)^(2028-2023)</f>
        <v>29.356160895999995</v>
      </c>
      <c r="J904" s="125">
        <f>SIM_Districts!H52*(1+SIM_Parametres!$B$9)^(2028-2023)</f>
        <v>13.522221000000004</v>
      </c>
      <c r="K904" s="125">
        <f>MAX(0,MIN(100,SIM_Districts!I52+(2028-2023)*SIM_Parametres!$B$10))</f>
        <v>95.9</v>
      </c>
      <c r="L904" s="125">
        <f>SIM_Districts!E52</f>
        <v>5859</v>
      </c>
      <c r="M904" s="61">
        <f t="shared" si="530"/>
        <v>60.346161323575913</v>
      </c>
      <c r="N904" s="125">
        <f>N833*(1+SIM_Parametres!$B$6)/(1+SIM_Parametres!$B$11)</f>
        <v>89545</v>
      </c>
      <c r="O904" s="3"/>
      <c r="P904" s="126">
        <f>SIM_Parametres!$D$34</f>
        <v>1</v>
      </c>
      <c r="Q904" s="126">
        <f>SIM_Parametres!$B$12</f>
        <v>0.2</v>
      </c>
      <c r="R904" s="66">
        <f t="shared" si="520"/>
        <v>1.6825801146924588E-2</v>
      </c>
      <c r="S904" s="66">
        <f t="shared" si="521"/>
        <v>0.4964539007092198</v>
      </c>
      <c r="T904" s="66">
        <f t="shared" si="522"/>
        <v>0.84806629834254144</v>
      </c>
      <c r="U904" s="66">
        <f t="shared" si="523"/>
        <v>0.70194995546768002</v>
      </c>
      <c r="V904" s="66">
        <f t="shared" si="524"/>
        <v>0.20906585970196906</v>
      </c>
      <c r="W904" s="66">
        <f t="shared" si="525"/>
        <v>1.1836820968082853E-2</v>
      </c>
      <c r="X904" s="66">
        <f t="shared" si="526"/>
        <v>1.6782375772153284E-2</v>
      </c>
      <c r="Y904" s="66">
        <f t="shared" si="527"/>
        <v>1.7934617423677812E-2</v>
      </c>
      <c r="Z904" s="66">
        <f t="shared" si="528"/>
        <v>7.6734173990574452E-3</v>
      </c>
      <c r="AA904" s="66">
        <f t="shared" si="531"/>
        <v>1.5668761940326938E-2</v>
      </c>
      <c r="AB904" s="66">
        <f t="shared" si="529"/>
        <v>1.5505337896856222E-2</v>
      </c>
      <c r="AC904" s="67">
        <f t="shared" si="532"/>
        <v>25038387.8745685</v>
      </c>
      <c r="AD904" s="67">
        <f t="shared" si="519"/>
        <v>25038387.8745685</v>
      </c>
      <c r="AE904" s="66">
        <f t="shared" si="495"/>
        <v>2.1788252332593183E-2</v>
      </c>
      <c r="AF904" s="64">
        <f t="shared" si="517"/>
        <v>25038387.8745685</v>
      </c>
      <c r="AG904" s="64">
        <v>1</v>
      </c>
      <c r="AH904" s="64">
        <f t="shared" si="518"/>
        <v>25038387.8745685</v>
      </c>
      <c r="AI904" s="67">
        <f t="shared" si="533"/>
        <v>70.816297292119202</v>
      </c>
      <c r="AJ904" s="67">
        <f t="shared" si="534"/>
        <v>-250233.5473030284</v>
      </c>
      <c r="AK904" s="66">
        <f t="shared" si="496"/>
        <v>2.1788252332593183E-2</v>
      </c>
    </row>
    <row r="905" spans="1:37" ht="12" customHeight="1" x14ac:dyDescent="0.25">
      <c r="A905" s="134" t="s">
        <v>647</v>
      </c>
      <c r="B905" s="134" t="s">
        <v>435</v>
      </c>
      <c r="C905" s="134" t="s">
        <v>440</v>
      </c>
      <c r="D905" s="128">
        <v>2028</v>
      </c>
      <c r="E905" s="134" t="s">
        <v>676</v>
      </c>
      <c r="F905" s="57">
        <f>SIM_Parametres!$C$34</f>
        <v>1630962291.1861155</v>
      </c>
      <c r="G905" s="129">
        <f>SIM_Districts!D53*(1+SIM_Parametres!$B$6)^(2028-2023)</f>
        <v>256650.52803520267</v>
      </c>
      <c r="H905" s="129">
        <f>MAX(0,MIN(100,SIM_Districts!F53+(2028-2022)*SIM_Parametres!$B$7))</f>
        <v>32.32</v>
      </c>
      <c r="I905" s="129">
        <f>SIM_Districts!G53*(1+SIM_Parametres!$B$8)^(2028-2023)</f>
        <v>29.356160895999995</v>
      </c>
      <c r="J905" s="129">
        <f>SIM_Districts!H53*(1+SIM_Parametres!$B$9)^(2028-2023)</f>
        <v>13.522221000000004</v>
      </c>
      <c r="K905" s="129">
        <f>MAX(0,MIN(100,SIM_Districts!I53+(2028-2023)*SIM_Parametres!$B$10))</f>
        <v>95.9</v>
      </c>
      <c r="L905" s="129">
        <f>SIM_Districts!E53</f>
        <v>3143</v>
      </c>
      <c r="M905" s="68">
        <f t="shared" si="530"/>
        <v>81.657819928476826</v>
      </c>
      <c r="N905" s="129">
        <f>N834*(1+SIM_Parametres!$B$6)/(1+SIM_Parametres!$B$11)</f>
        <v>89545</v>
      </c>
      <c r="O905" s="135"/>
      <c r="P905" s="130">
        <f>SIM_Parametres!$D$34</f>
        <v>1</v>
      </c>
      <c r="Q905" s="130">
        <f>SIM_Parametres!$B$12</f>
        <v>0.2</v>
      </c>
      <c r="R905" s="59">
        <f t="shared" si="520"/>
        <v>1.2213630205863411E-2</v>
      </c>
      <c r="S905" s="59">
        <f t="shared" si="521"/>
        <v>0.4964539007092198</v>
      </c>
      <c r="T905" s="59">
        <f t="shared" si="522"/>
        <v>0.84806629834254144</v>
      </c>
      <c r="U905" s="59">
        <f t="shared" si="523"/>
        <v>0.60760654420796079</v>
      </c>
      <c r="V905" s="59">
        <f t="shared" si="524"/>
        <v>0.20906585970196906</v>
      </c>
      <c r="W905" s="59">
        <f t="shared" si="525"/>
        <v>1.1836820968082853E-2</v>
      </c>
      <c r="X905" s="59">
        <f t="shared" si="526"/>
        <v>1.6782375772153284E-2</v>
      </c>
      <c r="Y905" s="59">
        <f t="shared" si="527"/>
        <v>1.5524170675717774E-2</v>
      </c>
      <c r="Z905" s="59">
        <f t="shared" si="528"/>
        <v>7.6734173990574452E-3</v>
      </c>
      <c r="AA905" s="59">
        <f t="shared" si="531"/>
        <v>1.2780937038292228E-2</v>
      </c>
      <c r="AB905" s="59">
        <f t="shared" si="529"/>
        <v>1.3311420634587377E-2</v>
      </c>
      <c r="AC905" s="60">
        <f t="shared" si="532"/>
        <v>21270441.05955502</v>
      </c>
      <c r="AD905" s="60">
        <f t="shared" si="519"/>
        <v>21270441.05955502</v>
      </c>
      <c r="AE905" s="59">
        <f t="shared" si="495"/>
        <v>1.1085461259063178E-2</v>
      </c>
      <c r="AF905" s="57">
        <f t="shared" si="517"/>
        <v>21270441.05955502</v>
      </c>
      <c r="AG905" s="57">
        <v>1</v>
      </c>
      <c r="AH905" s="57">
        <f t="shared" si="518"/>
        <v>21270441.05955502</v>
      </c>
      <c r="AI905" s="60">
        <f t="shared" si="533"/>
        <v>82.877059409897356</v>
      </c>
      <c r="AJ905" s="60">
        <f t="shared" si="534"/>
        <v>-439984.03757374361</v>
      </c>
      <c r="AK905" s="59">
        <f t="shared" si="496"/>
        <v>1.1085461259063178E-2</v>
      </c>
    </row>
    <row r="906" spans="1:37" ht="12" customHeight="1" x14ac:dyDescent="0.25">
      <c r="A906" s="133" t="s">
        <v>648</v>
      </c>
      <c r="B906" s="133" t="s">
        <v>435</v>
      </c>
      <c r="C906" s="133" t="s">
        <v>435</v>
      </c>
      <c r="D906" s="124">
        <v>2028</v>
      </c>
      <c r="E906" s="133" t="s">
        <v>676</v>
      </c>
      <c r="F906" s="64">
        <f>SIM_Parametres!$C$34</f>
        <v>1630962291.1861155</v>
      </c>
      <c r="G906" s="125">
        <f>SIM_Districts!D54*(1+SIM_Parametres!$B$6)^(2028-2023)</f>
        <v>454707.86653306044</v>
      </c>
      <c r="H906" s="125">
        <f>MAX(0,MIN(100,SIM_Districts!F54+(2028-2022)*SIM_Parametres!$B$7))</f>
        <v>32.32</v>
      </c>
      <c r="I906" s="125">
        <f>SIM_Districts!G54*(1+SIM_Parametres!$B$8)^(2028-2023)</f>
        <v>29.356160895999995</v>
      </c>
      <c r="J906" s="125">
        <f>SIM_Districts!H54*(1+SIM_Parametres!$B$9)^(2028-2023)</f>
        <v>13.522221000000004</v>
      </c>
      <c r="K906" s="125">
        <f>MAX(0,MIN(100,SIM_Districts!I54+(2028-2023)*SIM_Parametres!$B$10))</f>
        <v>95.9</v>
      </c>
      <c r="L906" s="125">
        <f>SIM_Districts!E54</f>
        <v>802</v>
      </c>
      <c r="M906" s="61">
        <f t="shared" si="530"/>
        <v>566.96741462975115</v>
      </c>
      <c r="N906" s="125">
        <f>N835*(1+SIM_Parametres!$B$6)/(1+SIM_Parametres!$B$11)</f>
        <v>89545</v>
      </c>
      <c r="O906" s="3"/>
      <c r="P906" s="126">
        <f>SIM_Parametres!$D$34</f>
        <v>1</v>
      </c>
      <c r="Q906" s="126">
        <f>SIM_Parametres!$B$12</f>
        <v>0.2</v>
      </c>
      <c r="R906" s="66">
        <f t="shared" si="520"/>
        <v>2.1638894632510355E-2</v>
      </c>
      <c r="S906" s="66">
        <f t="shared" si="521"/>
        <v>0.4964539007092198</v>
      </c>
      <c r="T906" s="66">
        <f t="shared" si="522"/>
        <v>0.84806629834254144</v>
      </c>
      <c r="U906" s="66">
        <f t="shared" si="523"/>
        <v>0.52059263207206896</v>
      </c>
      <c r="V906" s="66">
        <f t="shared" si="524"/>
        <v>0.20906585970196906</v>
      </c>
      <c r="W906" s="66">
        <f t="shared" si="525"/>
        <v>1.1836820968082853E-2</v>
      </c>
      <c r="X906" s="66">
        <f t="shared" si="526"/>
        <v>1.6782375772153284E-2</v>
      </c>
      <c r="Y906" s="66">
        <f t="shared" si="527"/>
        <v>1.3300990500921697E-2</v>
      </c>
      <c r="Z906" s="66">
        <f t="shared" si="528"/>
        <v>7.6734173990574452E-3</v>
      </c>
      <c r="AA906" s="66">
        <f t="shared" si="531"/>
        <v>1.832493668554059E-2</v>
      </c>
      <c r="AB906" s="66">
        <f t="shared" si="529"/>
        <v>1.6950567634419482E-2</v>
      </c>
      <c r="AC906" s="67">
        <f t="shared" si="532"/>
        <v>28504084.553163983</v>
      </c>
      <c r="AD906" s="67">
        <f t="shared" si="519"/>
        <v>28504084.553163983</v>
      </c>
      <c r="AE906" s="66">
        <f t="shared" si="495"/>
        <v>6.4041651589276327E-2</v>
      </c>
      <c r="AF906" s="64">
        <f t="shared" si="517"/>
        <v>28504084.553163983</v>
      </c>
      <c r="AG906" s="64">
        <v>1</v>
      </c>
      <c r="AH906" s="64">
        <f t="shared" si="518"/>
        <v>28504084.553163983</v>
      </c>
      <c r="AI906" s="67">
        <f t="shared" si="533"/>
        <v>62.686587699690776</v>
      </c>
      <c r="AJ906" s="67">
        <f t="shared" si="534"/>
        <v>858347.92722596973</v>
      </c>
      <c r="AK906" s="66">
        <f t="shared" si="496"/>
        <v>6.4041651589276327E-2</v>
      </c>
    </row>
    <row r="907" spans="1:37" ht="12" customHeight="1" x14ac:dyDescent="0.25">
      <c r="A907" s="134" t="s">
        <v>649</v>
      </c>
      <c r="B907" s="134" t="s">
        <v>441</v>
      </c>
      <c r="C907" s="134" t="s">
        <v>443</v>
      </c>
      <c r="D907" s="128">
        <v>2028</v>
      </c>
      <c r="E907" s="134" t="s">
        <v>676</v>
      </c>
      <c r="F907" s="57">
        <f>SIM_Parametres!$C$34</f>
        <v>1630962291.1861155</v>
      </c>
      <c r="G907" s="129">
        <f>SIM_Districts!D55*(1+SIM_Parametres!$B$6)^(2028-2023)</f>
        <v>334935.14699860738</v>
      </c>
      <c r="H907" s="129">
        <f>MAX(0,MIN(100,SIM_Districts!F55+(2028-2022)*SIM_Parametres!$B$7))</f>
        <v>59.420000000000009</v>
      </c>
      <c r="I907" s="129">
        <f>SIM_Districts!G55*(1+SIM_Parametres!$B$8)^(2028-2023)</f>
        <v>29.356160895999995</v>
      </c>
      <c r="J907" s="129">
        <f>SIM_Districts!H55*(1+SIM_Parametres!$B$9)^(2028-2023)</f>
        <v>14.467005000000004</v>
      </c>
      <c r="K907" s="129">
        <f>MAX(0,MIN(100,SIM_Districts!I55+(2028-2023)*SIM_Parametres!$B$10))</f>
        <v>91.6</v>
      </c>
      <c r="L907" s="129">
        <f>SIM_Districts!E55</f>
        <v>2865</v>
      </c>
      <c r="M907" s="68">
        <f t="shared" si="530"/>
        <v>116.90581047071811</v>
      </c>
      <c r="N907" s="129">
        <f>N836*(1+SIM_Parametres!$B$6)/(1+SIM_Parametres!$B$11)</f>
        <v>178218</v>
      </c>
      <c r="O907" s="135"/>
      <c r="P907" s="130">
        <f>SIM_Parametres!$D$34</f>
        <v>1</v>
      </c>
      <c r="Q907" s="130">
        <f>SIM_Parametres!$B$12</f>
        <v>0.2</v>
      </c>
      <c r="R907" s="59">
        <f t="shared" si="520"/>
        <v>1.593908284430412E-2</v>
      </c>
      <c r="S907" s="59">
        <f t="shared" si="521"/>
        <v>0.97695035460992918</v>
      </c>
      <c r="T907" s="59">
        <f t="shared" si="522"/>
        <v>0.89226519337016574</v>
      </c>
      <c r="U907" s="59">
        <f t="shared" si="523"/>
        <v>0.59754648703547397</v>
      </c>
      <c r="V907" s="59">
        <f t="shared" si="524"/>
        <v>0.82451294081719062</v>
      </c>
      <c r="W907" s="59">
        <f t="shared" si="525"/>
        <v>2.3293172690763048E-2</v>
      </c>
      <c r="X907" s="59">
        <f t="shared" si="526"/>
        <v>1.7657027278193845E-2</v>
      </c>
      <c r="Y907" s="59">
        <f t="shared" si="527"/>
        <v>1.526713913772349E-2</v>
      </c>
      <c r="Z907" s="59">
        <f t="shared" si="528"/>
        <v>3.0262386957075536E-2</v>
      </c>
      <c r="AA907" s="59">
        <f t="shared" si="531"/>
        <v>1.7982456006665957E-2</v>
      </c>
      <c r="AB907" s="59">
        <f t="shared" si="529"/>
        <v>1.5801098905618476E-2</v>
      </c>
      <c r="AC907" s="60">
        <f t="shared" si="532"/>
        <v>28057226.095000505</v>
      </c>
      <c r="AD907" s="60">
        <f t="shared" si="519"/>
        <v>28057226.095000505</v>
      </c>
      <c r="AE907" s="59">
        <f t="shared" ref="AE907:AE970" si="535">IFERROR(AD907/AH836-1,0)</f>
        <v>0.12355210474075884</v>
      </c>
      <c r="AF907" s="57">
        <f t="shared" si="517"/>
        <v>28057226.095000505</v>
      </c>
      <c r="AG907" s="57">
        <v>1</v>
      </c>
      <c r="AH907" s="57">
        <f t="shared" si="518"/>
        <v>28057226.095000505</v>
      </c>
      <c r="AI907" s="60">
        <f t="shared" si="533"/>
        <v>83.769130670294103</v>
      </c>
      <c r="AJ907" s="60">
        <f t="shared" si="534"/>
        <v>2286229.6206345744</v>
      </c>
      <c r="AK907" s="59">
        <f t="shared" ref="AK907:AK970" si="536">IFERROR(AH907/AH836-1,0)</f>
        <v>0.12355210474075884</v>
      </c>
    </row>
    <row r="908" spans="1:37" ht="12" customHeight="1" x14ac:dyDescent="0.25">
      <c r="A908" s="133" t="s">
        <v>651</v>
      </c>
      <c r="B908" s="133" t="s">
        <v>441</v>
      </c>
      <c r="C908" s="133" t="s">
        <v>441</v>
      </c>
      <c r="D908" s="124">
        <v>2028</v>
      </c>
      <c r="E908" s="133" t="s">
        <v>676</v>
      </c>
      <c r="F908" s="64">
        <f>SIM_Parametres!$C$34</f>
        <v>1630962291.1861155</v>
      </c>
      <c r="G908" s="125">
        <f>SIM_Districts!D56*(1+SIM_Parametres!$B$6)^(2028-2023)</f>
        <v>348185.64966785634</v>
      </c>
      <c r="H908" s="125">
        <f>MAX(0,MIN(100,SIM_Districts!F56+(2028-2022)*SIM_Parametres!$B$7))</f>
        <v>59.420000000000009</v>
      </c>
      <c r="I908" s="125">
        <f>SIM_Districts!G56*(1+SIM_Parametres!$B$8)^(2028-2023)</f>
        <v>29.356160895999995</v>
      </c>
      <c r="J908" s="125">
        <f>SIM_Districts!H56*(1+SIM_Parametres!$B$9)^(2028-2023)</f>
        <v>14.467005000000004</v>
      </c>
      <c r="K908" s="125">
        <f>MAX(0,MIN(100,SIM_Districts!I56+(2028-2023)*SIM_Parametres!$B$10))</f>
        <v>91.6</v>
      </c>
      <c r="L908" s="125">
        <f>SIM_Districts!E56</f>
        <v>2749</v>
      </c>
      <c r="M908" s="61">
        <f t="shared" si="530"/>
        <v>126.6590213415265</v>
      </c>
      <c r="N908" s="125">
        <f>N837*(1+SIM_Parametres!$B$6)/(1+SIM_Parametres!$B$11)</f>
        <v>178218</v>
      </c>
      <c r="O908" s="3"/>
      <c r="P908" s="126">
        <f>SIM_Parametres!$D$34</f>
        <v>1</v>
      </c>
      <c r="Q908" s="126">
        <f>SIM_Parametres!$B$12</f>
        <v>0.2</v>
      </c>
      <c r="R908" s="66">
        <f t="shared" si="520"/>
        <v>1.6569655245159711E-2</v>
      </c>
      <c r="S908" s="66">
        <f t="shared" si="521"/>
        <v>0.97695035460992918</v>
      </c>
      <c r="T908" s="66">
        <f t="shared" si="522"/>
        <v>0.89226519337016574</v>
      </c>
      <c r="U908" s="66">
        <f t="shared" si="523"/>
        <v>0.59340921006518599</v>
      </c>
      <c r="V908" s="66">
        <f t="shared" si="524"/>
        <v>0.82451294081719062</v>
      </c>
      <c r="W908" s="66">
        <f t="shared" si="525"/>
        <v>2.3293172690763048E-2</v>
      </c>
      <c r="X908" s="66">
        <f t="shared" si="526"/>
        <v>1.7657027278193845E-2</v>
      </c>
      <c r="Y908" s="66">
        <f t="shared" si="527"/>
        <v>1.516143291314161E-2</v>
      </c>
      <c r="Z908" s="66">
        <f t="shared" si="528"/>
        <v>3.0262386957075536E-2</v>
      </c>
      <c r="AA908" s="66">
        <f t="shared" si="531"/>
        <v>1.8355514135950216E-2</v>
      </c>
      <c r="AB908" s="66">
        <f t="shared" si="529"/>
        <v>1.7174225910850431E-2</v>
      </c>
      <c r="AC908" s="67">
        <f t="shared" si="532"/>
        <v>28543981.088026956</v>
      </c>
      <c r="AD908" s="67">
        <f t="shared" si="519"/>
        <v>28543981.088026956</v>
      </c>
      <c r="AE908" s="66">
        <f t="shared" si="535"/>
        <v>5.1654660764111515E-2</v>
      </c>
      <c r="AF908" s="64">
        <f t="shared" si="517"/>
        <v>28543981.088026956</v>
      </c>
      <c r="AG908" s="64">
        <v>1</v>
      </c>
      <c r="AH908" s="64">
        <f t="shared" si="518"/>
        <v>28543981.088026956</v>
      </c>
      <c r="AI908" s="67">
        <f t="shared" si="533"/>
        <v>81.979200220502563</v>
      </c>
      <c r="AJ908" s="67">
        <f t="shared" si="534"/>
        <v>533466.24711838365</v>
      </c>
      <c r="AK908" s="66">
        <f t="shared" si="536"/>
        <v>5.1654660764111515E-2</v>
      </c>
    </row>
    <row r="909" spans="1:37" ht="12" customHeight="1" x14ac:dyDescent="0.25">
      <c r="A909" s="134" t="s">
        <v>652</v>
      </c>
      <c r="B909" s="134" t="s">
        <v>444</v>
      </c>
      <c r="C909" s="134" t="s">
        <v>446</v>
      </c>
      <c r="D909" s="128">
        <v>2028</v>
      </c>
      <c r="E909" s="134" t="s">
        <v>676</v>
      </c>
      <c r="F909" s="57">
        <f>SIM_Parametres!$C$34</f>
        <v>1630962291.1861155</v>
      </c>
      <c r="G909" s="129">
        <f>SIM_Districts!D57*(1+SIM_Parametres!$B$6)^(2028-2023)</f>
        <v>175533.80250828309</v>
      </c>
      <c r="H909" s="129">
        <f>MAX(0,MIN(100,SIM_Districts!F57+(2028-2022)*SIM_Parametres!$B$7))</f>
        <v>57.82</v>
      </c>
      <c r="I909" s="129">
        <f>SIM_Districts!G57*(1+SIM_Parametres!$B$8)^(2028-2023)</f>
        <v>29.356160895999995</v>
      </c>
      <c r="J909" s="129">
        <f>SIM_Districts!H57*(1+SIM_Parametres!$B$9)^(2028-2023)</f>
        <v>13.876515000000005</v>
      </c>
      <c r="K909" s="129">
        <f>MAX(0,MIN(100,SIM_Districts!I57+(2028-2023)*SIM_Parametres!$B$10))</f>
        <v>95.6</v>
      </c>
      <c r="L909" s="129">
        <f>SIM_Districts!E57</f>
        <v>1360</v>
      </c>
      <c r="M909" s="68">
        <f t="shared" si="530"/>
        <v>129.06897243256108</v>
      </c>
      <c r="N909" s="129">
        <f>N838*(1+SIM_Parametres!$B$6)/(1+SIM_Parametres!$B$11)</f>
        <v>71159</v>
      </c>
      <c r="O909" s="135"/>
      <c r="P909" s="130">
        <f>SIM_Parametres!$D$34</f>
        <v>1</v>
      </c>
      <c r="Q909" s="130">
        <f>SIM_Parametres!$B$12</f>
        <v>0.2</v>
      </c>
      <c r="R909" s="59">
        <f t="shared" si="520"/>
        <v>8.3534016815705395E-3</v>
      </c>
      <c r="S909" s="59">
        <f t="shared" si="521"/>
        <v>0.9485815602836879</v>
      </c>
      <c r="T909" s="59">
        <f t="shared" si="522"/>
        <v>0.86464088397790051</v>
      </c>
      <c r="U909" s="59">
        <f t="shared" si="523"/>
        <v>0.54526424876049673</v>
      </c>
      <c r="V909" s="59">
        <f t="shared" si="524"/>
        <v>8.1455312710388056E-2</v>
      </c>
      <c r="W909" s="59">
        <f t="shared" si="525"/>
        <v>2.2616782921158311E-2</v>
      </c>
      <c r="X909" s="59">
        <f t="shared" si="526"/>
        <v>1.7110370086918493E-2</v>
      </c>
      <c r="Y909" s="59">
        <f t="shared" si="527"/>
        <v>1.3931343139431052E-2</v>
      </c>
      <c r="Z909" s="59">
        <f t="shared" si="528"/>
        <v>2.9896828429499429E-3</v>
      </c>
      <c r="AA909" s="59">
        <f t="shared" si="531"/>
        <v>1.1817165259272892E-2</v>
      </c>
      <c r="AB909" s="59">
        <f t="shared" si="529"/>
        <v>1.2779294924201288E-2</v>
      </c>
      <c r="AC909" s="60">
        <f t="shared" si="532"/>
        <v>20012940.716443103</v>
      </c>
      <c r="AD909" s="60">
        <f t="shared" si="519"/>
        <v>20012940.716443103</v>
      </c>
      <c r="AE909" s="59">
        <f t="shared" si="535"/>
        <v>-9.0772639110772158E-3</v>
      </c>
      <c r="AF909" s="57">
        <f t="shared" si="517"/>
        <v>20012940.716443103</v>
      </c>
      <c r="AG909" s="57">
        <v>1</v>
      </c>
      <c r="AH909" s="57">
        <f t="shared" si="518"/>
        <v>20012940.716443103</v>
      </c>
      <c r="AI909" s="60">
        <f t="shared" si="533"/>
        <v>114.01189076103294</v>
      </c>
      <c r="AJ909" s="60">
        <f t="shared" si="534"/>
        <v>-829607.41287532821</v>
      </c>
      <c r="AK909" s="59">
        <f t="shared" si="536"/>
        <v>-9.0772639110772158E-3</v>
      </c>
    </row>
    <row r="910" spans="1:37" ht="12" customHeight="1" x14ac:dyDescent="0.25">
      <c r="A910" s="133" t="s">
        <v>654</v>
      </c>
      <c r="B910" s="133" t="s">
        <v>444</v>
      </c>
      <c r="C910" s="133" t="s">
        <v>447</v>
      </c>
      <c r="D910" s="124">
        <v>2028</v>
      </c>
      <c r="E910" s="133" t="s">
        <v>676</v>
      </c>
      <c r="F910" s="64">
        <f>SIM_Parametres!$C$34</f>
        <v>1630962291.1861155</v>
      </c>
      <c r="G910" s="125">
        <f>SIM_Districts!D58*(1+SIM_Parametres!$B$6)^(2028-2023)</f>
        <v>86079.577838997895</v>
      </c>
      <c r="H910" s="125">
        <f>MAX(0,MIN(100,SIM_Districts!F58+(2028-2022)*SIM_Parametres!$B$7))</f>
        <v>57.82</v>
      </c>
      <c r="I910" s="125">
        <f>SIM_Districts!G58*(1+SIM_Parametres!$B$8)^(2028-2023)</f>
        <v>29.356160895999995</v>
      </c>
      <c r="J910" s="125">
        <f>SIM_Districts!H58*(1+SIM_Parametres!$B$9)^(2028-2023)</f>
        <v>13.876515000000005</v>
      </c>
      <c r="K910" s="125">
        <f>MAX(0,MIN(100,SIM_Districts!I58+(2028-2023)*SIM_Parametres!$B$10))</f>
        <v>95.6</v>
      </c>
      <c r="L910" s="125">
        <f>SIM_Districts!E58</f>
        <v>6089</v>
      </c>
      <c r="M910" s="61">
        <f t="shared" si="530"/>
        <v>14.136898971751995</v>
      </c>
      <c r="N910" s="125">
        <f>N839*(1+SIM_Parametres!$B$6)/(1+SIM_Parametres!$B$11)</f>
        <v>71159</v>
      </c>
      <c r="O910" s="3"/>
      <c r="P910" s="126">
        <f>SIM_Parametres!$D$34</f>
        <v>1</v>
      </c>
      <c r="Q910" s="126">
        <f>SIM_Parametres!$B$12</f>
        <v>0.2</v>
      </c>
      <c r="R910" s="66">
        <f t="shared" si="520"/>
        <v>4.0964035416212003E-3</v>
      </c>
      <c r="S910" s="66">
        <f t="shared" si="521"/>
        <v>0.9485815602836879</v>
      </c>
      <c r="T910" s="66">
        <f t="shared" si="522"/>
        <v>0.86464088397790051</v>
      </c>
      <c r="U910" s="66">
        <f t="shared" si="523"/>
        <v>0.71048099676349064</v>
      </c>
      <c r="V910" s="66">
        <f t="shared" si="524"/>
        <v>8.1455312710388056E-2</v>
      </c>
      <c r="W910" s="66">
        <f t="shared" si="525"/>
        <v>2.2616782921158311E-2</v>
      </c>
      <c r="X910" s="66">
        <f t="shared" si="526"/>
        <v>1.7110370086918493E-2</v>
      </c>
      <c r="Y910" s="66">
        <f t="shared" si="527"/>
        <v>1.8152583050250179E-2</v>
      </c>
      <c r="Z910" s="66">
        <f t="shared" si="528"/>
        <v>2.9896828429499429E-3</v>
      </c>
      <c r="AA910" s="66">
        <f t="shared" si="531"/>
        <v>9.4740283708442466E-3</v>
      </c>
      <c r="AB910" s="66">
        <f t="shared" si="529"/>
        <v>1.0791227913221709E-2</v>
      </c>
      <c r="AC910" s="67">
        <f t="shared" si="532"/>
        <v>16955686.389951672</v>
      </c>
      <c r="AD910" s="67">
        <f t="shared" si="519"/>
        <v>16955686.389951672</v>
      </c>
      <c r="AE910" s="66">
        <f t="shared" si="535"/>
        <v>-5.7850540488617597E-3</v>
      </c>
      <c r="AF910" s="64">
        <f t="shared" si="517"/>
        <v>16955686.389951672</v>
      </c>
      <c r="AG910" s="64">
        <v>1</v>
      </c>
      <c r="AH910" s="64">
        <f t="shared" si="518"/>
        <v>16955686.389951672</v>
      </c>
      <c r="AI910" s="67">
        <f t="shared" si="533"/>
        <v>196.97687669502008</v>
      </c>
      <c r="AJ910" s="67">
        <f t="shared" si="534"/>
        <v>-644399.41210797057</v>
      </c>
      <c r="AK910" s="66">
        <f t="shared" si="536"/>
        <v>-5.7850540488617597E-3</v>
      </c>
    </row>
    <row r="911" spans="1:37" ht="12" customHeight="1" x14ac:dyDescent="0.25">
      <c r="A911" s="134" t="s">
        <v>655</v>
      </c>
      <c r="B911" s="134" t="s">
        <v>444</v>
      </c>
      <c r="C911" s="134" t="s">
        <v>448</v>
      </c>
      <c r="D911" s="128">
        <v>2028</v>
      </c>
      <c r="E911" s="134" t="s">
        <v>676</v>
      </c>
      <c r="F911" s="57">
        <f>SIM_Parametres!$C$34</f>
        <v>1630962291.1861155</v>
      </c>
      <c r="G911" s="129">
        <f>SIM_Districts!D59*(1+SIM_Parametres!$B$6)^(2028-2023)</f>
        <v>151638.84528881148</v>
      </c>
      <c r="H911" s="129">
        <f>MAX(0,MIN(100,SIM_Districts!F59+(2028-2022)*SIM_Parametres!$B$7))</f>
        <v>57.82</v>
      </c>
      <c r="I911" s="129">
        <f>SIM_Districts!G59*(1+SIM_Parametres!$B$8)^(2028-2023)</f>
        <v>29.356160895999995</v>
      </c>
      <c r="J911" s="129">
        <f>SIM_Districts!H59*(1+SIM_Parametres!$B$9)^(2028-2023)</f>
        <v>13.876515000000005</v>
      </c>
      <c r="K911" s="129">
        <f>MAX(0,MIN(100,SIM_Districts!I59+(2028-2023)*SIM_Parametres!$B$10))</f>
        <v>95.6</v>
      </c>
      <c r="L911" s="129">
        <f>SIM_Districts!E59</f>
        <v>9596</v>
      </c>
      <c r="M911" s="68">
        <f t="shared" si="530"/>
        <v>15.802297341476812</v>
      </c>
      <c r="N911" s="129">
        <f>N840*(1+SIM_Parametres!$B$6)/(1+SIM_Parametres!$B$11)</f>
        <v>71159</v>
      </c>
      <c r="O911" s="135"/>
      <c r="P911" s="130">
        <f>SIM_Parametres!$D$34</f>
        <v>1</v>
      </c>
      <c r="Q911" s="130">
        <f>SIM_Parametres!$B$12</f>
        <v>0.2</v>
      </c>
      <c r="R911" s="59">
        <f t="shared" si="520"/>
        <v>7.2162749688465255E-3</v>
      </c>
      <c r="S911" s="59">
        <f t="shared" si="521"/>
        <v>0.9485815602836879</v>
      </c>
      <c r="T911" s="59">
        <f t="shared" si="522"/>
        <v>0.86464088397790051</v>
      </c>
      <c r="U911" s="59">
        <f t="shared" si="523"/>
        <v>0.83194467542502504</v>
      </c>
      <c r="V911" s="59">
        <f t="shared" si="524"/>
        <v>8.1455312710388056E-2</v>
      </c>
      <c r="W911" s="59">
        <f t="shared" si="525"/>
        <v>2.2616782921158311E-2</v>
      </c>
      <c r="X911" s="59">
        <f t="shared" si="526"/>
        <v>1.7110370086918493E-2</v>
      </c>
      <c r="Y911" s="59">
        <f t="shared" si="527"/>
        <v>2.1255944751036638E-2</v>
      </c>
      <c r="Z911" s="59">
        <f t="shared" si="528"/>
        <v>2.9896828429499429E-3</v>
      </c>
      <c r="AA911" s="59">
        <f t="shared" si="531"/>
        <v>1.1501119312218764E-2</v>
      </c>
      <c r="AB911" s="59">
        <f t="shared" si="529"/>
        <v>1.226326116630096E-2</v>
      </c>
      <c r="AC911" s="60">
        <f t="shared" si="532"/>
        <v>19600573.498901114</v>
      </c>
      <c r="AD911" s="60">
        <f t="shared" si="519"/>
        <v>19600573.498901114</v>
      </c>
      <c r="AE911" s="59">
        <f t="shared" si="535"/>
        <v>1.1343246262277562E-2</v>
      </c>
      <c r="AF911" s="57">
        <f t="shared" si="517"/>
        <v>19600573.498901114</v>
      </c>
      <c r="AG911" s="57">
        <v>1</v>
      </c>
      <c r="AH911" s="57">
        <f t="shared" si="518"/>
        <v>19600573.498901114</v>
      </c>
      <c r="AI911" s="60">
        <f t="shared" si="533"/>
        <v>129.25826137471466</v>
      </c>
      <c r="AJ911" s="60">
        <f t="shared" si="534"/>
        <v>-400343.03030281514</v>
      </c>
      <c r="AK911" s="59">
        <f t="shared" si="536"/>
        <v>1.1343246262277562E-2</v>
      </c>
    </row>
    <row r="912" spans="1:37" ht="12" customHeight="1" x14ac:dyDescent="0.25">
      <c r="A912" s="133" t="s">
        <v>656</v>
      </c>
      <c r="B912" s="133" t="s">
        <v>444</v>
      </c>
      <c r="C912" s="133" t="s">
        <v>449</v>
      </c>
      <c r="D912" s="124">
        <v>2028</v>
      </c>
      <c r="E912" s="133" t="s">
        <v>676</v>
      </c>
      <c r="F912" s="64">
        <f>SIM_Parametres!$C$34</f>
        <v>1630962291.1861155</v>
      </c>
      <c r="G912" s="125">
        <f>SIM_Districts!D60*(1+SIM_Parametres!$B$6)^(2028-2023)</f>
        <v>111904.72639217899</v>
      </c>
      <c r="H912" s="125">
        <f>MAX(0,MIN(100,SIM_Districts!F60+(2028-2022)*SIM_Parametres!$B$7))</f>
        <v>57.82</v>
      </c>
      <c r="I912" s="125">
        <f>SIM_Districts!G60*(1+SIM_Parametres!$B$8)^(2028-2023)</f>
        <v>29.356160895999995</v>
      </c>
      <c r="J912" s="125">
        <f>SIM_Districts!H60*(1+SIM_Parametres!$B$9)^(2028-2023)</f>
        <v>13.876515000000005</v>
      </c>
      <c r="K912" s="125">
        <f>MAX(0,MIN(100,SIM_Districts!I60+(2028-2023)*SIM_Parametres!$B$10))</f>
        <v>95.6</v>
      </c>
      <c r="L912" s="125">
        <f>SIM_Districts!E60</f>
        <v>5363</v>
      </c>
      <c r="M912" s="61">
        <f t="shared" si="530"/>
        <v>20.866068691437437</v>
      </c>
      <c r="N912" s="125">
        <f>N841*(1+SIM_Parametres!$B$6)/(1+SIM_Parametres!$B$11)</f>
        <v>71159</v>
      </c>
      <c r="O912" s="3"/>
      <c r="P912" s="126">
        <f>SIM_Parametres!$D$34</f>
        <v>1</v>
      </c>
      <c r="Q912" s="126">
        <f>SIM_Parametres!$B$12</f>
        <v>0.2</v>
      </c>
      <c r="R912" s="66">
        <f t="shared" si="520"/>
        <v>5.3253852891155164E-3</v>
      </c>
      <c r="S912" s="66">
        <f t="shared" si="521"/>
        <v>0.9485815602836879</v>
      </c>
      <c r="T912" s="66">
        <f t="shared" si="522"/>
        <v>0.86464088397790051</v>
      </c>
      <c r="U912" s="66">
        <f t="shared" si="523"/>
        <v>0.68524994865574662</v>
      </c>
      <c r="V912" s="66">
        <f t="shared" si="524"/>
        <v>8.1455312710388056E-2</v>
      </c>
      <c r="W912" s="66">
        <f t="shared" si="525"/>
        <v>2.2616782921158311E-2</v>
      </c>
      <c r="X912" s="66">
        <f t="shared" si="526"/>
        <v>1.7110370086918493E-2</v>
      </c>
      <c r="Y912" s="66">
        <f t="shared" si="527"/>
        <v>1.7507937101509701E-2</v>
      </c>
      <c r="Z912" s="66">
        <f t="shared" si="528"/>
        <v>2.9896828429499429E-3</v>
      </c>
      <c r="AA912" s="66">
        <f t="shared" si="531"/>
        <v>1.0179185121903812E-2</v>
      </c>
      <c r="AB912" s="66">
        <f t="shared" si="529"/>
        <v>1.1657934104473178E-2</v>
      </c>
      <c r="AC912" s="67">
        <f t="shared" si="532"/>
        <v>17875753.646234445</v>
      </c>
      <c r="AD912" s="67">
        <f t="shared" si="519"/>
        <v>17875753.646234445</v>
      </c>
      <c r="AE912" s="66">
        <f t="shared" si="535"/>
        <v>-2.9761414947022113E-2</v>
      </c>
      <c r="AF912" s="64">
        <f t="shared" si="517"/>
        <v>17875753.646234445</v>
      </c>
      <c r="AG912" s="64">
        <v>1</v>
      </c>
      <c r="AH912" s="64">
        <f t="shared" si="518"/>
        <v>17875753.646234445</v>
      </c>
      <c r="AI912" s="67">
        <f t="shared" si="533"/>
        <v>159.74082795741307</v>
      </c>
      <c r="AJ912" s="67">
        <f t="shared" si="534"/>
        <v>-1137897.271293886</v>
      </c>
      <c r="AK912" s="66">
        <f t="shared" si="536"/>
        <v>-2.9761414947022113E-2</v>
      </c>
    </row>
    <row r="913" spans="1:37" ht="12" customHeight="1" x14ac:dyDescent="0.25">
      <c r="A913" s="134" t="s">
        <v>657</v>
      </c>
      <c r="B913" s="134" t="s">
        <v>444</v>
      </c>
      <c r="C913" s="134" t="s">
        <v>450</v>
      </c>
      <c r="D913" s="128">
        <v>2028</v>
      </c>
      <c r="E913" s="134" t="s">
        <v>676</v>
      </c>
      <c r="F913" s="57">
        <f>SIM_Parametres!$C$34</f>
        <v>1630962291.1861155</v>
      </c>
      <c r="G913" s="129">
        <f>SIM_Districts!D61*(1+SIM_Parametres!$B$6)^(2028-2023)</f>
        <v>142196.557953638</v>
      </c>
      <c r="H913" s="129">
        <f>MAX(0,MIN(100,SIM_Districts!F61+(2028-2022)*SIM_Parametres!$B$7))</f>
        <v>57.82</v>
      </c>
      <c r="I913" s="129">
        <f>SIM_Districts!G61*(1+SIM_Parametres!$B$8)^(2028-2023)</f>
        <v>29.356160895999995</v>
      </c>
      <c r="J913" s="129">
        <f>SIM_Districts!H61*(1+SIM_Parametres!$B$9)^(2028-2023)</f>
        <v>13.876515000000005</v>
      </c>
      <c r="K913" s="129">
        <f>MAX(0,MIN(100,SIM_Districts!I61+(2028-2023)*SIM_Parametres!$B$10))</f>
        <v>95.6</v>
      </c>
      <c r="L913" s="129">
        <f>SIM_Districts!E61</f>
        <v>2477</v>
      </c>
      <c r="M913" s="68">
        <f t="shared" si="530"/>
        <v>57.406765423350016</v>
      </c>
      <c r="N913" s="129">
        <f>N842*(1+SIM_Parametres!$B$6)/(1+SIM_Parametres!$B$11)</f>
        <v>71159</v>
      </c>
      <c r="O913" s="135"/>
      <c r="P913" s="130">
        <f>SIM_Parametres!$D$34</f>
        <v>1</v>
      </c>
      <c r="Q913" s="130">
        <f>SIM_Parametres!$B$12</f>
        <v>0.2</v>
      </c>
      <c r="R913" s="59">
        <f t="shared" si="520"/>
        <v>6.7669300690242334E-3</v>
      </c>
      <c r="S913" s="59">
        <f t="shared" si="521"/>
        <v>0.9485815602836879</v>
      </c>
      <c r="T913" s="59">
        <f t="shared" si="522"/>
        <v>0.86464088397790051</v>
      </c>
      <c r="U913" s="59">
        <f t="shared" si="523"/>
        <v>0.58483187330804909</v>
      </c>
      <c r="V913" s="59">
        <f t="shared" si="524"/>
        <v>8.1455312710388056E-2</v>
      </c>
      <c r="W913" s="59">
        <f t="shared" si="525"/>
        <v>2.2616782921158311E-2</v>
      </c>
      <c r="X913" s="59">
        <f t="shared" si="526"/>
        <v>1.7110370086918493E-2</v>
      </c>
      <c r="Y913" s="59">
        <f t="shared" si="527"/>
        <v>1.4942284450982639E-2</v>
      </c>
      <c r="Z913" s="59">
        <f t="shared" si="528"/>
        <v>2.9896828429499429E-3</v>
      </c>
      <c r="AA913" s="59">
        <f t="shared" si="531"/>
        <v>1.0915829357322689E-2</v>
      </c>
      <c r="AB913" s="59">
        <f t="shared" si="529"/>
        <v>1.1903980831650193E-2</v>
      </c>
      <c r="AC913" s="60">
        <f t="shared" si="532"/>
        <v>18836904.822224699</v>
      </c>
      <c r="AD913" s="60">
        <f t="shared" si="519"/>
        <v>18836904.822224699</v>
      </c>
      <c r="AE913" s="59">
        <f t="shared" si="535"/>
        <v>1.2743753111741363E-3</v>
      </c>
      <c r="AF913" s="57">
        <f t="shared" si="517"/>
        <v>18836904.822224699</v>
      </c>
      <c r="AG913" s="57">
        <v>1</v>
      </c>
      <c r="AH913" s="57">
        <f t="shared" si="518"/>
        <v>18836904.822224699</v>
      </c>
      <c r="AI913" s="60">
        <f t="shared" si="533"/>
        <v>132.47089165383537</v>
      </c>
      <c r="AJ913" s="60">
        <f t="shared" si="534"/>
        <v>-578039.02919910103</v>
      </c>
      <c r="AK913" s="59">
        <f t="shared" si="536"/>
        <v>1.2743753111741363E-3</v>
      </c>
    </row>
    <row r="914" spans="1:37" ht="12" customHeight="1" x14ac:dyDescent="0.25">
      <c r="A914" s="133" t="s">
        <v>658</v>
      </c>
      <c r="B914" s="133" t="s">
        <v>444</v>
      </c>
      <c r="C914" s="133" t="s">
        <v>451</v>
      </c>
      <c r="D914" s="124">
        <v>2028</v>
      </c>
      <c r="E914" s="133" t="s">
        <v>676</v>
      </c>
      <c r="F914" s="64">
        <f>SIM_Parametres!$C$34</f>
        <v>1630962291.1861155</v>
      </c>
      <c r="G914" s="125">
        <f>SIM_Districts!D62*(1+SIM_Parametres!$B$6)^(2028-2023)</f>
        <v>477026.21101148403</v>
      </c>
      <c r="H914" s="125">
        <f>MAX(0,MIN(100,SIM_Districts!F62+(2028-2022)*SIM_Parametres!$B$7))</f>
        <v>57.82</v>
      </c>
      <c r="I914" s="125">
        <f>SIM_Districts!G62*(1+SIM_Parametres!$B$8)^(2028-2023)</f>
        <v>29.356160895999995</v>
      </c>
      <c r="J914" s="125">
        <f>SIM_Districts!H62*(1+SIM_Parametres!$B$9)^(2028-2023)</f>
        <v>13.876515000000005</v>
      </c>
      <c r="K914" s="125">
        <f>MAX(0,MIN(100,SIM_Districts!I62+(2028-2023)*SIM_Parametres!$B$10))</f>
        <v>95.6</v>
      </c>
      <c r="L914" s="125">
        <f>SIM_Districts!E62</f>
        <v>11599</v>
      </c>
      <c r="M914" s="61">
        <f t="shared" si="530"/>
        <v>41.126494612594534</v>
      </c>
      <c r="N914" s="125">
        <f>N843*(1+SIM_Parametres!$B$6)/(1+SIM_Parametres!$B$11)</f>
        <v>71159</v>
      </c>
      <c r="O914" s="3"/>
      <c r="P914" s="126">
        <f>SIM_Parametres!$D$34</f>
        <v>1</v>
      </c>
      <c r="Q914" s="126">
        <f>SIM_Parametres!$B$12</f>
        <v>0.2</v>
      </c>
      <c r="R914" s="66">
        <f t="shared" si="520"/>
        <v>2.2700992608124689E-2</v>
      </c>
      <c r="S914" s="66">
        <f t="shared" si="521"/>
        <v>0.9485815602836879</v>
      </c>
      <c r="T914" s="66">
        <f t="shared" si="522"/>
        <v>0.86464088397790051</v>
      </c>
      <c r="U914" s="66">
        <f t="shared" si="523"/>
        <v>0.901020512243767</v>
      </c>
      <c r="V914" s="66">
        <f t="shared" si="524"/>
        <v>8.1455312710388056E-2</v>
      </c>
      <c r="W914" s="66">
        <f t="shared" si="525"/>
        <v>2.2616782921158311E-2</v>
      </c>
      <c r="X914" s="66">
        <f t="shared" si="526"/>
        <v>1.7110370086918493E-2</v>
      </c>
      <c r="Y914" s="66">
        <f t="shared" si="527"/>
        <v>2.3020812313054136E-2</v>
      </c>
      <c r="Z914" s="66">
        <f t="shared" si="528"/>
        <v>2.9896828429499429E-3</v>
      </c>
      <c r="AA914" s="66">
        <f t="shared" si="531"/>
        <v>2.0880193273886537E-2</v>
      </c>
      <c r="AB914" s="66">
        <f t="shared" si="529"/>
        <v>1.7888646701085437E-2</v>
      </c>
      <c r="AC914" s="67">
        <f t="shared" si="532"/>
        <v>31838106.265081681</v>
      </c>
      <c r="AD914" s="67">
        <f t="shared" si="519"/>
        <v>31838106.265081681</v>
      </c>
      <c r="AE914" s="66">
        <f t="shared" si="535"/>
        <v>0.12617405648798785</v>
      </c>
      <c r="AF914" s="64">
        <f t="shared" si="517"/>
        <v>31838106.265081681</v>
      </c>
      <c r="AG914" s="64">
        <v>1</v>
      </c>
      <c r="AH914" s="64">
        <f t="shared" si="518"/>
        <v>31838106.265081681</v>
      </c>
      <c r="AI914" s="67">
        <f t="shared" si="533"/>
        <v>66.742886512613879</v>
      </c>
      <c r="AJ914" s="67">
        <f t="shared" si="534"/>
        <v>2662398.055260431</v>
      </c>
      <c r="AK914" s="66">
        <f t="shared" si="536"/>
        <v>0.12617405648798785</v>
      </c>
    </row>
    <row r="915" spans="1:37" ht="12" customHeight="1" x14ac:dyDescent="0.25">
      <c r="A915" s="134" t="s">
        <v>659</v>
      </c>
      <c r="B915" s="134" t="s">
        <v>452</v>
      </c>
      <c r="C915" s="134" t="s">
        <v>454</v>
      </c>
      <c r="D915" s="128">
        <v>2028</v>
      </c>
      <c r="E915" s="134" t="s">
        <v>676</v>
      </c>
      <c r="F915" s="57">
        <f>SIM_Parametres!$C$34</f>
        <v>1630962291.1861155</v>
      </c>
      <c r="G915" s="129">
        <f>SIM_Districts!D63*(1+SIM_Parametres!$B$6)^(2028-2023)</f>
        <v>141510.26770165237</v>
      </c>
      <c r="H915" s="129">
        <f>MAX(0,MIN(100,SIM_Districts!F63+(2028-2022)*SIM_Parametres!$B$7))</f>
        <v>24.919999999999998</v>
      </c>
      <c r="I915" s="129">
        <f>SIM_Districts!G63*(1+SIM_Parametres!$B$8)^(2028-2023)</f>
        <v>29.356160895999995</v>
      </c>
      <c r="J915" s="129">
        <f>SIM_Districts!H63*(1+SIM_Parametres!$B$9)^(2028-2023)</f>
        <v>9.388791000000003</v>
      </c>
      <c r="K915" s="129">
        <f>MAX(0,MIN(100,SIM_Districts!I63+(2028-2023)*SIM_Parametres!$B$10))</f>
        <v>100</v>
      </c>
      <c r="L915" s="129">
        <f>SIM_Districts!E63</f>
        <v>393</v>
      </c>
      <c r="M915" s="68">
        <f t="shared" si="530"/>
        <v>360.07701705255056</v>
      </c>
      <c r="N915" s="129">
        <f>N844*(1+SIM_Parametres!$B$6)/(1+SIM_Parametres!$B$11)</f>
        <v>153373</v>
      </c>
      <c r="O915" s="135"/>
      <c r="P915" s="130">
        <f>SIM_Parametres!$D$34</f>
        <v>1</v>
      </c>
      <c r="Q915" s="130">
        <f>SIM_Parametres!$B$12</f>
        <v>0.2</v>
      </c>
      <c r="R915" s="59">
        <f t="shared" si="520"/>
        <v>6.7342705011059021E-3</v>
      </c>
      <c r="S915" s="59">
        <f t="shared" si="521"/>
        <v>0.36524822695035453</v>
      </c>
      <c r="T915" s="59">
        <f t="shared" si="522"/>
        <v>0.65469613259668513</v>
      </c>
      <c r="U915" s="59">
        <f t="shared" si="523"/>
        <v>0.5089487082445231</v>
      </c>
      <c r="V915" s="59">
        <f t="shared" si="524"/>
        <v>0.65207282116061327</v>
      </c>
      <c r="W915" s="59">
        <f t="shared" si="525"/>
        <v>8.708518283660956E-3</v>
      </c>
      <c r="X915" s="59">
        <f t="shared" si="526"/>
        <v>1.2955775433225826E-2</v>
      </c>
      <c r="Y915" s="59">
        <f t="shared" si="527"/>
        <v>1.3003491630053692E-2</v>
      </c>
      <c r="Z915" s="59">
        <f t="shared" si="528"/>
        <v>2.3933256909947777E-2</v>
      </c>
      <c r="AA915" s="59">
        <f t="shared" si="531"/>
        <v>9.1370437851966309E-3</v>
      </c>
      <c r="AB915" s="59">
        <f t="shared" si="529"/>
        <v>1.2398225002006156E-2</v>
      </c>
      <c r="AC915" s="60">
        <f t="shared" si="532"/>
        <v>16515999.06842988</v>
      </c>
      <c r="AD915" s="60">
        <f t="shared" si="519"/>
        <v>16515999.06842988</v>
      </c>
      <c r="AE915" s="59">
        <f t="shared" si="535"/>
        <v>-0.15709018017591603</v>
      </c>
      <c r="AF915" s="57">
        <f t="shared" si="517"/>
        <v>16515999.06842988</v>
      </c>
      <c r="AG915" s="57">
        <v>1</v>
      </c>
      <c r="AH915" s="57">
        <f t="shared" si="518"/>
        <v>16515999.06842988</v>
      </c>
      <c r="AI915" s="60">
        <f t="shared" si="533"/>
        <v>116.71237244247703</v>
      </c>
      <c r="AJ915" s="60">
        <f t="shared" si="534"/>
        <v>-3705038.3874830604</v>
      </c>
      <c r="AK915" s="59">
        <f t="shared" si="536"/>
        <v>-0.15709018017591603</v>
      </c>
    </row>
    <row r="916" spans="1:37" ht="12" customHeight="1" x14ac:dyDescent="0.25">
      <c r="A916" s="133" t="s">
        <v>661</v>
      </c>
      <c r="B916" s="133" t="s">
        <v>452</v>
      </c>
      <c r="C916" s="133" t="s">
        <v>455</v>
      </c>
      <c r="D916" s="124">
        <v>2028</v>
      </c>
      <c r="E916" s="133" t="s">
        <v>676</v>
      </c>
      <c r="F916" s="64">
        <f>SIM_Parametres!$C$34</f>
        <v>1630962291.1861155</v>
      </c>
      <c r="G916" s="125">
        <f>SIM_Districts!D64*(1+SIM_Parametres!$B$6)^(2028-2023)</f>
        <v>245265.29735150238</v>
      </c>
      <c r="H916" s="125">
        <f>MAX(0,MIN(100,SIM_Districts!F64+(2028-2022)*SIM_Parametres!$B$7))</f>
        <v>24.919999999999998</v>
      </c>
      <c r="I916" s="125">
        <f>SIM_Districts!G64*(1+SIM_Parametres!$B$8)^(2028-2023)</f>
        <v>29.356160895999995</v>
      </c>
      <c r="J916" s="125">
        <f>SIM_Districts!H64*(1+SIM_Parametres!$B$9)^(2028-2023)</f>
        <v>9.388791000000003</v>
      </c>
      <c r="K916" s="125">
        <f>MAX(0,MIN(100,SIM_Districts!I64+(2028-2023)*SIM_Parametres!$B$10))</f>
        <v>100</v>
      </c>
      <c r="L916" s="125">
        <f>SIM_Districts!E64</f>
        <v>537</v>
      </c>
      <c r="M916" s="61">
        <f t="shared" si="530"/>
        <v>456.7323973026115</v>
      </c>
      <c r="N916" s="125">
        <f>N845*(1+SIM_Parametres!$B$6)/(1+SIM_Parametres!$B$11)</f>
        <v>153373</v>
      </c>
      <c r="O916" s="3"/>
      <c r="P916" s="126">
        <f>SIM_Parametres!$D$34</f>
        <v>1</v>
      </c>
      <c r="Q916" s="126">
        <f>SIM_Parametres!$B$12</f>
        <v>0.2</v>
      </c>
      <c r="R916" s="66">
        <f t="shared" si="520"/>
        <v>1.1671823421191252E-2</v>
      </c>
      <c r="S916" s="66">
        <f t="shared" si="521"/>
        <v>0.36524822695035453</v>
      </c>
      <c r="T916" s="66">
        <f t="shared" si="522"/>
        <v>0.65469613259668513</v>
      </c>
      <c r="U916" s="66">
        <f t="shared" si="523"/>
        <v>0.51275775815315694</v>
      </c>
      <c r="V916" s="66">
        <f t="shared" si="524"/>
        <v>0.65207282116061327</v>
      </c>
      <c r="W916" s="66">
        <f t="shared" si="525"/>
        <v>8.708518283660956E-3</v>
      </c>
      <c r="X916" s="66">
        <f t="shared" si="526"/>
        <v>1.2955775433225826E-2</v>
      </c>
      <c r="Y916" s="66">
        <f t="shared" si="527"/>
        <v>1.3100811748570584E-2</v>
      </c>
      <c r="Z916" s="66">
        <f t="shared" si="528"/>
        <v>2.3933256909947777E-2</v>
      </c>
      <c r="AA916" s="66">
        <f t="shared" si="531"/>
        <v>1.2104441543173685E-2</v>
      </c>
      <c r="AB916" s="66">
        <f t="shared" si="529"/>
        <v>1.295150099764792E-2</v>
      </c>
      <c r="AC916" s="67">
        <f t="shared" si="532"/>
        <v>20387770.14539852</v>
      </c>
      <c r="AD916" s="67">
        <f t="shared" si="519"/>
        <v>20387770.14539852</v>
      </c>
      <c r="AE916" s="66">
        <f t="shared" si="535"/>
        <v>-3.9402233063077219E-3</v>
      </c>
      <c r="AF916" s="64">
        <f t="shared" si="517"/>
        <v>20387770.14539852</v>
      </c>
      <c r="AG916" s="64">
        <v>1</v>
      </c>
      <c r="AH916" s="64">
        <f t="shared" si="518"/>
        <v>20387770.14539852</v>
      </c>
      <c r="AI916" s="67">
        <f t="shared" si="533"/>
        <v>83.125376339644788</v>
      </c>
      <c r="AJ916" s="67">
        <f t="shared" si="534"/>
        <v>-735639.59602459148</v>
      </c>
      <c r="AK916" s="66">
        <f t="shared" si="536"/>
        <v>-3.9402233063077219E-3</v>
      </c>
    </row>
    <row r="917" spans="1:37" ht="12" customHeight="1" x14ac:dyDescent="0.25">
      <c r="A917" s="134" t="s">
        <v>662</v>
      </c>
      <c r="B917" s="134" t="s">
        <v>452</v>
      </c>
      <c r="C917" s="134" t="s">
        <v>456</v>
      </c>
      <c r="D917" s="128">
        <v>2028</v>
      </c>
      <c r="E917" s="134" t="s">
        <v>676</v>
      </c>
      <c r="F917" s="57">
        <f>SIM_Parametres!$C$34</f>
        <v>1630962291.1861155</v>
      </c>
      <c r="G917" s="129">
        <f>SIM_Districts!D65*(1+SIM_Parametres!$B$6)^(2028-2023)</f>
        <v>638609.3093096409</v>
      </c>
      <c r="H917" s="129">
        <f>MAX(0,MIN(100,SIM_Districts!F65+(2028-2022)*SIM_Parametres!$B$7))</f>
        <v>24.919999999999998</v>
      </c>
      <c r="I917" s="129">
        <f>SIM_Districts!G65*(1+SIM_Parametres!$B$8)^(2028-2023)</f>
        <v>29.356160895999995</v>
      </c>
      <c r="J917" s="129">
        <f>SIM_Districts!H65*(1+SIM_Parametres!$B$9)^(2028-2023)</f>
        <v>9.388791000000003</v>
      </c>
      <c r="K917" s="129">
        <f>MAX(0,MIN(100,SIM_Districts!I65+(2028-2023)*SIM_Parametres!$B$10))</f>
        <v>100</v>
      </c>
      <c r="L917" s="129">
        <f>SIM_Districts!E65</f>
        <v>487</v>
      </c>
      <c r="M917" s="68">
        <f t="shared" si="530"/>
        <v>1311.312750122466</v>
      </c>
      <c r="N917" s="129">
        <f>N846*(1+SIM_Parametres!$B$6)/(1+SIM_Parametres!$B$11)</f>
        <v>153373</v>
      </c>
      <c r="O917" s="135"/>
      <c r="P917" s="130">
        <f>SIM_Parametres!$D$34</f>
        <v>1</v>
      </c>
      <c r="Q917" s="130">
        <f>SIM_Parametres!$B$12</f>
        <v>0.2</v>
      </c>
      <c r="R917" s="59">
        <f t="shared" si="520"/>
        <v>3.0390500302652692E-2</v>
      </c>
      <c r="S917" s="59">
        <f t="shared" si="521"/>
        <v>0.36524822695035453</v>
      </c>
      <c r="T917" s="59">
        <f t="shared" si="522"/>
        <v>0.65469613259668513</v>
      </c>
      <c r="U917" s="59">
        <f t="shared" si="523"/>
        <v>0.50060006219339392</v>
      </c>
      <c r="V917" s="59">
        <f t="shared" si="524"/>
        <v>0.65207282116061327</v>
      </c>
      <c r="W917" s="59">
        <f t="shared" si="525"/>
        <v>8.708518283660956E-3</v>
      </c>
      <c r="X917" s="59">
        <f t="shared" si="526"/>
        <v>1.2955775433225826E-2</v>
      </c>
      <c r="Y917" s="59">
        <f t="shared" si="527"/>
        <v>1.2790186148991382E-2</v>
      </c>
      <c r="Z917" s="59">
        <f t="shared" si="528"/>
        <v>2.3933256909947777E-2</v>
      </c>
      <c r="AA917" s="59">
        <f t="shared" si="531"/>
        <v>2.3320116392071589E-2</v>
      </c>
      <c r="AB917" s="59">
        <f t="shared" si="529"/>
        <v>1.6283081455096608E-2</v>
      </c>
      <c r="AC917" s="60">
        <f t="shared" si="532"/>
        <v>35021644.344404131</v>
      </c>
      <c r="AD917" s="60">
        <f t="shared" si="519"/>
        <v>35021644.344404131</v>
      </c>
      <c r="AE917" s="59">
        <f t="shared" si="535"/>
        <v>0.36092977290114248</v>
      </c>
      <c r="AF917" s="57">
        <f t="shared" si="517"/>
        <v>35021644.344404131</v>
      </c>
      <c r="AG917" s="57">
        <v>1</v>
      </c>
      <c r="AH917" s="57">
        <f t="shared" si="518"/>
        <v>35021644.344404131</v>
      </c>
      <c r="AI917" s="60">
        <f t="shared" si="533"/>
        <v>54.840485150872226</v>
      </c>
      <c r="AJ917" s="60">
        <f t="shared" si="534"/>
        <v>8464552.5068296194</v>
      </c>
      <c r="AK917" s="59">
        <f t="shared" si="536"/>
        <v>0.36092977290114248</v>
      </c>
    </row>
    <row r="918" spans="1:37" ht="12" customHeight="1" x14ac:dyDescent="0.25">
      <c r="A918" s="133" t="s">
        <v>663</v>
      </c>
      <c r="B918" s="133" t="s">
        <v>452</v>
      </c>
      <c r="C918" s="133" t="s">
        <v>457</v>
      </c>
      <c r="D918" s="124">
        <v>2028</v>
      </c>
      <c r="E918" s="133" t="s">
        <v>676</v>
      </c>
      <c r="F918" s="64">
        <f>SIM_Parametres!$C$34</f>
        <v>1630962291.1861155</v>
      </c>
      <c r="G918" s="125">
        <f>SIM_Districts!D66*(1+SIM_Parametres!$B$6)^(2028-2023)</f>
        <v>128001.24691383449</v>
      </c>
      <c r="H918" s="125">
        <f>MAX(0,MIN(100,SIM_Districts!F66+(2028-2022)*SIM_Parametres!$B$7))</f>
        <v>24.919999999999998</v>
      </c>
      <c r="I918" s="125">
        <f>SIM_Districts!G66*(1+SIM_Parametres!$B$8)^(2028-2023)</f>
        <v>29.356160895999995</v>
      </c>
      <c r="J918" s="125">
        <f>SIM_Districts!H66*(1+SIM_Parametres!$B$9)^(2028-2023)</f>
        <v>9.388791000000003</v>
      </c>
      <c r="K918" s="125">
        <f>MAX(0,MIN(100,SIM_Districts!I66+(2028-2023)*SIM_Parametres!$B$10))</f>
        <v>100</v>
      </c>
      <c r="L918" s="125">
        <f>SIM_Districts!E66</f>
        <v>230</v>
      </c>
      <c r="M918" s="61">
        <f t="shared" si="530"/>
        <v>556.52716049493256</v>
      </c>
      <c r="N918" s="125">
        <f>N847*(1+SIM_Parametres!$B$6)/(1+SIM_Parametres!$B$11)</f>
        <v>153373</v>
      </c>
      <c r="O918" s="3"/>
      <c r="P918" s="126">
        <f>SIM_Parametres!$D$34</f>
        <v>1</v>
      </c>
      <c r="Q918" s="126">
        <f>SIM_Parametres!$B$12</f>
        <v>0.2</v>
      </c>
      <c r="R918" s="66">
        <f t="shared" si="520"/>
        <v>6.0913955940918862E-3</v>
      </c>
      <c r="S918" s="66">
        <f t="shared" si="521"/>
        <v>0.36524822695035453</v>
      </c>
      <c r="T918" s="66">
        <f t="shared" si="522"/>
        <v>0.65469613259668513</v>
      </c>
      <c r="U918" s="66">
        <f t="shared" si="523"/>
        <v>0.50090567337352976</v>
      </c>
      <c r="V918" s="66">
        <f t="shared" si="524"/>
        <v>0.65207282116061327</v>
      </c>
      <c r="W918" s="66">
        <f t="shared" si="525"/>
        <v>8.708518283660956E-3</v>
      </c>
      <c r="X918" s="66">
        <f t="shared" si="526"/>
        <v>1.2955775433225826E-2</v>
      </c>
      <c r="Y918" s="66">
        <f t="shared" si="527"/>
        <v>1.2797994425854201E-2</v>
      </c>
      <c r="Z918" s="66">
        <f t="shared" si="528"/>
        <v>2.3933256909947777E-2</v>
      </c>
      <c r="AA918" s="66">
        <f t="shared" si="531"/>
        <v>8.7410439807782472E-3</v>
      </c>
      <c r="AB918" s="66">
        <f t="shared" si="529"/>
        <v>1.1222253507013131E-2</v>
      </c>
      <c r="AC918" s="67">
        <f t="shared" si="532"/>
        <v>15999310.469771111</v>
      </c>
      <c r="AD918" s="67">
        <f t="shared" si="519"/>
        <v>15999310.469771111</v>
      </c>
      <c r="AE918" s="66">
        <f t="shared" si="535"/>
        <v>-9.7895252702581814E-2</v>
      </c>
      <c r="AF918" s="64">
        <f t="shared" si="517"/>
        <v>15999310.469771111</v>
      </c>
      <c r="AG918" s="64">
        <v>1</v>
      </c>
      <c r="AH918" s="64">
        <f t="shared" si="518"/>
        <v>15999310.469771111</v>
      </c>
      <c r="AI918" s="67">
        <f t="shared" si="533"/>
        <v>124.99339542013392</v>
      </c>
      <c r="AJ918" s="67">
        <f t="shared" si="534"/>
        <v>-2303761.8222984429</v>
      </c>
      <c r="AK918" s="66">
        <f t="shared" si="536"/>
        <v>-9.7895252702581814E-2</v>
      </c>
    </row>
    <row r="919" spans="1:37" ht="12" customHeight="1" x14ac:dyDescent="0.25">
      <c r="A919" s="134" t="s">
        <v>664</v>
      </c>
      <c r="B919" s="134" t="s">
        <v>452</v>
      </c>
      <c r="C919" s="134" t="s">
        <v>458</v>
      </c>
      <c r="D919" s="128">
        <v>2028</v>
      </c>
      <c r="E919" s="134" t="s">
        <v>676</v>
      </c>
      <c r="F919" s="57">
        <f>SIM_Parametres!$C$34</f>
        <v>1630962291.1861155</v>
      </c>
      <c r="G919" s="129">
        <f>SIM_Districts!D67*(1+SIM_Parametres!$B$6)^(2028-2023)</f>
        <v>212086.87334503638</v>
      </c>
      <c r="H919" s="129">
        <f>MAX(0,MIN(100,SIM_Districts!F67+(2028-2022)*SIM_Parametres!$B$7))</f>
        <v>24.919999999999998</v>
      </c>
      <c r="I919" s="129">
        <f>SIM_Districts!G67*(1+SIM_Parametres!$B$8)^(2028-2023)</f>
        <v>29.356160895999995</v>
      </c>
      <c r="J919" s="129">
        <f>SIM_Districts!H67*(1+SIM_Parametres!$B$9)^(2028-2023)</f>
        <v>9.388791000000003</v>
      </c>
      <c r="K919" s="129">
        <f>MAX(0,MIN(100,SIM_Districts!I67+(2028-2023)*SIM_Parametres!$B$10))</f>
        <v>100</v>
      </c>
      <c r="L919" s="129">
        <f>SIM_Districts!E67</f>
        <v>557</v>
      </c>
      <c r="M919" s="68">
        <f t="shared" si="530"/>
        <v>380.76637943453568</v>
      </c>
      <c r="N919" s="129">
        <f>N848*(1+SIM_Parametres!$B$6)/(1+SIM_Parametres!$B$11)</f>
        <v>153373</v>
      </c>
      <c r="O919" s="135"/>
      <c r="P919" s="130">
        <f>SIM_Parametres!$D$34</f>
        <v>1</v>
      </c>
      <c r="Q919" s="130">
        <f>SIM_Parametres!$B$12</f>
        <v>0.2</v>
      </c>
      <c r="R919" s="59">
        <f t="shared" si="520"/>
        <v>1.0092909850544965E-2</v>
      </c>
      <c r="S919" s="59">
        <f t="shared" si="521"/>
        <v>0.36524822695035453</v>
      </c>
      <c r="T919" s="59">
        <f t="shared" si="522"/>
        <v>0.65469613259668513</v>
      </c>
      <c r="U919" s="59">
        <f t="shared" si="523"/>
        <v>0.51437733390901985</v>
      </c>
      <c r="V919" s="59">
        <f t="shared" si="524"/>
        <v>0.65207282116061327</v>
      </c>
      <c r="W919" s="59">
        <f t="shared" si="525"/>
        <v>8.708518283660956E-3</v>
      </c>
      <c r="X919" s="59">
        <f t="shared" si="526"/>
        <v>1.2955775433225826E-2</v>
      </c>
      <c r="Y919" s="59">
        <f t="shared" si="527"/>
        <v>1.3142191438595229E-2</v>
      </c>
      <c r="Z919" s="59">
        <f t="shared" si="528"/>
        <v>2.3933256909947777E-2</v>
      </c>
      <c r="AA919" s="59">
        <f t="shared" si="531"/>
        <v>1.1159162385287146E-2</v>
      </c>
      <c r="AB919" s="59">
        <f t="shared" si="529"/>
        <v>1.1942482198850355E-2</v>
      </c>
      <c r="AC919" s="60">
        <f t="shared" si="532"/>
        <v>19154398.41647283</v>
      </c>
      <c r="AD919" s="60">
        <f t="shared" si="519"/>
        <v>19154398.41647283</v>
      </c>
      <c r="AE919" s="59">
        <f t="shared" si="535"/>
        <v>1.486830936879513E-2</v>
      </c>
      <c r="AF919" s="57">
        <f t="shared" si="517"/>
        <v>19154398.41647283</v>
      </c>
      <c r="AG919" s="57">
        <v>1</v>
      </c>
      <c r="AH919" s="57">
        <f t="shared" si="518"/>
        <v>19154398.41647283</v>
      </c>
      <c r="AI919" s="60">
        <f t="shared" si="533"/>
        <v>90.313927092089472</v>
      </c>
      <c r="AJ919" s="60">
        <f t="shared" si="534"/>
        <v>-323339.71301354468</v>
      </c>
      <c r="AK919" s="59">
        <f t="shared" si="536"/>
        <v>1.486830936879513E-2</v>
      </c>
    </row>
    <row r="920" spans="1:37" ht="12" customHeight="1" x14ac:dyDescent="0.25">
      <c r="A920" s="133" t="s">
        <v>665</v>
      </c>
      <c r="B920" s="133" t="s">
        <v>452</v>
      </c>
      <c r="C920" s="133" t="s">
        <v>459</v>
      </c>
      <c r="D920" s="124">
        <v>2028</v>
      </c>
      <c r="E920" s="133" t="s">
        <v>676</v>
      </c>
      <c r="F920" s="64">
        <f>SIM_Parametres!$C$34</f>
        <v>1630962291.1861155</v>
      </c>
      <c r="G920" s="125">
        <f>SIM_Districts!D68*(1+SIM_Parametres!$B$6)^(2028-2023)</f>
        <v>269392.10938583396</v>
      </c>
      <c r="H920" s="125">
        <f>MAX(0,MIN(100,SIM_Districts!F68+(2028-2022)*SIM_Parametres!$B$7))</f>
        <v>24.919999999999998</v>
      </c>
      <c r="I920" s="125">
        <f>SIM_Districts!G68*(1+SIM_Parametres!$B$8)^(2028-2023)</f>
        <v>29.356160895999995</v>
      </c>
      <c r="J920" s="125">
        <f>SIM_Districts!H68*(1+SIM_Parametres!$B$9)^(2028-2023)</f>
        <v>9.388791000000003</v>
      </c>
      <c r="K920" s="125">
        <f>MAX(0,MIN(100,SIM_Districts!I68+(2028-2023)*SIM_Parametres!$B$10))</f>
        <v>100</v>
      </c>
      <c r="L920" s="125">
        <f>SIM_Districts!E68</f>
        <v>793</v>
      </c>
      <c r="M920" s="61">
        <f t="shared" si="530"/>
        <v>339.7126221763354</v>
      </c>
      <c r="N920" s="125">
        <f>N849*(1+SIM_Parametres!$B$6)/(1+SIM_Parametres!$B$11)</f>
        <v>153373</v>
      </c>
      <c r="O920" s="3"/>
      <c r="P920" s="126">
        <f>SIM_Parametres!$D$34</f>
        <v>1</v>
      </c>
      <c r="Q920" s="126">
        <f>SIM_Parametres!$B$12</f>
        <v>0.2</v>
      </c>
      <c r="R920" s="66">
        <f t="shared" ref="R920:R926" si="537">IFERROR(G920/SUM($G$856:$G$926),1/71)</f>
        <v>1.2819983771725512E-2</v>
      </c>
      <c r="S920" s="66">
        <f t="shared" ref="S920:S926" si="538">IF(MAX($H$856:$H$926)=MIN($H$856:$H$926),1,(H920-MIN($H$856:$H$926))/(MAX($H$856:$H$926)-MIN($H$856:$H$926)))</f>
        <v>0.36524822695035453</v>
      </c>
      <c r="T920" s="66">
        <f t="shared" ref="T920:T926" si="539">(IF(MAX($I$856:$I$926)=MIN($I$856:$I$926),1,(I920-MIN($I$856:$I$926))/(MAX($I$856:$I$926)-MIN($I$856:$I$926)))+IF(MAX($J$856:$J$926)=MIN($J$856:$J$926),1,(J920-MIN($J$856:$J$926))/(MAX($J$856:$J$926)-MIN($J$856:$J$926))))/2</f>
        <v>0.65469613259668513</v>
      </c>
      <c r="U920" s="66">
        <f t="shared" ref="U920:U926" si="540">(IF(MAX($L$856:$L$926)=MIN($L$856:$L$926),1,(L920-MIN($L$856:$L$926))/(MAX($L$856:$L$926)-MIN($L$856:$L$926)))+IF(MAX($M$856:$M$926)=MIN($M$856:$M$926),1,(MAX($M$856:$M$926)-M920)/(MAX($M$856:$M$926)-MIN($M$856:$M$926))))/2</f>
        <v>0.52305332187907927</v>
      </c>
      <c r="V920" s="66">
        <f t="shared" ref="V920:V926" si="541">IF(MAX($N$856:$N$926)=MIN($N$856:$N$926),1,(N920-MIN($N$856:$N$926))/(MAX($N$856:$N$926)-MIN($N$856:$N$926)))</f>
        <v>0.65207282116061327</v>
      </c>
      <c r="W920" s="66">
        <f t="shared" ref="W920:W926" si="542">IFERROR(S920/SUM($S$856:$S$926),1/71)</f>
        <v>8.708518283660956E-3</v>
      </c>
      <c r="X920" s="66">
        <f t="shared" ref="X920:X926" si="543">IFERROR(T920/SUM($T$856:$T$926),1/71)</f>
        <v>1.2955775433225826E-2</v>
      </c>
      <c r="Y920" s="66">
        <f t="shared" ref="Y920:Y926" si="544">IFERROR(U920/SUM($U$856:$U$926),1/71)</f>
        <v>1.3363860410583092E-2</v>
      </c>
      <c r="Z920" s="66">
        <f t="shared" ref="Z920:Z926" si="545">IFERROR(V920/SUM($V$856:$V$926),1/71)</f>
        <v>2.3933256909947777E-2</v>
      </c>
      <c r="AA920" s="66">
        <f t="shared" si="531"/>
        <v>1.2806490186594867E-2</v>
      </c>
      <c r="AB920" s="66">
        <f t="shared" ref="AB920:AB926" si="546">IFERROR(AH849/SUM($AH$785:$AH$855),1/71)</f>
        <v>1.3169162266110363E-2</v>
      </c>
      <c r="AC920" s="67">
        <f t="shared" si="532"/>
        <v>21303782.03659717</v>
      </c>
      <c r="AD920" s="67">
        <f t="shared" si="519"/>
        <v>21303782.03659717</v>
      </c>
      <c r="AE920" s="66">
        <f t="shared" si="535"/>
        <v>2.3609572057867512E-2</v>
      </c>
      <c r="AF920" s="64">
        <f t="shared" ref="AF920:AF983" si="547">AD920</f>
        <v>21303782.03659717</v>
      </c>
      <c r="AG920" s="64">
        <v>1</v>
      </c>
      <c r="AH920" s="64">
        <f t="shared" ref="AH920:AH983" si="548">AF920</f>
        <v>21303782.03659717</v>
      </c>
      <c r="AI920" s="67">
        <f t="shared" si="533"/>
        <v>79.080942961417833</v>
      </c>
      <c r="AJ920" s="67">
        <f t="shared" si="534"/>
        <v>-174625.02593992278</v>
      </c>
      <c r="AK920" s="66">
        <f t="shared" si="536"/>
        <v>2.3609572057867512E-2</v>
      </c>
    </row>
    <row r="921" spans="1:37" ht="12" customHeight="1" x14ac:dyDescent="0.25">
      <c r="A921" s="134" t="s">
        <v>666</v>
      </c>
      <c r="B921" s="134" t="s">
        <v>452</v>
      </c>
      <c r="C921" s="134" t="s">
        <v>452</v>
      </c>
      <c r="D921" s="128">
        <v>2028</v>
      </c>
      <c r="E921" s="134" t="s">
        <v>676</v>
      </c>
      <c r="F921" s="57">
        <f>SIM_Parametres!$C$34</f>
        <v>1630962291.1861155</v>
      </c>
      <c r="G921" s="129">
        <f>SIM_Districts!D69*(1+SIM_Parametres!$B$6)^(2028-2023)</f>
        <v>718278.10151775985</v>
      </c>
      <c r="H921" s="129">
        <f>MAX(0,MIN(100,SIM_Districts!F69+(2028-2022)*SIM_Parametres!$B$7))</f>
        <v>24.919999999999998</v>
      </c>
      <c r="I921" s="129">
        <f>SIM_Districts!G69*(1+SIM_Parametres!$B$8)^(2028-2023)</f>
        <v>29.356160895999995</v>
      </c>
      <c r="J921" s="129">
        <f>SIM_Districts!H69*(1+SIM_Parametres!$B$9)^(2028-2023)</f>
        <v>9.388791000000003</v>
      </c>
      <c r="K921" s="129">
        <f>MAX(0,MIN(100,SIM_Districts!I69+(2028-2023)*SIM_Parametres!$B$10))</f>
        <v>100</v>
      </c>
      <c r="L921" s="129">
        <f>SIM_Districts!E69</f>
        <v>503</v>
      </c>
      <c r="M921" s="68">
        <f t="shared" si="530"/>
        <v>1427.9882733951488</v>
      </c>
      <c r="N921" s="129">
        <f>N850*(1+SIM_Parametres!$B$6)/(1+SIM_Parametres!$B$11)</f>
        <v>153373</v>
      </c>
      <c r="O921" s="135"/>
      <c r="P921" s="130">
        <f>SIM_Parametres!$D$34</f>
        <v>1</v>
      </c>
      <c r="Q921" s="130">
        <f>SIM_Parametres!$B$12</f>
        <v>0.2</v>
      </c>
      <c r="R921" s="59">
        <f t="shared" si="537"/>
        <v>3.4181823758820576E-2</v>
      </c>
      <c r="S921" s="59">
        <f t="shared" si="538"/>
        <v>0.36524822695035453</v>
      </c>
      <c r="T921" s="59">
        <f t="shared" si="539"/>
        <v>0.65469613259668513</v>
      </c>
      <c r="U921" s="59">
        <f t="shared" si="540"/>
        <v>0.49973089584614422</v>
      </c>
      <c r="V921" s="59">
        <f t="shared" si="541"/>
        <v>0.65207282116061327</v>
      </c>
      <c r="W921" s="59">
        <f t="shared" si="542"/>
        <v>8.708518283660956E-3</v>
      </c>
      <c r="X921" s="59">
        <f t="shared" si="543"/>
        <v>1.2955775433225826E-2</v>
      </c>
      <c r="Y921" s="59">
        <f t="shared" si="544"/>
        <v>1.2767979201339289E-2</v>
      </c>
      <c r="Z921" s="59">
        <f t="shared" si="545"/>
        <v>2.3933256909947777E-2</v>
      </c>
      <c r="AA921" s="59">
        <f t="shared" si="531"/>
        <v>2.5593800118389715E-2</v>
      </c>
      <c r="AB921" s="59">
        <f t="shared" si="546"/>
        <v>2.008677923734176E-2</v>
      </c>
      <c r="AC921" s="60">
        <f t="shared" si="532"/>
        <v>37988278.28017085</v>
      </c>
      <c r="AD921" s="60">
        <f t="shared" ref="AD921:AD984" si="549">F921*((1-P921)*AB921+P921*(Q921/71+(1-Q921)*AA921))</f>
        <v>37988278.28017085</v>
      </c>
      <c r="AE921" s="59">
        <f t="shared" si="535"/>
        <v>0.19667186796068536</v>
      </c>
      <c r="AF921" s="57">
        <f t="shared" si="547"/>
        <v>37988278.28017085</v>
      </c>
      <c r="AG921" s="57">
        <v>1</v>
      </c>
      <c r="AH921" s="57">
        <f t="shared" si="548"/>
        <v>37988278.28017085</v>
      </c>
      <c r="AI921" s="60">
        <f t="shared" si="533"/>
        <v>52.887980574515076</v>
      </c>
      <c r="AJ921" s="60">
        <f t="shared" si="534"/>
        <v>5227498.7926862389</v>
      </c>
      <c r="AK921" s="59">
        <f t="shared" si="536"/>
        <v>0.19667186796068536</v>
      </c>
    </row>
    <row r="922" spans="1:37" ht="12" customHeight="1" x14ac:dyDescent="0.25">
      <c r="A922" s="133" t="s">
        <v>667</v>
      </c>
      <c r="B922" s="133" t="s">
        <v>452</v>
      </c>
      <c r="C922" s="133" t="s">
        <v>460</v>
      </c>
      <c r="D922" s="124">
        <v>2028</v>
      </c>
      <c r="E922" s="133" t="s">
        <v>676</v>
      </c>
      <c r="F922" s="64">
        <f>SIM_Parametres!$C$34</f>
        <v>1630962291.1861155</v>
      </c>
      <c r="G922" s="125">
        <f>SIM_Districts!D70*(1+SIM_Parametres!$B$6)^(2028-2023)</f>
        <v>502933.66802394041</v>
      </c>
      <c r="H922" s="125">
        <f>MAX(0,MIN(100,SIM_Districts!F70+(2028-2022)*SIM_Parametres!$B$7))</f>
        <v>24.919999999999998</v>
      </c>
      <c r="I922" s="125">
        <f>SIM_Districts!G70*(1+SIM_Parametres!$B$8)^(2028-2023)</f>
        <v>29.356160895999995</v>
      </c>
      <c r="J922" s="125">
        <f>SIM_Districts!H70*(1+SIM_Parametres!$B$9)^(2028-2023)</f>
        <v>9.388791000000003</v>
      </c>
      <c r="K922" s="125">
        <f>MAX(0,MIN(100,SIM_Districts!I70+(2028-2023)*SIM_Parametres!$B$10))</f>
        <v>100</v>
      </c>
      <c r="L922" s="125">
        <f>SIM_Districts!E70</f>
        <v>1739</v>
      </c>
      <c r="M922" s="61">
        <f t="shared" si="530"/>
        <v>289.20854975499736</v>
      </c>
      <c r="N922" s="125">
        <f>N851*(1+SIM_Parametres!$B$6)/(1+SIM_Parametres!$B$11)</f>
        <v>153373</v>
      </c>
      <c r="O922" s="3"/>
      <c r="P922" s="126">
        <f>SIM_Parametres!$D$34</f>
        <v>1</v>
      </c>
      <c r="Q922" s="126">
        <f>SIM_Parametres!$B$12</f>
        <v>0.2</v>
      </c>
      <c r="R922" s="66">
        <f t="shared" si="537"/>
        <v>2.3933891297041644E-2</v>
      </c>
      <c r="S922" s="66">
        <f t="shared" si="538"/>
        <v>0.36524822695035453</v>
      </c>
      <c r="T922" s="66">
        <f t="shared" si="539"/>
        <v>0.65469613259668513</v>
      </c>
      <c r="U922" s="66">
        <f t="shared" si="540"/>
        <v>0.55643930835847477</v>
      </c>
      <c r="V922" s="66">
        <f t="shared" si="541"/>
        <v>0.65207282116061327</v>
      </c>
      <c r="W922" s="66">
        <f t="shared" si="542"/>
        <v>8.708518283660956E-3</v>
      </c>
      <c r="X922" s="66">
        <f t="shared" si="543"/>
        <v>1.2955775433225826E-2</v>
      </c>
      <c r="Y922" s="66">
        <f t="shared" si="544"/>
        <v>1.4216862665453392E-2</v>
      </c>
      <c r="Z922" s="66">
        <f t="shared" si="545"/>
        <v>2.3933256909947777E-2</v>
      </c>
      <c r="AA922" s="66">
        <f t="shared" si="531"/>
        <v>1.9517484814528061E-2</v>
      </c>
      <c r="AB922" s="66">
        <f t="shared" si="546"/>
        <v>1.7677909742222706E-2</v>
      </c>
      <c r="AC922" s="67">
        <f t="shared" si="532"/>
        <v>30060085.37620648</v>
      </c>
      <c r="AD922" s="67">
        <f t="shared" si="549"/>
        <v>30060085.37620648</v>
      </c>
      <c r="AE922" s="66">
        <f t="shared" si="535"/>
        <v>7.5957395062701272E-2</v>
      </c>
      <c r="AF922" s="64">
        <f t="shared" si="547"/>
        <v>30060085.37620648</v>
      </c>
      <c r="AG922" s="64">
        <v>1</v>
      </c>
      <c r="AH922" s="64">
        <f t="shared" si="548"/>
        <v>30060085.37620648</v>
      </c>
      <c r="AI922" s="67">
        <f t="shared" si="533"/>
        <v>59.769483109600799</v>
      </c>
      <c r="AJ922" s="67">
        <f t="shared" si="534"/>
        <v>1228081.1996495835</v>
      </c>
      <c r="AK922" s="66">
        <f t="shared" si="536"/>
        <v>7.5957395062701272E-2</v>
      </c>
    </row>
    <row r="923" spans="1:37" ht="12" customHeight="1" x14ac:dyDescent="0.25">
      <c r="A923" s="134" t="s">
        <v>668</v>
      </c>
      <c r="B923" s="134" t="s">
        <v>461</v>
      </c>
      <c r="C923" s="134" t="s">
        <v>463</v>
      </c>
      <c r="D923" s="128">
        <v>2028</v>
      </c>
      <c r="E923" s="134" t="s">
        <v>676</v>
      </c>
      <c r="F923" s="57">
        <f>SIM_Parametres!$C$34</f>
        <v>1630962291.1861155</v>
      </c>
      <c r="G923" s="129">
        <f>SIM_Districts!D71*(1+SIM_Parametres!$B$6)^(2028-2023)</f>
        <v>185110.56563607536</v>
      </c>
      <c r="H923" s="129">
        <f>MAX(0,MIN(100,SIM_Districts!F71+(2028-2022)*SIM_Parametres!$B$7))</f>
        <v>43.32</v>
      </c>
      <c r="I923" s="129">
        <f>SIM_Districts!G71*(1+SIM_Parametres!$B$8)^(2028-2023)</f>
        <v>29.356160895999995</v>
      </c>
      <c r="J923" s="129">
        <f>SIM_Districts!H71*(1+SIM_Parametres!$B$9)^(2028-2023)</f>
        <v>6.082047000000002</v>
      </c>
      <c r="K923" s="129">
        <f>MAX(0,MIN(100,SIM_Districts!I71+(2028-2023)*SIM_Parametres!$B$10))</f>
        <v>100</v>
      </c>
      <c r="L923" s="129">
        <f>SIM_Districts!E71</f>
        <v>2537</v>
      </c>
      <c r="M923" s="68">
        <f t="shared" si="530"/>
        <v>72.964353817924859</v>
      </c>
      <c r="N923" s="129">
        <f>N852*(1+SIM_Parametres!$B$6)/(1+SIM_Parametres!$B$11)</f>
        <v>69419</v>
      </c>
      <c r="O923" s="135"/>
      <c r="P923" s="130">
        <f>SIM_Parametres!$D$34</f>
        <v>1</v>
      </c>
      <c r="Q923" s="130">
        <f>SIM_Parametres!$B$12</f>
        <v>0.2</v>
      </c>
      <c r="R923" s="59">
        <f t="shared" si="537"/>
        <v>8.8091460913227743E-3</v>
      </c>
      <c r="S923" s="59">
        <f t="shared" si="538"/>
        <v>0.6914893617021276</v>
      </c>
      <c r="T923" s="59">
        <f t="shared" si="539"/>
        <v>0.5</v>
      </c>
      <c r="U923" s="59">
        <f t="shared" si="540"/>
        <v>0.58672050041788648</v>
      </c>
      <c r="V923" s="59">
        <f t="shared" si="541"/>
        <v>6.9378604793203735E-2</v>
      </c>
      <c r="W923" s="59">
        <f t="shared" si="542"/>
        <v>1.6487000634115404E-2</v>
      </c>
      <c r="X923" s="59">
        <f t="shared" si="543"/>
        <v>9.8944951620838582E-3</v>
      </c>
      <c r="Y923" s="59">
        <f t="shared" si="544"/>
        <v>1.4990538324933458E-2</v>
      </c>
      <c r="Z923" s="59">
        <f t="shared" si="545"/>
        <v>2.5464272067252584E-3</v>
      </c>
      <c r="AA923" s="59">
        <f t="shared" si="531"/>
        <v>1.0119560300806489E-2</v>
      </c>
      <c r="AB923" s="59">
        <f t="shared" si="546"/>
        <v>1.5541715430402831E-2</v>
      </c>
      <c r="AC923" s="60">
        <f t="shared" si="532"/>
        <v>17797956.978371684</v>
      </c>
      <c r="AD923" s="60">
        <f t="shared" si="549"/>
        <v>17797956.978371684</v>
      </c>
      <c r="AE923" s="59">
        <f t="shared" si="535"/>
        <v>-0.27538557192749569</v>
      </c>
      <c r="AF923" s="57">
        <f t="shared" si="547"/>
        <v>17797956.978371684</v>
      </c>
      <c r="AG923" s="57">
        <v>1</v>
      </c>
      <c r="AH923" s="57">
        <f t="shared" si="548"/>
        <v>17797956.978371684</v>
      </c>
      <c r="AI923" s="60">
        <f t="shared" si="533"/>
        <v>96.147709976545613</v>
      </c>
      <c r="AJ923" s="60">
        <f t="shared" si="534"/>
        <v>-7549994.8289607242</v>
      </c>
      <c r="AK923" s="59">
        <f t="shared" si="536"/>
        <v>-0.27538557192749569</v>
      </c>
    </row>
    <row r="924" spans="1:37" ht="12" customHeight="1" x14ac:dyDescent="0.25">
      <c r="A924" s="133" t="s">
        <v>670</v>
      </c>
      <c r="B924" s="133" t="s">
        <v>461</v>
      </c>
      <c r="C924" s="133" t="s">
        <v>464</v>
      </c>
      <c r="D924" s="124">
        <v>2028</v>
      </c>
      <c r="E924" s="133" t="s">
        <v>676</v>
      </c>
      <c r="F924" s="64">
        <f>SIM_Parametres!$C$34</f>
        <v>1630962291.1861155</v>
      </c>
      <c r="G924" s="125">
        <f>SIM_Districts!D72*(1+SIM_Parametres!$B$6)^(2028-2023)</f>
        <v>113051.24845166168</v>
      </c>
      <c r="H924" s="125">
        <f>MAX(0,MIN(100,SIM_Districts!F72+(2028-2022)*SIM_Parametres!$B$7))</f>
        <v>43.32</v>
      </c>
      <c r="I924" s="125">
        <f>SIM_Districts!G72*(1+SIM_Parametres!$B$8)^(2028-2023)</f>
        <v>29.356160895999995</v>
      </c>
      <c r="J924" s="125">
        <f>SIM_Districts!H72*(1+SIM_Parametres!$B$9)^(2028-2023)</f>
        <v>6.082047000000002</v>
      </c>
      <c r="K924" s="125">
        <f>MAX(0,MIN(100,SIM_Districts!I72+(2028-2023)*SIM_Parametres!$B$10))</f>
        <v>100</v>
      </c>
      <c r="L924" s="125">
        <f>SIM_Districts!E72</f>
        <v>1893</v>
      </c>
      <c r="M924" s="61">
        <f t="shared" si="530"/>
        <v>59.720680640074846</v>
      </c>
      <c r="N924" s="125">
        <f>N853*(1+SIM_Parametres!$B$6)/(1+SIM_Parametres!$B$11)</f>
        <v>69419</v>
      </c>
      <c r="O924" s="3"/>
      <c r="P924" s="126">
        <f>SIM_Parametres!$D$34</f>
        <v>1</v>
      </c>
      <c r="Q924" s="126">
        <f>SIM_Parametres!$B$12</f>
        <v>0.2</v>
      </c>
      <c r="R924" s="66">
        <f t="shared" si="537"/>
        <v>5.3799466280871856E-3</v>
      </c>
      <c r="S924" s="66">
        <f t="shared" si="538"/>
        <v>0.6914893617021276</v>
      </c>
      <c r="T924" s="66">
        <f t="shared" si="539"/>
        <v>0.5</v>
      </c>
      <c r="U924" s="66">
        <f t="shared" si="540"/>
        <v>0.56457363162952034</v>
      </c>
      <c r="V924" s="66">
        <f t="shared" si="541"/>
        <v>6.9378604793203735E-2</v>
      </c>
      <c r="W924" s="66">
        <f t="shared" si="542"/>
        <v>1.6487000634115404E-2</v>
      </c>
      <c r="X924" s="66">
        <f t="shared" si="543"/>
        <v>9.8944951620838582E-3</v>
      </c>
      <c r="Y924" s="66">
        <f t="shared" si="544"/>
        <v>1.4424692261752069E-2</v>
      </c>
      <c r="Z924" s="66">
        <f t="shared" si="545"/>
        <v>2.5464272067252584E-3</v>
      </c>
      <c r="AA924" s="66">
        <f t="shared" si="531"/>
        <v>8.0337483197060657E-3</v>
      </c>
      <c r="AB924" s="66">
        <f t="shared" si="546"/>
        <v>1.053395138665607E-2</v>
      </c>
      <c r="AC924" s="67">
        <f t="shared" si="532"/>
        <v>15076452.428228486</v>
      </c>
      <c r="AD924" s="67">
        <f t="shared" si="549"/>
        <v>15076452.428228486</v>
      </c>
      <c r="AE924" s="66">
        <f t="shared" si="535"/>
        <v>-9.4384954314966962E-2</v>
      </c>
      <c r="AF924" s="64">
        <f t="shared" si="547"/>
        <v>15076452.428228486</v>
      </c>
      <c r="AG924" s="64">
        <v>1</v>
      </c>
      <c r="AH924" s="64">
        <f t="shared" si="548"/>
        <v>15076452.428228486</v>
      </c>
      <c r="AI924" s="67">
        <f t="shared" si="533"/>
        <v>133.35945099867567</v>
      </c>
      <c r="AJ924" s="67">
        <f t="shared" si="534"/>
        <v>-2104025.0605952553</v>
      </c>
      <c r="AK924" s="66">
        <f t="shared" si="536"/>
        <v>-9.4384954314966962E-2</v>
      </c>
    </row>
    <row r="925" spans="1:37" ht="12" customHeight="1" x14ac:dyDescent="0.25">
      <c r="A925" s="134" t="s">
        <v>671</v>
      </c>
      <c r="B925" s="134" t="s">
        <v>461</v>
      </c>
      <c r="C925" s="134" t="s">
        <v>465</v>
      </c>
      <c r="D925" s="128">
        <v>2028</v>
      </c>
      <c r="E925" s="134" t="s">
        <v>676</v>
      </c>
      <c r="F925" s="57">
        <f>SIM_Parametres!$C$34</f>
        <v>1630962291.1861155</v>
      </c>
      <c r="G925" s="129">
        <f>SIM_Districts!D73*(1+SIM_Parametres!$B$6)^(2028-2023)</f>
        <v>68076.051465118886</v>
      </c>
      <c r="H925" s="129">
        <f>MAX(0,MIN(100,SIM_Districts!F73+(2028-2022)*SIM_Parametres!$B$7))</f>
        <v>43.32</v>
      </c>
      <c r="I925" s="129">
        <f>SIM_Districts!G73*(1+SIM_Parametres!$B$8)^(2028-2023)</f>
        <v>29.356160895999995</v>
      </c>
      <c r="J925" s="129">
        <f>SIM_Districts!H73*(1+SIM_Parametres!$B$9)^(2028-2023)</f>
        <v>6.082047000000002</v>
      </c>
      <c r="K925" s="129">
        <f>MAX(0,MIN(100,SIM_Districts!I73+(2028-2023)*SIM_Parametres!$B$10))</f>
        <v>100</v>
      </c>
      <c r="L925" s="129">
        <f>SIM_Districts!E73</f>
        <v>877</v>
      </c>
      <c r="M925" s="68">
        <f t="shared" si="530"/>
        <v>77.623775900933737</v>
      </c>
      <c r="N925" s="129">
        <f>N854*(1+SIM_Parametres!$B$6)/(1+SIM_Parametres!$B$11)</f>
        <v>69419</v>
      </c>
      <c r="O925" s="135"/>
      <c r="P925" s="130">
        <f>SIM_Parametres!$D$34</f>
        <v>1</v>
      </c>
      <c r="Q925" s="130">
        <f>SIM_Parametres!$B$12</f>
        <v>0.2</v>
      </c>
      <c r="R925" s="59">
        <f t="shared" si="537"/>
        <v>3.239641565655552E-3</v>
      </c>
      <c r="S925" s="59">
        <f t="shared" si="538"/>
        <v>0.6914893617021276</v>
      </c>
      <c r="T925" s="59">
        <f t="shared" si="539"/>
        <v>0.5</v>
      </c>
      <c r="U925" s="59">
        <f t="shared" si="540"/>
        <v>0.52916053895252124</v>
      </c>
      <c r="V925" s="59">
        <f t="shared" si="541"/>
        <v>6.9378604793203735E-2</v>
      </c>
      <c r="W925" s="59">
        <f t="shared" si="542"/>
        <v>1.6487000634115404E-2</v>
      </c>
      <c r="X925" s="59">
        <f t="shared" si="543"/>
        <v>9.8944951620838582E-3</v>
      </c>
      <c r="Y925" s="59">
        <f t="shared" si="544"/>
        <v>1.3519898032471051E-2</v>
      </c>
      <c r="Z925" s="59">
        <f t="shared" si="545"/>
        <v>2.5464272067252584E-3</v>
      </c>
      <c r="AA925" s="59">
        <f t="shared" si="531"/>
        <v>6.7043255707830368E-3</v>
      </c>
      <c r="AB925" s="59">
        <f t="shared" si="546"/>
        <v>1.1726764316508894E-2</v>
      </c>
      <c r="AC925" s="60">
        <f t="shared" si="532"/>
        <v>13341861.730197728</v>
      </c>
      <c r="AD925" s="60">
        <f t="shared" si="549"/>
        <v>13341861.730197728</v>
      </c>
      <c r="AE925" s="59">
        <f t="shared" si="535"/>
        <v>-0.28009694601990109</v>
      </c>
      <c r="AF925" s="57">
        <f t="shared" si="547"/>
        <v>13341861.730197728</v>
      </c>
      <c r="AG925" s="57">
        <v>1</v>
      </c>
      <c r="AH925" s="57">
        <f t="shared" si="548"/>
        <v>13341861.730197728</v>
      </c>
      <c r="AI925" s="60">
        <f t="shared" si="533"/>
        <v>195.98465896680113</v>
      </c>
      <c r="AJ925" s="60">
        <f t="shared" si="534"/>
        <v>-5784048.6676551998</v>
      </c>
      <c r="AK925" s="59">
        <f t="shared" si="536"/>
        <v>-0.28009694601990109</v>
      </c>
    </row>
    <row r="926" spans="1:37" ht="12" customHeight="1" x14ac:dyDescent="0.25">
      <c r="A926" s="133" t="s">
        <v>672</v>
      </c>
      <c r="B926" s="133" t="s">
        <v>461</v>
      </c>
      <c r="C926" s="133" t="s">
        <v>461</v>
      </c>
      <c r="D926" s="124">
        <v>2028</v>
      </c>
      <c r="E926" s="133" t="s">
        <v>676</v>
      </c>
      <c r="F926" s="64">
        <f>SIM_Parametres!$C$34</f>
        <v>1630962291.1861155</v>
      </c>
      <c r="G926" s="125">
        <f>SIM_Districts!D74*(1+SIM_Parametres!$B$6)^(2028-2023)</f>
        <v>349691.54669037205</v>
      </c>
      <c r="H926" s="125">
        <f>MAX(0,MIN(100,SIM_Districts!F74+(2028-2022)*SIM_Parametres!$B$7))</f>
        <v>43.32</v>
      </c>
      <c r="I926" s="125">
        <f>SIM_Districts!G74*(1+SIM_Parametres!$B$8)^(2028-2023)</f>
        <v>29.356160895999995</v>
      </c>
      <c r="J926" s="125">
        <f>SIM_Districts!H74*(1+SIM_Parametres!$B$9)^(2028-2023)</f>
        <v>6.082047000000002</v>
      </c>
      <c r="K926" s="125">
        <f>MAX(0,MIN(100,SIM_Districts!I74+(2028-2023)*SIM_Parametres!$B$10))</f>
        <v>100</v>
      </c>
      <c r="L926" s="125">
        <f>SIM_Districts!E74</f>
        <v>1136</v>
      </c>
      <c r="M926" s="61">
        <f t="shared" si="530"/>
        <v>307.82706574856695</v>
      </c>
      <c r="N926" s="125">
        <f>N855*(1+SIM_Parametres!$B$6)/(1+SIM_Parametres!$B$11)</f>
        <v>69419</v>
      </c>
      <c r="O926" s="3"/>
      <c r="P926" s="126">
        <f>SIM_Parametres!$D$34</f>
        <v>1</v>
      </c>
      <c r="Q926" s="126">
        <f>SIM_Parametres!$B$12</f>
        <v>0.2</v>
      </c>
      <c r="R926" s="66">
        <f t="shared" si="537"/>
        <v>1.6641318722737265E-2</v>
      </c>
      <c r="S926" s="66">
        <f t="shared" si="538"/>
        <v>0.6914893617021276</v>
      </c>
      <c r="T926" s="66">
        <f t="shared" si="539"/>
        <v>0.5</v>
      </c>
      <c r="U926" s="66">
        <f t="shared" si="540"/>
        <v>0.53532398626606015</v>
      </c>
      <c r="V926" s="66">
        <f t="shared" si="541"/>
        <v>6.9378604793203735E-2</v>
      </c>
      <c r="W926" s="66">
        <f t="shared" si="542"/>
        <v>1.6487000634115404E-2</v>
      </c>
      <c r="X926" s="66">
        <f t="shared" si="543"/>
        <v>9.8944951620838582E-3</v>
      </c>
      <c r="Y926" s="66">
        <f t="shared" si="544"/>
        <v>1.3677372320656833E-2</v>
      </c>
      <c r="Z926" s="66">
        <f t="shared" si="545"/>
        <v>2.5464272067252584E-3</v>
      </c>
      <c r="AA926" s="66">
        <f t="shared" si="531"/>
        <v>1.4753205579441353E-2</v>
      </c>
      <c r="AB926" s="66">
        <f t="shared" si="546"/>
        <v>1.4994352361825678E-2</v>
      </c>
      <c r="AC926" s="67">
        <f t="shared" si="532"/>
        <v>23843797.554520518</v>
      </c>
      <c r="AD926" s="67">
        <f t="shared" si="549"/>
        <v>23843797.554520518</v>
      </c>
      <c r="AE926" s="66">
        <f t="shared" si="535"/>
        <v>6.1980948452855511E-3</v>
      </c>
      <c r="AF926" s="64">
        <f t="shared" si="547"/>
        <v>23843797.554520518</v>
      </c>
      <c r="AG926" s="64">
        <v>1</v>
      </c>
      <c r="AH926" s="64">
        <f t="shared" si="548"/>
        <v>23843797.554520518</v>
      </c>
      <c r="AI926" s="67">
        <f t="shared" si="533"/>
        <v>68.185227181463929</v>
      </c>
      <c r="AJ926" s="67">
        <f t="shared" si="534"/>
        <v>-611425.72837463394</v>
      </c>
      <c r="AK926" s="66">
        <f t="shared" si="536"/>
        <v>6.1980948452855511E-3</v>
      </c>
    </row>
    <row r="927" spans="1:37" ht="12" customHeight="1" x14ac:dyDescent="0.25">
      <c r="A927" s="134" t="s">
        <v>587</v>
      </c>
      <c r="B927" s="134" t="s">
        <v>376</v>
      </c>
      <c r="C927" s="134" t="s">
        <v>379</v>
      </c>
      <c r="D927" s="128">
        <v>2029</v>
      </c>
      <c r="E927" s="134" t="s">
        <v>676</v>
      </c>
      <c r="F927" s="57">
        <f>SIM_Parametres!$C$35</f>
        <v>1683153084.5040712</v>
      </c>
      <c r="G927" s="129">
        <f>SIM_Districts!D4*(1+SIM_Parametres!$B$6)^(2029-2023)</f>
        <v>542055.56268919434</v>
      </c>
      <c r="H927" s="129">
        <f>MAX(0,MIN(100,SIM_Districts!F4+(2029-2022)*SIM_Parametres!$B$7))</f>
        <v>3.4900000000000011</v>
      </c>
      <c r="I927" s="129">
        <f>SIM_Districts!G4*(1+SIM_Parametres!$B$8)^(2029-2023)</f>
        <v>27.594791242239999</v>
      </c>
      <c r="J927" s="129">
        <f>SIM_Districts!H4*(1+SIM_Parametres!$B$9)^(2029-2023)</f>
        <v>5.526986400000002</v>
      </c>
      <c r="K927" s="129">
        <f>MAX(0,MIN(100,SIM_Districts!I4+(2029-2023)*SIM_Parametres!$B$10))</f>
        <v>100</v>
      </c>
      <c r="L927" s="129">
        <f>SIM_Districts!E4</f>
        <v>13</v>
      </c>
      <c r="M927" s="68">
        <f t="shared" si="530"/>
        <v>41696.581745322641</v>
      </c>
      <c r="N927" s="129">
        <f>N856*(1+SIM_Parametres!$B$6)/(1+SIM_Parametres!$B$11)</f>
        <v>73189</v>
      </c>
      <c r="O927" s="135"/>
      <c r="P927" s="130">
        <f>SIM_Parametres!$D$35</f>
        <v>1</v>
      </c>
      <c r="Q927" s="130">
        <f>SIM_Parametres!$B$12</f>
        <v>0.2</v>
      </c>
      <c r="R927" s="59">
        <f t="shared" ref="R927:R958" si="550">IFERROR(G927/SUM($G$927:$G$997),1/71)</f>
        <v>2.5044316606264848E-2</v>
      </c>
      <c r="S927" s="59">
        <f t="shared" ref="S927:S958" si="551">IF(MAX($H$927:$H$997)=MIN($H$927:$H$997),1,(H927-MIN($H$927:$H$997))/(MAX($H$927:$H$997)-MIN($H$927:$H$997)))</f>
        <v>0</v>
      </c>
      <c r="T927" s="59">
        <f t="shared" ref="T927:T958" si="552">(IF(MAX($I$927:$I$997)=MIN($I$927:$I$997),1,(I927-MIN($I$927:$I$997))/(MAX($I$927:$I$997)-MIN($I$927:$I$997)))+IF(MAX($J$927:$J$997)=MIN($J$927:$J$997),1,(J927-MIN($J$927:$J$997))/(MAX($J$927:$J$997)-MIN($J$927:$J$997))))/2</f>
        <v>0.50276243093922657</v>
      </c>
      <c r="U927" s="59">
        <f t="shared" ref="U927:U958" si="553">(IF(MAX($L$927:$L$997)=MIN($L$927:$L$997),1,(L927-MIN($L$927:$L$997))/(MAX($L$927:$L$997)-MIN($L$927:$L$997)))+IF(MAX($M$927:$M$997)=MIN($M$927:$M$997),1,(MAX($M$927:$M$997)-M927)/(MAX($M$927:$M$997)-MIN($M$927:$M$997))))/2</f>
        <v>6.3061112543857014E-3</v>
      </c>
      <c r="V927" s="59">
        <f t="shared" ref="V927:V958" si="554">IF(MAX($N$927:$N$997)=MIN($N$927:$N$997),1,(N927-MIN($N$927:$N$997))/(MAX($N$927:$N$997)-MIN($N$927:$N$997)))</f>
        <v>9.5544805280436421E-2</v>
      </c>
      <c r="W927" s="59">
        <f t="shared" ref="W927:W958" si="555">IFERROR(S927/SUM($S$927:$S$997),1/71)</f>
        <v>0</v>
      </c>
      <c r="X927" s="59">
        <f t="shared" ref="X927:X958" si="556">IFERROR(T927/SUM($T$927:$T$997),1/71)</f>
        <v>9.9491608812113941E-3</v>
      </c>
      <c r="Y927" s="59">
        <f t="shared" ref="Y927:Y958" si="557">IFERROR(U927/SUM($U$927:$U$997),1/71)</f>
        <v>1.6111931042606058E-4</v>
      </c>
      <c r="Z927" s="59">
        <f t="shared" ref="Z927:Z958" si="558">IFERROR(V927/SUM($V$927:$V$997),1/71)</f>
        <v>3.506814418545408E-3</v>
      </c>
      <c r="AA927" s="59">
        <f t="shared" si="531"/>
        <v>1.6702360782389188E-2</v>
      </c>
      <c r="AB927" s="59">
        <f t="shared" ref="AB927:AB958" si="559">IFERROR(AH856/SUM($AH$856:$AH$926),1/71)</f>
        <v>1.6178790034362057E-2</v>
      </c>
      <c r="AC927" s="60">
        <f t="shared" si="532"/>
        <v>27231380.349880226</v>
      </c>
      <c r="AD927" s="60">
        <f t="shared" si="549"/>
        <v>27231380.349880226</v>
      </c>
      <c r="AE927" s="59">
        <f t="shared" si="535"/>
        <v>3.1999999999999806E-2</v>
      </c>
      <c r="AF927" s="57">
        <f t="shared" si="547"/>
        <v>27231380.349880226</v>
      </c>
      <c r="AG927" s="57">
        <v>1</v>
      </c>
      <c r="AH927" s="57">
        <f t="shared" si="548"/>
        <v>27231380.349880226</v>
      </c>
      <c r="AI927" s="60">
        <f t="shared" si="533"/>
        <v>50.237249138782929</v>
      </c>
      <c r="AJ927" s="60">
        <f t="shared" si="534"/>
        <v>0</v>
      </c>
      <c r="AK927" s="59">
        <f t="shared" si="536"/>
        <v>3.1999999999999806E-2</v>
      </c>
    </row>
    <row r="928" spans="1:37" ht="12" customHeight="1" x14ac:dyDescent="0.25">
      <c r="A928" s="133" t="s">
        <v>590</v>
      </c>
      <c r="B928" s="133" t="s">
        <v>376</v>
      </c>
      <c r="C928" s="133" t="s">
        <v>381</v>
      </c>
      <c r="D928" s="124">
        <v>2029</v>
      </c>
      <c r="E928" s="133" t="s">
        <v>676</v>
      </c>
      <c r="F928" s="64">
        <f>SIM_Parametres!$C$35</f>
        <v>1683153084.5040712</v>
      </c>
      <c r="G928" s="125">
        <f>SIM_Districts!D5*(1+SIM_Parametres!$B$6)^(2029-2023)</f>
        <v>284112.80343611026</v>
      </c>
      <c r="H928" s="125">
        <f>MAX(0,MIN(100,SIM_Districts!F5+(2029-2022)*SIM_Parametres!$B$7))</f>
        <v>3.4900000000000011</v>
      </c>
      <c r="I928" s="125">
        <f>SIM_Districts!G5*(1+SIM_Parametres!$B$8)^(2029-2023)</f>
        <v>27.594791242239999</v>
      </c>
      <c r="J928" s="125">
        <f>SIM_Districts!H5*(1+SIM_Parametres!$B$9)^(2029-2023)</f>
        <v>5.526986400000002</v>
      </c>
      <c r="K928" s="125">
        <f>MAX(0,MIN(100,SIM_Districts!I5+(2029-2023)*SIM_Parametres!$B$10))</f>
        <v>100</v>
      </c>
      <c r="L928" s="125">
        <f>SIM_Districts!E5</f>
        <v>10</v>
      </c>
      <c r="M928" s="61">
        <f t="shared" si="530"/>
        <v>28411.280343611026</v>
      </c>
      <c r="N928" s="125">
        <f>N857*(1+SIM_Parametres!$B$6)/(1+SIM_Parametres!$B$11)</f>
        <v>73189</v>
      </c>
      <c r="O928" s="3"/>
      <c r="P928" s="126">
        <f>SIM_Parametres!$D$35</f>
        <v>1</v>
      </c>
      <c r="Q928" s="126">
        <f>SIM_Parametres!$B$12</f>
        <v>0.2</v>
      </c>
      <c r="R928" s="66">
        <f t="shared" si="550"/>
        <v>1.3126718902850361E-2</v>
      </c>
      <c r="S928" s="66">
        <f t="shared" si="551"/>
        <v>0</v>
      </c>
      <c r="T928" s="66">
        <f t="shared" si="552"/>
        <v>0.50276243093922657</v>
      </c>
      <c r="U928" s="66">
        <f t="shared" si="553"/>
        <v>0.16355896203869916</v>
      </c>
      <c r="V928" s="66">
        <f t="shared" si="554"/>
        <v>9.5544805280436421E-2</v>
      </c>
      <c r="W928" s="66">
        <f t="shared" si="555"/>
        <v>0</v>
      </c>
      <c r="X928" s="66">
        <f t="shared" si="556"/>
        <v>9.9491608812113941E-3</v>
      </c>
      <c r="Y928" s="66">
        <f t="shared" si="557"/>
        <v>4.1788839610703175E-3</v>
      </c>
      <c r="Z928" s="66">
        <f t="shared" si="558"/>
        <v>3.506814418545408E-3</v>
      </c>
      <c r="AA928" s="66">
        <f t="shared" si="531"/>
        <v>9.7526903928727114E-3</v>
      </c>
      <c r="AB928" s="66">
        <f t="shared" si="559"/>
        <v>1.0619053722748876E-2</v>
      </c>
      <c r="AC928" s="67">
        <f t="shared" si="532"/>
        <v>17873493.027959209</v>
      </c>
      <c r="AD928" s="67">
        <f t="shared" si="549"/>
        <v>17873493.027959209</v>
      </c>
      <c r="AE928" s="66">
        <f t="shared" si="535"/>
        <v>3.1999999999999584E-2</v>
      </c>
      <c r="AF928" s="64">
        <f t="shared" si="547"/>
        <v>17873493.027959209</v>
      </c>
      <c r="AG928" s="64">
        <v>1</v>
      </c>
      <c r="AH928" s="64">
        <f t="shared" si="548"/>
        <v>17873493.027959209</v>
      </c>
      <c r="AI928" s="67">
        <f t="shared" si="533"/>
        <v>62.909847116335619</v>
      </c>
      <c r="AJ928" s="67">
        <f t="shared" si="534"/>
        <v>0</v>
      </c>
      <c r="AK928" s="66">
        <f t="shared" si="536"/>
        <v>3.1999999999999584E-2</v>
      </c>
    </row>
    <row r="929" spans="1:37" ht="12" customHeight="1" x14ac:dyDescent="0.25">
      <c r="A929" s="134" t="s">
        <v>591</v>
      </c>
      <c r="B929" s="134" t="s">
        <v>376</v>
      </c>
      <c r="C929" s="134" t="s">
        <v>382</v>
      </c>
      <c r="D929" s="128">
        <v>2029</v>
      </c>
      <c r="E929" s="134" t="s">
        <v>676</v>
      </c>
      <c r="F929" s="57">
        <f>SIM_Parametres!$C$35</f>
        <v>1683153084.5040712</v>
      </c>
      <c r="G929" s="129">
        <f>SIM_Districts!D6*(1+SIM_Parametres!$B$6)^(2029-2023)</f>
        <v>216536.60776634802</v>
      </c>
      <c r="H929" s="129">
        <f>MAX(0,MIN(100,SIM_Districts!F6+(2029-2022)*SIM_Parametres!$B$7))</f>
        <v>3.4900000000000011</v>
      </c>
      <c r="I929" s="129">
        <f>SIM_Districts!G6*(1+SIM_Parametres!$B$8)^(2029-2023)</f>
        <v>27.594791242239999</v>
      </c>
      <c r="J929" s="129">
        <f>SIM_Districts!H6*(1+SIM_Parametres!$B$9)^(2029-2023)</f>
        <v>5.526986400000002</v>
      </c>
      <c r="K929" s="129">
        <f>MAX(0,MIN(100,SIM_Districts!I6+(2029-2023)*SIM_Parametres!$B$10))</f>
        <v>100</v>
      </c>
      <c r="L929" s="129">
        <f>SIM_Districts!E6</f>
        <v>169</v>
      </c>
      <c r="M929" s="68">
        <f t="shared" si="530"/>
        <v>1281.2817027594558</v>
      </c>
      <c r="N929" s="129">
        <f>N858*(1+SIM_Parametres!$B$6)/(1+SIM_Parametres!$B$11)</f>
        <v>73189</v>
      </c>
      <c r="O929" s="135"/>
      <c r="P929" s="130">
        <f>SIM_Parametres!$D$35</f>
        <v>1</v>
      </c>
      <c r="Q929" s="130">
        <f>SIM_Parametres!$B$12</f>
        <v>0.2</v>
      </c>
      <c r="R929" s="59">
        <f t="shared" si="550"/>
        <v>1.0004530411684885E-2</v>
      </c>
      <c r="S929" s="59">
        <f t="shared" si="551"/>
        <v>0</v>
      </c>
      <c r="T929" s="59">
        <f t="shared" si="552"/>
        <v>0.50276243093922657</v>
      </c>
      <c r="U929" s="59">
        <f t="shared" si="553"/>
        <v>0.49040605765544509</v>
      </c>
      <c r="V929" s="59">
        <f t="shared" si="554"/>
        <v>9.5544805280436421E-2</v>
      </c>
      <c r="W929" s="59">
        <f t="shared" si="555"/>
        <v>0</v>
      </c>
      <c r="X929" s="59">
        <f t="shared" si="556"/>
        <v>9.9491608812113941E-3</v>
      </c>
      <c r="Y929" s="59">
        <f t="shared" si="557"/>
        <v>1.2529732294725463E-2</v>
      </c>
      <c r="Z929" s="59">
        <f t="shared" si="558"/>
        <v>3.506814418545408E-3</v>
      </c>
      <c r="AA929" s="59">
        <f t="shared" si="531"/>
        <v>8.2969197148561828E-3</v>
      </c>
      <c r="AB929" s="59">
        <f t="shared" si="559"/>
        <v>9.4544371803356505E-3</v>
      </c>
      <c r="AC929" s="60">
        <f t="shared" si="532"/>
        <v>15913265.102331923</v>
      </c>
      <c r="AD929" s="60">
        <f t="shared" si="549"/>
        <v>15913265.102331923</v>
      </c>
      <c r="AE929" s="59">
        <f t="shared" si="535"/>
        <v>3.1999999999999584E-2</v>
      </c>
      <c r="AF929" s="57">
        <f t="shared" si="547"/>
        <v>15913265.102331923</v>
      </c>
      <c r="AG929" s="57">
        <v>1</v>
      </c>
      <c r="AH929" s="57">
        <f t="shared" si="548"/>
        <v>15913265.102331923</v>
      </c>
      <c r="AI929" s="60">
        <f t="shared" si="533"/>
        <v>73.489952883638949</v>
      </c>
      <c r="AJ929" s="60">
        <f t="shared" si="534"/>
        <v>0</v>
      </c>
      <c r="AK929" s="59">
        <f t="shared" si="536"/>
        <v>3.1999999999999584E-2</v>
      </c>
    </row>
    <row r="930" spans="1:37" ht="12" customHeight="1" x14ac:dyDescent="0.25">
      <c r="A930" s="133" t="s">
        <v>592</v>
      </c>
      <c r="B930" s="133" t="s">
        <v>376</v>
      </c>
      <c r="C930" s="133" t="s">
        <v>383</v>
      </c>
      <c r="D930" s="124">
        <v>2029</v>
      </c>
      <c r="E930" s="133" t="s">
        <v>676</v>
      </c>
      <c r="F930" s="64">
        <f>SIM_Parametres!$C$35</f>
        <v>1683153084.5040712</v>
      </c>
      <c r="G930" s="125">
        <f>SIM_Districts!D7*(1+SIM_Parametres!$B$6)^(2029-2023)</f>
        <v>548862.85483170627</v>
      </c>
      <c r="H930" s="125">
        <f>MAX(0,MIN(100,SIM_Districts!F7+(2029-2022)*SIM_Parametres!$B$7))</f>
        <v>3.4900000000000011</v>
      </c>
      <c r="I930" s="125">
        <f>SIM_Districts!G7*(1+SIM_Parametres!$B$8)^(2029-2023)</f>
        <v>27.594791242239999</v>
      </c>
      <c r="J930" s="125">
        <f>SIM_Districts!H7*(1+SIM_Parametres!$B$9)^(2029-2023)</f>
        <v>5.526986400000002</v>
      </c>
      <c r="K930" s="125">
        <f>MAX(0,MIN(100,SIM_Districts!I7+(2029-2023)*SIM_Parametres!$B$10))</f>
        <v>100</v>
      </c>
      <c r="L930" s="125">
        <f>SIM_Districts!E7</f>
        <v>13</v>
      </c>
      <c r="M930" s="61">
        <f t="shared" si="530"/>
        <v>42220.219602438941</v>
      </c>
      <c r="N930" s="125">
        <f>N859*(1+SIM_Parametres!$B$6)/(1+SIM_Parametres!$B$11)</f>
        <v>73189</v>
      </c>
      <c r="O930" s="3"/>
      <c r="P930" s="126">
        <f>SIM_Parametres!$D$35</f>
        <v>1</v>
      </c>
      <c r="Q930" s="126">
        <f>SIM_Parametres!$B$12</f>
        <v>0.2</v>
      </c>
      <c r="R930" s="66">
        <f t="shared" si="550"/>
        <v>2.5358830452045931E-2</v>
      </c>
      <c r="S930" s="66">
        <f t="shared" si="551"/>
        <v>0</v>
      </c>
      <c r="T930" s="66">
        <f t="shared" si="552"/>
        <v>0.50276243093922657</v>
      </c>
      <c r="U930" s="66">
        <f t="shared" si="553"/>
        <v>1.0392129693778578E-4</v>
      </c>
      <c r="V930" s="66">
        <f t="shared" si="554"/>
        <v>9.5544805280436421E-2</v>
      </c>
      <c r="W930" s="66">
        <f t="shared" si="555"/>
        <v>0</v>
      </c>
      <c r="X930" s="66">
        <f t="shared" si="556"/>
        <v>9.9491608812113941E-3</v>
      </c>
      <c r="Y930" s="66">
        <f t="shared" si="557"/>
        <v>2.6551589443578546E-6</v>
      </c>
      <c r="Z930" s="66">
        <f t="shared" si="558"/>
        <v>3.506814418545408E-3</v>
      </c>
      <c r="AA930" s="66">
        <f t="shared" si="531"/>
        <v>1.6883145882283755E-2</v>
      </c>
      <c r="AB930" s="66">
        <f t="shared" si="559"/>
        <v>1.6323418114277705E-2</v>
      </c>
      <c r="AC930" s="67">
        <f t="shared" si="532"/>
        <v>27474811.548696153</v>
      </c>
      <c r="AD930" s="67">
        <f t="shared" si="549"/>
        <v>27474811.548696153</v>
      </c>
      <c r="AE930" s="66">
        <f t="shared" si="535"/>
        <v>3.1999999999999806E-2</v>
      </c>
      <c r="AF930" s="64">
        <f t="shared" si="547"/>
        <v>27474811.548696153</v>
      </c>
      <c r="AG930" s="64">
        <v>1</v>
      </c>
      <c r="AH930" s="64">
        <f t="shared" si="548"/>
        <v>27474811.548696153</v>
      </c>
      <c r="AI930" s="67">
        <f t="shared" si="533"/>
        <v>50.057698943974906</v>
      </c>
      <c r="AJ930" s="67">
        <f t="shared" si="534"/>
        <v>0</v>
      </c>
      <c r="AK930" s="66">
        <f t="shared" si="536"/>
        <v>3.1999999999999806E-2</v>
      </c>
    </row>
    <row r="931" spans="1:37" ht="12" customHeight="1" x14ac:dyDescent="0.25">
      <c r="A931" s="134" t="s">
        <v>593</v>
      </c>
      <c r="B931" s="134" t="s">
        <v>376</v>
      </c>
      <c r="C931" s="134" t="s">
        <v>384</v>
      </c>
      <c r="D931" s="128">
        <v>2029</v>
      </c>
      <c r="E931" s="134" t="s">
        <v>676</v>
      </c>
      <c r="F931" s="57">
        <f>SIM_Parametres!$C$35</f>
        <v>1683153084.5040712</v>
      </c>
      <c r="G931" s="129">
        <f>SIM_Districts!D8*(1+SIM_Parametres!$B$6)^(2029-2023)</f>
        <v>389234.77951793035</v>
      </c>
      <c r="H931" s="129">
        <f>MAX(0,MIN(100,SIM_Districts!F8+(2029-2022)*SIM_Parametres!$B$7))</f>
        <v>3.4900000000000011</v>
      </c>
      <c r="I931" s="129">
        <f>SIM_Districts!G8*(1+SIM_Parametres!$B$8)^(2029-2023)</f>
        <v>27.594791242239999</v>
      </c>
      <c r="J931" s="129">
        <f>SIM_Districts!H8*(1+SIM_Parametres!$B$9)^(2029-2023)</f>
        <v>5.526986400000002</v>
      </c>
      <c r="K931" s="129">
        <f>MAX(0,MIN(100,SIM_Districts!I8+(2029-2023)*SIM_Parametres!$B$10))</f>
        <v>100</v>
      </c>
      <c r="L931" s="129">
        <f>SIM_Districts!E8</f>
        <v>34</v>
      </c>
      <c r="M931" s="68">
        <f t="shared" si="530"/>
        <v>11448.081750527363</v>
      </c>
      <c r="N931" s="129">
        <f>N860*(1+SIM_Parametres!$B$6)/(1+SIM_Parametres!$B$11)</f>
        <v>73189</v>
      </c>
      <c r="O931" s="135"/>
      <c r="P931" s="130">
        <f>SIM_Parametres!$D$35</f>
        <v>1</v>
      </c>
      <c r="Q931" s="130">
        <f>SIM_Parametres!$B$12</f>
        <v>0.2</v>
      </c>
      <c r="R931" s="59">
        <f t="shared" si="550"/>
        <v>1.7983615930542804E-2</v>
      </c>
      <c r="S931" s="59">
        <f t="shared" si="551"/>
        <v>0</v>
      </c>
      <c r="T931" s="59">
        <f t="shared" si="552"/>
        <v>0.50276243093922657</v>
      </c>
      <c r="U931" s="59">
        <f t="shared" si="553"/>
        <v>0.36530968637307898</v>
      </c>
      <c r="V931" s="59">
        <f t="shared" si="554"/>
        <v>9.5544805280436421E-2</v>
      </c>
      <c r="W931" s="59">
        <f t="shared" si="555"/>
        <v>0</v>
      </c>
      <c r="X931" s="59">
        <f t="shared" si="556"/>
        <v>9.9491608812113941E-3</v>
      </c>
      <c r="Y931" s="59">
        <f t="shared" si="557"/>
        <v>9.3335563528881213E-3</v>
      </c>
      <c r="Z931" s="59">
        <f t="shared" si="558"/>
        <v>3.506814418545408E-3</v>
      </c>
      <c r="AA931" s="59">
        <f t="shared" si="531"/>
        <v>1.2924562229079067E-2</v>
      </c>
      <c r="AB931" s="59">
        <f t="shared" si="559"/>
        <v>1.3156551191713958E-2</v>
      </c>
      <c r="AC931" s="60">
        <f t="shared" si="532"/>
        <v>22144489.719769064</v>
      </c>
      <c r="AD931" s="60">
        <f t="shared" si="549"/>
        <v>22144489.719769064</v>
      </c>
      <c r="AE931" s="59">
        <f t="shared" si="535"/>
        <v>3.1999999999999806E-2</v>
      </c>
      <c r="AF931" s="57">
        <f t="shared" si="547"/>
        <v>22144489.719769064</v>
      </c>
      <c r="AG931" s="57">
        <v>1</v>
      </c>
      <c r="AH931" s="57">
        <f t="shared" si="548"/>
        <v>22144489.719769064</v>
      </c>
      <c r="AI931" s="60">
        <f t="shared" si="533"/>
        <v>56.892371609739371</v>
      </c>
      <c r="AJ931" s="60">
        <f t="shared" si="534"/>
        <v>0</v>
      </c>
      <c r="AK931" s="59">
        <f t="shared" si="536"/>
        <v>3.1999999999999806E-2</v>
      </c>
    </row>
    <row r="932" spans="1:37" ht="12" customHeight="1" x14ac:dyDescent="0.25">
      <c r="A932" s="133" t="s">
        <v>594</v>
      </c>
      <c r="B932" s="133" t="s">
        <v>376</v>
      </c>
      <c r="C932" s="133" t="s">
        <v>385</v>
      </c>
      <c r="D932" s="124">
        <v>2029</v>
      </c>
      <c r="E932" s="133" t="s">
        <v>676</v>
      </c>
      <c r="F932" s="64">
        <f>SIM_Parametres!$C$35</f>
        <v>1683153084.5040712</v>
      </c>
      <c r="G932" s="125">
        <f>SIM_Districts!D9*(1+SIM_Parametres!$B$6)^(2029-2023)</f>
        <v>571075.80970403517</v>
      </c>
      <c r="H932" s="125">
        <f>MAX(0,MIN(100,SIM_Districts!F9+(2029-2022)*SIM_Parametres!$B$7))</f>
        <v>3.4900000000000011</v>
      </c>
      <c r="I932" s="125">
        <f>SIM_Districts!G9*(1+SIM_Parametres!$B$8)^(2029-2023)</f>
        <v>27.594791242239999</v>
      </c>
      <c r="J932" s="125">
        <f>SIM_Districts!H9*(1+SIM_Parametres!$B$9)^(2029-2023)</f>
        <v>5.526986400000002</v>
      </c>
      <c r="K932" s="125">
        <f>MAX(0,MIN(100,SIM_Districts!I9+(2029-2023)*SIM_Parametres!$B$10))</f>
        <v>100</v>
      </c>
      <c r="L932" s="125">
        <f>SIM_Districts!E9</f>
        <v>28</v>
      </c>
      <c r="M932" s="61">
        <f t="shared" si="530"/>
        <v>20395.564632286969</v>
      </c>
      <c r="N932" s="125">
        <f>N861*(1+SIM_Parametres!$B$6)/(1+SIM_Parametres!$B$11)</f>
        <v>73189</v>
      </c>
      <c r="O932" s="3"/>
      <c r="P932" s="126">
        <f>SIM_Parametres!$D$35</f>
        <v>1</v>
      </c>
      <c r="Q932" s="126">
        <f>SIM_Parametres!$B$12</f>
        <v>0.2</v>
      </c>
      <c r="R932" s="66">
        <f t="shared" si="550"/>
        <v>2.6385124272966014E-2</v>
      </c>
      <c r="S932" s="66">
        <f t="shared" si="551"/>
        <v>0</v>
      </c>
      <c r="T932" s="66">
        <f t="shared" si="552"/>
        <v>0.50276243093922657</v>
      </c>
      <c r="U932" s="66">
        <f t="shared" si="553"/>
        <v>0.2591240430539184</v>
      </c>
      <c r="V932" s="66">
        <f t="shared" si="554"/>
        <v>9.5544805280436421E-2</v>
      </c>
      <c r="W932" s="66">
        <f t="shared" si="555"/>
        <v>0</v>
      </c>
      <c r="X932" s="66">
        <f t="shared" si="556"/>
        <v>9.9491608812113941E-3</v>
      </c>
      <c r="Y932" s="66">
        <f t="shared" si="557"/>
        <v>6.6205440163499231E-3</v>
      </c>
      <c r="Z932" s="66">
        <f t="shared" si="558"/>
        <v>3.506814418545408E-3</v>
      </c>
      <c r="AA932" s="66">
        <f t="shared" si="531"/>
        <v>1.7829816617706079E-2</v>
      </c>
      <c r="AB932" s="66">
        <f t="shared" si="559"/>
        <v>1.708075470261557E-2</v>
      </c>
      <c r="AC932" s="67">
        <f t="shared" si="532"/>
        <v>28749524.963364817</v>
      </c>
      <c r="AD932" s="67">
        <f t="shared" si="549"/>
        <v>28749524.963364817</v>
      </c>
      <c r="AE932" s="66">
        <f t="shared" si="535"/>
        <v>3.1999999999999584E-2</v>
      </c>
      <c r="AF932" s="64">
        <f t="shared" si="547"/>
        <v>28749524.963364817</v>
      </c>
      <c r="AG932" s="64">
        <v>1</v>
      </c>
      <c r="AH932" s="64">
        <f t="shared" si="548"/>
        <v>28749524.963364817</v>
      </c>
      <c r="AI932" s="67">
        <f t="shared" si="533"/>
        <v>50.34274692577943</v>
      </c>
      <c r="AJ932" s="67">
        <f t="shared" si="534"/>
        <v>0</v>
      </c>
      <c r="AK932" s="66">
        <f t="shared" si="536"/>
        <v>3.1999999999999584E-2</v>
      </c>
    </row>
    <row r="933" spans="1:37" ht="12" customHeight="1" x14ac:dyDescent="0.25">
      <c r="A933" s="134" t="s">
        <v>595</v>
      </c>
      <c r="B933" s="134" t="s">
        <v>376</v>
      </c>
      <c r="C933" s="134" t="s">
        <v>386</v>
      </c>
      <c r="D933" s="128">
        <v>2029</v>
      </c>
      <c r="E933" s="134" t="s">
        <v>676</v>
      </c>
      <c r="F933" s="57">
        <f>SIM_Parametres!$C$35</f>
        <v>1683153084.5040712</v>
      </c>
      <c r="G933" s="129">
        <f>SIM_Districts!D10*(1+SIM_Parametres!$B$6)^(2029-2023)</f>
        <v>730124.76965399447</v>
      </c>
      <c r="H933" s="129">
        <f>MAX(0,MIN(100,SIM_Districts!F10+(2029-2022)*SIM_Parametres!$B$7))</f>
        <v>3.4900000000000011</v>
      </c>
      <c r="I933" s="129">
        <f>SIM_Districts!G10*(1+SIM_Parametres!$B$8)^(2029-2023)</f>
        <v>27.594791242239999</v>
      </c>
      <c r="J933" s="129">
        <f>SIM_Districts!H10*(1+SIM_Parametres!$B$9)^(2029-2023)</f>
        <v>5.526986400000002</v>
      </c>
      <c r="K933" s="129">
        <f>MAX(0,MIN(100,SIM_Districts!I10+(2029-2023)*SIM_Parametres!$B$10))</f>
        <v>100</v>
      </c>
      <c r="L933" s="129">
        <f>SIM_Districts!E10</f>
        <v>22</v>
      </c>
      <c r="M933" s="68">
        <f t="shared" si="530"/>
        <v>33187.48952972702</v>
      </c>
      <c r="N933" s="129">
        <f>N862*(1+SIM_Parametres!$B$6)/(1+SIM_Parametres!$B$11)</f>
        <v>73189</v>
      </c>
      <c r="O933" s="135"/>
      <c r="P933" s="130">
        <f>SIM_Parametres!$D$35</f>
        <v>1</v>
      </c>
      <c r="Q933" s="130">
        <f>SIM_Parametres!$B$12</f>
        <v>0.2</v>
      </c>
      <c r="R933" s="59">
        <f t="shared" si="550"/>
        <v>3.3733582222779286E-2</v>
      </c>
      <c r="S933" s="59">
        <f t="shared" si="551"/>
        <v>0</v>
      </c>
      <c r="T933" s="59">
        <f t="shared" si="552"/>
        <v>0.50276243093922657</v>
      </c>
      <c r="U933" s="59">
        <f t="shared" si="553"/>
        <v>0.10740318997556668</v>
      </c>
      <c r="V933" s="59">
        <f t="shared" si="554"/>
        <v>9.5544805280436421E-2</v>
      </c>
      <c r="W933" s="59">
        <f t="shared" si="555"/>
        <v>0</v>
      </c>
      <c r="X933" s="59">
        <f t="shared" si="556"/>
        <v>9.9491608812113941E-3</v>
      </c>
      <c r="Y933" s="59">
        <f t="shared" si="557"/>
        <v>2.7441202998738077E-3</v>
      </c>
      <c r="Z933" s="59">
        <f t="shared" si="558"/>
        <v>3.506814418545408E-3</v>
      </c>
      <c r="AA933" s="59">
        <f t="shared" si="531"/>
        <v>2.2045070201770239E-2</v>
      </c>
      <c r="AB933" s="59">
        <f t="shared" si="559"/>
        <v>2.0452957569866898E-2</v>
      </c>
      <c r="AC933" s="60">
        <f t="shared" si="532"/>
        <v>34425458.62095236</v>
      </c>
      <c r="AD933" s="60">
        <f t="shared" si="549"/>
        <v>34425458.62095236</v>
      </c>
      <c r="AE933" s="59">
        <f t="shared" si="535"/>
        <v>3.1999999999999584E-2</v>
      </c>
      <c r="AF933" s="57">
        <f t="shared" si="547"/>
        <v>34425458.62095236</v>
      </c>
      <c r="AG933" s="57">
        <v>1</v>
      </c>
      <c r="AH933" s="57">
        <f t="shared" si="548"/>
        <v>34425458.62095236</v>
      </c>
      <c r="AI933" s="60">
        <f t="shared" si="533"/>
        <v>47.150103724417619</v>
      </c>
      <c r="AJ933" s="60">
        <f t="shared" si="534"/>
        <v>0</v>
      </c>
      <c r="AK933" s="59">
        <f t="shared" si="536"/>
        <v>3.1999999999999584E-2</v>
      </c>
    </row>
    <row r="934" spans="1:37" ht="12" customHeight="1" x14ac:dyDescent="0.25">
      <c r="A934" s="133" t="s">
        <v>596</v>
      </c>
      <c r="B934" s="133" t="s">
        <v>376</v>
      </c>
      <c r="C934" s="133" t="s">
        <v>387</v>
      </c>
      <c r="D934" s="124">
        <v>2029</v>
      </c>
      <c r="E934" s="133" t="s">
        <v>676</v>
      </c>
      <c r="F934" s="64">
        <f>SIM_Parametres!$C$35</f>
        <v>1683153084.5040712</v>
      </c>
      <c r="G934" s="125">
        <f>SIM_Districts!D11*(1+SIM_Parametres!$B$6)^(2029-2023)</f>
        <v>351828.70322456636</v>
      </c>
      <c r="H934" s="125">
        <f>MAX(0,MIN(100,SIM_Districts!F11+(2029-2022)*SIM_Parametres!$B$7))</f>
        <v>3.4900000000000011</v>
      </c>
      <c r="I934" s="125">
        <f>SIM_Districts!G11*(1+SIM_Parametres!$B$8)^(2029-2023)</f>
        <v>27.594791242239999</v>
      </c>
      <c r="J934" s="125">
        <f>SIM_Districts!H11*(1+SIM_Parametres!$B$9)^(2029-2023)</f>
        <v>5.526986400000002</v>
      </c>
      <c r="K934" s="125">
        <f>MAX(0,MIN(100,SIM_Districts!I11+(2029-2023)*SIM_Parametres!$B$10))</f>
        <v>100</v>
      </c>
      <c r="L934" s="125">
        <f>SIM_Districts!E11</f>
        <v>34</v>
      </c>
      <c r="M934" s="61">
        <f t="shared" si="530"/>
        <v>10347.903036016658</v>
      </c>
      <c r="N934" s="125">
        <f>N863*(1+SIM_Parametres!$B$6)/(1+SIM_Parametres!$B$11)</f>
        <v>73189</v>
      </c>
      <c r="O934" s="3"/>
      <c r="P934" s="126">
        <f>SIM_Parametres!$D$35</f>
        <v>1</v>
      </c>
      <c r="Q934" s="126">
        <f>SIM_Parametres!$B$12</f>
        <v>0.2</v>
      </c>
      <c r="R934" s="66">
        <f t="shared" si="550"/>
        <v>1.6255362072134832E-2</v>
      </c>
      <c r="S934" s="66">
        <f t="shared" si="551"/>
        <v>0</v>
      </c>
      <c r="T934" s="66">
        <f t="shared" si="552"/>
        <v>0.50276243093922657</v>
      </c>
      <c r="U934" s="66">
        <f t="shared" si="553"/>
        <v>0.37834067197086158</v>
      </c>
      <c r="V934" s="66">
        <f t="shared" si="554"/>
        <v>9.5544805280436421E-2</v>
      </c>
      <c r="W934" s="66">
        <f t="shared" si="555"/>
        <v>0</v>
      </c>
      <c r="X934" s="66">
        <f t="shared" si="556"/>
        <v>9.9491608812113941E-3</v>
      </c>
      <c r="Y934" s="66">
        <f t="shared" si="557"/>
        <v>9.6664942490006407E-3</v>
      </c>
      <c r="Z934" s="66">
        <f t="shared" si="558"/>
        <v>3.506814418545408E-3</v>
      </c>
      <c r="AA934" s="66">
        <f t="shared" si="531"/>
        <v>1.190425680883991E-2</v>
      </c>
      <c r="AB934" s="66">
        <f t="shared" si="559"/>
        <v>1.2340306855522634E-2</v>
      </c>
      <c r="AC934" s="67">
        <f t="shared" si="532"/>
        <v>20770625.547599655</v>
      </c>
      <c r="AD934" s="67">
        <f t="shared" si="549"/>
        <v>20770625.547599655</v>
      </c>
      <c r="AE934" s="66">
        <f t="shared" si="535"/>
        <v>3.1999999999999584E-2</v>
      </c>
      <c r="AF934" s="64">
        <f t="shared" si="547"/>
        <v>20770625.547599655</v>
      </c>
      <c r="AG934" s="64">
        <v>1</v>
      </c>
      <c r="AH934" s="64">
        <f t="shared" si="548"/>
        <v>20770625.547599655</v>
      </c>
      <c r="AI934" s="67">
        <f t="shared" si="533"/>
        <v>59.0361882280597</v>
      </c>
      <c r="AJ934" s="67">
        <f t="shared" si="534"/>
        <v>0</v>
      </c>
      <c r="AK934" s="66">
        <f t="shared" si="536"/>
        <v>3.1999999999999584E-2</v>
      </c>
    </row>
    <row r="935" spans="1:37" ht="12" customHeight="1" x14ac:dyDescent="0.25">
      <c r="A935" s="134" t="s">
        <v>597</v>
      </c>
      <c r="B935" s="134" t="s">
        <v>376</v>
      </c>
      <c r="C935" s="134" t="s">
        <v>388</v>
      </c>
      <c r="D935" s="128">
        <v>2029</v>
      </c>
      <c r="E935" s="134" t="s">
        <v>676</v>
      </c>
      <c r="F935" s="57">
        <f>SIM_Parametres!$C$35</f>
        <v>1683153084.5040712</v>
      </c>
      <c r="G935" s="129">
        <f>SIM_Districts!D12*(1+SIM_Parametres!$B$6)^(2029-2023)</f>
        <v>547222.22697627533</v>
      </c>
      <c r="H935" s="129">
        <f>MAX(0,MIN(100,SIM_Districts!F12+(2029-2022)*SIM_Parametres!$B$7))</f>
        <v>3.4900000000000011</v>
      </c>
      <c r="I935" s="129">
        <f>SIM_Districts!G12*(1+SIM_Parametres!$B$8)^(2029-2023)</f>
        <v>27.594791242239999</v>
      </c>
      <c r="J935" s="129">
        <f>SIM_Districts!H12*(1+SIM_Parametres!$B$9)^(2029-2023)</f>
        <v>5.526986400000002</v>
      </c>
      <c r="K935" s="129">
        <f>MAX(0,MIN(100,SIM_Districts!I12+(2029-2023)*SIM_Parametres!$B$10))</f>
        <v>100</v>
      </c>
      <c r="L935" s="129">
        <f>SIM_Districts!E12</f>
        <v>18</v>
      </c>
      <c r="M935" s="68">
        <f t="shared" si="530"/>
        <v>30401.234832015296</v>
      </c>
      <c r="N935" s="129">
        <f>N864*(1+SIM_Parametres!$B$6)/(1+SIM_Parametres!$B$11)</f>
        <v>73189</v>
      </c>
      <c r="O935" s="135"/>
      <c r="P935" s="130">
        <f>SIM_Parametres!$D$35</f>
        <v>1</v>
      </c>
      <c r="Q935" s="130">
        <f>SIM_Parametres!$B$12</f>
        <v>0.2</v>
      </c>
      <c r="R935" s="59">
        <f t="shared" si="550"/>
        <v>2.5283029360289533E-2</v>
      </c>
      <c r="S935" s="59">
        <f t="shared" si="551"/>
        <v>0</v>
      </c>
      <c r="T935" s="59">
        <f t="shared" si="552"/>
        <v>0.50276243093922657</v>
      </c>
      <c r="U935" s="59">
        <f t="shared" si="553"/>
        <v>0.14026621640536652</v>
      </c>
      <c r="V935" s="59">
        <f t="shared" si="554"/>
        <v>9.5544805280436421E-2</v>
      </c>
      <c r="W935" s="59">
        <f t="shared" si="555"/>
        <v>0</v>
      </c>
      <c r="X935" s="59">
        <f t="shared" si="556"/>
        <v>9.9491608812113941E-3</v>
      </c>
      <c r="Y935" s="59">
        <f t="shared" si="557"/>
        <v>3.5837610774132685E-3</v>
      </c>
      <c r="Z935" s="59">
        <f t="shared" si="558"/>
        <v>3.506814418545408E-3</v>
      </c>
      <c r="AA935" s="59">
        <f t="shared" si="531"/>
        <v>1.701672052315336E-2</v>
      </c>
      <c r="AB935" s="59">
        <f t="shared" si="559"/>
        <v>1.6430277826973393E-2</v>
      </c>
      <c r="AC935" s="60">
        <f t="shared" si="532"/>
        <v>27654672.803729113</v>
      </c>
      <c r="AD935" s="60">
        <f t="shared" si="549"/>
        <v>27654672.803729113</v>
      </c>
      <c r="AE935" s="59">
        <f t="shared" si="535"/>
        <v>3.1999999999999584E-2</v>
      </c>
      <c r="AF935" s="57">
        <f t="shared" si="547"/>
        <v>27654672.803729113</v>
      </c>
      <c r="AG935" s="57">
        <v>1</v>
      </c>
      <c r="AH935" s="57">
        <f t="shared" si="548"/>
        <v>27654672.803729113</v>
      </c>
      <c r="AI935" s="60">
        <f t="shared" si="533"/>
        <v>50.536457476403044</v>
      </c>
      <c r="AJ935" s="60">
        <f t="shared" si="534"/>
        <v>0</v>
      </c>
      <c r="AK935" s="59">
        <f t="shared" si="536"/>
        <v>3.1999999999999584E-2</v>
      </c>
    </row>
    <row r="936" spans="1:37" ht="12" customHeight="1" x14ac:dyDescent="0.25">
      <c r="A936" s="133" t="s">
        <v>598</v>
      </c>
      <c r="B936" s="133" t="s">
        <v>376</v>
      </c>
      <c r="C936" s="133" t="s">
        <v>389</v>
      </c>
      <c r="D936" s="124">
        <v>2029</v>
      </c>
      <c r="E936" s="133" t="s">
        <v>676</v>
      </c>
      <c r="F936" s="64">
        <f>SIM_Parametres!$C$35</f>
        <v>1683153084.5040712</v>
      </c>
      <c r="G936" s="125">
        <f>SIM_Districts!D13*(1+SIM_Parametres!$B$6)^(2029-2023)</f>
        <v>600439.94378027634</v>
      </c>
      <c r="H936" s="125">
        <f>MAX(0,MIN(100,SIM_Districts!F13+(2029-2022)*SIM_Parametres!$B$7))</f>
        <v>3.4900000000000011</v>
      </c>
      <c r="I936" s="125">
        <f>SIM_Districts!G13*(1+SIM_Parametres!$B$8)^(2029-2023)</f>
        <v>27.594791242239999</v>
      </c>
      <c r="J936" s="125">
        <f>SIM_Districts!H13*(1+SIM_Parametres!$B$9)^(2029-2023)</f>
        <v>5.526986400000002</v>
      </c>
      <c r="K936" s="125">
        <f>MAX(0,MIN(100,SIM_Districts!I13+(2029-2023)*SIM_Parametres!$B$10))</f>
        <v>100</v>
      </c>
      <c r="L936" s="125">
        <f>SIM_Districts!E13</f>
        <v>203</v>
      </c>
      <c r="M936" s="61">
        <f t="shared" si="530"/>
        <v>2957.8322353708195</v>
      </c>
      <c r="N936" s="125">
        <f>N865*(1+SIM_Parametres!$B$6)/(1+SIM_Parametres!$B$11)</f>
        <v>73189</v>
      </c>
      <c r="O936" s="3"/>
      <c r="P936" s="126">
        <f>SIM_Parametres!$D$35</f>
        <v>1</v>
      </c>
      <c r="Q936" s="126">
        <f>SIM_Parametres!$B$12</f>
        <v>0.2</v>
      </c>
      <c r="R936" s="66">
        <f t="shared" si="550"/>
        <v>2.7741820378113933E-2</v>
      </c>
      <c r="S936" s="66">
        <f t="shared" si="551"/>
        <v>0</v>
      </c>
      <c r="T936" s="66">
        <f t="shared" si="552"/>
        <v>0.50276243093922657</v>
      </c>
      <c r="U936" s="66">
        <f t="shared" si="553"/>
        <v>0.47172605328939682</v>
      </c>
      <c r="V936" s="66">
        <f t="shared" si="554"/>
        <v>9.5544805280436421E-2</v>
      </c>
      <c r="W936" s="66">
        <f t="shared" si="555"/>
        <v>0</v>
      </c>
      <c r="X936" s="66">
        <f t="shared" si="556"/>
        <v>9.9491608812113941E-3</v>
      </c>
      <c r="Y936" s="66">
        <f t="shared" si="557"/>
        <v>1.2052463610301233E-2</v>
      </c>
      <c r="Z936" s="66">
        <f t="shared" si="558"/>
        <v>3.506814418545408E-3</v>
      </c>
      <c r="AA936" s="66">
        <f t="shared" si="531"/>
        <v>1.8915430260492395E-2</v>
      </c>
      <c r="AB936" s="66">
        <f t="shared" si="559"/>
        <v>1.7949245616844627E-2</v>
      </c>
      <c r="AC936" s="67">
        <f t="shared" si="532"/>
        <v>30211328.124513209</v>
      </c>
      <c r="AD936" s="67">
        <f t="shared" si="549"/>
        <v>30211328.124513209</v>
      </c>
      <c r="AE936" s="66">
        <f t="shared" si="535"/>
        <v>3.1999999999999584E-2</v>
      </c>
      <c r="AF936" s="64">
        <f t="shared" si="547"/>
        <v>30211328.124513209</v>
      </c>
      <c r="AG936" s="64">
        <v>1</v>
      </c>
      <c r="AH936" s="64">
        <f t="shared" si="548"/>
        <v>30211328.124513209</v>
      </c>
      <c r="AI936" s="67">
        <f t="shared" si="533"/>
        <v>50.315320353784919</v>
      </c>
      <c r="AJ936" s="67">
        <f t="shared" si="534"/>
        <v>0</v>
      </c>
      <c r="AK936" s="66">
        <f t="shared" si="536"/>
        <v>3.1999999999999584E-2</v>
      </c>
    </row>
    <row r="937" spans="1:37" ht="12" customHeight="1" x14ac:dyDescent="0.25">
      <c r="A937" s="134" t="s">
        <v>599</v>
      </c>
      <c r="B937" s="134" t="s">
        <v>390</v>
      </c>
      <c r="C937" s="134" t="s">
        <v>392</v>
      </c>
      <c r="D937" s="128">
        <v>2029</v>
      </c>
      <c r="E937" s="134" t="s">
        <v>676</v>
      </c>
      <c r="F937" s="57">
        <f>SIM_Parametres!$C$35</f>
        <v>1683153084.5040712</v>
      </c>
      <c r="G937" s="129">
        <f>SIM_Districts!D14*(1+SIM_Parametres!$B$6)^(2029-2023)</f>
        <v>1036495.9019497018</v>
      </c>
      <c r="H937" s="129">
        <f>MAX(0,MIN(100,SIM_Districts!F14+(2029-2022)*SIM_Parametres!$B$7))</f>
        <v>31.59</v>
      </c>
      <c r="I937" s="129">
        <f>SIM_Districts!G14*(1+SIM_Parametres!$B$8)^(2029-2023)</f>
        <v>27.594791242239999</v>
      </c>
      <c r="J937" s="129">
        <f>SIM_Districts!H14*(1+SIM_Parametres!$B$9)^(2029-2023)</f>
        <v>9.3002175000000022</v>
      </c>
      <c r="K937" s="129">
        <f>MAX(0,MIN(100,SIM_Districts!I14+(2029-2023)*SIM_Parametres!$B$10))</f>
        <v>100</v>
      </c>
      <c r="L937" s="129">
        <f>SIM_Districts!E14</f>
        <v>1335</v>
      </c>
      <c r="M937" s="68">
        <f t="shared" si="530"/>
        <v>776.4014246814246</v>
      </c>
      <c r="N937" s="129">
        <f>N866*(1+SIM_Parametres!$B$6)/(1+SIM_Parametres!$B$11)</f>
        <v>203502</v>
      </c>
      <c r="O937" s="135"/>
      <c r="P937" s="130">
        <f>SIM_Parametres!$D$35</f>
        <v>1</v>
      </c>
      <c r="Q937" s="130">
        <f>SIM_Parametres!$B$12</f>
        <v>0.2</v>
      </c>
      <c r="R937" s="59">
        <f t="shared" si="550"/>
        <v>4.7888691337733685E-2</v>
      </c>
      <c r="S937" s="59">
        <f t="shared" si="551"/>
        <v>0.4982269503546099</v>
      </c>
      <c r="T937" s="59">
        <f t="shared" si="552"/>
        <v>0.69889502762430933</v>
      </c>
      <c r="U937" s="59">
        <f t="shared" si="553"/>
        <v>0.53677681892865114</v>
      </c>
      <c r="V937" s="59">
        <f t="shared" si="554"/>
        <v>1</v>
      </c>
      <c r="W937" s="59">
        <f t="shared" si="555"/>
        <v>1.1879095328683151E-2</v>
      </c>
      <c r="X937" s="59">
        <f t="shared" si="556"/>
        <v>1.3830426939266385E-2</v>
      </c>
      <c r="Y937" s="59">
        <f t="shared" si="557"/>
        <v>1.3714491773092488E-2</v>
      </c>
      <c r="Z937" s="59">
        <f t="shared" si="558"/>
        <v>3.6703349891733537E-2</v>
      </c>
      <c r="AA937" s="59">
        <f t="shared" si="531"/>
        <v>3.5110535226073943E-2</v>
      </c>
      <c r="AB937" s="59">
        <f t="shared" si="559"/>
        <v>3.0905329589309864E-2</v>
      </c>
      <c r="AC937" s="60">
        <f t="shared" si="532"/>
        <v>52018400.825861834</v>
      </c>
      <c r="AD937" s="60">
        <f t="shared" si="549"/>
        <v>52018400.825861834</v>
      </c>
      <c r="AE937" s="59">
        <f t="shared" si="535"/>
        <v>3.1999999999999584E-2</v>
      </c>
      <c r="AF937" s="57">
        <f t="shared" si="547"/>
        <v>52018400.825861834</v>
      </c>
      <c r="AG937" s="57">
        <v>1</v>
      </c>
      <c r="AH937" s="57">
        <f t="shared" si="548"/>
        <v>52018400.825861834</v>
      </c>
      <c r="AI937" s="60">
        <f t="shared" si="533"/>
        <v>50.186788706074537</v>
      </c>
      <c r="AJ937" s="60">
        <f t="shared" si="534"/>
        <v>0</v>
      </c>
      <c r="AK937" s="59">
        <f t="shared" si="536"/>
        <v>3.1999999999999584E-2</v>
      </c>
    </row>
    <row r="938" spans="1:37" ht="12" customHeight="1" x14ac:dyDescent="0.25">
      <c r="A938" s="133" t="s">
        <v>601</v>
      </c>
      <c r="B938" s="133" t="s">
        <v>390</v>
      </c>
      <c r="C938" s="133" t="s">
        <v>390</v>
      </c>
      <c r="D938" s="124">
        <v>2029</v>
      </c>
      <c r="E938" s="133" t="s">
        <v>676</v>
      </c>
      <c r="F938" s="64">
        <f>SIM_Parametres!$C$35</f>
        <v>1683153084.5040712</v>
      </c>
      <c r="G938" s="125">
        <f>SIM_Districts!D15*(1+SIM_Parametres!$B$6)^(2029-2023)</f>
        <v>928298.04715202306</v>
      </c>
      <c r="H938" s="125">
        <f>MAX(0,MIN(100,SIM_Districts!F15+(2029-2022)*SIM_Parametres!$B$7))</f>
        <v>31.59</v>
      </c>
      <c r="I938" s="125">
        <f>SIM_Districts!G15*(1+SIM_Parametres!$B$8)^(2029-2023)</f>
        <v>27.594791242239999</v>
      </c>
      <c r="J938" s="125">
        <f>SIM_Districts!H15*(1+SIM_Parametres!$B$9)^(2029-2023)</f>
        <v>9.3002175000000022</v>
      </c>
      <c r="K938" s="125">
        <f>MAX(0,MIN(100,SIM_Districts!I15+(2029-2023)*SIM_Parametres!$B$10))</f>
        <v>100</v>
      </c>
      <c r="L938" s="125">
        <f>SIM_Districts!E15</f>
        <v>1292</v>
      </c>
      <c r="M938" s="61">
        <f t="shared" si="530"/>
        <v>718.49694052014172</v>
      </c>
      <c r="N938" s="125">
        <f>N867*(1+SIM_Parametres!$B$6)/(1+SIM_Parametres!$B$11)</f>
        <v>203502</v>
      </c>
      <c r="O938" s="3"/>
      <c r="P938" s="126">
        <f>SIM_Parametres!$D$35</f>
        <v>1</v>
      </c>
      <c r="Q938" s="126">
        <f>SIM_Parametres!$B$12</f>
        <v>0.2</v>
      </c>
      <c r="R938" s="66">
        <f t="shared" si="550"/>
        <v>4.2889681055045266E-2</v>
      </c>
      <c r="S938" s="66">
        <f t="shared" si="551"/>
        <v>0.4982269503546099</v>
      </c>
      <c r="T938" s="66">
        <f t="shared" si="552"/>
        <v>0.69889502762430933</v>
      </c>
      <c r="U938" s="66">
        <f t="shared" si="553"/>
        <v>0.53597312572887268</v>
      </c>
      <c r="V938" s="66">
        <f t="shared" si="554"/>
        <v>1</v>
      </c>
      <c r="W938" s="66">
        <f t="shared" si="555"/>
        <v>1.1879095328683151E-2</v>
      </c>
      <c r="X938" s="66">
        <f t="shared" si="556"/>
        <v>1.3830426939266385E-2</v>
      </c>
      <c r="Y938" s="66">
        <f t="shared" si="557"/>
        <v>1.3693957645336279E-2</v>
      </c>
      <c r="Z938" s="66">
        <f t="shared" si="558"/>
        <v>3.6703349891733537E-2</v>
      </c>
      <c r="AA938" s="66">
        <f t="shared" si="531"/>
        <v>3.2110102350073083E-2</v>
      </c>
      <c r="AB938" s="66">
        <f t="shared" si="559"/>
        <v>2.8504983288509176E-2</v>
      </c>
      <c r="AC938" s="67">
        <f t="shared" si="532"/>
        <v>47978250.545791216</v>
      </c>
      <c r="AD938" s="67">
        <f t="shared" si="549"/>
        <v>47978250.545791216</v>
      </c>
      <c r="AE938" s="66">
        <f t="shared" si="535"/>
        <v>3.1999999999999584E-2</v>
      </c>
      <c r="AF938" s="64">
        <f t="shared" si="547"/>
        <v>47978250.545791216</v>
      </c>
      <c r="AG938" s="64">
        <v>1</v>
      </c>
      <c r="AH938" s="64">
        <f t="shared" si="548"/>
        <v>47978250.545791216</v>
      </c>
      <c r="AI938" s="67">
        <f t="shared" si="533"/>
        <v>51.684101558746512</v>
      </c>
      <c r="AJ938" s="67">
        <f t="shared" si="534"/>
        <v>0</v>
      </c>
      <c r="AK938" s="66">
        <f t="shared" si="536"/>
        <v>3.1999999999999584E-2</v>
      </c>
    </row>
    <row r="939" spans="1:37" ht="12" customHeight="1" x14ac:dyDescent="0.25">
      <c r="A939" s="134" t="s">
        <v>602</v>
      </c>
      <c r="B939" s="134" t="s">
        <v>390</v>
      </c>
      <c r="C939" s="134" t="s">
        <v>393</v>
      </c>
      <c r="D939" s="128">
        <v>2029</v>
      </c>
      <c r="E939" s="134" t="s">
        <v>676</v>
      </c>
      <c r="F939" s="57">
        <f>SIM_Parametres!$C$35</f>
        <v>1683153084.5040712</v>
      </c>
      <c r="G939" s="129">
        <f>SIM_Districts!D16*(1+SIM_Parametres!$B$6)^(2029-2023)</f>
        <v>519232.44709333905</v>
      </c>
      <c r="H939" s="129">
        <f>MAX(0,MIN(100,SIM_Districts!F16+(2029-2022)*SIM_Parametres!$B$7))</f>
        <v>31.59</v>
      </c>
      <c r="I939" s="129">
        <f>SIM_Districts!G16*(1+SIM_Parametres!$B$8)^(2029-2023)</f>
        <v>27.594791242239999</v>
      </c>
      <c r="J939" s="129">
        <f>SIM_Districts!H16*(1+SIM_Parametres!$B$9)^(2029-2023)</f>
        <v>9.3002175000000022</v>
      </c>
      <c r="K939" s="129">
        <f>MAX(0,MIN(100,SIM_Districts!I16+(2029-2023)*SIM_Parametres!$B$10))</f>
        <v>100</v>
      </c>
      <c r="L939" s="129">
        <f>SIM_Districts!E16</f>
        <v>1729</v>
      </c>
      <c r="M939" s="68">
        <f t="shared" si="530"/>
        <v>300.30795089261949</v>
      </c>
      <c r="N939" s="129">
        <f>N868*(1+SIM_Parametres!$B$6)/(1+SIM_Parametres!$B$11)</f>
        <v>203502</v>
      </c>
      <c r="O939" s="135"/>
      <c r="P939" s="130">
        <f>SIM_Parametres!$D$35</f>
        <v>1</v>
      </c>
      <c r="Q939" s="130">
        <f>SIM_Parametres!$B$12</f>
        <v>0.2</v>
      </c>
      <c r="R939" s="59">
        <f t="shared" si="550"/>
        <v>2.3989831840739582E-2</v>
      </c>
      <c r="S939" s="59">
        <f t="shared" si="551"/>
        <v>0.4982269503546099</v>
      </c>
      <c r="T939" s="59">
        <f t="shared" si="552"/>
        <v>0.69889502762430933</v>
      </c>
      <c r="U939" s="59">
        <f t="shared" si="553"/>
        <v>0.55606420327741424</v>
      </c>
      <c r="V939" s="59">
        <f t="shared" si="554"/>
        <v>1</v>
      </c>
      <c r="W939" s="59">
        <f t="shared" si="555"/>
        <v>1.1879095328683151E-2</v>
      </c>
      <c r="X939" s="59">
        <f t="shared" si="556"/>
        <v>1.3830426939266385E-2</v>
      </c>
      <c r="Y939" s="59">
        <f t="shared" si="557"/>
        <v>1.4207278839612111E-2</v>
      </c>
      <c r="Z939" s="59">
        <f t="shared" si="558"/>
        <v>3.6703349891733537E-2</v>
      </c>
      <c r="AA939" s="59">
        <f t="shared" si="531"/>
        <v>2.0795858881203461E-2</v>
      </c>
      <c r="AB939" s="59">
        <f t="shared" si="559"/>
        <v>1.9453588513413476E-2</v>
      </c>
      <c r="AC939" s="60">
        <f t="shared" si="532"/>
        <v>32743367.511024855</v>
      </c>
      <c r="AD939" s="60">
        <f t="shared" si="549"/>
        <v>32743367.511024855</v>
      </c>
      <c r="AE939" s="59">
        <f t="shared" si="535"/>
        <v>3.1999999999999362E-2</v>
      </c>
      <c r="AF939" s="57">
        <f t="shared" si="547"/>
        <v>32743367.511024855</v>
      </c>
      <c r="AG939" s="57">
        <v>1</v>
      </c>
      <c r="AH939" s="57">
        <f t="shared" si="548"/>
        <v>32743367.511024855</v>
      </c>
      <c r="AI939" s="60">
        <f t="shared" si="533"/>
        <v>63.06109661351497</v>
      </c>
      <c r="AJ939" s="60">
        <f t="shared" si="534"/>
        <v>0</v>
      </c>
      <c r="AK939" s="59">
        <f t="shared" si="536"/>
        <v>3.1999999999999362E-2</v>
      </c>
    </row>
    <row r="940" spans="1:37" ht="12" customHeight="1" x14ac:dyDescent="0.25">
      <c r="A940" s="133" t="s">
        <v>603</v>
      </c>
      <c r="B940" s="133" t="s">
        <v>394</v>
      </c>
      <c r="C940" s="133" t="s">
        <v>396</v>
      </c>
      <c r="D940" s="124">
        <v>2029</v>
      </c>
      <c r="E940" s="133" t="s">
        <v>676</v>
      </c>
      <c r="F940" s="64">
        <f>SIM_Parametres!$C$35</f>
        <v>1683153084.5040712</v>
      </c>
      <c r="G940" s="125">
        <f>SIM_Districts!D17*(1+SIM_Parametres!$B$6)^(2029-2023)</f>
        <v>115061.26739812749</v>
      </c>
      <c r="H940" s="125">
        <f>MAX(0,MIN(100,SIM_Districts!F17+(2029-2022)*SIM_Parametres!$B$7))</f>
        <v>40.69</v>
      </c>
      <c r="I940" s="125">
        <f>SIM_Districts!G17*(1+SIM_Parametres!$B$8)^(2029-2023)</f>
        <v>27.594791242239999</v>
      </c>
      <c r="J940" s="125">
        <f>SIM_Districts!H17*(1+SIM_Parametres!$B$9)^(2029-2023)</f>
        <v>8.4499119000000036</v>
      </c>
      <c r="K940" s="125">
        <f>MAX(0,MIN(100,SIM_Districts!I17+(2029-2023)*SIM_Parametres!$B$10))</f>
        <v>100</v>
      </c>
      <c r="L940" s="125">
        <f>SIM_Districts!E17</f>
        <v>978</v>
      </c>
      <c r="M940" s="61">
        <f t="shared" si="530"/>
        <v>117.64955766679702</v>
      </c>
      <c r="N940" s="125">
        <f>N869*(1+SIM_Parametres!$B$6)/(1+SIM_Parametres!$B$11)</f>
        <v>95110</v>
      </c>
      <c r="O940" s="3"/>
      <c r="P940" s="126">
        <f>SIM_Parametres!$D$35</f>
        <v>1</v>
      </c>
      <c r="Q940" s="126">
        <f>SIM_Parametres!$B$12</f>
        <v>0.2</v>
      </c>
      <c r="R940" s="66">
        <f t="shared" si="550"/>
        <v>5.3161170333549061E-3</v>
      </c>
      <c r="S940" s="66">
        <f t="shared" si="551"/>
        <v>0.65957446808510634</v>
      </c>
      <c r="T940" s="66">
        <f t="shared" si="552"/>
        <v>0.65469613259668513</v>
      </c>
      <c r="U940" s="66">
        <f t="shared" si="553"/>
        <v>0.53221272247018292</v>
      </c>
      <c r="V940" s="66">
        <f t="shared" si="554"/>
        <v>0.24769050312675686</v>
      </c>
      <c r="W940" s="66">
        <f t="shared" si="555"/>
        <v>1.5726062143310078E-2</v>
      </c>
      <c r="X940" s="66">
        <f t="shared" si="556"/>
        <v>1.2955775433225826E-2</v>
      </c>
      <c r="Y940" s="66">
        <f t="shared" si="557"/>
        <v>1.3597880434592077E-2</v>
      </c>
      <c r="Z940" s="66">
        <f t="shared" si="558"/>
        <v>9.0910712011208778E-3</v>
      </c>
      <c r="AA940" s="66">
        <f t="shared" si="531"/>
        <v>8.6263934382789769E-3</v>
      </c>
      <c r="AB940" s="66">
        <f t="shared" si="559"/>
        <v>9.7180161590738855E-3</v>
      </c>
      <c r="AC940" s="67">
        <f t="shared" si="532"/>
        <v>16356908.873405617</v>
      </c>
      <c r="AD940" s="67">
        <f t="shared" si="549"/>
        <v>16356908.873405617</v>
      </c>
      <c r="AE940" s="66">
        <f t="shared" si="535"/>
        <v>3.1999999999999806E-2</v>
      </c>
      <c r="AF940" s="64">
        <f t="shared" si="547"/>
        <v>16356908.873405617</v>
      </c>
      <c r="AG940" s="64">
        <v>1</v>
      </c>
      <c r="AH940" s="64">
        <f t="shared" si="548"/>
        <v>16356908.873405617</v>
      </c>
      <c r="AI940" s="67">
        <f t="shared" si="533"/>
        <v>142.1582539744544</v>
      </c>
      <c r="AJ940" s="67">
        <f t="shared" si="534"/>
        <v>0</v>
      </c>
      <c r="AK940" s="66">
        <f t="shared" si="536"/>
        <v>3.1999999999999806E-2</v>
      </c>
    </row>
    <row r="941" spans="1:37" ht="12" customHeight="1" x14ac:dyDescent="0.25">
      <c r="A941" s="134" t="s">
        <v>605</v>
      </c>
      <c r="B941" s="134" t="s">
        <v>394</v>
      </c>
      <c r="C941" s="134" t="s">
        <v>394</v>
      </c>
      <c r="D941" s="128">
        <v>2029</v>
      </c>
      <c r="E941" s="134" t="s">
        <v>676</v>
      </c>
      <c r="F941" s="57">
        <f>SIM_Parametres!$C$35</f>
        <v>1683153084.5040712</v>
      </c>
      <c r="G941" s="129">
        <f>SIM_Districts!D18*(1+SIM_Parametres!$B$6)^(2029-2023)</f>
        <v>281263.79465659207</v>
      </c>
      <c r="H941" s="129">
        <f>MAX(0,MIN(100,SIM_Districts!F18+(2029-2022)*SIM_Parametres!$B$7))</f>
        <v>40.69</v>
      </c>
      <c r="I941" s="129">
        <f>SIM_Districts!G18*(1+SIM_Parametres!$B$8)^(2029-2023)</f>
        <v>27.594791242239999</v>
      </c>
      <c r="J941" s="129">
        <f>SIM_Districts!H18*(1+SIM_Parametres!$B$9)^(2029-2023)</f>
        <v>8.4499119000000036</v>
      </c>
      <c r="K941" s="129">
        <f>MAX(0,MIN(100,SIM_Districts!I18+(2029-2023)*SIM_Parametres!$B$10))</f>
        <v>100</v>
      </c>
      <c r="L941" s="129">
        <f>SIM_Districts!E18</f>
        <v>1155</v>
      </c>
      <c r="M941" s="68">
        <f t="shared" si="530"/>
        <v>243.51843693211435</v>
      </c>
      <c r="N941" s="129">
        <f>N870*(1+SIM_Parametres!$B$6)/(1+SIM_Parametres!$B$11)</f>
        <v>95110</v>
      </c>
      <c r="O941" s="135"/>
      <c r="P941" s="130">
        <f>SIM_Parametres!$D$35</f>
        <v>1</v>
      </c>
      <c r="Q941" s="130">
        <f>SIM_Parametres!$B$12</f>
        <v>0.2</v>
      </c>
      <c r="R941" s="59">
        <f t="shared" si="550"/>
        <v>1.299508760377412E-2</v>
      </c>
      <c r="S941" s="59">
        <f t="shared" si="551"/>
        <v>0.65957446808510634</v>
      </c>
      <c r="T941" s="59">
        <f t="shared" si="552"/>
        <v>0.65469613259668513</v>
      </c>
      <c r="U941" s="59">
        <f t="shared" si="553"/>
        <v>0.53685323433738241</v>
      </c>
      <c r="V941" s="59">
        <f t="shared" si="554"/>
        <v>0.24769050312675686</v>
      </c>
      <c r="W941" s="59">
        <f t="shared" si="555"/>
        <v>1.5726062143310078E-2</v>
      </c>
      <c r="X941" s="59">
        <f t="shared" si="556"/>
        <v>1.2955775433225826E-2</v>
      </c>
      <c r="Y941" s="59">
        <f t="shared" si="557"/>
        <v>1.3716444164584495E-2</v>
      </c>
      <c r="Z941" s="59">
        <f t="shared" si="558"/>
        <v>9.0910712011208778E-3</v>
      </c>
      <c r="AA941" s="59">
        <f t="shared" si="531"/>
        <v>1.3239703967030125E-2</v>
      </c>
      <c r="AB941" s="59">
        <f t="shared" si="559"/>
        <v>1.3408664582074804E-2</v>
      </c>
      <c r="AC941" s="60">
        <f t="shared" si="532"/>
        <v>22568835.1503997</v>
      </c>
      <c r="AD941" s="60">
        <f t="shared" si="549"/>
        <v>22568835.1503997</v>
      </c>
      <c r="AE941" s="59">
        <f t="shared" si="535"/>
        <v>3.1999999999999584E-2</v>
      </c>
      <c r="AF941" s="57">
        <f t="shared" si="547"/>
        <v>22568835.1503997</v>
      </c>
      <c r="AG941" s="57">
        <v>1</v>
      </c>
      <c r="AH941" s="57">
        <f t="shared" si="548"/>
        <v>22568835.1503997</v>
      </c>
      <c r="AI941" s="60">
        <f t="shared" si="533"/>
        <v>80.240811576744278</v>
      </c>
      <c r="AJ941" s="60">
        <f t="shared" si="534"/>
        <v>0</v>
      </c>
      <c r="AK941" s="59">
        <f t="shared" si="536"/>
        <v>3.1999999999999584E-2</v>
      </c>
    </row>
    <row r="942" spans="1:37" ht="12" customHeight="1" x14ac:dyDescent="0.25">
      <c r="A942" s="133" t="s">
        <v>606</v>
      </c>
      <c r="B942" s="133" t="s">
        <v>394</v>
      </c>
      <c r="C942" s="133" t="s">
        <v>397</v>
      </c>
      <c r="D942" s="124">
        <v>2029</v>
      </c>
      <c r="E942" s="133" t="s">
        <v>676</v>
      </c>
      <c r="F942" s="64">
        <f>SIM_Parametres!$C$35</f>
        <v>1683153084.5040712</v>
      </c>
      <c r="G942" s="125">
        <f>SIM_Districts!D19*(1+SIM_Parametres!$B$6)^(2029-2023)</f>
        <v>76848.011752309903</v>
      </c>
      <c r="H942" s="125">
        <f>MAX(0,MIN(100,SIM_Districts!F19+(2029-2022)*SIM_Parametres!$B$7))</f>
        <v>40.69</v>
      </c>
      <c r="I942" s="125">
        <f>SIM_Districts!G19*(1+SIM_Parametres!$B$8)^(2029-2023)</f>
        <v>27.594791242239999</v>
      </c>
      <c r="J942" s="125">
        <f>SIM_Districts!H19*(1+SIM_Parametres!$B$9)^(2029-2023)</f>
        <v>8.4499119000000036</v>
      </c>
      <c r="K942" s="125">
        <f>MAX(0,MIN(100,SIM_Districts!I19+(2029-2023)*SIM_Parametres!$B$10))</f>
        <v>100</v>
      </c>
      <c r="L942" s="125">
        <f>SIM_Districts!E19</f>
        <v>733</v>
      </c>
      <c r="M942" s="61">
        <f t="shared" si="530"/>
        <v>104.84039802497941</v>
      </c>
      <c r="N942" s="125">
        <f>N871*(1+SIM_Parametres!$B$6)/(1+SIM_Parametres!$B$11)</f>
        <v>95110</v>
      </c>
      <c r="O942" s="3"/>
      <c r="P942" s="126">
        <f>SIM_Parametres!$D$35</f>
        <v>1</v>
      </c>
      <c r="Q942" s="126">
        <f>SIM_Parametres!$B$12</f>
        <v>0.2</v>
      </c>
      <c r="R942" s="66">
        <f t="shared" si="550"/>
        <v>3.5505694791482991E-3</v>
      </c>
      <c r="S942" s="66">
        <f t="shared" si="551"/>
        <v>0.65957446808510634</v>
      </c>
      <c r="T942" s="66">
        <f t="shared" si="552"/>
        <v>0.65469613259668513</v>
      </c>
      <c r="U942" s="66">
        <f t="shared" si="553"/>
        <v>0.52387753369973944</v>
      </c>
      <c r="V942" s="66">
        <f t="shared" si="554"/>
        <v>0.24769050312675686</v>
      </c>
      <c r="W942" s="66">
        <f t="shared" si="555"/>
        <v>1.5726062143310078E-2</v>
      </c>
      <c r="X942" s="66">
        <f t="shared" si="556"/>
        <v>1.2955775433225826E-2</v>
      </c>
      <c r="Y942" s="66">
        <f t="shared" si="557"/>
        <v>1.3384918783141523E-2</v>
      </c>
      <c r="Z942" s="66">
        <f t="shared" si="558"/>
        <v>9.0910712011208778E-3</v>
      </c>
      <c r="AA942" s="66">
        <f t="shared" si="531"/>
        <v>7.5564168231824855E-3</v>
      </c>
      <c r="AB942" s="66">
        <f t="shared" si="559"/>
        <v>8.862034866996691E-3</v>
      </c>
      <c r="AC942" s="67">
        <f t="shared" si="532"/>
        <v>14916161.321368109</v>
      </c>
      <c r="AD942" s="67">
        <f t="shared" si="549"/>
        <v>14916161.321368109</v>
      </c>
      <c r="AE942" s="66">
        <f t="shared" si="535"/>
        <v>3.1999999999999806E-2</v>
      </c>
      <c r="AF942" s="64">
        <f t="shared" si="547"/>
        <v>14916161.321368109</v>
      </c>
      <c r="AG942" s="64">
        <v>1</v>
      </c>
      <c r="AH942" s="64">
        <f t="shared" si="548"/>
        <v>14916161.321368109</v>
      </c>
      <c r="AI942" s="67">
        <f t="shared" si="533"/>
        <v>194.09950864369316</v>
      </c>
      <c r="AJ942" s="67">
        <f t="shared" si="534"/>
        <v>0</v>
      </c>
      <c r="AK942" s="66">
        <f t="shared" si="536"/>
        <v>3.1999999999999806E-2</v>
      </c>
    </row>
    <row r="943" spans="1:37" ht="12" customHeight="1" x14ac:dyDescent="0.25">
      <c r="A943" s="134" t="s">
        <v>607</v>
      </c>
      <c r="B943" s="134" t="s">
        <v>394</v>
      </c>
      <c r="C943" s="134" t="s">
        <v>398</v>
      </c>
      <c r="D943" s="128">
        <v>2029</v>
      </c>
      <c r="E943" s="134" t="s">
        <v>676</v>
      </c>
      <c r="F943" s="57">
        <f>SIM_Parametres!$C$35</f>
        <v>1683153084.5040712</v>
      </c>
      <c r="G943" s="129">
        <f>SIM_Districts!D20*(1+SIM_Parametres!$B$6)^(2029-2023)</f>
        <v>145090.48860353531</v>
      </c>
      <c r="H943" s="129">
        <f>MAX(0,MIN(100,SIM_Districts!F20+(2029-2022)*SIM_Parametres!$B$7))</f>
        <v>40.69</v>
      </c>
      <c r="I943" s="129">
        <f>SIM_Districts!G20*(1+SIM_Parametres!$B$8)^(2029-2023)</f>
        <v>27.594791242239999</v>
      </c>
      <c r="J943" s="129">
        <f>SIM_Districts!H20*(1+SIM_Parametres!$B$9)^(2029-2023)</f>
        <v>8.4499119000000036</v>
      </c>
      <c r="K943" s="129">
        <f>MAX(0,MIN(100,SIM_Districts!I20+(2029-2023)*SIM_Parametres!$B$10))</f>
        <v>100</v>
      </c>
      <c r="L943" s="129">
        <f>SIM_Districts!E20</f>
        <v>1476</v>
      </c>
      <c r="M943" s="68">
        <f t="shared" si="530"/>
        <v>98.299789026785447</v>
      </c>
      <c r="N943" s="129">
        <f>N872*(1+SIM_Parametres!$B$6)/(1+SIM_Parametres!$B$11)</f>
        <v>95110</v>
      </c>
      <c r="O943" s="135"/>
      <c r="P943" s="130">
        <f>SIM_Parametres!$D$35</f>
        <v>1</v>
      </c>
      <c r="Q943" s="130">
        <f>SIM_Parametres!$B$12</f>
        <v>0.2</v>
      </c>
      <c r="R943" s="59">
        <f t="shared" si="550"/>
        <v>6.7035418198043628E-3</v>
      </c>
      <c r="S943" s="59">
        <f t="shared" si="551"/>
        <v>0.65957446808510634</v>
      </c>
      <c r="T943" s="59">
        <f t="shared" si="552"/>
        <v>0.65469613259668513</v>
      </c>
      <c r="U943" s="59">
        <f t="shared" si="553"/>
        <v>0.54969284466862123</v>
      </c>
      <c r="V943" s="59">
        <f t="shared" si="554"/>
        <v>0.24769050312675686</v>
      </c>
      <c r="W943" s="59">
        <f t="shared" si="555"/>
        <v>1.5726062143310078E-2</v>
      </c>
      <c r="X943" s="59">
        <f t="shared" si="556"/>
        <v>1.2955775433225826E-2</v>
      </c>
      <c r="Y943" s="59">
        <f t="shared" si="557"/>
        <v>1.4044492478237349E-2</v>
      </c>
      <c r="Z943" s="59">
        <f t="shared" si="558"/>
        <v>9.0910712011208778E-3</v>
      </c>
      <c r="AA943" s="59">
        <f t="shared" si="531"/>
        <v>9.4811789123309138E-3</v>
      </c>
      <c r="AB943" s="59">
        <f t="shared" si="559"/>
        <v>1.0401844538315434E-2</v>
      </c>
      <c r="AC943" s="60">
        <f t="shared" si="532"/>
        <v>17507896.719197452</v>
      </c>
      <c r="AD943" s="60">
        <f t="shared" si="549"/>
        <v>17507896.719197452</v>
      </c>
      <c r="AE943" s="59">
        <f t="shared" si="535"/>
        <v>3.1999999999999806E-2</v>
      </c>
      <c r="AF943" s="57">
        <f t="shared" si="547"/>
        <v>17507896.719197452</v>
      </c>
      <c r="AG943" s="57">
        <v>1</v>
      </c>
      <c r="AH943" s="57">
        <f t="shared" si="548"/>
        <v>17507896.719197452</v>
      </c>
      <c r="AI943" s="60">
        <f t="shared" si="533"/>
        <v>120.66881080701557</v>
      </c>
      <c r="AJ943" s="60">
        <f t="shared" si="534"/>
        <v>0</v>
      </c>
      <c r="AK943" s="59">
        <f t="shared" si="536"/>
        <v>3.1999999999999806E-2</v>
      </c>
    </row>
    <row r="944" spans="1:37" ht="12" customHeight="1" x14ac:dyDescent="0.25">
      <c r="A944" s="133" t="s">
        <v>608</v>
      </c>
      <c r="B944" s="133" t="s">
        <v>394</v>
      </c>
      <c r="C944" s="133" t="s">
        <v>399</v>
      </c>
      <c r="D944" s="124">
        <v>2029</v>
      </c>
      <c r="E944" s="133" t="s">
        <v>676</v>
      </c>
      <c r="F944" s="64">
        <f>SIM_Parametres!$C$35</f>
        <v>1683153084.5040712</v>
      </c>
      <c r="G944" s="125">
        <f>SIM_Districts!D21*(1+SIM_Parametres!$B$6)^(2029-2023)</f>
        <v>117906.6940207561</v>
      </c>
      <c r="H944" s="125">
        <f>MAX(0,MIN(100,SIM_Districts!F21+(2029-2022)*SIM_Parametres!$B$7))</f>
        <v>40.69</v>
      </c>
      <c r="I944" s="125">
        <f>SIM_Districts!G21*(1+SIM_Parametres!$B$8)^(2029-2023)</f>
        <v>27.594791242239999</v>
      </c>
      <c r="J944" s="125">
        <f>SIM_Districts!H21*(1+SIM_Parametres!$B$9)^(2029-2023)</f>
        <v>8.4499119000000036</v>
      </c>
      <c r="K944" s="125">
        <f>MAX(0,MIN(100,SIM_Districts!I21+(2029-2023)*SIM_Parametres!$B$10))</f>
        <v>100</v>
      </c>
      <c r="L944" s="125">
        <f>SIM_Districts!E21</f>
        <v>406</v>
      </c>
      <c r="M944" s="61">
        <f t="shared" si="530"/>
        <v>290.41057640580317</v>
      </c>
      <c r="N944" s="125">
        <f>N873*(1+SIM_Parametres!$B$6)/(1+SIM_Parametres!$B$11)</f>
        <v>95110</v>
      </c>
      <c r="O944" s="3"/>
      <c r="P944" s="126">
        <f>SIM_Parametres!$D$35</f>
        <v>1</v>
      </c>
      <c r="Q944" s="126">
        <f>SIM_Parametres!$B$12</f>
        <v>0.2</v>
      </c>
      <c r="R944" s="66">
        <f t="shared" si="550"/>
        <v>5.4475828278639947E-3</v>
      </c>
      <c r="S944" s="66">
        <f t="shared" si="551"/>
        <v>0.65957446808510634</v>
      </c>
      <c r="T944" s="66">
        <f t="shared" si="552"/>
        <v>0.65469613259668513</v>
      </c>
      <c r="U944" s="66">
        <f t="shared" si="553"/>
        <v>0.51035214004959606</v>
      </c>
      <c r="V944" s="66">
        <f t="shared" si="554"/>
        <v>0.24769050312675686</v>
      </c>
      <c r="W944" s="66">
        <f t="shared" si="555"/>
        <v>1.5726062143310078E-2</v>
      </c>
      <c r="X944" s="66">
        <f t="shared" si="556"/>
        <v>1.2955775433225826E-2</v>
      </c>
      <c r="Y944" s="66">
        <f t="shared" si="557"/>
        <v>1.3039348904932262E-2</v>
      </c>
      <c r="Z944" s="66">
        <f t="shared" si="558"/>
        <v>9.0910712011208778E-3</v>
      </c>
      <c r="AA944" s="66">
        <f t="shared" si="531"/>
        <v>8.6773463385014394E-3</v>
      </c>
      <c r="AB944" s="66">
        <f t="shared" si="559"/>
        <v>9.7587784792518544E-3</v>
      </c>
      <c r="AC944" s="67">
        <f t="shared" si="532"/>
        <v>16425518.098344712</v>
      </c>
      <c r="AD944" s="67">
        <f t="shared" si="549"/>
        <v>16425518.098344712</v>
      </c>
      <c r="AE944" s="66">
        <f t="shared" si="535"/>
        <v>3.1999999999999806E-2</v>
      </c>
      <c r="AF944" s="64">
        <f t="shared" si="547"/>
        <v>16425518.098344712</v>
      </c>
      <c r="AG944" s="64">
        <v>1</v>
      </c>
      <c r="AH944" s="64">
        <f t="shared" si="548"/>
        <v>16425518.098344712</v>
      </c>
      <c r="AI944" s="67">
        <f t="shared" si="533"/>
        <v>139.30946189919624</v>
      </c>
      <c r="AJ944" s="67">
        <f t="shared" si="534"/>
        <v>0</v>
      </c>
      <c r="AK944" s="66">
        <f t="shared" si="536"/>
        <v>3.1999999999999806E-2</v>
      </c>
    </row>
    <row r="945" spans="1:37" ht="12" customHeight="1" x14ac:dyDescent="0.25">
      <c r="A945" s="134" t="s">
        <v>609</v>
      </c>
      <c r="B945" s="134" t="s">
        <v>394</v>
      </c>
      <c r="C945" s="134" t="s">
        <v>400</v>
      </c>
      <c r="D945" s="128">
        <v>2029</v>
      </c>
      <c r="E945" s="134" t="s">
        <v>676</v>
      </c>
      <c r="F945" s="57">
        <f>SIM_Parametres!$C$35</f>
        <v>1683153084.5040712</v>
      </c>
      <c r="G945" s="129">
        <f>SIM_Districts!D22*(1+SIM_Parametres!$B$6)^(2029-2023)</f>
        <v>123908.00086311085</v>
      </c>
      <c r="H945" s="129">
        <f>MAX(0,MIN(100,SIM_Districts!F22+(2029-2022)*SIM_Parametres!$B$7))</f>
        <v>40.69</v>
      </c>
      <c r="I945" s="129">
        <f>SIM_Districts!G22*(1+SIM_Parametres!$B$8)^(2029-2023)</f>
        <v>27.594791242239999</v>
      </c>
      <c r="J945" s="129">
        <f>SIM_Districts!H22*(1+SIM_Parametres!$B$9)^(2029-2023)</f>
        <v>8.4499119000000036</v>
      </c>
      <c r="K945" s="129">
        <f>MAX(0,MIN(100,SIM_Districts!I22+(2029-2023)*SIM_Parametres!$B$10))</f>
        <v>100</v>
      </c>
      <c r="L945" s="129">
        <f>SIM_Districts!E22</f>
        <v>866</v>
      </c>
      <c r="M945" s="68">
        <f t="shared" si="530"/>
        <v>143.08083240543979</v>
      </c>
      <c r="N945" s="129">
        <f>N874*(1+SIM_Parametres!$B$6)/(1+SIM_Parametres!$B$11)</f>
        <v>95110</v>
      </c>
      <c r="O945" s="135"/>
      <c r="P945" s="130">
        <f>SIM_Parametres!$D$35</f>
        <v>1</v>
      </c>
      <c r="Q945" s="130">
        <f>SIM_Parametres!$B$12</f>
        <v>0.2</v>
      </c>
      <c r="R945" s="59">
        <f t="shared" si="550"/>
        <v>5.7248581460354912E-3</v>
      </c>
      <c r="S945" s="59">
        <f t="shared" si="551"/>
        <v>0.65957446808510634</v>
      </c>
      <c r="T945" s="59">
        <f t="shared" si="552"/>
        <v>0.65469613259668513</v>
      </c>
      <c r="U945" s="59">
        <f t="shared" si="553"/>
        <v>0.52803177519419775</v>
      </c>
      <c r="V945" s="59">
        <f t="shared" si="554"/>
        <v>0.24769050312675686</v>
      </c>
      <c r="W945" s="59">
        <f t="shared" si="555"/>
        <v>1.5726062143310078E-2</v>
      </c>
      <c r="X945" s="59">
        <f t="shared" si="556"/>
        <v>1.2955775433225826E-2</v>
      </c>
      <c r="Y945" s="59">
        <f t="shared" si="557"/>
        <v>1.3491058446387229E-2</v>
      </c>
      <c r="Z945" s="59">
        <f t="shared" si="558"/>
        <v>9.0910712011208778E-3</v>
      </c>
      <c r="AA945" s="59">
        <f t="shared" si="531"/>
        <v>8.8662970064770849E-3</v>
      </c>
      <c r="AB945" s="59">
        <f t="shared" si="559"/>
        <v>9.9099390136323708E-3</v>
      </c>
      <c r="AC945" s="60">
        <f t="shared" si="532"/>
        <v>16679944.418042561</v>
      </c>
      <c r="AD945" s="60">
        <f t="shared" si="549"/>
        <v>16679944.418042561</v>
      </c>
      <c r="AE945" s="59">
        <f t="shared" si="535"/>
        <v>3.1999999999999806E-2</v>
      </c>
      <c r="AF945" s="57">
        <f t="shared" si="547"/>
        <v>16679944.418042561</v>
      </c>
      <c r="AG945" s="57">
        <v>1</v>
      </c>
      <c r="AH945" s="57">
        <f t="shared" si="548"/>
        <v>16679944.418042561</v>
      </c>
      <c r="AI945" s="60">
        <f t="shared" si="533"/>
        <v>134.61555591127623</v>
      </c>
      <c r="AJ945" s="60">
        <f t="shared" si="534"/>
        <v>0</v>
      </c>
      <c r="AK945" s="59">
        <f t="shared" si="536"/>
        <v>3.1999999999999806E-2</v>
      </c>
    </row>
    <row r="946" spans="1:37" ht="12" customHeight="1" x14ac:dyDescent="0.25">
      <c r="A946" s="133" t="s">
        <v>610</v>
      </c>
      <c r="B946" s="133" t="s">
        <v>394</v>
      </c>
      <c r="C946" s="133" t="s">
        <v>401</v>
      </c>
      <c r="D946" s="124">
        <v>2029</v>
      </c>
      <c r="E946" s="133" t="s">
        <v>676</v>
      </c>
      <c r="F946" s="64">
        <f>SIM_Parametres!$C$35</f>
        <v>1683153084.5040712</v>
      </c>
      <c r="G946" s="125">
        <f>SIM_Districts!D23*(1+SIM_Parametres!$B$6)^(2029-2023)</f>
        <v>222829.26336905584</v>
      </c>
      <c r="H946" s="125">
        <f>MAX(0,MIN(100,SIM_Districts!F23+(2029-2022)*SIM_Parametres!$B$7))</f>
        <v>40.69</v>
      </c>
      <c r="I946" s="125">
        <f>SIM_Districts!G23*(1+SIM_Parametres!$B$8)^(2029-2023)</f>
        <v>27.594791242239999</v>
      </c>
      <c r="J946" s="125">
        <f>SIM_Districts!H23*(1+SIM_Parametres!$B$9)^(2029-2023)</f>
        <v>8.4499119000000036</v>
      </c>
      <c r="K946" s="125">
        <f>MAX(0,MIN(100,SIM_Districts!I23+(2029-2023)*SIM_Parametres!$B$10))</f>
        <v>100</v>
      </c>
      <c r="L946" s="125">
        <f>SIM_Districts!E23</f>
        <v>1459</v>
      </c>
      <c r="M946" s="61">
        <f t="shared" si="530"/>
        <v>152.72739093149818</v>
      </c>
      <c r="N946" s="125">
        <f>N875*(1+SIM_Parametres!$B$6)/(1+SIM_Parametres!$B$11)</f>
        <v>95110</v>
      </c>
      <c r="O946" s="3"/>
      <c r="P946" s="126">
        <f>SIM_Parametres!$D$35</f>
        <v>1</v>
      </c>
      <c r="Q946" s="126">
        <f>SIM_Parametres!$B$12</f>
        <v>0.2</v>
      </c>
      <c r="R946" s="66">
        <f t="shared" si="550"/>
        <v>1.0295266767984881E-2</v>
      </c>
      <c r="S946" s="66">
        <f t="shared" si="551"/>
        <v>0.65957446808510634</v>
      </c>
      <c r="T946" s="66">
        <f t="shared" si="552"/>
        <v>0.65469613259668513</v>
      </c>
      <c r="U946" s="66">
        <f t="shared" si="553"/>
        <v>0.54845929360495993</v>
      </c>
      <c r="V946" s="66">
        <f t="shared" si="554"/>
        <v>0.24769050312675686</v>
      </c>
      <c r="W946" s="66">
        <f t="shared" si="555"/>
        <v>1.5726062143310078E-2</v>
      </c>
      <c r="X946" s="66">
        <f t="shared" si="556"/>
        <v>1.2955775433225826E-2</v>
      </c>
      <c r="Y946" s="66">
        <f t="shared" si="557"/>
        <v>1.4012975606946153E-2</v>
      </c>
      <c r="Z946" s="66">
        <f t="shared" si="558"/>
        <v>9.0910712011208778E-3</v>
      </c>
      <c r="AA946" s="66">
        <f t="shared" si="531"/>
        <v>1.1634638037674665E-2</v>
      </c>
      <c r="AB946" s="66">
        <f t="shared" si="559"/>
        <v>1.2124611838590435E-2</v>
      </c>
      <c r="AC946" s="67">
        <f t="shared" si="532"/>
        <v>20407577.814538069</v>
      </c>
      <c r="AD946" s="67">
        <f t="shared" si="549"/>
        <v>20407577.814538069</v>
      </c>
      <c r="AE946" s="66">
        <f t="shared" si="535"/>
        <v>3.1999999999999584E-2</v>
      </c>
      <c r="AF946" s="64">
        <f t="shared" si="547"/>
        <v>20407577.814538069</v>
      </c>
      <c r="AG946" s="64">
        <v>1</v>
      </c>
      <c r="AH946" s="64">
        <f t="shared" si="548"/>
        <v>20407577.814538069</v>
      </c>
      <c r="AI946" s="67">
        <f t="shared" si="533"/>
        <v>91.583921725480408</v>
      </c>
      <c r="AJ946" s="67">
        <f t="shared" si="534"/>
        <v>0</v>
      </c>
      <c r="AK946" s="66">
        <f t="shared" si="536"/>
        <v>3.1999999999999584E-2</v>
      </c>
    </row>
    <row r="947" spans="1:37" ht="12" customHeight="1" x14ac:dyDescent="0.25">
      <c r="A947" s="134" t="s">
        <v>611</v>
      </c>
      <c r="B947" s="134" t="s">
        <v>402</v>
      </c>
      <c r="C947" s="134" t="s">
        <v>404</v>
      </c>
      <c r="D947" s="128">
        <v>2029</v>
      </c>
      <c r="E947" s="134" t="s">
        <v>676</v>
      </c>
      <c r="F947" s="57">
        <f>SIM_Parametres!$C$35</f>
        <v>1683153084.5040712</v>
      </c>
      <c r="G947" s="129">
        <f>SIM_Districts!D24*(1+SIM_Parametres!$B$6)^(2029-2023)</f>
        <v>174871.34693126509</v>
      </c>
      <c r="H947" s="129">
        <f>MAX(0,MIN(100,SIM_Districts!F24+(2029-2022)*SIM_Parametres!$B$7))</f>
        <v>52.39</v>
      </c>
      <c r="I947" s="129">
        <f>SIM_Districts!G24*(1+SIM_Parametres!$B$8)^(2029-2023)</f>
        <v>27.594791242239999</v>
      </c>
      <c r="J947" s="129">
        <f>SIM_Districts!H24*(1+SIM_Parametres!$B$9)^(2029-2023)</f>
        <v>15.092924400000005</v>
      </c>
      <c r="K947" s="129">
        <f>MAX(0,MIN(100,SIM_Districts!I24+(2029-2023)*SIM_Parametres!$B$10))</f>
        <v>97.4</v>
      </c>
      <c r="L947" s="129">
        <f>SIM_Districts!E24</f>
        <v>1150</v>
      </c>
      <c r="M947" s="68">
        <f t="shared" si="530"/>
        <v>152.06204080979572</v>
      </c>
      <c r="N947" s="129">
        <f>N876*(1+SIM_Parametres!$B$6)/(1+SIM_Parametres!$B$11)</f>
        <v>169739</v>
      </c>
      <c r="O947" s="135"/>
      <c r="P947" s="130">
        <f>SIM_Parametres!$D$35</f>
        <v>1</v>
      </c>
      <c r="Q947" s="130">
        <f>SIM_Parametres!$B$12</f>
        <v>0.2</v>
      </c>
      <c r="R947" s="59">
        <f t="shared" si="550"/>
        <v>8.0794916229311627E-3</v>
      </c>
      <c r="S947" s="59">
        <f t="shared" si="551"/>
        <v>0.86702127659574468</v>
      </c>
      <c r="T947" s="59">
        <f t="shared" si="552"/>
        <v>1</v>
      </c>
      <c r="U947" s="59">
        <f t="shared" si="553"/>
        <v>0.53776328071078583</v>
      </c>
      <c r="V947" s="59">
        <f t="shared" si="554"/>
        <v>0.76566328194948607</v>
      </c>
      <c r="W947" s="59">
        <f t="shared" si="555"/>
        <v>2.0672162333544703E-2</v>
      </c>
      <c r="X947" s="59">
        <f t="shared" si="556"/>
        <v>1.9788990324167716E-2</v>
      </c>
      <c r="Y947" s="59">
        <f t="shared" si="557"/>
        <v>1.3739695585027882E-2</v>
      </c>
      <c r="Z947" s="59">
        <f t="shared" si="558"/>
        <v>2.8102407336645013E-2</v>
      </c>
      <c r="AA947" s="59">
        <f t="shared" si="531"/>
        <v>1.3008973018499206E-2</v>
      </c>
      <c r="AB947" s="59">
        <f t="shared" si="559"/>
        <v>1.3224079823250067E-2</v>
      </c>
      <c r="AC947" s="60">
        <f t="shared" si="532"/>
        <v>22258150.744231407</v>
      </c>
      <c r="AD947" s="60">
        <f t="shared" si="549"/>
        <v>22258150.744231407</v>
      </c>
      <c r="AE947" s="59">
        <f t="shared" si="535"/>
        <v>3.1999999999999806E-2</v>
      </c>
      <c r="AF947" s="57">
        <f t="shared" si="547"/>
        <v>22258150.744231407</v>
      </c>
      <c r="AG947" s="57">
        <v>1</v>
      </c>
      <c r="AH947" s="57">
        <f t="shared" si="548"/>
        <v>22258150.744231407</v>
      </c>
      <c r="AI947" s="60">
        <f t="shared" si="533"/>
        <v>127.28300624904658</v>
      </c>
      <c r="AJ947" s="60">
        <f t="shared" si="534"/>
        <v>0</v>
      </c>
      <c r="AK947" s="59">
        <f t="shared" si="536"/>
        <v>3.1999999999999806E-2</v>
      </c>
    </row>
    <row r="948" spans="1:37" ht="12" customHeight="1" x14ac:dyDescent="0.25">
      <c r="A948" s="133" t="s">
        <v>613</v>
      </c>
      <c r="B948" s="133" t="s">
        <v>402</v>
      </c>
      <c r="C948" s="133" t="s">
        <v>402</v>
      </c>
      <c r="D948" s="124">
        <v>2029</v>
      </c>
      <c r="E948" s="133" t="s">
        <v>676</v>
      </c>
      <c r="F948" s="64">
        <f>SIM_Parametres!$C$35</f>
        <v>1683153084.5040712</v>
      </c>
      <c r="G948" s="125">
        <f>SIM_Districts!D25*(1+SIM_Parametres!$B$6)^(2029-2023)</f>
        <v>358807.93889777834</v>
      </c>
      <c r="H948" s="125">
        <f>MAX(0,MIN(100,SIM_Districts!F25+(2029-2022)*SIM_Parametres!$B$7))</f>
        <v>52.39</v>
      </c>
      <c r="I948" s="125">
        <f>SIM_Districts!G25*(1+SIM_Parametres!$B$8)^(2029-2023)</f>
        <v>27.594791242239999</v>
      </c>
      <c r="J948" s="125">
        <f>SIM_Districts!H25*(1+SIM_Parametres!$B$9)^(2029-2023)</f>
        <v>15.092924400000005</v>
      </c>
      <c r="K948" s="125">
        <f>MAX(0,MIN(100,SIM_Districts!I25+(2029-2023)*SIM_Parametres!$B$10))</f>
        <v>97.4</v>
      </c>
      <c r="L948" s="125">
        <f>SIM_Districts!E25</f>
        <v>2609</v>
      </c>
      <c r="M948" s="61">
        <f t="shared" si="530"/>
        <v>137.52699842766515</v>
      </c>
      <c r="N948" s="125">
        <f>N877*(1+SIM_Parametres!$B$6)/(1+SIM_Parametres!$B$11)</f>
        <v>169739</v>
      </c>
      <c r="O948" s="3"/>
      <c r="P948" s="126">
        <f>SIM_Parametres!$D$35</f>
        <v>1</v>
      </c>
      <c r="Q948" s="126">
        <f>SIM_Parametres!$B$12</f>
        <v>0.2</v>
      </c>
      <c r="R948" s="66">
        <f t="shared" si="550"/>
        <v>1.6577820137139286E-2</v>
      </c>
      <c r="S948" s="66">
        <f t="shared" si="551"/>
        <v>0.86702127659574468</v>
      </c>
      <c r="T948" s="66">
        <f t="shared" si="552"/>
        <v>1</v>
      </c>
      <c r="U948" s="66">
        <f t="shared" si="553"/>
        <v>0.58847583069176324</v>
      </c>
      <c r="V948" s="66">
        <f t="shared" si="554"/>
        <v>0.76566328194948607</v>
      </c>
      <c r="W948" s="66">
        <f t="shared" si="555"/>
        <v>2.0672162333544703E-2</v>
      </c>
      <c r="X948" s="66">
        <f t="shared" si="556"/>
        <v>1.9788990324167716E-2</v>
      </c>
      <c r="Y948" s="66">
        <f t="shared" si="557"/>
        <v>1.5035386503452401E-2</v>
      </c>
      <c r="Z948" s="66">
        <f t="shared" si="558"/>
        <v>2.8102407336645013E-2</v>
      </c>
      <c r="AA948" s="66">
        <f t="shared" si="531"/>
        <v>1.8172754672945306E-2</v>
      </c>
      <c r="AB948" s="66">
        <f t="shared" si="559"/>
        <v>1.7355105146806951E-2</v>
      </c>
      <c r="AC948" s="67">
        <f t="shared" si="532"/>
        <v>29211298.759740602</v>
      </c>
      <c r="AD948" s="67">
        <f t="shared" si="549"/>
        <v>29211298.759740602</v>
      </c>
      <c r="AE948" s="66">
        <f t="shared" si="535"/>
        <v>3.1999999999999806E-2</v>
      </c>
      <c r="AF948" s="64">
        <f t="shared" si="547"/>
        <v>29211298.759740602</v>
      </c>
      <c r="AG948" s="64">
        <v>1</v>
      </c>
      <c r="AH948" s="64">
        <f t="shared" si="548"/>
        <v>29211298.759740602</v>
      </c>
      <c r="AI948" s="67">
        <f t="shared" si="533"/>
        <v>81.412074798218669</v>
      </c>
      <c r="AJ948" s="67">
        <f t="shared" si="534"/>
        <v>0</v>
      </c>
      <c r="AK948" s="66">
        <f t="shared" si="536"/>
        <v>3.1999999999999806E-2</v>
      </c>
    </row>
    <row r="949" spans="1:37" ht="12" customHeight="1" x14ac:dyDescent="0.25">
      <c r="A949" s="134" t="s">
        <v>614</v>
      </c>
      <c r="B949" s="134" t="s">
        <v>402</v>
      </c>
      <c r="C949" s="134" t="s">
        <v>405</v>
      </c>
      <c r="D949" s="128">
        <v>2029</v>
      </c>
      <c r="E949" s="134" t="s">
        <v>676</v>
      </c>
      <c r="F949" s="57">
        <f>SIM_Parametres!$C$35</f>
        <v>1683153084.5040712</v>
      </c>
      <c r="G949" s="129">
        <f>SIM_Districts!D26*(1+SIM_Parametres!$B$6)^(2029-2023)</f>
        <v>282374.26329236402</v>
      </c>
      <c r="H949" s="129">
        <f>MAX(0,MIN(100,SIM_Districts!F26+(2029-2022)*SIM_Parametres!$B$7))</f>
        <v>52.39</v>
      </c>
      <c r="I949" s="129">
        <f>SIM_Districts!G26*(1+SIM_Parametres!$B$8)^(2029-2023)</f>
        <v>27.594791242239999</v>
      </c>
      <c r="J949" s="129">
        <f>SIM_Districts!H26*(1+SIM_Parametres!$B$9)^(2029-2023)</f>
        <v>15.092924400000005</v>
      </c>
      <c r="K949" s="129">
        <f>MAX(0,MIN(100,SIM_Districts!I26+(2029-2023)*SIM_Parametres!$B$10))</f>
        <v>97.4</v>
      </c>
      <c r="L949" s="129">
        <f>SIM_Districts!E26</f>
        <v>4537</v>
      </c>
      <c r="M949" s="68">
        <f t="shared" si="530"/>
        <v>62.238100791792817</v>
      </c>
      <c r="N949" s="129">
        <f>N878*(1+SIM_Parametres!$B$6)/(1+SIM_Parametres!$B$11)</f>
        <v>169739</v>
      </c>
      <c r="O949" s="135"/>
      <c r="P949" s="130">
        <f>SIM_Parametres!$D$35</f>
        <v>1</v>
      </c>
      <c r="Q949" s="130">
        <f>SIM_Parametres!$B$12</f>
        <v>0.2</v>
      </c>
      <c r="R949" s="59">
        <f t="shared" si="550"/>
        <v>1.3046394019591765E-2</v>
      </c>
      <c r="S949" s="59">
        <f t="shared" si="551"/>
        <v>0.86702127659574468</v>
      </c>
      <c r="T949" s="59">
        <f t="shared" si="552"/>
        <v>1</v>
      </c>
      <c r="U949" s="59">
        <f t="shared" si="553"/>
        <v>0.65615433798264988</v>
      </c>
      <c r="V949" s="59">
        <f t="shared" si="554"/>
        <v>0.76566328194948607</v>
      </c>
      <c r="W949" s="59">
        <f t="shared" si="555"/>
        <v>2.0672162333544703E-2</v>
      </c>
      <c r="X949" s="59">
        <f t="shared" si="556"/>
        <v>1.9788990324167716E-2</v>
      </c>
      <c r="Y949" s="59">
        <f t="shared" si="557"/>
        <v>1.6764552702001334E-2</v>
      </c>
      <c r="Z949" s="59">
        <f t="shared" si="558"/>
        <v>2.8102407336645013E-2</v>
      </c>
      <c r="AA949" s="59">
        <f t="shared" si="531"/>
        <v>1.6140357312344238E-2</v>
      </c>
      <c r="AB949" s="59">
        <f t="shared" si="559"/>
        <v>1.5729187258326099E-2</v>
      </c>
      <c r="AC949" s="60">
        <f t="shared" si="532"/>
        <v>26474630.050593704</v>
      </c>
      <c r="AD949" s="60">
        <f t="shared" si="549"/>
        <v>26474630.050593704</v>
      </c>
      <c r="AE949" s="59">
        <f t="shared" si="535"/>
        <v>3.1999999999999584E-2</v>
      </c>
      <c r="AF949" s="57">
        <f t="shared" si="547"/>
        <v>26474630.050593704</v>
      </c>
      <c r="AG949" s="57">
        <v>1</v>
      </c>
      <c r="AH949" s="57">
        <f t="shared" si="548"/>
        <v>26474630.050593704</v>
      </c>
      <c r="AI949" s="60">
        <f t="shared" si="533"/>
        <v>93.757234607399269</v>
      </c>
      <c r="AJ949" s="60">
        <f t="shared" si="534"/>
        <v>0</v>
      </c>
      <c r="AK949" s="59">
        <f t="shared" si="536"/>
        <v>3.1999999999999584E-2</v>
      </c>
    </row>
    <row r="950" spans="1:37" ht="12" customHeight="1" x14ac:dyDescent="0.25">
      <c r="A950" s="133" t="s">
        <v>615</v>
      </c>
      <c r="B950" s="133" t="s">
        <v>402</v>
      </c>
      <c r="C950" s="133" t="s">
        <v>406</v>
      </c>
      <c r="D950" s="124">
        <v>2029</v>
      </c>
      <c r="E950" s="133" t="s">
        <v>676</v>
      </c>
      <c r="F950" s="64">
        <f>SIM_Parametres!$C$35</f>
        <v>1683153084.5040712</v>
      </c>
      <c r="G950" s="125">
        <f>SIM_Districts!D27*(1+SIM_Parametres!$B$6)^(2029-2023)</f>
        <v>163552.92521246671</v>
      </c>
      <c r="H950" s="125">
        <f>MAX(0,MIN(100,SIM_Districts!F27+(2029-2022)*SIM_Parametres!$B$7))</f>
        <v>52.39</v>
      </c>
      <c r="I950" s="125">
        <f>SIM_Districts!G27*(1+SIM_Parametres!$B$8)^(2029-2023)</f>
        <v>27.594791242239999</v>
      </c>
      <c r="J950" s="125">
        <f>SIM_Districts!H27*(1+SIM_Parametres!$B$9)^(2029-2023)</f>
        <v>15.092924400000005</v>
      </c>
      <c r="K950" s="125">
        <f>MAX(0,MIN(100,SIM_Districts!I27+(2029-2023)*SIM_Parametres!$B$10))</f>
        <v>97.4</v>
      </c>
      <c r="L950" s="125">
        <f>SIM_Districts!E27</f>
        <v>2765</v>
      </c>
      <c r="M950" s="61">
        <f t="shared" si="530"/>
        <v>59.151148358939139</v>
      </c>
      <c r="N950" s="125">
        <f>N879*(1+SIM_Parametres!$B$6)/(1+SIM_Parametres!$B$11)</f>
        <v>169739</v>
      </c>
      <c r="O950" s="3"/>
      <c r="P950" s="126">
        <f>SIM_Parametres!$D$35</f>
        <v>1</v>
      </c>
      <c r="Q950" s="126">
        <f>SIM_Parametres!$B$12</f>
        <v>0.2</v>
      </c>
      <c r="R950" s="66">
        <f t="shared" si="550"/>
        <v>7.5565523589145268E-3</v>
      </c>
      <c r="S950" s="66">
        <f t="shared" si="551"/>
        <v>0.86702127659574468</v>
      </c>
      <c r="T950" s="66">
        <f t="shared" si="552"/>
        <v>1</v>
      </c>
      <c r="U950" s="66">
        <f t="shared" si="553"/>
        <v>0.59480805510502432</v>
      </c>
      <c r="V950" s="66">
        <f t="shared" si="554"/>
        <v>0.76566328194948607</v>
      </c>
      <c r="W950" s="66">
        <f t="shared" si="555"/>
        <v>2.0672162333544703E-2</v>
      </c>
      <c r="X950" s="66">
        <f t="shared" si="556"/>
        <v>1.9788990324167716E-2</v>
      </c>
      <c r="Y950" s="66">
        <f t="shared" si="557"/>
        <v>1.5197172997501035E-2</v>
      </c>
      <c r="Z950" s="66">
        <f t="shared" si="558"/>
        <v>2.8102407336645013E-2</v>
      </c>
      <c r="AA950" s="66">
        <f t="shared" si="531"/>
        <v>1.2768083330712882E-2</v>
      </c>
      <c r="AB950" s="66">
        <f t="shared" si="559"/>
        <v>1.3031368073021006E-2</v>
      </c>
      <c r="AC950" s="67">
        <f t="shared" si="532"/>
        <v>21933787.367413189</v>
      </c>
      <c r="AD950" s="67">
        <f t="shared" si="549"/>
        <v>21933787.367413189</v>
      </c>
      <c r="AE950" s="66">
        <f t="shared" si="535"/>
        <v>3.2000000000000028E-2</v>
      </c>
      <c r="AF950" s="64">
        <f t="shared" si="547"/>
        <v>21933787.367413189</v>
      </c>
      <c r="AG950" s="64">
        <v>1</v>
      </c>
      <c r="AH950" s="64">
        <f t="shared" si="548"/>
        <v>21933787.367413189</v>
      </c>
      <c r="AI950" s="67">
        <f t="shared" si="533"/>
        <v>134.10819365608816</v>
      </c>
      <c r="AJ950" s="67">
        <f t="shared" si="534"/>
        <v>0</v>
      </c>
      <c r="AK950" s="66">
        <f t="shared" si="536"/>
        <v>3.2000000000000028E-2</v>
      </c>
    </row>
    <row r="951" spans="1:37" ht="12" customHeight="1" x14ac:dyDescent="0.25">
      <c r="A951" s="134" t="s">
        <v>616</v>
      </c>
      <c r="B951" s="134" t="s">
        <v>407</v>
      </c>
      <c r="C951" s="134" t="s">
        <v>409</v>
      </c>
      <c r="D951" s="128">
        <v>2029</v>
      </c>
      <c r="E951" s="134" t="s">
        <v>676</v>
      </c>
      <c r="F951" s="57">
        <f>SIM_Parametres!$C$35</f>
        <v>1683153084.5040712</v>
      </c>
      <c r="G951" s="129">
        <f>SIM_Districts!D28*(1+SIM_Parametres!$B$6)^(2029-2023)</f>
        <v>191331.35783891735</v>
      </c>
      <c r="H951" s="129">
        <f>MAX(0,MIN(100,SIM_Districts!F28+(2029-2022)*SIM_Parametres!$B$7))</f>
        <v>43.79</v>
      </c>
      <c r="I951" s="129">
        <f>SIM_Districts!G28*(1+SIM_Parametres!$B$8)^(2029-2023)</f>
        <v>27.594791242239999</v>
      </c>
      <c r="J951" s="129">
        <f>SIM_Districts!H28*(1+SIM_Parametres!$B$9)^(2029-2023)</f>
        <v>7.759038600000002</v>
      </c>
      <c r="K951" s="129">
        <f>MAX(0,MIN(100,SIM_Districts!I28+(2029-2023)*SIM_Parametres!$B$10))</f>
        <v>100</v>
      </c>
      <c r="L951" s="129">
        <f>SIM_Districts!E28</f>
        <v>1066</v>
      </c>
      <c r="M951" s="68">
        <f t="shared" si="530"/>
        <v>179.48532630292434</v>
      </c>
      <c r="N951" s="129">
        <f>N880*(1+SIM_Parametres!$B$6)/(1+SIM_Parametres!$B$11)</f>
        <v>190293</v>
      </c>
      <c r="O951" s="135"/>
      <c r="P951" s="130">
        <f>SIM_Parametres!$D$35</f>
        <v>1</v>
      </c>
      <c r="Q951" s="130">
        <f>SIM_Parametres!$B$12</f>
        <v>0.2</v>
      </c>
      <c r="R951" s="59">
        <f t="shared" si="550"/>
        <v>8.8399851090024094E-3</v>
      </c>
      <c r="S951" s="59">
        <f t="shared" si="551"/>
        <v>0.71453900709219853</v>
      </c>
      <c r="T951" s="59">
        <f t="shared" si="552"/>
        <v>0.61878453038674031</v>
      </c>
      <c r="U951" s="59">
        <f t="shared" si="553"/>
        <v>0.53452867131516979</v>
      </c>
      <c r="V951" s="59">
        <f t="shared" si="554"/>
        <v>0.90832112938040932</v>
      </c>
      <c r="W951" s="59">
        <f t="shared" si="555"/>
        <v>1.7036567321919254E-2</v>
      </c>
      <c r="X951" s="59">
        <f t="shared" si="556"/>
        <v>1.2245121084567868E-2</v>
      </c>
      <c r="Y951" s="59">
        <f t="shared" si="557"/>
        <v>1.3657052254725572E-2</v>
      </c>
      <c r="Z951" s="59">
        <f t="shared" si="558"/>
        <v>3.333842822570373E-2</v>
      </c>
      <c r="AA951" s="59">
        <f t="shared" si="531"/>
        <v>1.204601835039598E-2</v>
      </c>
      <c r="AB951" s="59">
        <f t="shared" si="559"/>
        <v>1.2453716088767485E-2</v>
      </c>
      <c r="AC951" s="60">
        <f t="shared" si="532"/>
        <v>20961510.648346975</v>
      </c>
      <c r="AD951" s="60">
        <f t="shared" si="549"/>
        <v>20961510.648346975</v>
      </c>
      <c r="AE951" s="59">
        <f t="shared" si="535"/>
        <v>3.2000000000000028E-2</v>
      </c>
      <c r="AF951" s="57">
        <f t="shared" si="547"/>
        <v>20961510.648346975</v>
      </c>
      <c r="AG951" s="57">
        <v>1</v>
      </c>
      <c r="AH951" s="57">
        <f t="shared" si="548"/>
        <v>20961510.648346975</v>
      </c>
      <c r="AI951" s="60">
        <f t="shared" si="533"/>
        <v>109.55606485579095</v>
      </c>
      <c r="AJ951" s="60">
        <f t="shared" si="534"/>
        <v>0</v>
      </c>
      <c r="AK951" s="59">
        <f t="shared" si="536"/>
        <v>3.2000000000000028E-2</v>
      </c>
    </row>
    <row r="952" spans="1:37" ht="12" customHeight="1" x14ac:dyDescent="0.25">
      <c r="A952" s="133" t="s">
        <v>618</v>
      </c>
      <c r="B952" s="133" t="s">
        <v>407</v>
      </c>
      <c r="C952" s="133" t="s">
        <v>410</v>
      </c>
      <c r="D952" s="124">
        <v>2029</v>
      </c>
      <c r="E952" s="133" t="s">
        <v>676</v>
      </c>
      <c r="F952" s="64">
        <f>SIM_Parametres!$C$35</f>
        <v>1683153084.5040712</v>
      </c>
      <c r="G952" s="125">
        <f>SIM_Districts!D29*(1+SIM_Parametres!$B$6)^(2029-2023)</f>
        <v>520112.46363588097</v>
      </c>
      <c r="H952" s="125">
        <f>MAX(0,MIN(100,SIM_Districts!F29+(2029-2022)*SIM_Parametres!$B$7))</f>
        <v>43.79</v>
      </c>
      <c r="I952" s="125">
        <f>SIM_Districts!G29*(1+SIM_Parametres!$B$8)^(2029-2023)</f>
        <v>27.594791242239999</v>
      </c>
      <c r="J952" s="125">
        <f>SIM_Districts!H29*(1+SIM_Parametres!$B$9)^(2029-2023)</f>
        <v>7.759038600000002</v>
      </c>
      <c r="K952" s="125">
        <f>MAX(0,MIN(100,SIM_Districts!I29+(2029-2023)*SIM_Parametres!$B$10))</f>
        <v>100</v>
      </c>
      <c r="L952" s="125">
        <f>SIM_Districts!E29</f>
        <v>535</v>
      </c>
      <c r="M952" s="61">
        <f t="shared" si="530"/>
        <v>972.17282922594575</v>
      </c>
      <c r="N952" s="125">
        <f>N881*(1+SIM_Parametres!$B$6)/(1+SIM_Parametres!$B$11)</f>
        <v>190293</v>
      </c>
      <c r="O952" s="3"/>
      <c r="P952" s="126">
        <f>SIM_Parametres!$D$35</f>
        <v>1</v>
      </c>
      <c r="Q952" s="126">
        <f>SIM_Parametres!$B$12</f>
        <v>0.2</v>
      </c>
      <c r="R952" s="66">
        <f t="shared" si="550"/>
        <v>2.4030490796070343E-2</v>
      </c>
      <c r="S952" s="66">
        <f t="shared" si="551"/>
        <v>0.71453900709219853</v>
      </c>
      <c r="T952" s="66">
        <f t="shared" si="552"/>
        <v>0.61878453038674031</v>
      </c>
      <c r="U952" s="66">
        <f t="shared" si="553"/>
        <v>0.50674567312414043</v>
      </c>
      <c r="V952" s="66">
        <f t="shared" si="554"/>
        <v>0.90832112938040932</v>
      </c>
      <c r="W952" s="66">
        <f t="shared" si="555"/>
        <v>1.7036567321919254E-2</v>
      </c>
      <c r="X952" s="66">
        <f t="shared" si="556"/>
        <v>1.2245121084567868E-2</v>
      </c>
      <c r="Y952" s="66">
        <f t="shared" si="557"/>
        <v>1.2947204722778849E-2</v>
      </c>
      <c r="Z952" s="66">
        <f t="shared" si="558"/>
        <v>3.333842822570373E-2</v>
      </c>
      <c r="AA952" s="66">
        <f t="shared" si="531"/>
        <v>2.11248293860394E-2</v>
      </c>
      <c r="AB952" s="66">
        <f t="shared" si="559"/>
        <v>1.9716764917282224E-2</v>
      </c>
      <c r="AC952" s="67">
        <f t="shared" si="532"/>
        <v>33186333.686965235</v>
      </c>
      <c r="AD952" s="67">
        <f t="shared" si="549"/>
        <v>33186333.686965235</v>
      </c>
      <c r="AE952" s="66">
        <f t="shared" si="535"/>
        <v>3.1999999999999584E-2</v>
      </c>
      <c r="AF952" s="64">
        <f t="shared" si="547"/>
        <v>33186333.686965235</v>
      </c>
      <c r="AG952" s="64">
        <v>1</v>
      </c>
      <c r="AH952" s="64">
        <f t="shared" si="548"/>
        <v>33186333.686965235</v>
      </c>
      <c r="AI952" s="67">
        <f t="shared" si="533"/>
        <v>63.806072738526488</v>
      </c>
      <c r="AJ952" s="67">
        <f t="shared" si="534"/>
        <v>0</v>
      </c>
      <c r="AK952" s="66">
        <f t="shared" si="536"/>
        <v>3.1999999999999584E-2</v>
      </c>
    </row>
    <row r="953" spans="1:37" ht="12" customHeight="1" x14ac:dyDescent="0.25">
      <c r="A953" s="134" t="s">
        <v>619</v>
      </c>
      <c r="B953" s="134" t="s">
        <v>407</v>
      </c>
      <c r="C953" s="134" t="s">
        <v>411</v>
      </c>
      <c r="D953" s="128">
        <v>2029</v>
      </c>
      <c r="E953" s="134" t="s">
        <v>676</v>
      </c>
      <c r="F953" s="57">
        <f>SIM_Parametres!$C$35</f>
        <v>1683153084.5040712</v>
      </c>
      <c r="G953" s="129">
        <f>SIM_Districts!D30*(1+SIM_Parametres!$B$6)^(2029-2023)</f>
        <v>291773.84297064028</v>
      </c>
      <c r="H953" s="129">
        <f>MAX(0,MIN(100,SIM_Districts!F30+(2029-2022)*SIM_Parametres!$B$7))</f>
        <v>43.79</v>
      </c>
      <c r="I953" s="129">
        <f>SIM_Districts!G30*(1+SIM_Parametres!$B$8)^(2029-2023)</f>
        <v>27.594791242239999</v>
      </c>
      <c r="J953" s="129">
        <f>SIM_Districts!H30*(1+SIM_Parametres!$B$9)^(2029-2023)</f>
        <v>7.759038600000002</v>
      </c>
      <c r="K953" s="129">
        <f>MAX(0,MIN(100,SIM_Districts!I30+(2029-2023)*SIM_Parametres!$B$10))</f>
        <v>100</v>
      </c>
      <c r="L953" s="129">
        <f>SIM_Districts!E30</f>
        <v>1359</v>
      </c>
      <c r="M953" s="68">
        <f t="shared" si="530"/>
        <v>214.69745619620329</v>
      </c>
      <c r="N953" s="129">
        <f>N882*(1+SIM_Parametres!$B$6)/(1+SIM_Parametres!$B$11)</f>
        <v>190293</v>
      </c>
      <c r="O953" s="135"/>
      <c r="P953" s="130">
        <f>SIM_Parametres!$D$35</f>
        <v>1</v>
      </c>
      <c r="Q953" s="130">
        <f>SIM_Parametres!$B$12</f>
        <v>0.2</v>
      </c>
      <c r="R953" s="59">
        <f t="shared" si="550"/>
        <v>1.348067800380307E-2</v>
      </c>
      <c r="S953" s="59">
        <f t="shared" si="551"/>
        <v>0.71453900709219853</v>
      </c>
      <c r="T953" s="59">
        <f t="shared" si="552"/>
        <v>0.61878453038674031</v>
      </c>
      <c r="U953" s="59">
        <f t="shared" si="553"/>
        <v>0.54426125050867191</v>
      </c>
      <c r="V953" s="59">
        <f t="shared" si="554"/>
        <v>0.90832112938040932</v>
      </c>
      <c r="W953" s="59">
        <f t="shared" si="555"/>
        <v>1.7036567321919254E-2</v>
      </c>
      <c r="X953" s="59">
        <f t="shared" si="556"/>
        <v>1.2245121084567868E-2</v>
      </c>
      <c r="Y953" s="59">
        <f t="shared" si="557"/>
        <v>1.390571682549944E-2</v>
      </c>
      <c r="Z953" s="59">
        <f t="shared" si="558"/>
        <v>3.333842822570373E-2</v>
      </c>
      <c r="AA953" s="59">
        <f t="shared" si="531"/>
        <v>1.4842867315815068E-2</v>
      </c>
      <c r="AB953" s="59">
        <f t="shared" si="559"/>
        <v>1.469119526110276E-2</v>
      </c>
      <c r="AC953" s="60">
        <f t="shared" si="532"/>
        <v>24727530.618776701</v>
      </c>
      <c r="AD953" s="60">
        <f t="shared" si="549"/>
        <v>24727530.618776701</v>
      </c>
      <c r="AE953" s="59">
        <f t="shared" si="535"/>
        <v>3.1999999999999584E-2</v>
      </c>
      <c r="AF953" s="57">
        <f t="shared" si="547"/>
        <v>24727530.618776701</v>
      </c>
      <c r="AG953" s="57">
        <v>1</v>
      </c>
      <c r="AH953" s="57">
        <f t="shared" si="548"/>
        <v>24727530.618776701</v>
      </c>
      <c r="AI953" s="60">
        <f t="shared" si="533"/>
        <v>84.748962987970472</v>
      </c>
      <c r="AJ953" s="60">
        <f t="shared" si="534"/>
        <v>0</v>
      </c>
      <c r="AK953" s="59">
        <f t="shared" si="536"/>
        <v>3.1999999999999584E-2</v>
      </c>
    </row>
    <row r="954" spans="1:37" ht="12" customHeight="1" x14ac:dyDescent="0.25">
      <c r="A954" s="133" t="s">
        <v>620</v>
      </c>
      <c r="B954" s="133" t="s">
        <v>407</v>
      </c>
      <c r="C954" s="133" t="s">
        <v>412</v>
      </c>
      <c r="D954" s="124">
        <v>2029</v>
      </c>
      <c r="E954" s="133" t="s">
        <v>676</v>
      </c>
      <c r="F954" s="64">
        <f>SIM_Parametres!$C$35</f>
        <v>1683153084.5040712</v>
      </c>
      <c r="G954" s="125">
        <f>SIM_Districts!D31*(1+SIM_Parametres!$B$6)^(2029-2023)</f>
        <v>592895.92137080617</v>
      </c>
      <c r="H954" s="125">
        <f>MAX(0,MIN(100,SIM_Districts!F31+(2029-2022)*SIM_Parametres!$B$7))</f>
        <v>43.79</v>
      </c>
      <c r="I954" s="125">
        <f>SIM_Districts!G31*(1+SIM_Parametres!$B$8)^(2029-2023)</f>
        <v>27.594791242239999</v>
      </c>
      <c r="J954" s="125">
        <f>SIM_Districts!H31*(1+SIM_Parametres!$B$9)^(2029-2023)</f>
        <v>7.759038600000002</v>
      </c>
      <c r="K954" s="125">
        <f>MAX(0,MIN(100,SIM_Districts!I31+(2029-2023)*SIM_Parametres!$B$10))</f>
        <v>100</v>
      </c>
      <c r="L954" s="125">
        <f>SIM_Districts!E31</f>
        <v>2302</v>
      </c>
      <c r="M954" s="61">
        <f t="shared" si="530"/>
        <v>257.55687288045448</v>
      </c>
      <c r="N954" s="125">
        <f>N883*(1+SIM_Parametres!$B$6)/(1+SIM_Parametres!$B$11)</f>
        <v>190293</v>
      </c>
      <c r="O954" s="3"/>
      <c r="P954" s="126">
        <f>SIM_Parametres!$D$35</f>
        <v>1</v>
      </c>
      <c r="Q954" s="126">
        <f>SIM_Parametres!$B$12</f>
        <v>0.2</v>
      </c>
      <c r="R954" s="66">
        <f t="shared" si="550"/>
        <v>2.7393267759688245E-2</v>
      </c>
      <c r="S954" s="66">
        <f t="shared" si="551"/>
        <v>0.71453900709219853</v>
      </c>
      <c r="T954" s="66">
        <f t="shared" si="552"/>
        <v>0.61878453038674031</v>
      </c>
      <c r="U954" s="66">
        <f t="shared" si="553"/>
        <v>0.5764195329812869</v>
      </c>
      <c r="V954" s="66">
        <f t="shared" si="554"/>
        <v>0.90832112938040932</v>
      </c>
      <c r="W954" s="66">
        <f t="shared" si="555"/>
        <v>1.7036567321919254E-2</v>
      </c>
      <c r="X954" s="66">
        <f t="shared" si="556"/>
        <v>1.2245121084567868E-2</v>
      </c>
      <c r="Y954" s="66">
        <f t="shared" si="557"/>
        <v>1.4727351599683094E-2</v>
      </c>
      <c r="Z954" s="66">
        <f t="shared" si="558"/>
        <v>3.333842822570373E-2</v>
      </c>
      <c r="AA954" s="66">
        <f t="shared" si="531"/>
        <v>2.3231502908055354E-2</v>
      </c>
      <c r="AB954" s="66">
        <f t="shared" si="559"/>
        <v>2.1402103734894987E-2</v>
      </c>
      <c r="AC954" s="67">
        <f t="shared" si="532"/>
        <v>36023016.916264601</v>
      </c>
      <c r="AD954" s="67">
        <f t="shared" si="549"/>
        <v>36023016.916264601</v>
      </c>
      <c r="AE954" s="66">
        <f t="shared" si="535"/>
        <v>3.1999999999999806E-2</v>
      </c>
      <c r="AF954" s="64">
        <f t="shared" si="547"/>
        <v>36023016.916264601</v>
      </c>
      <c r="AG954" s="64">
        <v>1</v>
      </c>
      <c r="AH954" s="64">
        <f t="shared" si="548"/>
        <v>36023016.916264601</v>
      </c>
      <c r="AI954" s="67">
        <f t="shared" si="533"/>
        <v>60.757741144478636</v>
      </c>
      <c r="AJ954" s="67">
        <f t="shared" si="534"/>
        <v>0</v>
      </c>
      <c r="AK954" s="66">
        <f t="shared" si="536"/>
        <v>3.1999999999999806E-2</v>
      </c>
    </row>
    <row r="955" spans="1:37" ht="12" customHeight="1" x14ac:dyDescent="0.25">
      <c r="A955" s="134" t="s">
        <v>621</v>
      </c>
      <c r="B955" s="134" t="s">
        <v>413</v>
      </c>
      <c r="C955" s="134" t="s">
        <v>413</v>
      </c>
      <c r="D955" s="128">
        <v>2029</v>
      </c>
      <c r="E955" s="134" t="s">
        <v>676</v>
      </c>
      <c r="F955" s="57">
        <f>SIM_Parametres!$C$35</f>
        <v>1683153084.5040712</v>
      </c>
      <c r="G955" s="129">
        <f>SIM_Districts!D32*(1+SIM_Parametres!$B$6)^(2029-2023)</f>
        <v>151858.37702026169</v>
      </c>
      <c r="H955" s="129">
        <f>MAX(0,MIN(100,SIM_Districts!F32+(2029-2022)*SIM_Parametres!$B$7))</f>
        <v>59.89</v>
      </c>
      <c r="I955" s="129">
        <f>SIM_Districts!G32*(1+SIM_Parametres!$B$8)^(2029-2023)</f>
        <v>27.594791242239999</v>
      </c>
      <c r="J955" s="129">
        <f>SIM_Districts!H32*(1+SIM_Parametres!$B$9)^(2029-2023)</f>
        <v>11.319693300000004</v>
      </c>
      <c r="K955" s="129">
        <f>MAX(0,MIN(100,SIM_Districts!I32+(2029-2023)*SIM_Parametres!$B$10))</f>
        <v>99.6</v>
      </c>
      <c r="L955" s="129">
        <f>SIM_Districts!E32</f>
        <v>7061</v>
      </c>
      <c r="M955" s="68">
        <f t="shared" si="530"/>
        <v>21.506638864220605</v>
      </c>
      <c r="N955" s="129">
        <f>N884*(1+SIM_Parametres!$B$6)/(1+SIM_Parametres!$B$11)</f>
        <v>59423</v>
      </c>
      <c r="O955" s="135"/>
      <c r="P955" s="130">
        <f>SIM_Parametres!$D$35</f>
        <v>1</v>
      </c>
      <c r="Q955" s="130">
        <f>SIM_Parametres!$B$12</f>
        <v>0.2</v>
      </c>
      <c r="R955" s="59">
        <f t="shared" si="550"/>
        <v>7.0162351153467513E-3</v>
      </c>
      <c r="S955" s="59">
        <f t="shared" si="551"/>
        <v>1</v>
      </c>
      <c r="T955" s="59">
        <f t="shared" si="552"/>
        <v>0.80386740331491713</v>
      </c>
      <c r="U955" s="59">
        <f t="shared" si="553"/>
        <v>0.7440692299347168</v>
      </c>
      <c r="V955" s="59">
        <f t="shared" si="554"/>
        <v>0</v>
      </c>
      <c r="W955" s="59">
        <f t="shared" si="555"/>
        <v>2.3842739378566898E-2</v>
      </c>
      <c r="X955" s="59">
        <f t="shared" si="556"/>
        <v>1.590772426611272E-2</v>
      </c>
      <c r="Y955" s="59">
        <f t="shared" si="557"/>
        <v>1.9010752649337735E-2</v>
      </c>
      <c r="Z955" s="59">
        <f t="shared" si="558"/>
        <v>0</v>
      </c>
      <c r="AA955" s="59">
        <f t="shared" si="531"/>
        <v>1.1122848248376881E-2</v>
      </c>
      <c r="AB955" s="59">
        <f t="shared" si="559"/>
        <v>1.1715180007152206E-2</v>
      </c>
      <c r="AC955" s="60">
        <f t="shared" si="532"/>
        <v>19718441.364558671</v>
      </c>
      <c r="AD955" s="60">
        <f t="shared" si="549"/>
        <v>19718441.364558671</v>
      </c>
      <c r="AE955" s="59">
        <f t="shared" si="535"/>
        <v>3.2000000000000028E-2</v>
      </c>
      <c r="AF955" s="57">
        <f t="shared" si="547"/>
        <v>19718441.364558671</v>
      </c>
      <c r="AG955" s="57">
        <v>1</v>
      </c>
      <c r="AH955" s="57">
        <f t="shared" si="548"/>
        <v>19718441.364558671</v>
      </c>
      <c r="AI955" s="60">
        <f t="shared" si="533"/>
        <v>129.84757081874869</v>
      </c>
      <c r="AJ955" s="60">
        <f t="shared" si="534"/>
        <v>0</v>
      </c>
      <c r="AK955" s="59">
        <f t="shared" si="536"/>
        <v>3.2000000000000028E-2</v>
      </c>
    </row>
    <row r="956" spans="1:37" ht="12" customHeight="1" x14ac:dyDescent="0.25">
      <c r="A956" s="133" t="s">
        <v>623</v>
      </c>
      <c r="B956" s="133" t="s">
        <v>413</v>
      </c>
      <c r="C956" s="133" t="s">
        <v>415</v>
      </c>
      <c r="D956" s="124">
        <v>2029</v>
      </c>
      <c r="E956" s="133" t="s">
        <v>676</v>
      </c>
      <c r="F956" s="64">
        <f>SIM_Parametres!$C$35</f>
        <v>1683153084.5040712</v>
      </c>
      <c r="G956" s="125">
        <f>SIM_Districts!D33*(1+SIM_Parametres!$B$6)^(2029-2023)</f>
        <v>42761.400843296542</v>
      </c>
      <c r="H956" s="125">
        <f>MAX(0,MIN(100,SIM_Districts!F33+(2029-2022)*SIM_Parametres!$B$7))</f>
        <v>59.89</v>
      </c>
      <c r="I956" s="125">
        <f>SIM_Districts!G33*(1+SIM_Parametres!$B$8)^(2029-2023)</f>
        <v>27.594791242239999</v>
      </c>
      <c r="J956" s="125">
        <f>SIM_Districts!H33*(1+SIM_Parametres!$B$9)^(2029-2023)</f>
        <v>11.319693300000004</v>
      </c>
      <c r="K956" s="125">
        <f>MAX(0,MIN(100,SIM_Districts!I33+(2029-2023)*SIM_Parametres!$B$10))</f>
        <v>99.6</v>
      </c>
      <c r="L956" s="125">
        <f>SIM_Districts!E33</f>
        <v>1931</v>
      </c>
      <c r="M956" s="61">
        <f t="shared" si="530"/>
        <v>22.144692306212605</v>
      </c>
      <c r="N956" s="125">
        <f>N885*(1+SIM_Parametres!$B$6)/(1+SIM_Parametres!$B$11)</f>
        <v>59423</v>
      </c>
      <c r="O956" s="3"/>
      <c r="P956" s="126">
        <f>SIM_Parametres!$D$35</f>
        <v>1</v>
      </c>
      <c r="Q956" s="126">
        <f>SIM_Parametres!$B$12</f>
        <v>0.2</v>
      </c>
      <c r="R956" s="66">
        <f t="shared" si="550"/>
        <v>1.975683186302753E-3</v>
      </c>
      <c r="S956" s="66">
        <f t="shared" si="551"/>
        <v>1</v>
      </c>
      <c r="T956" s="66">
        <f t="shared" si="552"/>
        <v>0.80386740331491713</v>
      </c>
      <c r="U956" s="66">
        <f t="shared" si="553"/>
        <v>0.56635625479419383</v>
      </c>
      <c r="V956" s="66">
        <f t="shared" si="554"/>
        <v>0</v>
      </c>
      <c r="W956" s="66">
        <f t="shared" si="555"/>
        <v>2.3842739378566898E-2</v>
      </c>
      <c r="X956" s="66">
        <f t="shared" si="556"/>
        <v>1.590772426611272E-2</v>
      </c>
      <c r="Y956" s="66">
        <f t="shared" si="557"/>
        <v>1.4470237765701426E-2</v>
      </c>
      <c r="Z956" s="66">
        <f t="shared" si="558"/>
        <v>0</v>
      </c>
      <c r="AA956" s="66">
        <f t="shared" si="531"/>
        <v>7.8714913467686654E-3</v>
      </c>
      <c r="AB956" s="66">
        <f t="shared" si="559"/>
        <v>9.1140944858656356E-3</v>
      </c>
      <c r="AC956" s="67">
        <f t="shared" si="532"/>
        <v>15340416.246346295</v>
      </c>
      <c r="AD956" s="67">
        <f t="shared" si="549"/>
        <v>15340416.246346295</v>
      </c>
      <c r="AE956" s="66">
        <f t="shared" si="535"/>
        <v>3.2000000000000028E-2</v>
      </c>
      <c r="AF956" s="64">
        <f t="shared" si="547"/>
        <v>15340416.246346295</v>
      </c>
      <c r="AG956" s="64">
        <v>1</v>
      </c>
      <c r="AH956" s="64">
        <f t="shared" si="548"/>
        <v>15340416.246346295</v>
      </c>
      <c r="AI956" s="67">
        <f t="shared" si="533"/>
        <v>358.7444738436609</v>
      </c>
      <c r="AJ956" s="67">
        <f t="shared" si="534"/>
        <v>0</v>
      </c>
      <c r="AK956" s="66">
        <f t="shared" si="536"/>
        <v>3.2000000000000028E-2</v>
      </c>
    </row>
    <row r="957" spans="1:37" ht="12" customHeight="1" x14ac:dyDescent="0.25">
      <c r="A957" s="134" t="s">
        <v>624</v>
      </c>
      <c r="B957" s="134" t="s">
        <v>413</v>
      </c>
      <c r="C957" s="134" t="s">
        <v>416</v>
      </c>
      <c r="D957" s="128">
        <v>2029</v>
      </c>
      <c r="E957" s="134" t="s">
        <v>676</v>
      </c>
      <c r="F957" s="57">
        <f>SIM_Parametres!$C$35</f>
        <v>1683153084.5040712</v>
      </c>
      <c r="G957" s="129">
        <f>SIM_Districts!D34*(1+SIM_Parametres!$B$6)^(2029-2023)</f>
        <v>98098.56047363652</v>
      </c>
      <c r="H957" s="129">
        <f>MAX(0,MIN(100,SIM_Districts!F34+(2029-2022)*SIM_Parametres!$B$7))</f>
        <v>59.89</v>
      </c>
      <c r="I957" s="129">
        <f>SIM_Districts!G34*(1+SIM_Parametres!$B$8)^(2029-2023)</f>
        <v>27.594791242239999</v>
      </c>
      <c r="J957" s="129">
        <f>SIM_Districts!H34*(1+SIM_Parametres!$B$9)^(2029-2023)</f>
        <v>11.319693300000004</v>
      </c>
      <c r="K957" s="129">
        <f>MAX(0,MIN(100,SIM_Districts!I34+(2029-2023)*SIM_Parametres!$B$10))</f>
        <v>99.6</v>
      </c>
      <c r="L957" s="129">
        <f>SIM_Districts!E34</f>
        <v>7918</v>
      </c>
      <c r="M957" s="68">
        <f t="shared" si="530"/>
        <v>12.389310491744951</v>
      </c>
      <c r="N957" s="129">
        <f>N886*(1+SIM_Parametres!$B$6)/(1+SIM_Parametres!$B$11)</f>
        <v>59423</v>
      </c>
      <c r="O957" s="135"/>
      <c r="P957" s="130">
        <f>SIM_Parametres!$D$35</f>
        <v>1</v>
      </c>
      <c r="Q957" s="130">
        <f>SIM_Parametres!$B$12</f>
        <v>0.2</v>
      </c>
      <c r="R957" s="59">
        <f t="shared" si="550"/>
        <v>4.532397739693092E-3</v>
      </c>
      <c r="S957" s="59">
        <f t="shared" si="551"/>
        <v>1</v>
      </c>
      <c r="T957" s="59">
        <f t="shared" si="552"/>
        <v>0.80386740331491713</v>
      </c>
      <c r="U957" s="59">
        <f t="shared" si="553"/>
        <v>0.77386406994971757</v>
      </c>
      <c r="V957" s="59">
        <f t="shared" si="554"/>
        <v>0</v>
      </c>
      <c r="W957" s="59">
        <f t="shared" si="555"/>
        <v>2.3842739378566898E-2</v>
      </c>
      <c r="X957" s="59">
        <f t="shared" si="556"/>
        <v>1.590772426611272E-2</v>
      </c>
      <c r="Y957" s="59">
        <f t="shared" si="557"/>
        <v>1.9772002155383654E-2</v>
      </c>
      <c r="Z957" s="59">
        <f t="shared" si="558"/>
        <v>0</v>
      </c>
      <c r="AA957" s="59">
        <f t="shared" si="531"/>
        <v>9.6706082982869809E-3</v>
      </c>
      <c r="AB957" s="59">
        <f t="shared" si="559"/>
        <v>1.0553388047080284E-2</v>
      </c>
      <c r="AC957" s="60">
        <f t="shared" si="532"/>
        <v>17762967.643411588</v>
      </c>
      <c r="AD957" s="60">
        <f t="shared" si="549"/>
        <v>17762967.643411588</v>
      </c>
      <c r="AE957" s="59">
        <f t="shared" si="535"/>
        <v>3.200000000000025E-2</v>
      </c>
      <c r="AF957" s="57">
        <f t="shared" si="547"/>
        <v>17762967.643411588</v>
      </c>
      <c r="AG957" s="57">
        <v>1</v>
      </c>
      <c r="AH957" s="57">
        <f t="shared" si="548"/>
        <v>17762967.643411588</v>
      </c>
      <c r="AI957" s="60">
        <f t="shared" si="533"/>
        <v>181.07266363185107</v>
      </c>
      <c r="AJ957" s="60">
        <f t="shared" si="534"/>
        <v>0</v>
      </c>
      <c r="AK957" s="59">
        <f t="shared" si="536"/>
        <v>3.200000000000025E-2</v>
      </c>
    </row>
    <row r="958" spans="1:37" ht="12" customHeight="1" x14ac:dyDescent="0.25">
      <c r="A958" s="133" t="s">
        <v>625</v>
      </c>
      <c r="B958" s="133" t="s">
        <v>417</v>
      </c>
      <c r="C958" s="133" t="s">
        <v>417</v>
      </c>
      <c r="D958" s="124">
        <v>2029</v>
      </c>
      <c r="E958" s="133" t="s">
        <v>676</v>
      </c>
      <c r="F958" s="64">
        <f>SIM_Parametres!$C$35</f>
        <v>1683153084.5040712</v>
      </c>
      <c r="G958" s="125">
        <f>SIM_Districts!D35*(1+SIM_Parametres!$B$6)^(2029-2023)</f>
        <v>405608.81866023253</v>
      </c>
      <c r="H958" s="125">
        <f>MAX(0,MIN(100,SIM_Districts!F35+(2029-2022)*SIM_Parametres!$B$7))</f>
        <v>56.69</v>
      </c>
      <c r="I958" s="125">
        <f>SIM_Districts!G35*(1+SIM_Parametres!$B$8)^(2029-2023)</f>
        <v>27.594791242239999</v>
      </c>
      <c r="J958" s="125">
        <f>SIM_Districts!H35*(1+SIM_Parametres!$B$9)^(2029-2023)</f>
        <v>9.5127939000000019</v>
      </c>
      <c r="K958" s="125">
        <f>MAX(0,MIN(100,SIM_Districts!I35+(2029-2023)*SIM_Parametres!$B$10))</f>
        <v>100</v>
      </c>
      <c r="L958" s="125">
        <f>SIM_Districts!E35</f>
        <v>3571</v>
      </c>
      <c r="M958" s="61">
        <f t="shared" si="530"/>
        <v>113.58409931678312</v>
      </c>
      <c r="N958" s="125">
        <f>N887*(1+SIM_Parametres!$B$6)/(1+SIM_Parametres!$B$11)</f>
        <v>155501</v>
      </c>
      <c r="O958" s="3"/>
      <c r="P958" s="126">
        <f>SIM_Parametres!$D$35</f>
        <v>1</v>
      </c>
      <c r="Q958" s="126">
        <f>SIM_Parametres!$B$12</f>
        <v>0.2</v>
      </c>
      <c r="R958" s="66">
        <f t="shared" si="550"/>
        <v>1.8740137307002361E-2</v>
      </c>
      <c r="S958" s="66">
        <f t="shared" si="551"/>
        <v>0.94326241134751765</v>
      </c>
      <c r="T958" s="66">
        <f t="shared" si="552"/>
        <v>0.70994475138121538</v>
      </c>
      <c r="U958" s="66">
        <f t="shared" si="553"/>
        <v>0.62208351647816407</v>
      </c>
      <c r="V958" s="66">
        <f t="shared" si="554"/>
        <v>0.66684249613059499</v>
      </c>
      <c r="W958" s="66">
        <f t="shared" si="555"/>
        <v>2.2489959839357424E-2</v>
      </c>
      <c r="X958" s="66">
        <f t="shared" si="556"/>
        <v>1.4049089815776525E-2</v>
      </c>
      <c r="Y958" s="66">
        <f t="shared" si="557"/>
        <v>1.5894053111206074E-2</v>
      </c>
      <c r="Z958" s="66">
        <f t="shared" si="558"/>
        <v>2.4475353458158197E-2</v>
      </c>
      <c r="AA958" s="66">
        <f t="shared" si="531"/>
        <v>1.8743410160939725E-2</v>
      </c>
      <c r="AB958" s="66">
        <f t="shared" si="559"/>
        <v>1.7811629537202483E-2</v>
      </c>
      <c r="AC958" s="67">
        <f t="shared" si="532"/>
        <v>29979699.195586186</v>
      </c>
      <c r="AD958" s="67">
        <f t="shared" si="549"/>
        <v>29979699.195586186</v>
      </c>
      <c r="AE958" s="66">
        <f t="shared" si="535"/>
        <v>3.1999999999999806E-2</v>
      </c>
      <c r="AF958" s="64">
        <f t="shared" si="547"/>
        <v>29979699.195586186</v>
      </c>
      <c r="AG958" s="64">
        <v>1</v>
      </c>
      <c r="AH958" s="64">
        <f t="shared" si="548"/>
        <v>29979699.195586186</v>
      </c>
      <c r="AI958" s="67">
        <f t="shared" si="533"/>
        <v>73.912838716407109</v>
      </c>
      <c r="AJ958" s="67">
        <f t="shared" si="534"/>
        <v>0</v>
      </c>
      <c r="AK958" s="66">
        <f t="shared" si="536"/>
        <v>3.1999999999999806E-2</v>
      </c>
    </row>
    <row r="959" spans="1:37" ht="12" customHeight="1" x14ac:dyDescent="0.25">
      <c r="A959" s="134" t="s">
        <v>627</v>
      </c>
      <c r="B959" s="134" t="s">
        <v>417</v>
      </c>
      <c r="C959" s="134" t="s">
        <v>419</v>
      </c>
      <c r="D959" s="128">
        <v>2029</v>
      </c>
      <c r="E959" s="134" t="s">
        <v>676</v>
      </c>
      <c r="F959" s="57">
        <f>SIM_Parametres!$C$35</f>
        <v>1683153084.5040712</v>
      </c>
      <c r="G959" s="129">
        <f>SIM_Districts!D36*(1+SIM_Parametres!$B$6)^(2029-2023)</f>
        <v>227686.66811133581</v>
      </c>
      <c r="H959" s="129">
        <f>MAX(0,MIN(100,SIM_Districts!F36+(2029-2022)*SIM_Parametres!$B$7))</f>
        <v>56.69</v>
      </c>
      <c r="I959" s="129">
        <f>SIM_Districts!G36*(1+SIM_Parametres!$B$8)^(2029-2023)</f>
        <v>27.594791242239999</v>
      </c>
      <c r="J959" s="129">
        <f>SIM_Districts!H36*(1+SIM_Parametres!$B$9)^(2029-2023)</f>
        <v>9.5127939000000019</v>
      </c>
      <c r="K959" s="129">
        <f>MAX(0,MIN(100,SIM_Districts!I36+(2029-2023)*SIM_Parametres!$B$10))</f>
        <v>100</v>
      </c>
      <c r="L959" s="129">
        <f>SIM_Districts!E36</f>
        <v>4702</v>
      </c>
      <c r="M959" s="68">
        <f t="shared" si="530"/>
        <v>48.423366250815782</v>
      </c>
      <c r="N959" s="129">
        <f>N888*(1+SIM_Parametres!$B$6)/(1+SIM_Parametres!$B$11)</f>
        <v>155501</v>
      </c>
      <c r="O959" s="135"/>
      <c r="P959" s="130">
        <f>SIM_Parametres!$D$35</f>
        <v>1</v>
      </c>
      <c r="Q959" s="130">
        <f>SIM_Parametres!$B$12</f>
        <v>0.2</v>
      </c>
      <c r="R959" s="59">
        <f t="shared" ref="R959:R990" si="560">IFERROR(G959/SUM($G$927:$G$997),1/71)</f>
        <v>1.0519690961045297E-2</v>
      </c>
      <c r="S959" s="59">
        <f t="shared" ref="S959:S990" si="561">IF(MAX($H$927:$H$997)=MIN($H$927:$H$997),1,(H959-MIN($H$927:$H$997))/(MAX($H$927:$H$997)-MIN($H$927:$H$997)))</f>
        <v>0.94326241134751765</v>
      </c>
      <c r="T959" s="59">
        <f t="shared" ref="T959:T990" si="562">(IF(MAX($I$927:$I$997)=MIN($I$927:$I$997),1,(I959-MIN($I$927:$I$997))/(MAX($I$927:$I$997)-MIN($I$927:$I$997)))+IF(MAX($J$927:$J$997)=MIN($J$927:$J$997),1,(J959-MIN($J$927:$J$997))/(MAX($J$927:$J$997)-MIN($J$927:$J$997))))/2</f>
        <v>0.70994475138121538</v>
      </c>
      <c r="U959" s="59">
        <f t="shared" ref="U959:U990" si="563">(IF(MAX($L$927:$L$997)=MIN($L$927:$L$997),1,(L959-MIN($L$927:$L$997))/(MAX($L$927:$L$997)-MIN($L$927:$L$997)))+IF(MAX($M$927:$M$997)=MIN($M$927:$M$997),1,(MAX($M$927:$M$997)-M959)/(MAX($M$927:$M$997)-MIN($M$927:$M$997))))/2</f>
        <v>0.66203363691805861</v>
      </c>
      <c r="V959" s="59">
        <f t="shared" ref="V959:V990" si="564">IF(MAX($N$927:$N$997)=MIN($N$927:$N$997),1,(N959-MIN($N$927:$N$997))/(MAX($N$927:$N$997)-MIN($N$927:$N$997)))</f>
        <v>0.66684249613059499</v>
      </c>
      <c r="W959" s="59">
        <f t="shared" ref="W959:W990" si="565">IFERROR(S959/SUM($S$927:$S$997),1/71)</f>
        <v>2.2489959839357424E-2</v>
      </c>
      <c r="X959" s="59">
        <f t="shared" ref="X959:X990" si="566">IFERROR(T959/SUM($T$927:$T$997),1/71)</f>
        <v>1.4049089815776525E-2</v>
      </c>
      <c r="Y959" s="59">
        <f t="shared" ref="Y959:Y990" si="567">IFERROR(U959/SUM($U$927:$U$997),1/71)</f>
        <v>1.6914767081679924E-2</v>
      </c>
      <c r="Z959" s="59">
        <f t="shared" ref="Z959:Z990" si="568">IFERROR(V959/SUM($V$927:$V$997),1/71)</f>
        <v>2.4475353458158197E-2</v>
      </c>
      <c r="AA959" s="59">
        <f t="shared" si="531"/>
        <v>1.3862178051889178E-2</v>
      </c>
      <c r="AB959" s="59">
        <f t="shared" ref="AB959:AB990" si="569">IFERROR(AH888/SUM($AH$856:$AH$926),1/71)</f>
        <v>1.3906643849962047E-2</v>
      </c>
      <c r="AC959" s="60">
        <f t="shared" si="532"/>
        <v>23407010.49116319</v>
      </c>
      <c r="AD959" s="60">
        <f t="shared" si="549"/>
        <v>23407010.49116319</v>
      </c>
      <c r="AE959" s="59">
        <f t="shared" si="535"/>
        <v>3.1999999999999584E-2</v>
      </c>
      <c r="AF959" s="57">
        <f t="shared" si="547"/>
        <v>23407010.49116319</v>
      </c>
      <c r="AG959" s="57">
        <v>1</v>
      </c>
      <c r="AH959" s="57">
        <f t="shared" si="548"/>
        <v>23407010.49116319</v>
      </c>
      <c r="AI959" s="60">
        <f t="shared" si="533"/>
        <v>102.80360587347815</v>
      </c>
      <c r="AJ959" s="60">
        <f t="shared" si="534"/>
        <v>0</v>
      </c>
      <c r="AK959" s="59">
        <f t="shared" si="536"/>
        <v>3.1999999999999584E-2</v>
      </c>
    </row>
    <row r="960" spans="1:37" ht="12" customHeight="1" x14ac:dyDescent="0.25">
      <c r="A960" s="133" t="s">
        <v>628</v>
      </c>
      <c r="B960" s="133" t="s">
        <v>417</v>
      </c>
      <c r="C960" s="133" t="s">
        <v>420</v>
      </c>
      <c r="D960" s="124">
        <v>2029</v>
      </c>
      <c r="E960" s="133" t="s">
        <v>676</v>
      </c>
      <c r="F960" s="64">
        <f>SIM_Parametres!$C$35</f>
        <v>1683153084.5040712</v>
      </c>
      <c r="G960" s="125">
        <f>SIM_Districts!D37*(1+SIM_Parametres!$B$6)^(2029-2023)</f>
        <v>459021.16598856775</v>
      </c>
      <c r="H960" s="125">
        <f>MAX(0,MIN(100,SIM_Districts!F37+(2029-2022)*SIM_Parametres!$B$7))</f>
        <v>56.69</v>
      </c>
      <c r="I960" s="125">
        <f>SIM_Districts!G37*(1+SIM_Parametres!$B$8)^(2029-2023)</f>
        <v>27.594791242239999</v>
      </c>
      <c r="J960" s="125">
        <f>SIM_Districts!H37*(1+SIM_Parametres!$B$9)^(2029-2023)</f>
        <v>9.5127939000000019</v>
      </c>
      <c r="K960" s="125">
        <f>MAX(0,MIN(100,SIM_Districts!I37+(2029-2023)*SIM_Parametres!$B$10))</f>
        <v>100</v>
      </c>
      <c r="L960" s="125">
        <f>SIM_Districts!E37</f>
        <v>5498</v>
      </c>
      <c r="M960" s="61">
        <f t="shared" si="530"/>
        <v>83.488753362780599</v>
      </c>
      <c r="N960" s="125">
        <f>N889*(1+SIM_Parametres!$B$6)/(1+SIM_Parametres!$B$11)</f>
        <v>155501</v>
      </c>
      <c r="O960" s="3"/>
      <c r="P960" s="126">
        <f>SIM_Parametres!$D$35</f>
        <v>1</v>
      </c>
      <c r="Q960" s="126">
        <f>SIM_Parametres!$B$12</f>
        <v>0.2</v>
      </c>
      <c r="R960" s="66">
        <f t="shared" si="560"/>
        <v>2.1207920739642113E-2</v>
      </c>
      <c r="S960" s="66">
        <f t="shared" si="561"/>
        <v>0.94326241134751765</v>
      </c>
      <c r="T960" s="66">
        <f t="shared" si="562"/>
        <v>0.70994475138121538</v>
      </c>
      <c r="U960" s="66">
        <f t="shared" si="563"/>
        <v>0.68919209164884077</v>
      </c>
      <c r="V960" s="66">
        <f t="shared" si="564"/>
        <v>0.66684249613059499</v>
      </c>
      <c r="W960" s="66">
        <f t="shared" si="565"/>
        <v>2.2489959839357424E-2</v>
      </c>
      <c r="X960" s="66">
        <f t="shared" si="566"/>
        <v>1.4049089815776525E-2</v>
      </c>
      <c r="Y960" s="66">
        <f t="shared" si="567"/>
        <v>1.7608657709666832E-2</v>
      </c>
      <c r="Z960" s="66">
        <f t="shared" si="568"/>
        <v>2.4475353458158197E-2</v>
      </c>
      <c r="AA960" s="66">
        <f t="shared" si="531"/>
        <v>2.0309810450446608E-2</v>
      </c>
      <c r="AB960" s="66">
        <f t="shared" si="569"/>
        <v>1.9064749768807988E-2</v>
      </c>
      <c r="AC960" s="67">
        <f t="shared" si="532"/>
        <v>32088892.378667451</v>
      </c>
      <c r="AD960" s="67">
        <f t="shared" si="549"/>
        <v>32088892.378667451</v>
      </c>
      <c r="AE960" s="66">
        <f t="shared" si="535"/>
        <v>3.1999999999999806E-2</v>
      </c>
      <c r="AF960" s="64">
        <f t="shared" si="547"/>
        <v>32088892.378667451</v>
      </c>
      <c r="AG960" s="64">
        <v>1</v>
      </c>
      <c r="AH960" s="64">
        <f t="shared" si="548"/>
        <v>32088892.378667451</v>
      </c>
      <c r="AI960" s="67">
        <f t="shared" si="533"/>
        <v>69.907217262104751</v>
      </c>
      <c r="AJ960" s="67">
        <f t="shared" si="534"/>
        <v>0</v>
      </c>
      <c r="AK960" s="66">
        <f t="shared" si="536"/>
        <v>3.1999999999999806E-2</v>
      </c>
    </row>
    <row r="961" spans="1:37" ht="12" customHeight="1" x14ac:dyDescent="0.25">
      <c r="A961" s="134" t="s">
        <v>629</v>
      </c>
      <c r="B961" s="134" t="s">
        <v>421</v>
      </c>
      <c r="C961" s="134" t="s">
        <v>423</v>
      </c>
      <c r="D961" s="128">
        <v>2029</v>
      </c>
      <c r="E961" s="134" t="s">
        <v>676</v>
      </c>
      <c r="F961" s="57">
        <f>SIM_Parametres!$C$35</f>
        <v>1683153084.5040712</v>
      </c>
      <c r="G961" s="129">
        <f>SIM_Districts!D38*(1+SIM_Parametres!$B$6)^(2029-2023)</f>
        <v>97569.595306274176</v>
      </c>
      <c r="H961" s="129">
        <f>MAX(0,MIN(100,SIM_Districts!F38+(2029-2022)*SIM_Parametres!$B$7))</f>
        <v>41.19</v>
      </c>
      <c r="I961" s="129">
        <f>SIM_Districts!G38*(1+SIM_Parametres!$B$8)^(2029-2023)</f>
        <v>27.594791242239999</v>
      </c>
      <c r="J961" s="129">
        <f>SIM_Districts!H38*(1+SIM_Parametres!$B$9)^(2029-2023)</f>
        <v>9.5659380000000027</v>
      </c>
      <c r="K961" s="129">
        <f>MAX(0,MIN(100,SIM_Districts!I38+(2029-2023)*SIM_Parametres!$B$10))</f>
        <v>100</v>
      </c>
      <c r="L961" s="129">
        <f>SIM_Districts!E38</f>
        <v>822</v>
      </c>
      <c r="M961" s="68">
        <f t="shared" si="530"/>
        <v>118.69780450884936</v>
      </c>
      <c r="N961" s="129">
        <f>N890*(1+SIM_Parametres!$B$6)/(1+SIM_Parametres!$B$11)</f>
        <v>97480</v>
      </c>
      <c r="O961" s="135"/>
      <c r="P961" s="130">
        <f>SIM_Parametres!$D$35</f>
        <v>1</v>
      </c>
      <c r="Q961" s="130">
        <f>SIM_Parametres!$B$12</f>
        <v>0.2</v>
      </c>
      <c r="R961" s="59">
        <f t="shared" si="560"/>
        <v>4.5079582319433953E-3</v>
      </c>
      <c r="S961" s="59">
        <f t="shared" si="561"/>
        <v>0.66843971631205668</v>
      </c>
      <c r="T961" s="59">
        <f t="shared" si="562"/>
        <v>0.71270718232044195</v>
      </c>
      <c r="U961" s="59">
        <f t="shared" si="563"/>
        <v>0.52679639914705134</v>
      </c>
      <c r="V961" s="59">
        <f t="shared" si="564"/>
        <v>0.26413981218637</v>
      </c>
      <c r="W961" s="59">
        <f t="shared" si="565"/>
        <v>1.5937433946311558E-2</v>
      </c>
      <c r="X961" s="59">
        <f t="shared" si="566"/>
        <v>1.4103755534904061E-2</v>
      </c>
      <c r="Y961" s="59">
        <f t="shared" si="567"/>
        <v>1.3459494947298202E-2</v>
      </c>
      <c r="Z961" s="59">
        <f t="shared" si="568"/>
        <v>9.6948159470131197E-3</v>
      </c>
      <c r="AA961" s="59">
        <f t="shared" si="531"/>
        <v>8.3686689060639453E-3</v>
      </c>
      <c r="AB961" s="59">
        <f t="shared" si="569"/>
        <v>9.5118365333018585E-3</v>
      </c>
      <c r="AC961" s="60">
        <f t="shared" si="532"/>
        <v>16009877.000325538</v>
      </c>
      <c r="AD961" s="60">
        <f t="shared" si="549"/>
        <v>16009877.000325538</v>
      </c>
      <c r="AE961" s="59">
        <f t="shared" si="535"/>
        <v>3.2000000000000028E-2</v>
      </c>
      <c r="AF961" s="57">
        <f t="shared" si="547"/>
        <v>16009877.000325538</v>
      </c>
      <c r="AG961" s="57">
        <v>1</v>
      </c>
      <c r="AH961" s="57">
        <f t="shared" si="548"/>
        <v>16009877.000325538</v>
      </c>
      <c r="AI961" s="60">
        <f t="shared" si="533"/>
        <v>164.08674187968091</v>
      </c>
      <c r="AJ961" s="60">
        <f t="shared" si="534"/>
        <v>0</v>
      </c>
      <c r="AK961" s="59">
        <f t="shared" si="536"/>
        <v>3.2000000000000028E-2</v>
      </c>
    </row>
    <row r="962" spans="1:37" ht="12" customHeight="1" x14ac:dyDescent="0.25">
      <c r="A962" s="133" t="s">
        <v>631</v>
      </c>
      <c r="B962" s="133" t="s">
        <v>421</v>
      </c>
      <c r="C962" s="133" t="s">
        <v>424</v>
      </c>
      <c r="D962" s="124">
        <v>2029</v>
      </c>
      <c r="E962" s="133" t="s">
        <v>676</v>
      </c>
      <c r="F962" s="64">
        <f>SIM_Parametres!$C$35</f>
        <v>1683153084.5040712</v>
      </c>
      <c r="G962" s="125">
        <f>SIM_Districts!D39*(1+SIM_Parametres!$B$6)^(2029-2023)</f>
        <v>202711.87027713525</v>
      </c>
      <c r="H962" s="125">
        <f>MAX(0,MIN(100,SIM_Districts!F39+(2029-2022)*SIM_Parametres!$B$7))</f>
        <v>41.19</v>
      </c>
      <c r="I962" s="125">
        <f>SIM_Districts!G39*(1+SIM_Parametres!$B$8)^(2029-2023)</f>
        <v>27.594791242239999</v>
      </c>
      <c r="J962" s="125">
        <f>SIM_Districts!H39*(1+SIM_Parametres!$B$9)^(2029-2023)</f>
        <v>9.5659380000000027</v>
      </c>
      <c r="K962" s="125">
        <f>MAX(0,MIN(100,SIM_Districts!I39+(2029-2023)*SIM_Parametres!$B$10))</f>
        <v>100</v>
      </c>
      <c r="L962" s="125">
        <f>SIM_Districts!E39</f>
        <v>6832</v>
      </c>
      <c r="M962" s="61">
        <f t="shared" si="530"/>
        <v>29.67094119981488</v>
      </c>
      <c r="N962" s="125">
        <f>N891*(1+SIM_Parametres!$B$6)/(1+SIM_Parametres!$B$11)</f>
        <v>97480</v>
      </c>
      <c r="O962" s="3"/>
      <c r="P962" s="126">
        <f>SIM_Parametres!$D$35</f>
        <v>1</v>
      </c>
      <c r="Q962" s="126">
        <f>SIM_Parametres!$B$12</f>
        <v>0.2</v>
      </c>
      <c r="R962" s="66">
        <f t="shared" si="560"/>
        <v>9.3657931188497103E-3</v>
      </c>
      <c r="S962" s="66">
        <f t="shared" si="561"/>
        <v>0.66843971631205668</v>
      </c>
      <c r="T962" s="66">
        <f t="shared" si="562"/>
        <v>0.71270718232044195</v>
      </c>
      <c r="U962" s="66">
        <f t="shared" si="563"/>
        <v>0.73603986945859257</v>
      </c>
      <c r="V962" s="66">
        <f t="shared" si="564"/>
        <v>0.26413981218637</v>
      </c>
      <c r="W962" s="66">
        <f t="shared" si="565"/>
        <v>1.5937433946311558E-2</v>
      </c>
      <c r="X962" s="66">
        <f t="shared" si="566"/>
        <v>1.4103755534904061E-2</v>
      </c>
      <c r="Y962" s="66">
        <f t="shared" si="567"/>
        <v>1.880560482195431E-2</v>
      </c>
      <c r="Z962" s="66">
        <f t="shared" si="568"/>
        <v>9.6948159470131197E-3</v>
      </c>
      <c r="AA962" s="66">
        <f t="shared" si="531"/>
        <v>1.1550675331940537E-2</v>
      </c>
      <c r="AB962" s="66">
        <f t="shared" si="569"/>
        <v>1.2057441674003133E-2</v>
      </c>
      <c r="AC962" s="67">
        <f t="shared" si="532"/>
        <v>20294520.144826308</v>
      </c>
      <c r="AD962" s="67">
        <f t="shared" si="549"/>
        <v>20294520.144826308</v>
      </c>
      <c r="AE962" s="66">
        <f t="shared" si="535"/>
        <v>3.1999999999999806E-2</v>
      </c>
      <c r="AF962" s="64">
        <f t="shared" si="547"/>
        <v>20294520.144826308</v>
      </c>
      <c r="AG962" s="64">
        <v>1</v>
      </c>
      <c r="AH962" s="64">
        <f t="shared" si="548"/>
        <v>20294520.144826308</v>
      </c>
      <c r="AI962" s="67">
        <f t="shared" si="533"/>
        <v>100.11510483861099</v>
      </c>
      <c r="AJ962" s="67">
        <f t="shared" si="534"/>
        <v>0</v>
      </c>
      <c r="AK962" s="66">
        <f t="shared" si="536"/>
        <v>3.1999999999999806E-2</v>
      </c>
    </row>
    <row r="963" spans="1:37" ht="12" customHeight="1" x14ac:dyDescent="0.25">
      <c r="A963" s="134" t="s">
        <v>632</v>
      </c>
      <c r="B963" s="134" t="s">
        <v>421</v>
      </c>
      <c r="C963" s="134" t="s">
        <v>425</v>
      </c>
      <c r="D963" s="128">
        <v>2029</v>
      </c>
      <c r="E963" s="134" t="s">
        <v>676</v>
      </c>
      <c r="F963" s="57">
        <f>SIM_Parametres!$C$35</f>
        <v>1683153084.5040712</v>
      </c>
      <c r="G963" s="129">
        <f>SIM_Districts!D40*(1+SIM_Parametres!$B$6)^(2029-2023)</f>
        <v>127450.75402691239</v>
      </c>
      <c r="H963" s="129">
        <f>MAX(0,MIN(100,SIM_Districts!F40+(2029-2022)*SIM_Parametres!$B$7))</f>
        <v>41.19</v>
      </c>
      <c r="I963" s="129">
        <f>SIM_Districts!G40*(1+SIM_Parametres!$B$8)^(2029-2023)</f>
        <v>27.594791242239999</v>
      </c>
      <c r="J963" s="129">
        <f>SIM_Districts!H40*(1+SIM_Parametres!$B$9)^(2029-2023)</f>
        <v>9.5659380000000027</v>
      </c>
      <c r="K963" s="129">
        <f>MAX(0,MIN(100,SIM_Districts!I40+(2029-2023)*SIM_Parametres!$B$10))</f>
        <v>100</v>
      </c>
      <c r="L963" s="129">
        <f>SIM_Districts!E40</f>
        <v>1601</v>
      </c>
      <c r="M963" s="68">
        <f t="shared" si="530"/>
        <v>79.606966912499928</v>
      </c>
      <c r="N963" s="129">
        <f>N892*(1+SIM_Parametres!$B$6)/(1+SIM_Parametres!$B$11)</f>
        <v>97480</v>
      </c>
      <c r="O963" s="135"/>
      <c r="P963" s="130">
        <f>SIM_Parametres!$D$35</f>
        <v>1</v>
      </c>
      <c r="Q963" s="130">
        <f>SIM_Parametres!$B$12</f>
        <v>0.2</v>
      </c>
      <c r="R963" s="59">
        <f t="shared" si="560"/>
        <v>5.8885421629504987E-3</v>
      </c>
      <c r="S963" s="59">
        <f t="shared" si="561"/>
        <v>0.66843971631205668</v>
      </c>
      <c r="T963" s="59">
        <f t="shared" si="562"/>
        <v>0.71270718232044195</v>
      </c>
      <c r="U963" s="59">
        <f t="shared" si="563"/>
        <v>0.5542443044598161</v>
      </c>
      <c r="V963" s="59">
        <f t="shared" si="564"/>
        <v>0.26413981218637</v>
      </c>
      <c r="W963" s="59">
        <f t="shared" si="565"/>
        <v>1.5937433946311558E-2</v>
      </c>
      <c r="X963" s="59">
        <f t="shared" si="566"/>
        <v>1.4103755534904061E-2</v>
      </c>
      <c r="Y963" s="59">
        <f t="shared" si="567"/>
        <v>1.4160780953560275E-2</v>
      </c>
      <c r="Z963" s="59">
        <f t="shared" si="568"/>
        <v>9.6948159470131197E-3</v>
      </c>
      <c r="AA963" s="59">
        <f t="shared" si="531"/>
        <v>9.2320835649813103E-3</v>
      </c>
      <c r="AB963" s="59">
        <f t="shared" si="569"/>
        <v>1.0202568260435751E-2</v>
      </c>
      <c r="AC963" s="60">
        <f t="shared" si="532"/>
        <v>17172484.237415776</v>
      </c>
      <c r="AD963" s="60">
        <f t="shared" si="549"/>
        <v>17172484.237415776</v>
      </c>
      <c r="AE963" s="59">
        <f t="shared" si="535"/>
        <v>3.2000000000000028E-2</v>
      </c>
      <c r="AF963" s="57">
        <f t="shared" si="547"/>
        <v>17172484.237415776</v>
      </c>
      <c r="AG963" s="57">
        <v>1</v>
      </c>
      <c r="AH963" s="57">
        <f t="shared" si="548"/>
        <v>17172484.237415776</v>
      </c>
      <c r="AI963" s="60">
        <f t="shared" si="533"/>
        <v>134.73819255545283</v>
      </c>
      <c r="AJ963" s="60">
        <f t="shared" si="534"/>
        <v>0</v>
      </c>
      <c r="AK963" s="59">
        <f t="shared" si="536"/>
        <v>3.2000000000000028E-2</v>
      </c>
    </row>
    <row r="964" spans="1:37" ht="12" customHeight="1" x14ac:dyDescent="0.25">
      <c r="A964" s="133" t="s">
        <v>633</v>
      </c>
      <c r="B964" s="133" t="s">
        <v>421</v>
      </c>
      <c r="C964" s="133" t="s">
        <v>426</v>
      </c>
      <c r="D964" s="124">
        <v>2029</v>
      </c>
      <c r="E964" s="133" t="s">
        <v>676</v>
      </c>
      <c r="F964" s="64">
        <f>SIM_Parametres!$C$35</f>
        <v>1683153084.5040712</v>
      </c>
      <c r="G964" s="125">
        <f>SIM_Districts!D41*(1+SIM_Parametres!$B$6)^(2029-2023)</f>
        <v>270986.58654036693</v>
      </c>
      <c r="H964" s="125">
        <f>MAX(0,MIN(100,SIM_Districts!F41+(2029-2022)*SIM_Parametres!$B$7))</f>
        <v>41.19</v>
      </c>
      <c r="I964" s="125">
        <f>SIM_Districts!G41*(1+SIM_Parametres!$B$8)^(2029-2023)</f>
        <v>27.594791242239999</v>
      </c>
      <c r="J964" s="125">
        <f>SIM_Districts!H41*(1+SIM_Parametres!$B$9)^(2029-2023)</f>
        <v>9.5659380000000027</v>
      </c>
      <c r="K964" s="125">
        <f>MAX(0,MIN(100,SIM_Districts!I41+(2029-2023)*SIM_Parametres!$B$10))</f>
        <v>100</v>
      </c>
      <c r="L964" s="125">
        <f>SIM_Districts!E41</f>
        <v>2260</v>
      </c>
      <c r="M964" s="61">
        <f t="shared" ref="M964:M1027" si="570">IFERROR(G964/L964,0)</f>
        <v>119.90556926564908</v>
      </c>
      <c r="N964" s="125">
        <f>N893*(1+SIM_Parametres!$B$6)/(1+SIM_Parametres!$B$11)</f>
        <v>97480</v>
      </c>
      <c r="O964" s="3"/>
      <c r="P964" s="126">
        <f>SIM_Parametres!$D$35</f>
        <v>1</v>
      </c>
      <c r="Q964" s="126">
        <f>SIM_Parametres!$B$12</f>
        <v>0.2</v>
      </c>
      <c r="R964" s="66">
        <f t="shared" si="560"/>
        <v>1.2520255000610157E-2</v>
      </c>
      <c r="S964" s="66">
        <f t="shared" si="561"/>
        <v>0.66843971631205668</v>
      </c>
      <c r="T964" s="66">
        <f t="shared" si="562"/>
        <v>0.71270718232044195</v>
      </c>
      <c r="U964" s="66">
        <f t="shared" si="563"/>
        <v>0.57659503553202685</v>
      </c>
      <c r="V964" s="66">
        <f t="shared" si="564"/>
        <v>0.26413981218637</v>
      </c>
      <c r="W964" s="66">
        <f t="shared" si="565"/>
        <v>1.5937433946311558E-2</v>
      </c>
      <c r="X964" s="66">
        <f t="shared" si="566"/>
        <v>1.4103755534904061E-2</v>
      </c>
      <c r="Y964" s="66">
        <f t="shared" si="567"/>
        <v>1.4731835638865494E-2</v>
      </c>
      <c r="Z964" s="66">
        <f t="shared" si="568"/>
        <v>9.6948159470131197E-3</v>
      </c>
      <c r="AA964" s="66">
        <f t="shared" ref="AA964:AA1027" si="571">0.6*R964+0.15*W964+0.15*X964+0.05*Y964+0.05*Z964</f>
        <v>1.3239664001842365E-2</v>
      </c>
      <c r="AB964" s="66">
        <f t="shared" si="569"/>
        <v>1.3408632609924597E-2</v>
      </c>
      <c r="AC964" s="67">
        <f t="shared" ref="AC964:AC1027" si="572">F964*(Q964/71+(1-Q964)*AA964)</f>
        <v>22568781.336376462</v>
      </c>
      <c r="AD964" s="67">
        <f t="shared" si="549"/>
        <v>22568781.336376462</v>
      </c>
      <c r="AE964" s="66">
        <f t="shared" si="535"/>
        <v>3.1999999999999806E-2</v>
      </c>
      <c r="AF964" s="64">
        <f t="shared" si="547"/>
        <v>22568781.336376462</v>
      </c>
      <c r="AG964" s="64">
        <v>1</v>
      </c>
      <c r="AH964" s="64">
        <f t="shared" si="548"/>
        <v>22568781.336376462</v>
      </c>
      <c r="AI964" s="67">
        <f t="shared" ref="AI964:AI1027" si="573">IFERROR(AH964/G964,0)</f>
        <v>83.283758153891327</v>
      </c>
      <c r="AJ964" s="67">
        <f t="shared" ref="AJ964:AJ1027" si="574">AH964-F964*AB964</f>
        <v>0</v>
      </c>
      <c r="AK964" s="66">
        <f t="shared" si="536"/>
        <v>3.1999999999999806E-2</v>
      </c>
    </row>
    <row r="965" spans="1:37" ht="12" customHeight="1" x14ac:dyDescent="0.25">
      <c r="A965" s="134" t="s">
        <v>634</v>
      </c>
      <c r="B965" s="134" t="s">
        <v>421</v>
      </c>
      <c r="C965" s="134" t="s">
        <v>427</v>
      </c>
      <c r="D965" s="128">
        <v>2029</v>
      </c>
      <c r="E965" s="134" t="s">
        <v>676</v>
      </c>
      <c r="F965" s="57">
        <f>SIM_Parametres!$C$35</f>
        <v>1683153084.5040712</v>
      </c>
      <c r="G965" s="129">
        <f>SIM_Districts!D42*(1+SIM_Parametres!$B$6)^(2029-2023)</f>
        <v>116343.67956459963</v>
      </c>
      <c r="H965" s="129">
        <f>MAX(0,MIN(100,SIM_Districts!F42+(2029-2022)*SIM_Parametres!$B$7))</f>
        <v>41.19</v>
      </c>
      <c r="I965" s="129">
        <f>SIM_Districts!G42*(1+SIM_Parametres!$B$8)^(2029-2023)</f>
        <v>27.594791242239999</v>
      </c>
      <c r="J965" s="129">
        <f>SIM_Districts!H42*(1+SIM_Parametres!$B$9)^(2029-2023)</f>
        <v>9.5659380000000027</v>
      </c>
      <c r="K965" s="129">
        <f>MAX(0,MIN(100,SIM_Districts!I42+(2029-2023)*SIM_Parametres!$B$10))</f>
        <v>100</v>
      </c>
      <c r="L965" s="129">
        <f>SIM_Districts!E42</f>
        <v>2889</v>
      </c>
      <c r="M965" s="68">
        <f t="shared" si="570"/>
        <v>40.271263262235941</v>
      </c>
      <c r="N965" s="129">
        <f>N894*(1+SIM_Parametres!$B$6)/(1+SIM_Parametres!$B$11)</f>
        <v>97480</v>
      </c>
      <c r="O965" s="135"/>
      <c r="P965" s="130">
        <f>SIM_Parametres!$D$35</f>
        <v>1</v>
      </c>
      <c r="Q965" s="130">
        <f>SIM_Parametres!$B$12</f>
        <v>0.2</v>
      </c>
      <c r="R965" s="59">
        <f t="shared" si="560"/>
        <v>5.3753676683959304E-3</v>
      </c>
      <c r="S965" s="59">
        <f t="shared" si="561"/>
        <v>0.66843971631205668</v>
      </c>
      <c r="T965" s="59">
        <f t="shared" si="562"/>
        <v>0.71270718232044195</v>
      </c>
      <c r="U965" s="59">
        <f t="shared" si="563"/>
        <v>0.59932709011759788</v>
      </c>
      <c r="V965" s="59">
        <f t="shared" si="564"/>
        <v>0.26413981218637</v>
      </c>
      <c r="W965" s="59">
        <f t="shared" si="565"/>
        <v>1.5937433946311558E-2</v>
      </c>
      <c r="X965" s="59">
        <f t="shared" si="566"/>
        <v>1.4103755534904061E-2</v>
      </c>
      <c r="Y965" s="59">
        <f t="shared" si="567"/>
        <v>1.5312633029150603E-2</v>
      </c>
      <c r="Z965" s="59">
        <f t="shared" si="568"/>
        <v>9.6948159470131197E-3</v>
      </c>
      <c r="AA965" s="59">
        <f t="shared" si="571"/>
        <v>8.9817714720280863E-3</v>
      </c>
      <c r="AB965" s="59">
        <f t="shared" si="569"/>
        <v>1.0002318586073171E-2</v>
      </c>
      <c r="AC965" s="60">
        <f t="shared" si="572"/>
        <v>16835433.380341463</v>
      </c>
      <c r="AD965" s="60">
        <f t="shared" si="549"/>
        <v>16835433.380341463</v>
      </c>
      <c r="AE965" s="59">
        <f t="shared" si="535"/>
        <v>3.2000000000000028E-2</v>
      </c>
      <c r="AF965" s="57">
        <f t="shared" si="547"/>
        <v>16835433.380341463</v>
      </c>
      <c r="AG965" s="57">
        <v>1</v>
      </c>
      <c r="AH965" s="57">
        <f t="shared" si="548"/>
        <v>16835433.380341463</v>
      </c>
      <c r="AI965" s="60">
        <f t="shared" si="573"/>
        <v>144.70432294513787</v>
      </c>
      <c r="AJ965" s="60">
        <f t="shared" si="574"/>
        <v>0</v>
      </c>
      <c r="AK965" s="59">
        <f t="shared" si="536"/>
        <v>3.2000000000000028E-2</v>
      </c>
    </row>
    <row r="966" spans="1:37" ht="12" customHeight="1" x14ac:dyDescent="0.25">
      <c r="A966" s="133" t="s">
        <v>635</v>
      </c>
      <c r="B966" s="133" t="s">
        <v>421</v>
      </c>
      <c r="C966" s="133" t="s">
        <v>428</v>
      </c>
      <c r="D966" s="124">
        <v>2029</v>
      </c>
      <c r="E966" s="133" t="s">
        <v>676</v>
      </c>
      <c r="F966" s="64">
        <f>SIM_Parametres!$C$35</f>
        <v>1683153084.5040712</v>
      </c>
      <c r="G966" s="125">
        <f>SIM_Districts!D43*(1+SIM_Parametres!$B$6)^(2029-2023)</f>
        <v>169295.12270647468</v>
      </c>
      <c r="H966" s="125">
        <f>MAX(0,MIN(100,SIM_Districts!F43+(2029-2022)*SIM_Parametres!$B$7))</f>
        <v>41.19</v>
      </c>
      <c r="I966" s="125">
        <f>SIM_Districts!G43*(1+SIM_Parametres!$B$8)^(2029-2023)</f>
        <v>27.594791242239999</v>
      </c>
      <c r="J966" s="125">
        <f>SIM_Districts!H43*(1+SIM_Parametres!$B$9)^(2029-2023)</f>
        <v>9.5659380000000027</v>
      </c>
      <c r="K966" s="125">
        <f>MAX(0,MIN(100,SIM_Districts!I43+(2029-2023)*SIM_Parametres!$B$10))</f>
        <v>100</v>
      </c>
      <c r="L966" s="125">
        <f>SIM_Districts!E43</f>
        <v>8907</v>
      </c>
      <c r="M966" s="61">
        <f t="shared" si="570"/>
        <v>19.006974593743649</v>
      </c>
      <c r="N966" s="125">
        <f>N895*(1+SIM_Parametres!$B$6)/(1+SIM_Parametres!$B$11)</f>
        <v>97480</v>
      </c>
      <c r="O966" s="3"/>
      <c r="P966" s="126">
        <f>SIM_Parametres!$D$35</f>
        <v>1</v>
      </c>
      <c r="Q966" s="126">
        <f>SIM_Parametres!$B$12</f>
        <v>0.2</v>
      </c>
      <c r="R966" s="66">
        <f t="shared" si="560"/>
        <v>7.8218561800619067E-3</v>
      </c>
      <c r="S966" s="66">
        <f t="shared" si="561"/>
        <v>0.66843971631205668</v>
      </c>
      <c r="T966" s="66">
        <f t="shared" si="562"/>
        <v>0.71270718232044195</v>
      </c>
      <c r="U966" s="66">
        <f t="shared" si="563"/>
        <v>0.80804507507275991</v>
      </c>
      <c r="V966" s="66">
        <f t="shared" si="564"/>
        <v>0.26413981218637</v>
      </c>
      <c r="W966" s="66">
        <f t="shared" si="565"/>
        <v>1.5937433946311558E-2</v>
      </c>
      <c r="X966" s="66">
        <f t="shared" si="566"/>
        <v>1.4103755534904061E-2</v>
      </c>
      <c r="Y966" s="66">
        <f t="shared" si="567"/>
        <v>2.0645316905621231E-2</v>
      </c>
      <c r="Z966" s="66">
        <f t="shared" si="568"/>
        <v>9.6948159470131197E-3</v>
      </c>
      <c r="AA966" s="66">
        <f t="shared" si="571"/>
        <v>1.0716298772851206E-2</v>
      </c>
      <c r="AB966" s="66">
        <f t="shared" si="569"/>
        <v>1.1389940426731667E-2</v>
      </c>
      <c r="AC966" s="67">
        <f t="shared" si="572"/>
        <v>19171013.361571025</v>
      </c>
      <c r="AD966" s="67">
        <f t="shared" si="549"/>
        <v>19171013.361571025</v>
      </c>
      <c r="AE966" s="66">
        <f t="shared" si="535"/>
        <v>3.2000000000000028E-2</v>
      </c>
      <c r="AF966" s="64">
        <f t="shared" si="547"/>
        <v>19171013.361571025</v>
      </c>
      <c r="AG966" s="64">
        <v>1</v>
      </c>
      <c r="AH966" s="64">
        <f t="shared" si="548"/>
        <v>19171013.361571025</v>
      </c>
      <c r="AI966" s="67">
        <f t="shared" si="573"/>
        <v>113.24019886154601</v>
      </c>
      <c r="AJ966" s="67">
        <f t="shared" si="574"/>
        <v>0</v>
      </c>
      <c r="AK966" s="66">
        <f t="shared" si="536"/>
        <v>3.2000000000000028E-2</v>
      </c>
    </row>
    <row r="967" spans="1:37" ht="12" customHeight="1" x14ac:dyDescent="0.25">
      <c r="A967" s="134" t="s">
        <v>636</v>
      </c>
      <c r="B967" s="134" t="s">
        <v>421</v>
      </c>
      <c r="C967" s="134" t="s">
        <v>421</v>
      </c>
      <c r="D967" s="128">
        <v>2029</v>
      </c>
      <c r="E967" s="134" t="s">
        <v>676</v>
      </c>
      <c r="F967" s="57">
        <f>SIM_Parametres!$C$35</f>
        <v>1683153084.5040712</v>
      </c>
      <c r="G967" s="129">
        <f>SIM_Districts!D44*(1+SIM_Parametres!$B$6)^(2029-2023)</f>
        <v>249771.85938793622</v>
      </c>
      <c r="H967" s="129">
        <f>MAX(0,MIN(100,SIM_Districts!F44+(2029-2022)*SIM_Parametres!$B$7))</f>
        <v>41.19</v>
      </c>
      <c r="I967" s="129">
        <f>SIM_Districts!G44*(1+SIM_Parametres!$B$8)^(2029-2023)</f>
        <v>27.594791242239999</v>
      </c>
      <c r="J967" s="129">
        <f>SIM_Districts!H44*(1+SIM_Parametres!$B$9)^(2029-2023)</f>
        <v>9.5659380000000027</v>
      </c>
      <c r="K967" s="129">
        <f>MAX(0,MIN(100,SIM_Districts!I44+(2029-2023)*SIM_Parametres!$B$10))</f>
        <v>100</v>
      </c>
      <c r="L967" s="129">
        <f>SIM_Districts!E44</f>
        <v>759</v>
      </c>
      <c r="M967" s="68">
        <f t="shared" si="570"/>
        <v>329.08018364681976</v>
      </c>
      <c r="N967" s="129">
        <f>N896*(1+SIM_Parametres!$B$6)/(1+SIM_Parametres!$B$11)</f>
        <v>97480</v>
      </c>
      <c r="O967" s="135"/>
      <c r="P967" s="130">
        <f>SIM_Parametres!$D$35</f>
        <v>1</v>
      </c>
      <c r="Q967" s="130">
        <f>SIM_Parametres!$B$12</f>
        <v>0.2</v>
      </c>
      <c r="R967" s="59">
        <f t="shared" si="560"/>
        <v>1.1540081785736902E-2</v>
      </c>
      <c r="S967" s="59">
        <f t="shared" si="561"/>
        <v>0.66843971631205668</v>
      </c>
      <c r="T967" s="59">
        <f t="shared" si="562"/>
        <v>0.71270718232044195</v>
      </c>
      <c r="U967" s="59">
        <f t="shared" si="563"/>
        <v>0.52212219334654875</v>
      </c>
      <c r="V967" s="59">
        <f t="shared" si="564"/>
        <v>0.26413981218637</v>
      </c>
      <c r="W967" s="59">
        <f t="shared" si="565"/>
        <v>1.5937433946311558E-2</v>
      </c>
      <c r="X967" s="59">
        <f t="shared" si="566"/>
        <v>1.4103755534904061E-2</v>
      </c>
      <c r="Y967" s="59">
        <f t="shared" si="567"/>
        <v>1.3340070347099038E-2</v>
      </c>
      <c r="Z967" s="59">
        <f t="shared" si="568"/>
        <v>9.6948159470131197E-3</v>
      </c>
      <c r="AA967" s="59">
        <f t="shared" si="571"/>
        <v>1.2581971808330091E-2</v>
      </c>
      <c r="AB967" s="59">
        <f t="shared" si="569"/>
        <v>1.2882478855114775E-2</v>
      </c>
      <c r="AC967" s="60">
        <f t="shared" si="572"/>
        <v>21683184.021044914</v>
      </c>
      <c r="AD967" s="60">
        <f t="shared" si="549"/>
        <v>21683184.021044914</v>
      </c>
      <c r="AE967" s="59">
        <f t="shared" si="535"/>
        <v>3.1999999999999806E-2</v>
      </c>
      <c r="AF967" s="57">
        <f t="shared" si="547"/>
        <v>21683184.021044914</v>
      </c>
      <c r="AG967" s="57">
        <v>1</v>
      </c>
      <c r="AH967" s="57">
        <f t="shared" si="548"/>
        <v>21683184.021044914</v>
      </c>
      <c r="AI967" s="60">
        <f t="shared" si="573"/>
        <v>86.811957416577542</v>
      </c>
      <c r="AJ967" s="60">
        <f t="shared" si="574"/>
        <v>0</v>
      </c>
      <c r="AK967" s="59">
        <f t="shared" si="536"/>
        <v>3.1999999999999806E-2</v>
      </c>
    </row>
    <row r="968" spans="1:37" ht="12" customHeight="1" x14ac:dyDescent="0.25">
      <c r="A968" s="133" t="s">
        <v>637</v>
      </c>
      <c r="B968" s="133" t="s">
        <v>421</v>
      </c>
      <c r="C968" s="133" t="s">
        <v>429</v>
      </c>
      <c r="D968" s="124">
        <v>2029</v>
      </c>
      <c r="E968" s="133" t="s">
        <v>676</v>
      </c>
      <c r="F968" s="64">
        <f>SIM_Parametres!$C$35</f>
        <v>1683153084.5040712</v>
      </c>
      <c r="G968" s="125">
        <f>SIM_Districts!D45*(1+SIM_Parametres!$B$6)^(2029-2023)</f>
        <v>110263.56527067396</v>
      </c>
      <c r="H968" s="125">
        <f>MAX(0,MIN(100,SIM_Districts!F45+(2029-2022)*SIM_Parametres!$B$7))</f>
        <v>41.19</v>
      </c>
      <c r="I968" s="125">
        <f>SIM_Districts!G45*(1+SIM_Parametres!$B$8)^(2029-2023)</f>
        <v>27.594791242239999</v>
      </c>
      <c r="J968" s="125">
        <f>SIM_Districts!H45*(1+SIM_Parametres!$B$9)^(2029-2023)</f>
        <v>9.5659380000000027</v>
      </c>
      <c r="K968" s="125">
        <f>MAX(0,MIN(100,SIM_Districts!I45+(2029-2023)*SIM_Parametres!$B$10))</f>
        <v>100</v>
      </c>
      <c r="L968" s="125">
        <f>SIM_Districts!E45</f>
        <v>1185</v>
      </c>
      <c r="M968" s="61">
        <f t="shared" si="570"/>
        <v>93.049422169345121</v>
      </c>
      <c r="N968" s="125">
        <f>N897*(1+SIM_Parametres!$B$6)/(1+SIM_Parametres!$B$11)</f>
        <v>97480</v>
      </c>
      <c r="O968" s="3"/>
      <c r="P968" s="126">
        <f>SIM_Parametres!$D$35</f>
        <v>1</v>
      </c>
      <c r="Q968" s="126">
        <f>SIM_Parametres!$B$12</f>
        <v>0.2</v>
      </c>
      <c r="R968" s="66">
        <f t="shared" si="560"/>
        <v>5.0944512497470527E-3</v>
      </c>
      <c r="S968" s="66">
        <f t="shared" si="561"/>
        <v>0.66843971631205668</v>
      </c>
      <c r="T968" s="66">
        <f t="shared" si="562"/>
        <v>0.71270718232044195</v>
      </c>
      <c r="U968" s="66">
        <f t="shared" si="563"/>
        <v>0.53967466644845508</v>
      </c>
      <c r="V968" s="66">
        <f t="shared" si="564"/>
        <v>0.26413981218637</v>
      </c>
      <c r="W968" s="66">
        <f t="shared" si="565"/>
        <v>1.5937433946311558E-2</v>
      </c>
      <c r="X968" s="66">
        <f t="shared" si="566"/>
        <v>1.4103755534904061E-2</v>
      </c>
      <c r="Y968" s="66">
        <f t="shared" si="567"/>
        <v>1.3788530935307707E-2</v>
      </c>
      <c r="Z968" s="66">
        <f t="shared" si="568"/>
        <v>9.6948159470131197E-3</v>
      </c>
      <c r="AA968" s="66">
        <f t="shared" si="571"/>
        <v>8.7370165161466153E-3</v>
      </c>
      <c r="AB968" s="66">
        <f t="shared" si="569"/>
        <v>9.8065146213679941E-3</v>
      </c>
      <c r="AC968" s="67">
        <f t="shared" si="572"/>
        <v>16505865.333189819</v>
      </c>
      <c r="AD968" s="67">
        <f t="shared" si="549"/>
        <v>16505865.333189819</v>
      </c>
      <c r="AE968" s="66">
        <f t="shared" si="535"/>
        <v>3.2000000000000028E-2</v>
      </c>
      <c r="AF968" s="64">
        <f t="shared" si="547"/>
        <v>16505865.333189819</v>
      </c>
      <c r="AG968" s="64">
        <v>1</v>
      </c>
      <c r="AH968" s="64">
        <f t="shared" si="548"/>
        <v>16505865.333189819</v>
      </c>
      <c r="AI968" s="67">
        <f t="shared" si="573"/>
        <v>149.69464566714649</v>
      </c>
      <c r="AJ968" s="67">
        <f t="shared" si="574"/>
        <v>0</v>
      </c>
      <c r="AK968" s="66">
        <f t="shared" si="536"/>
        <v>3.2000000000000028E-2</v>
      </c>
    </row>
    <row r="969" spans="1:37" ht="12" customHeight="1" x14ac:dyDescent="0.25">
      <c r="A969" s="134" t="s">
        <v>638</v>
      </c>
      <c r="B969" s="134" t="s">
        <v>430</v>
      </c>
      <c r="C969" s="134" t="s">
        <v>432</v>
      </c>
      <c r="D969" s="128">
        <v>2029</v>
      </c>
      <c r="E969" s="134" t="s">
        <v>676</v>
      </c>
      <c r="F969" s="57">
        <f>SIM_Parametres!$C$35</f>
        <v>1683153084.5040712</v>
      </c>
      <c r="G969" s="129">
        <f>SIM_Districts!D46*(1+SIM_Parametres!$B$6)^(2029-2023)</f>
        <v>421193.589234529</v>
      </c>
      <c r="H969" s="129">
        <f>MAX(0,MIN(100,SIM_Districts!F46+(2029-2022)*SIM_Parametres!$B$7))</f>
        <v>38.89</v>
      </c>
      <c r="I969" s="129">
        <f>SIM_Districts!G46*(1+SIM_Parametres!$B$8)^(2029-2023)</f>
        <v>27.594791242239999</v>
      </c>
      <c r="J969" s="129">
        <f>SIM_Districts!H46*(1+SIM_Parametres!$B$9)^(2029-2023)</f>
        <v>13.445457300000005</v>
      </c>
      <c r="K969" s="129">
        <f>MAX(0,MIN(100,SIM_Districts!I46+(2029-2023)*SIM_Parametres!$B$10))</f>
        <v>93.7</v>
      </c>
      <c r="L969" s="129">
        <f>SIM_Districts!E46</f>
        <v>8704</v>
      </c>
      <c r="M969" s="68">
        <f t="shared" si="570"/>
        <v>48.390807586687615</v>
      </c>
      <c r="N969" s="129">
        <f>N898*(1+SIM_Parametres!$B$6)/(1+SIM_Parametres!$B$11)</f>
        <v>133963</v>
      </c>
      <c r="O969" s="135"/>
      <c r="P969" s="130">
        <f>SIM_Parametres!$D$35</f>
        <v>1</v>
      </c>
      <c r="Q969" s="130">
        <f>SIM_Parametres!$B$12</f>
        <v>0.2</v>
      </c>
      <c r="R969" s="59">
        <f t="shared" si="560"/>
        <v>1.9460192510499054E-2</v>
      </c>
      <c r="S969" s="59">
        <f t="shared" si="561"/>
        <v>0.62765957446808507</v>
      </c>
      <c r="T969" s="59">
        <f t="shared" si="562"/>
        <v>0.91436464088397784</v>
      </c>
      <c r="U969" s="59">
        <f t="shared" si="563"/>
        <v>0.80066503267175948</v>
      </c>
      <c r="V969" s="59">
        <f t="shared" si="564"/>
        <v>0.51735506215340199</v>
      </c>
      <c r="W969" s="59">
        <f t="shared" si="565"/>
        <v>1.4965123652504754E-2</v>
      </c>
      <c r="X969" s="59">
        <f t="shared" si="566"/>
        <v>1.8094353031214126E-2</v>
      </c>
      <c r="Y969" s="59">
        <f t="shared" si="567"/>
        <v>2.0456758966409912E-2</v>
      </c>
      <c r="Z969" s="59">
        <f t="shared" si="568"/>
        <v>1.8988663864475865E-2</v>
      </c>
      <c r="AA969" s="59">
        <f t="shared" si="571"/>
        <v>1.8607308150401555E-2</v>
      </c>
      <c r="AB969" s="59">
        <f t="shared" si="569"/>
        <v>1.7702747928771946E-2</v>
      </c>
      <c r="AC969" s="60">
        <f t="shared" si="572"/>
        <v>29796434.780510563</v>
      </c>
      <c r="AD969" s="60">
        <f t="shared" si="549"/>
        <v>29796434.780510563</v>
      </c>
      <c r="AE969" s="59">
        <f t="shared" si="535"/>
        <v>3.1999999999999806E-2</v>
      </c>
      <c r="AF969" s="57">
        <f t="shared" si="547"/>
        <v>29796434.780510563</v>
      </c>
      <c r="AG969" s="57">
        <v>1</v>
      </c>
      <c r="AH969" s="57">
        <f t="shared" si="548"/>
        <v>29796434.780510563</v>
      </c>
      <c r="AI969" s="60">
        <f t="shared" si="573"/>
        <v>70.742849706383623</v>
      </c>
      <c r="AJ969" s="60">
        <f t="shared" si="574"/>
        <v>0</v>
      </c>
      <c r="AK969" s="59">
        <f t="shared" si="536"/>
        <v>3.1999999999999806E-2</v>
      </c>
    </row>
    <row r="970" spans="1:37" ht="12" customHeight="1" x14ac:dyDescent="0.25">
      <c r="A970" s="133" t="s">
        <v>640</v>
      </c>
      <c r="B970" s="133" t="s">
        <v>430</v>
      </c>
      <c r="C970" s="133" t="s">
        <v>430</v>
      </c>
      <c r="D970" s="124">
        <v>2029</v>
      </c>
      <c r="E970" s="133" t="s">
        <v>676</v>
      </c>
      <c r="F970" s="64">
        <f>SIM_Parametres!$C$35</f>
        <v>1683153084.5040712</v>
      </c>
      <c r="G970" s="125">
        <f>SIM_Districts!D47*(1+SIM_Parametres!$B$6)^(2029-2023)</f>
        <v>341682.84086095943</v>
      </c>
      <c r="H970" s="125">
        <f>MAX(0,MIN(100,SIM_Districts!F47+(2029-2022)*SIM_Parametres!$B$7))</f>
        <v>38.89</v>
      </c>
      <c r="I970" s="125">
        <f>SIM_Districts!G47*(1+SIM_Parametres!$B$8)^(2029-2023)</f>
        <v>27.594791242239999</v>
      </c>
      <c r="J970" s="125">
        <f>SIM_Districts!H47*(1+SIM_Parametres!$B$9)^(2029-2023)</f>
        <v>13.445457300000005</v>
      </c>
      <c r="K970" s="125">
        <f>MAX(0,MIN(100,SIM_Districts!I47+(2029-2023)*SIM_Parametres!$B$10))</f>
        <v>93.7</v>
      </c>
      <c r="L970" s="125">
        <f>SIM_Districts!E47</f>
        <v>3957</v>
      </c>
      <c r="M970" s="61">
        <f t="shared" si="570"/>
        <v>86.348961551923026</v>
      </c>
      <c r="N970" s="125">
        <f>N899*(1+SIM_Parametres!$B$6)/(1+SIM_Parametres!$B$11)</f>
        <v>133963</v>
      </c>
      <c r="O970" s="3"/>
      <c r="P970" s="126">
        <f>SIM_Parametres!$D$35</f>
        <v>1</v>
      </c>
      <c r="Q970" s="126">
        <f>SIM_Parametres!$B$12</f>
        <v>0.2</v>
      </c>
      <c r="R970" s="66">
        <f t="shared" si="560"/>
        <v>1.5786597969766503E-2</v>
      </c>
      <c r="S970" s="66">
        <f t="shared" si="561"/>
        <v>0.62765957446808507</v>
      </c>
      <c r="T970" s="66">
        <f t="shared" si="562"/>
        <v>0.91436464088397784</v>
      </c>
      <c r="U970" s="66">
        <f t="shared" si="563"/>
        <v>0.63577730793030052</v>
      </c>
      <c r="V970" s="66">
        <f t="shared" si="564"/>
        <v>0.51735506215340199</v>
      </c>
      <c r="W970" s="66">
        <f t="shared" si="565"/>
        <v>1.4965123652504754E-2</v>
      </c>
      <c r="X970" s="66">
        <f t="shared" si="566"/>
        <v>1.8094353031214126E-2</v>
      </c>
      <c r="Y970" s="66">
        <f t="shared" si="567"/>
        <v>1.6243925504331402E-2</v>
      </c>
      <c r="Z970" s="66">
        <f t="shared" si="568"/>
        <v>1.8988663864475865E-2</v>
      </c>
      <c r="AA970" s="66">
        <f t="shared" si="571"/>
        <v>1.6192509752858096E-2</v>
      </c>
      <c r="AB970" s="66">
        <f t="shared" si="569"/>
        <v>1.5770909210737177E-2</v>
      </c>
      <c r="AC970" s="67">
        <f t="shared" si="572"/>
        <v>26544854.483485952</v>
      </c>
      <c r="AD970" s="67">
        <f t="shared" si="549"/>
        <v>26544854.483485952</v>
      </c>
      <c r="AE970" s="66">
        <f t="shared" si="535"/>
        <v>3.1999999999999806E-2</v>
      </c>
      <c r="AF970" s="64">
        <f t="shared" si="547"/>
        <v>26544854.483485952</v>
      </c>
      <c r="AG970" s="64">
        <v>1</v>
      </c>
      <c r="AH970" s="64">
        <f t="shared" si="548"/>
        <v>26544854.483485952</v>
      </c>
      <c r="AI970" s="67">
        <f t="shared" si="573"/>
        <v>77.688579317004141</v>
      </c>
      <c r="AJ970" s="67">
        <f t="shared" si="574"/>
        <v>0</v>
      </c>
      <c r="AK970" s="66">
        <f t="shared" si="536"/>
        <v>3.1999999999999806E-2</v>
      </c>
    </row>
    <row r="971" spans="1:37" ht="12" customHeight="1" x14ac:dyDescent="0.25">
      <c r="A971" s="134" t="s">
        <v>641</v>
      </c>
      <c r="B971" s="134" t="s">
        <v>430</v>
      </c>
      <c r="C971" s="134" t="s">
        <v>433</v>
      </c>
      <c r="D971" s="128">
        <v>2029</v>
      </c>
      <c r="E971" s="134" t="s">
        <v>676</v>
      </c>
      <c r="F971" s="57">
        <f>SIM_Parametres!$C$35</f>
        <v>1683153084.5040712</v>
      </c>
      <c r="G971" s="129">
        <f>SIM_Districts!D48*(1+SIM_Parametres!$B$6)^(2029-2023)</f>
        <v>90577.225057800344</v>
      </c>
      <c r="H971" s="129">
        <f>MAX(0,MIN(100,SIM_Districts!F48+(2029-2022)*SIM_Parametres!$B$7))</f>
        <v>38.89</v>
      </c>
      <c r="I971" s="129">
        <f>SIM_Districts!G48*(1+SIM_Parametres!$B$8)^(2029-2023)</f>
        <v>27.594791242239999</v>
      </c>
      <c r="J971" s="129">
        <f>SIM_Districts!H48*(1+SIM_Parametres!$B$9)^(2029-2023)</f>
        <v>13.445457300000005</v>
      </c>
      <c r="K971" s="129">
        <f>MAX(0,MIN(100,SIM_Districts!I48+(2029-2023)*SIM_Parametres!$B$10))</f>
        <v>93.7</v>
      </c>
      <c r="L971" s="129">
        <f>SIM_Districts!E48</f>
        <v>14444</v>
      </c>
      <c r="M971" s="68">
        <f t="shared" si="570"/>
        <v>6.2709239170451641</v>
      </c>
      <c r="N971" s="129">
        <f>N900*(1+SIM_Parametres!$B$6)/(1+SIM_Parametres!$B$11)</f>
        <v>133963</v>
      </c>
      <c r="O971" s="135"/>
      <c r="P971" s="130">
        <f>SIM_Parametres!$D$35</f>
        <v>1</v>
      </c>
      <c r="Q971" s="130">
        <f>SIM_Parametres!$B$12</f>
        <v>0.2</v>
      </c>
      <c r="R971" s="59">
        <f t="shared" si="560"/>
        <v>4.184893316859375E-3</v>
      </c>
      <c r="S971" s="59">
        <f t="shared" si="561"/>
        <v>0.62765957446808507</v>
      </c>
      <c r="T971" s="59">
        <f t="shared" si="562"/>
        <v>0.91436464088397784</v>
      </c>
      <c r="U971" s="59">
        <f t="shared" si="563"/>
        <v>1</v>
      </c>
      <c r="V971" s="59">
        <f t="shared" si="564"/>
        <v>0.51735506215340199</v>
      </c>
      <c r="W971" s="59">
        <f t="shared" si="565"/>
        <v>1.4965123652504754E-2</v>
      </c>
      <c r="X971" s="59">
        <f t="shared" si="566"/>
        <v>1.8094353031214126E-2</v>
      </c>
      <c r="Y971" s="59">
        <f t="shared" si="567"/>
        <v>2.5549709468574183E-2</v>
      </c>
      <c r="Z971" s="59">
        <f t="shared" si="568"/>
        <v>1.8988663864475865E-2</v>
      </c>
      <c r="AA971" s="59">
        <f t="shared" si="571"/>
        <v>9.6967761593259594E-3</v>
      </c>
      <c r="AB971" s="59">
        <f t="shared" si="569"/>
        <v>1.0574322335911471E-2</v>
      </c>
      <c r="AC971" s="60">
        <f t="shared" si="572"/>
        <v>17798203.256229691</v>
      </c>
      <c r="AD971" s="60">
        <f t="shared" si="549"/>
        <v>17798203.256229691</v>
      </c>
      <c r="AE971" s="59">
        <f t="shared" ref="AE971:AE1034" si="575">IFERROR(AD971/AH900-1,0)</f>
        <v>3.1999999999999806E-2</v>
      </c>
      <c r="AF971" s="57">
        <f t="shared" si="547"/>
        <v>17798203.256229691</v>
      </c>
      <c r="AG971" s="57">
        <v>1</v>
      </c>
      <c r="AH971" s="57">
        <f t="shared" si="548"/>
        <v>17798203.256229691</v>
      </c>
      <c r="AI971" s="60">
        <f t="shared" si="573"/>
        <v>196.49755493030466</v>
      </c>
      <c r="AJ971" s="60">
        <f t="shared" si="574"/>
        <v>0</v>
      </c>
      <c r="AK971" s="59">
        <f t="shared" ref="AK971:AK1034" si="576">IFERROR(AH971/AH900-1,0)</f>
        <v>3.1999999999999806E-2</v>
      </c>
    </row>
    <row r="972" spans="1:37" ht="12" customHeight="1" x14ac:dyDescent="0.25">
      <c r="A972" s="133" t="s">
        <v>642</v>
      </c>
      <c r="B972" s="133" t="s">
        <v>430</v>
      </c>
      <c r="C972" s="133" t="s">
        <v>434</v>
      </c>
      <c r="D972" s="124">
        <v>2029</v>
      </c>
      <c r="E972" s="133" t="s">
        <v>676</v>
      </c>
      <c r="F972" s="64">
        <f>SIM_Parametres!$C$35</f>
        <v>1683153084.5040712</v>
      </c>
      <c r="G972" s="125">
        <f>SIM_Districts!D49*(1+SIM_Parametres!$B$6)^(2029-2023)</f>
        <v>139556.0562091234</v>
      </c>
      <c r="H972" s="125">
        <f>MAX(0,MIN(100,SIM_Districts!F49+(2029-2022)*SIM_Parametres!$B$7))</f>
        <v>38.89</v>
      </c>
      <c r="I972" s="125">
        <f>SIM_Districts!G49*(1+SIM_Parametres!$B$8)^(2029-2023)</f>
        <v>27.594791242239999</v>
      </c>
      <c r="J972" s="125">
        <f>SIM_Districts!H49*(1+SIM_Parametres!$B$9)^(2029-2023)</f>
        <v>13.445457300000005</v>
      </c>
      <c r="K972" s="125">
        <f>MAX(0,MIN(100,SIM_Districts!I49+(2029-2023)*SIM_Parametres!$B$10))</f>
        <v>93.7</v>
      </c>
      <c r="L972" s="125">
        <f>SIM_Districts!E49</f>
        <v>1898</v>
      </c>
      <c r="M972" s="61">
        <f t="shared" si="570"/>
        <v>73.527953745586615</v>
      </c>
      <c r="N972" s="125">
        <f>N901*(1+SIM_Parametres!$B$6)/(1+SIM_Parametres!$B$11)</f>
        <v>133963</v>
      </c>
      <c r="O972" s="3"/>
      <c r="P972" s="126">
        <f>SIM_Parametres!$D$35</f>
        <v>1</v>
      </c>
      <c r="Q972" s="126">
        <f>SIM_Parametres!$B$12</f>
        <v>0.2</v>
      </c>
      <c r="R972" s="66">
        <f t="shared" si="560"/>
        <v>6.4478372635518987E-3</v>
      </c>
      <c r="S972" s="66">
        <f t="shared" si="561"/>
        <v>0.62765957446808507</v>
      </c>
      <c r="T972" s="66">
        <f t="shared" si="562"/>
        <v>0.91436464088397784</v>
      </c>
      <c r="U972" s="66">
        <f t="shared" si="563"/>
        <v>0.5646045152795196</v>
      </c>
      <c r="V972" s="66">
        <f t="shared" si="564"/>
        <v>0.51735506215340199</v>
      </c>
      <c r="W972" s="66">
        <f t="shared" si="565"/>
        <v>1.4965123652504754E-2</v>
      </c>
      <c r="X972" s="66">
        <f t="shared" si="566"/>
        <v>1.8094353031214126E-2</v>
      </c>
      <c r="Y972" s="66">
        <f t="shared" si="567"/>
        <v>1.442548133003688E-2</v>
      </c>
      <c r="Z972" s="66">
        <f t="shared" si="568"/>
        <v>1.8988663864475865E-2</v>
      </c>
      <c r="AA972" s="66">
        <f t="shared" si="571"/>
        <v>1.0498331120414608E-2</v>
      </c>
      <c r="AB972" s="66">
        <f t="shared" si="569"/>
        <v>1.121556630478239E-2</v>
      </c>
      <c r="AC972" s="67">
        <f t="shared" si="572"/>
        <v>18877515.020354412</v>
      </c>
      <c r="AD972" s="67">
        <f t="shared" si="549"/>
        <v>18877515.020354412</v>
      </c>
      <c r="AE972" s="66">
        <f t="shared" si="575"/>
        <v>3.2000000000000028E-2</v>
      </c>
      <c r="AF972" s="64">
        <f t="shared" si="547"/>
        <v>18877515.020354412</v>
      </c>
      <c r="AG972" s="64">
        <v>1</v>
      </c>
      <c r="AH972" s="64">
        <f t="shared" si="548"/>
        <v>18877515.020354412</v>
      </c>
      <c r="AI972" s="67">
        <f t="shared" si="573"/>
        <v>135.26833254779456</v>
      </c>
      <c r="AJ972" s="67">
        <f t="shared" si="574"/>
        <v>0</v>
      </c>
      <c r="AK972" s="66">
        <f t="shared" si="576"/>
        <v>3.2000000000000028E-2</v>
      </c>
    </row>
    <row r="973" spans="1:37" ht="12" customHeight="1" x14ac:dyDescent="0.25">
      <c r="A973" s="134" t="s">
        <v>643</v>
      </c>
      <c r="B973" s="134" t="s">
        <v>435</v>
      </c>
      <c r="C973" s="134" t="s">
        <v>437</v>
      </c>
      <c r="D973" s="128">
        <v>2029</v>
      </c>
      <c r="E973" s="134" t="s">
        <v>676</v>
      </c>
      <c r="F973" s="57">
        <f>SIM_Parametres!$C$35</f>
        <v>1683153084.5040712</v>
      </c>
      <c r="G973" s="129">
        <f>SIM_Districts!D50*(1+SIM_Parametres!$B$6)^(2029-2023)</f>
        <v>117435.04336362715</v>
      </c>
      <c r="H973" s="129">
        <f>MAX(0,MIN(100,SIM_Districts!F50+(2029-2022)*SIM_Parametres!$B$7))</f>
        <v>31.49</v>
      </c>
      <c r="I973" s="129">
        <f>SIM_Districts!G50*(1+SIM_Parametres!$B$8)^(2029-2023)</f>
        <v>27.594791242239999</v>
      </c>
      <c r="J973" s="129">
        <f>SIM_Districts!H50*(1+SIM_Parametres!$B$9)^(2029-2023)</f>
        <v>12.169998900000003</v>
      </c>
      <c r="K973" s="129">
        <f>MAX(0,MIN(100,SIM_Districts!I50+(2029-2023)*SIM_Parametres!$B$10))</f>
        <v>97.9</v>
      </c>
      <c r="L973" s="129">
        <f>SIM_Districts!E50</f>
        <v>2448</v>
      </c>
      <c r="M973" s="68">
        <f t="shared" si="570"/>
        <v>47.971831439390172</v>
      </c>
      <c r="N973" s="129">
        <f>N902*(1+SIM_Parametres!$B$6)/(1+SIM_Parametres!$B$11)</f>
        <v>89545</v>
      </c>
      <c r="O973" s="135"/>
      <c r="P973" s="130">
        <f>SIM_Parametres!$D$35</f>
        <v>1</v>
      </c>
      <c r="Q973" s="130">
        <f>SIM_Parametres!$B$12</f>
        <v>0.2</v>
      </c>
      <c r="R973" s="59">
        <f t="shared" si="560"/>
        <v>5.4257913931887577E-3</v>
      </c>
      <c r="S973" s="59">
        <f t="shared" si="561"/>
        <v>0.4964539007092198</v>
      </c>
      <c r="T973" s="59">
        <f t="shared" si="562"/>
        <v>0.84806629834254132</v>
      </c>
      <c r="U973" s="59">
        <f t="shared" si="563"/>
        <v>0.58395945065622235</v>
      </c>
      <c r="V973" s="59">
        <f t="shared" si="564"/>
        <v>0.20906585970196906</v>
      </c>
      <c r="W973" s="59">
        <f t="shared" si="565"/>
        <v>1.1836820968082855E-2</v>
      </c>
      <c r="X973" s="59">
        <f t="shared" si="566"/>
        <v>1.6782375772153281E-2</v>
      </c>
      <c r="Y973" s="59">
        <f t="shared" si="567"/>
        <v>1.4919994305694663E-2</v>
      </c>
      <c r="Z973" s="59">
        <f t="shared" si="568"/>
        <v>7.6734173990574452E-3</v>
      </c>
      <c r="AA973" s="59">
        <f t="shared" si="571"/>
        <v>8.6780249321862808E-3</v>
      </c>
      <c r="AB973" s="59">
        <f t="shared" si="569"/>
        <v>9.7593213541997265E-3</v>
      </c>
      <c r="AC973" s="60">
        <f t="shared" si="572"/>
        <v>16426431.839987725</v>
      </c>
      <c r="AD973" s="60">
        <f t="shared" si="549"/>
        <v>16426431.839987725</v>
      </c>
      <c r="AE973" s="59">
        <f t="shared" si="575"/>
        <v>3.2000000000000028E-2</v>
      </c>
      <c r="AF973" s="57">
        <f t="shared" si="547"/>
        <v>16426431.839987725</v>
      </c>
      <c r="AG973" s="57">
        <v>1</v>
      </c>
      <c r="AH973" s="57">
        <f t="shared" si="548"/>
        <v>16426431.839987725</v>
      </c>
      <c r="AI973" s="60">
        <f t="shared" si="573"/>
        <v>139.87674691893068</v>
      </c>
      <c r="AJ973" s="60">
        <f t="shared" si="574"/>
        <v>0</v>
      </c>
      <c r="AK973" s="59">
        <f t="shared" si="576"/>
        <v>3.2000000000000028E-2</v>
      </c>
    </row>
    <row r="974" spans="1:37" ht="12" customHeight="1" x14ac:dyDescent="0.25">
      <c r="A974" s="133" t="s">
        <v>645</v>
      </c>
      <c r="B974" s="133" t="s">
        <v>435</v>
      </c>
      <c r="C974" s="133" t="s">
        <v>438</v>
      </c>
      <c r="D974" s="124">
        <v>2029</v>
      </c>
      <c r="E974" s="133" t="s">
        <v>676</v>
      </c>
      <c r="F974" s="64">
        <f>SIM_Parametres!$C$35</f>
        <v>1683153084.5040712</v>
      </c>
      <c r="G974" s="125">
        <f>SIM_Districts!D51*(1+SIM_Parametres!$B$6)^(2029-2023)</f>
        <v>221468.0437510128</v>
      </c>
      <c r="H974" s="125">
        <f>MAX(0,MIN(100,SIM_Districts!F51+(2029-2022)*SIM_Parametres!$B$7))</f>
        <v>31.49</v>
      </c>
      <c r="I974" s="125">
        <f>SIM_Districts!G51*(1+SIM_Parametres!$B$8)^(2029-2023)</f>
        <v>27.594791242239999</v>
      </c>
      <c r="J974" s="125">
        <f>SIM_Districts!H51*(1+SIM_Parametres!$B$9)^(2029-2023)</f>
        <v>12.169998900000003</v>
      </c>
      <c r="K974" s="125">
        <f>MAX(0,MIN(100,SIM_Districts!I51+(2029-2023)*SIM_Parametres!$B$10))</f>
        <v>97.9</v>
      </c>
      <c r="L974" s="125">
        <f>SIM_Districts!E51</f>
        <v>6989</v>
      </c>
      <c r="M974" s="61">
        <f t="shared" si="570"/>
        <v>31.688087530549836</v>
      </c>
      <c r="N974" s="125">
        <f>N903*(1+SIM_Parametres!$B$6)/(1+SIM_Parametres!$B$11)</f>
        <v>89545</v>
      </c>
      <c r="O974" s="3"/>
      <c r="P974" s="126">
        <f>SIM_Parametres!$D$35</f>
        <v>1</v>
      </c>
      <c r="Q974" s="126">
        <f>SIM_Parametres!$B$12</f>
        <v>0.2</v>
      </c>
      <c r="R974" s="66">
        <f t="shared" si="560"/>
        <v>1.0232375032466478E-2</v>
      </c>
      <c r="S974" s="66">
        <f t="shared" si="561"/>
        <v>0.4964539007092198</v>
      </c>
      <c r="T974" s="66">
        <f t="shared" si="562"/>
        <v>0.84806629834254132</v>
      </c>
      <c r="U974" s="66">
        <f t="shared" si="563"/>
        <v>0.74145452539080825</v>
      </c>
      <c r="V974" s="66">
        <f t="shared" si="564"/>
        <v>0.20906585970196906</v>
      </c>
      <c r="W974" s="66">
        <f t="shared" si="565"/>
        <v>1.1836820968082855E-2</v>
      </c>
      <c r="X974" s="66">
        <f t="shared" si="566"/>
        <v>1.6782375772153281E-2</v>
      </c>
      <c r="Y974" s="66">
        <f t="shared" si="567"/>
        <v>1.8943947707894711E-2</v>
      </c>
      <c r="Z974" s="66">
        <f t="shared" si="568"/>
        <v>7.6734173990574452E-3</v>
      </c>
      <c r="AA974" s="66">
        <f t="shared" si="571"/>
        <v>1.1763172785862913E-2</v>
      </c>
      <c r="AB974" s="66">
        <f t="shared" si="569"/>
        <v>1.2227439637141034E-2</v>
      </c>
      <c r="AC974" s="67">
        <f t="shared" si="572"/>
        <v>20580652.740841277</v>
      </c>
      <c r="AD974" s="67">
        <f t="shared" si="549"/>
        <v>20580652.740841277</v>
      </c>
      <c r="AE974" s="66">
        <f t="shared" si="575"/>
        <v>3.2000000000000028E-2</v>
      </c>
      <c r="AF974" s="64">
        <f t="shared" si="547"/>
        <v>20580652.740841277</v>
      </c>
      <c r="AG974" s="64">
        <v>1</v>
      </c>
      <c r="AH974" s="64">
        <f t="shared" si="548"/>
        <v>20580652.740841277</v>
      </c>
      <c r="AI974" s="67">
        <f t="shared" si="573"/>
        <v>92.928317748538205</v>
      </c>
      <c r="AJ974" s="67">
        <f t="shared" si="574"/>
        <v>0</v>
      </c>
      <c r="AK974" s="66">
        <f t="shared" si="576"/>
        <v>3.2000000000000028E-2</v>
      </c>
    </row>
    <row r="975" spans="1:37" ht="12" customHeight="1" x14ac:dyDescent="0.25">
      <c r="A975" s="134" t="s">
        <v>646</v>
      </c>
      <c r="B975" s="134" t="s">
        <v>435</v>
      </c>
      <c r="C975" s="134" t="s">
        <v>439</v>
      </c>
      <c r="D975" s="128">
        <v>2029</v>
      </c>
      <c r="E975" s="134" t="s">
        <v>676</v>
      </c>
      <c r="F975" s="57">
        <f>SIM_Parametres!$C$35</f>
        <v>1683153084.5040712</v>
      </c>
      <c r="G975" s="129">
        <f>SIM_Districts!D52*(1+SIM_Parametres!$B$6)^(2029-2023)</f>
        <v>364175.20397067623</v>
      </c>
      <c r="H975" s="129">
        <f>MAX(0,MIN(100,SIM_Districts!F52+(2029-2022)*SIM_Parametres!$B$7))</f>
        <v>31.49</v>
      </c>
      <c r="I975" s="129">
        <f>SIM_Districts!G52*(1+SIM_Parametres!$B$8)^(2029-2023)</f>
        <v>27.594791242239999</v>
      </c>
      <c r="J975" s="129">
        <f>SIM_Districts!H52*(1+SIM_Parametres!$B$9)^(2029-2023)</f>
        <v>12.169998900000003</v>
      </c>
      <c r="K975" s="129">
        <f>MAX(0,MIN(100,SIM_Districts!I52+(2029-2023)*SIM_Parametres!$B$10))</f>
        <v>97.9</v>
      </c>
      <c r="L975" s="129">
        <f>SIM_Districts!E52</f>
        <v>5859</v>
      </c>
      <c r="M975" s="68">
        <f t="shared" si="570"/>
        <v>62.156546163283195</v>
      </c>
      <c r="N975" s="129">
        <f>N904*(1+SIM_Parametres!$B$6)/(1+SIM_Parametres!$B$11)</f>
        <v>89545</v>
      </c>
      <c r="O975" s="135"/>
      <c r="P975" s="130">
        <f>SIM_Parametres!$D$35</f>
        <v>1</v>
      </c>
      <c r="Q975" s="130">
        <f>SIM_Parametres!$B$12</f>
        <v>0.2</v>
      </c>
      <c r="R975" s="59">
        <f t="shared" si="560"/>
        <v>1.6825801146924578E-2</v>
      </c>
      <c r="S975" s="59">
        <f t="shared" si="561"/>
        <v>0.4964539007092198</v>
      </c>
      <c r="T975" s="59">
        <f t="shared" si="562"/>
        <v>0.84806629834254132</v>
      </c>
      <c r="U975" s="59">
        <f t="shared" si="563"/>
        <v>0.70194995546768002</v>
      </c>
      <c r="V975" s="59">
        <f t="shared" si="564"/>
        <v>0.20906585970196906</v>
      </c>
      <c r="W975" s="59">
        <f t="shared" si="565"/>
        <v>1.1836820968082855E-2</v>
      </c>
      <c r="X975" s="59">
        <f t="shared" si="566"/>
        <v>1.6782375772153281E-2</v>
      </c>
      <c r="Y975" s="59">
        <f t="shared" si="567"/>
        <v>1.7934617423677812E-2</v>
      </c>
      <c r="Z975" s="59">
        <f t="shared" si="568"/>
        <v>7.6734173990574452E-3</v>
      </c>
      <c r="AA975" s="59">
        <f t="shared" si="571"/>
        <v>1.5668761940326931E-2</v>
      </c>
      <c r="AB975" s="59">
        <f t="shared" si="569"/>
        <v>1.5351910960712251E-2</v>
      </c>
      <c r="AC975" s="60">
        <f t="shared" si="572"/>
        <v>25839616.286554683</v>
      </c>
      <c r="AD975" s="60">
        <f t="shared" si="549"/>
        <v>25839616.286554683</v>
      </c>
      <c r="AE975" s="59">
        <f t="shared" si="575"/>
        <v>3.1999999999999584E-2</v>
      </c>
      <c r="AF975" s="57">
        <f t="shared" si="547"/>
        <v>25839616.286554683</v>
      </c>
      <c r="AG975" s="57">
        <v>1</v>
      </c>
      <c r="AH975" s="57">
        <f t="shared" si="548"/>
        <v>25839616.286554683</v>
      </c>
      <c r="AI975" s="60">
        <f t="shared" si="573"/>
        <v>70.95380466550192</v>
      </c>
      <c r="AJ975" s="60">
        <f t="shared" si="574"/>
        <v>0</v>
      </c>
      <c r="AK975" s="59">
        <f t="shared" si="576"/>
        <v>3.1999999999999584E-2</v>
      </c>
    </row>
    <row r="976" spans="1:37" ht="12" customHeight="1" x14ac:dyDescent="0.25">
      <c r="A976" s="133" t="s">
        <v>647</v>
      </c>
      <c r="B976" s="133" t="s">
        <v>435</v>
      </c>
      <c r="C976" s="133" t="s">
        <v>440</v>
      </c>
      <c r="D976" s="124">
        <v>2029</v>
      </c>
      <c r="E976" s="133" t="s">
        <v>676</v>
      </c>
      <c r="F976" s="64">
        <f>SIM_Parametres!$C$35</f>
        <v>1683153084.5040712</v>
      </c>
      <c r="G976" s="125">
        <f>SIM_Districts!D53*(1+SIM_Parametres!$B$6)^(2029-2023)</f>
        <v>264350.04387625877</v>
      </c>
      <c r="H976" s="125">
        <f>MAX(0,MIN(100,SIM_Districts!F53+(2029-2022)*SIM_Parametres!$B$7))</f>
        <v>31.49</v>
      </c>
      <c r="I976" s="125">
        <f>SIM_Districts!G53*(1+SIM_Parametres!$B$8)^(2029-2023)</f>
        <v>27.594791242239999</v>
      </c>
      <c r="J976" s="125">
        <f>SIM_Districts!H53*(1+SIM_Parametres!$B$9)^(2029-2023)</f>
        <v>12.169998900000003</v>
      </c>
      <c r="K976" s="125">
        <f>MAX(0,MIN(100,SIM_Districts!I53+(2029-2023)*SIM_Parametres!$B$10))</f>
        <v>97.9</v>
      </c>
      <c r="L976" s="125">
        <f>SIM_Districts!E53</f>
        <v>3143</v>
      </c>
      <c r="M976" s="61">
        <f t="shared" si="570"/>
        <v>84.107554526331143</v>
      </c>
      <c r="N976" s="125">
        <f>N905*(1+SIM_Parametres!$B$6)/(1+SIM_Parametres!$B$11)</f>
        <v>89545</v>
      </c>
      <c r="O976" s="3"/>
      <c r="P976" s="126">
        <f>SIM_Parametres!$D$35</f>
        <v>1</v>
      </c>
      <c r="Q976" s="126">
        <f>SIM_Parametres!$B$12</f>
        <v>0.2</v>
      </c>
      <c r="R976" s="66">
        <f t="shared" si="560"/>
        <v>1.2213630205863404E-2</v>
      </c>
      <c r="S976" s="66">
        <f t="shared" si="561"/>
        <v>0.4964539007092198</v>
      </c>
      <c r="T976" s="66">
        <f t="shared" si="562"/>
        <v>0.84806629834254132</v>
      </c>
      <c r="U976" s="66">
        <f t="shared" si="563"/>
        <v>0.6076065442079609</v>
      </c>
      <c r="V976" s="66">
        <f t="shared" si="564"/>
        <v>0.20906585970196906</v>
      </c>
      <c r="W976" s="66">
        <f t="shared" si="565"/>
        <v>1.1836820968082855E-2</v>
      </c>
      <c r="X976" s="66">
        <f t="shared" si="566"/>
        <v>1.6782375772153281E-2</v>
      </c>
      <c r="Y976" s="66">
        <f t="shared" si="567"/>
        <v>1.5524170675717777E-2</v>
      </c>
      <c r="Z976" s="66">
        <f t="shared" si="568"/>
        <v>7.6734173990574452E-3</v>
      </c>
      <c r="AA976" s="66">
        <f t="shared" si="571"/>
        <v>1.2780937038292224E-2</v>
      </c>
      <c r="AB976" s="66">
        <f t="shared" si="569"/>
        <v>1.3041651039084484E-2</v>
      </c>
      <c r="AC976" s="67">
        <f t="shared" si="572"/>
        <v>21951095.173460774</v>
      </c>
      <c r="AD976" s="67">
        <f t="shared" si="549"/>
        <v>21951095.173460774</v>
      </c>
      <c r="AE976" s="66">
        <f t="shared" si="575"/>
        <v>3.1999999999999584E-2</v>
      </c>
      <c r="AF976" s="64">
        <f t="shared" si="547"/>
        <v>21951095.173460774</v>
      </c>
      <c r="AG976" s="64">
        <v>1</v>
      </c>
      <c r="AH976" s="64">
        <f t="shared" si="548"/>
        <v>21951095.173460774</v>
      </c>
      <c r="AI976" s="67">
        <f t="shared" si="573"/>
        <v>83.03798573884859</v>
      </c>
      <c r="AJ976" s="67">
        <f t="shared" si="574"/>
        <v>0</v>
      </c>
      <c r="AK976" s="66">
        <f t="shared" si="576"/>
        <v>3.1999999999999584E-2</v>
      </c>
    </row>
    <row r="977" spans="1:37" ht="12" customHeight="1" x14ac:dyDescent="0.25">
      <c r="A977" s="134" t="s">
        <v>648</v>
      </c>
      <c r="B977" s="134" t="s">
        <v>435</v>
      </c>
      <c r="C977" s="134" t="s">
        <v>435</v>
      </c>
      <c r="D977" s="128">
        <v>2029</v>
      </c>
      <c r="E977" s="134" t="s">
        <v>676</v>
      </c>
      <c r="F977" s="57">
        <f>SIM_Parametres!$C$35</f>
        <v>1683153084.5040712</v>
      </c>
      <c r="G977" s="129">
        <f>SIM_Districts!D54*(1+SIM_Parametres!$B$6)^(2029-2023)</f>
        <v>468349.1025290523</v>
      </c>
      <c r="H977" s="129">
        <f>MAX(0,MIN(100,SIM_Districts!F54+(2029-2022)*SIM_Parametres!$B$7))</f>
        <v>31.49</v>
      </c>
      <c r="I977" s="129">
        <f>SIM_Districts!G54*(1+SIM_Parametres!$B$8)^(2029-2023)</f>
        <v>27.594791242239999</v>
      </c>
      <c r="J977" s="129">
        <f>SIM_Districts!H54*(1+SIM_Parametres!$B$9)^(2029-2023)</f>
        <v>12.169998900000003</v>
      </c>
      <c r="K977" s="129">
        <f>MAX(0,MIN(100,SIM_Districts!I54+(2029-2023)*SIM_Parametres!$B$10))</f>
        <v>97.9</v>
      </c>
      <c r="L977" s="129">
        <f>SIM_Districts!E54</f>
        <v>802</v>
      </c>
      <c r="M977" s="68">
        <f t="shared" si="570"/>
        <v>583.9764370686438</v>
      </c>
      <c r="N977" s="129">
        <f>N906*(1+SIM_Parametres!$B$6)/(1+SIM_Parametres!$B$11)</f>
        <v>89545</v>
      </c>
      <c r="O977" s="135"/>
      <c r="P977" s="130">
        <f>SIM_Parametres!$D$35</f>
        <v>1</v>
      </c>
      <c r="Q977" s="130">
        <f>SIM_Parametres!$B$12</f>
        <v>0.2</v>
      </c>
      <c r="R977" s="59">
        <f t="shared" si="560"/>
        <v>2.1638894632510345E-2</v>
      </c>
      <c r="S977" s="59">
        <f t="shared" si="561"/>
        <v>0.4964539007092198</v>
      </c>
      <c r="T977" s="59">
        <f t="shared" si="562"/>
        <v>0.84806629834254132</v>
      </c>
      <c r="U977" s="59">
        <f t="shared" si="563"/>
        <v>0.52059263207206885</v>
      </c>
      <c r="V977" s="59">
        <f t="shared" si="564"/>
        <v>0.20906585970196906</v>
      </c>
      <c r="W977" s="59">
        <f t="shared" si="565"/>
        <v>1.1836820968082855E-2</v>
      </c>
      <c r="X977" s="59">
        <f t="shared" si="566"/>
        <v>1.6782375772153281E-2</v>
      </c>
      <c r="Y977" s="59">
        <f t="shared" si="567"/>
        <v>1.3300990500921693E-2</v>
      </c>
      <c r="Z977" s="59">
        <f t="shared" si="568"/>
        <v>7.6734173990574452E-3</v>
      </c>
      <c r="AA977" s="59">
        <f t="shared" si="571"/>
        <v>1.8324936685540583E-2</v>
      </c>
      <c r="AB977" s="59">
        <f t="shared" si="569"/>
        <v>1.7476850756883173E-2</v>
      </c>
      <c r="AC977" s="60">
        <f t="shared" si="572"/>
        <v>29416215.258865226</v>
      </c>
      <c r="AD977" s="60">
        <f t="shared" si="549"/>
        <v>29416215.258865226</v>
      </c>
      <c r="AE977" s="59">
        <f t="shared" si="575"/>
        <v>3.1999999999999806E-2</v>
      </c>
      <c r="AF977" s="57">
        <f t="shared" si="547"/>
        <v>29416215.258865226</v>
      </c>
      <c r="AG977" s="57">
        <v>1</v>
      </c>
      <c r="AH977" s="57">
        <f t="shared" si="548"/>
        <v>29416215.258865226</v>
      </c>
      <c r="AI977" s="60">
        <f t="shared" si="573"/>
        <v>62.808309229204724</v>
      </c>
      <c r="AJ977" s="60">
        <f t="shared" si="574"/>
        <v>0</v>
      </c>
      <c r="AK977" s="59">
        <f t="shared" si="576"/>
        <v>3.1999999999999806E-2</v>
      </c>
    </row>
    <row r="978" spans="1:37" ht="12" customHeight="1" x14ac:dyDescent="0.25">
      <c r="A978" s="133" t="s">
        <v>649</v>
      </c>
      <c r="B978" s="133" t="s">
        <v>441</v>
      </c>
      <c r="C978" s="133" t="s">
        <v>443</v>
      </c>
      <c r="D978" s="124">
        <v>2029</v>
      </c>
      <c r="E978" s="133" t="s">
        <v>676</v>
      </c>
      <c r="F978" s="64">
        <f>SIM_Parametres!$C$35</f>
        <v>1683153084.5040712</v>
      </c>
      <c r="G978" s="125">
        <f>SIM_Districts!D55*(1+SIM_Parametres!$B$6)^(2029-2023)</f>
        <v>344983.20140856557</v>
      </c>
      <c r="H978" s="125">
        <f>MAX(0,MIN(100,SIM_Districts!F55+(2029-2022)*SIM_Parametres!$B$7))</f>
        <v>58.59</v>
      </c>
      <c r="I978" s="125">
        <f>SIM_Districts!G55*(1+SIM_Parametres!$B$8)^(2029-2023)</f>
        <v>27.594791242239999</v>
      </c>
      <c r="J978" s="125">
        <f>SIM_Districts!H55*(1+SIM_Parametres!$B$9)^(2029-2023)</f>
        <v>13.020304500000004</v>
      </c>
      <c r="K978" s="125">
        <f>MAX(0,MIN(100,SIM_Districts!I55+(2029-2023)*SIM_Parametres!$B$10))</f>
        <v>93.6</v>
      </c>
      <c r="L978" s="125">
        <f>SIM_Districts!E55</f>
        <v>2865</v>
      </c>
      <c r="M978" s="61">
        <f t="shared" si="570"/>
        <v>120.41298478483964</v>
      </c>
      <c r="N978" s="125">
        <f>N907*(1+SIM_Parametres!$B$6)/(1+SIM_Parametres!$B$11)</f>
        <v>178218</v>
      </c>
      <c r="O978" s="3"/>
      <c r="P978" s="126">
        <f>SIM_Parametres!$D$35</f>
        <v>1</v>
      </c>
      <c r="Q978" s="126">
        <f>SIM_Parametres!$B$12</f>
        <v>0.2</v>
      </c>
      <c r="R978" s="66">
        <f t="shared" si="560"/>
        <v>1.593908284430411E-2</v>
      </c>
      <c r="S978" s="66">
        <f t="shared" si="561"/>
        <v>0.97695035460992907</v>
      </c>
      <c r="T978" s="66">
        <f t="shared" si="562"/>
        <v>0.89226519337016574</v>
      </c>
      <c r="U978" s="66">
        <f t="shared" si="563"/>
        <v>0.59754648703547397</v>
      </c>
      <c r="V978" s="66">
        <f t="shared" si="564"/>
        <v>0.82451294081719062</v>
      </c>
      <c r="W978" s="66">
        <f t="shared" si="565"/>
        <v>2.3293172690763048E-2</v>
      </c>
      <c r="X978" s="66">
        <f t="shared" si="566"/>
        <v>1.7657027278193845E-2</v>
      </c>
      <c r="Y978" s="66">
        <f t="shared" si="567"/>
        <v>1.526713913772349E-2</v>
      </c>
      <c r="Z978" s="66">
        <f t="shared" si="568"/>
        <v>3.0262386957075536E-2</v>
      </c>
      <c r="AA978" s="66">
        <f t="shared" si="571"/>
        <v>1.798245600666595E-2</v>
      </c>
      <c r="AB978" s="66">
        <f t="shared" si="569"/>
        <v>1.7202866213783467E-2</v>
      </c>
      <c r="AC978" s="67">
        <f t="shared" si="572"/>
        <v>28955057.330040511</v>
      </c>
      <c r="AD978" s="67">
        <f t="shared" si="549"/>
        <v>28955057.330040511</v>
      </c>
      <c r="AE978" s="66">
        <f t="shared" si="575"/>
        <v>3.1999999999999584E-2</v>
      </c>
      <c r="AF978" s="64">
        <f t="shared" si="547"/>
        <v>28955057.330040511</v>
      </c>
      <c r="AG978" s="64">
        <v>1</v>
      </c>
      <c r="AH978" s="64">
        <f t="shared" si="548"/>
        <v>28955057.330040511</v>
      </c>
      <c r="AI978" s="67">
        <f t="shared" si="573"/>
        <v>83.931789176449996</v>
      </c>
      <c r="AJ978" s="67">
        <f t="shared" si="574"/>
        <v>0</v>
      </c>
      <c r="AK978" s="66">
        <f t="shared" si="576"/>
        <v>3.1999999999999584E-2</v>
      </c>
    </row>
    <row r="979" spans="1:37" ht="12" customHeight="1" x14ac:dyDescent="0.25">
      <c r="A979" s="134" t="s">
        <v>651</v>
      </c>
      <c r="B979" s="134" t="s">
        <v>441</v>
      </c>
      <c r="C979" s="134" t="s">
        <v>441</v>
      </c>
      <c r="D979" s="128">
        <v>2029</v>
      </c>
      <c r="E979" s="134" t="s">
        <v>676</v>
      </c>
      <c r="F979" s="57">
        <f>SIM_Parametres!$C$35</f>
        <v>1683153084.5040712</v>
      </c>
      <c r="G979" s="129">
        <f>SIM_Districts!D56*(1+SIM_Parametres!$B$6)^(2029-2023)</f>
        <v>358631.21915789205</v>
      </c>
      <c r="H979" s="129">
        <f>MAX(0,MIN(100,SIM_Districts!F56+(2029-2022)*SIM_Parametres!$B$7))</f>
        <v>58.59</v>
      </c>
      <c r="I979" s="129">
        <f>SIM_Districts!G56*(1+SIM_Parametres!$B$8)^(2029-2023)</f>
        <v>27.594791242239999</v>
      </c>
      <c r="J979" s="129">
        <f>SIM_Districts!H56*(1+SIM_Parametres!$B$9)^(2029-2023)</f>
        <v>13.020304500000004</v>
      </c>
      <c r="K979" s="129">
        <f>MAX(0,MIN(100,SIM_Districts!I56+(2029-2023)*SIM_Parametres!$B$10))</f>
        <v>93.6</v>
      </c>
      <c r="L979" s="129">
        <f>SIM_Districts!E56</f>
        <v>2749</v>
      </c>
      <c r="M979" s="68">
        <f t="shared" si="570"/>
        <v>130.45879198177229</v>
      </c>
      <c r="N979" s="129">
        <f>N908*(1+SIM_Parametres!$B$6)/(1+SIM_Parametres!$B$11)</f>
        <v>178218</v>
      </c>
      <c r="O979" s="135"/>
      <c r="P979" s="130">
        <f>SIM_Parametres!$D$35</f>
        <v>1</v>
      </c>
      <c r="Q979" s="130">
        <f>SIM_Parametres!$B$12</f>
        <v>0.2</v>
      </c>
      <c r="R979" s="59">
        <f t="shared" si="560"/>
        <v>1.6569655245159704E-2</v>
      </c>
      <c r="S979" s="59">
        <f t="shared" si="561"/>
        <v>0.97695035460992907</v>
      </c>
      <c r="T979" s="59">
        <f t="shared" si="562"/>
        <v>0.89226519337016574</v>
      </c>
      <c r="U979" s="59">
        <f t="shared" si="563"/>
        <v>0.59340921006518599</v>
      </c>
      <c r="V979" s="59">
        <f t="shared" si="564"/>
        <v>0.82451294081719062</v>
      </c>
      <c r="W979" s="59">
        <f t="shared" si="565"/>
        <v>2.3293172690763048E-2</v>
      </c>
      <c r="X979" s="59">
        <f t="shared" si="566"/>
        <v>1.7657027278193845E-2</v>
      </c>
      <c r="Y979" s="59">
        <f t="shared" si="567"/>
        <v>1.516143291314161E-2</v>
      </c>
      <c r="Z979" s="59">
        <f t="shared" si="568"/>
        <v>3.0262386957075536E-2</v>
      </c>
      <c r="AA979" s="59">
        <f t="shared" si="571"/>
        <v>1.8355514135950213E-2</v>
      </c>
      <c r="AB979" s="59">
        <f t="shared" si="569"/>
        <v>1.7501312717210872E-2</v>
      </c>
      <c r="AC979" s="60">
        <f t="shared" si="572"/>
        <v>29457388.482843813</v>
      </c>
      <c r="AD979" s="60">
        <f t="shared" si="549"/>
        <v>29457388.482843813</v>
      </c>
      <c r="AE979" s="59">
        <f t="shared" si="575"/>
        <v>3.1999999999999806E-2</v>
      </c>
      <c r="AF979" s="57">
        <f t="shared" si="547"/>
        <v>29457388.482843813</v>
      </c>
      <c r="AG979" s="57">
        <v>1</v>
      </c>
      <c r="AH979" s="57">
        <f t="shared" si="548"/>
        <v>29457388.482843813</v>
      </c>
      <c r="AI979" s="60">
        <f t="shared" si="573"/>
        <v>82.138383133552054</v>
      </c>
      <c r="AJ979" s="60">
        <f t="shared" si="574"/>
        <v>0</v>
      </c>
      <c r="AK979" s="59">
        <f t="shared" si="576"/>
        <v>3.1999999999999806E-2</v>
      </c>
    </row>
    <row r="980" spans="1:37" ht="12" customHeight="1" x14ac:dyDescent="0.25">
      <c r="A980" s="133" t="s">
        <v>652</v>
      </c>
      <c r="B980" s="133" t="s">
        <v>444</v>
      </c>
      <c r="C980" s="133" t="s">
        <v>446</v>
      </c>
      <c r="D980" s="124">
        <v>2029</v>
      </c>
      <c r="E980" s="133" t="s">
        <v>676</v>
      </c>
      <c r="F980" s="64">
        <f>SIM_Parametres!$C$35</f>
        <v>1683153084.5040712</v>
      </c>
      <c r="G980" s="125">
        <f>SIM_Districts!D57*(1+SIM_Parametres!$B$6)^(2029-2023)</f>
        <v>180799.81658353159</v>
      </c>
      <c r="H980" s="125">
        <f>MAX(0,MIN(100,SIM_Districts!F57+(2029-2022)*SIM_Parametres!$B$7))</f>
        <v>56.989999999999995</v>
      </c>
      <c r="I980" s="125">
        <f>SIM_Districts!G57*(1+SIM_Parametres!$B$8)^(2029-2023)</f>
        <v>27.594791242239999</v>
      </c>
      <c r="J980" s="125">
        <f>SIM_Districts!H57*(1+SIM_Parametres!$B$9)^(2029-2023)</f>
        <v>12.488863500000004</v>
      </c>
      <c r="K980" s="125">
        <f>MAX(0,MIN(100,SIM_Districts!I57+(2029-2023)*SIM_Parametres!$B$10))</f>
        <v>97.6</v>
      </c>
      <c r="L980" s="125">
        <f>SIM_Districts!E57</f>
        <v>1360</v>
      </c>
      <c r="M980" s="61">
        <f t="shared" si="570"/>
        <v>132.94104160553792</v>
      </c>
      <c r="N980" s="125">
        <f>N909*(1+SIM_Parametres!$B$6)/(1+SIM_Parametres!$B$11)</f>
        <v>71159</v>
      </c>
      <c r="O980" s="3"/>
      <c r="P980" s="126">
        <f>SIM_Parametres!$D$35</f>
        <v>1</v>
      </c>
      <c r="Q980" s="126">
        <f>SIM_Parametres!$B$12</f>
        <v>0.2</v>
      </c>
      <c r="R980" s="66">
        <f t="shared" si="560"/>
        <v>8.3534016815705343E-3</v>
      </c>
      <c r="S980" s="66">
        <f t="shared" si="561"/>
        <v>0.94858156028368779</v>
      </c>
      <c r="T980" s="66">
        <f t="shared" si="562"/>
        <v>0.86464088397790051</v>
      </c>
      <c r="U980" s="66">
        <f t="shared" si="563"/>
        <v>0.54526424876049673</v>
      </c>
      <c r="V980" s="66">
        <f t="shared" si="564"/>
        <v>8.1455312710388056E-2</v>
      </c>
      <c r="W980" s="66">
        <f t="shared" si="565"/>
        <v>2.2616782921158311E-2</v>
      </c>
      <c r="X980" s="66">
        <f t="shared" si="566"/>
        <v>1.7110370086918493E-2</v>
      </c>
      <c r="Y980" s="66">
        <f t="shared" si="567"/>
        <v>1.3931343139431052E-2</v>
      </c>
      <c r="Z980" s="66">
        <f t="shared" si="568"/>
        <v>2.9896828429499429E-3</v>
      </c>
      <c r="AA980" s="66">
        <f t="shared" si="571"/>
        <v>1.1817165259272889E-2</v>
      </c>
      <c r="AB980" s="66">
        <f t="shared" si="569"/>
        <v>1.2270633615869015E-2</v>
      </c>
      <c r="AC980" s="67">
        <f t="shared" si="572"/>
        <v>20653354.819369279</v>
      </c>
      <c r="AD980" s="67">
        <f t="shared" si="549"/>
        <v>20653354.819369279</v>
      </c>
      <c r="AE980" s="66">
        <f t="shared" si="575"/>
        <v>3.1999999999999806E-2</v>
      </c>
      <c r="AF980" s="64">
        <f t="shared" si="547"/>
        <v>20653354.819369279</v>
      </c>
      <c r="AG980" s="64">
        <v>1</v>
      </c>
      <c r="AH980" s="64">
        <f t="shared" si="548"/>
        <v>20653354.819369279</v>
      </c>
      <c r="AI980" s="67">
        <f t="shared" si="573"/>
        <v>114.23327307319028</v>
      </c>
      <c r="AJ980" s="67">
        <f t="shared" si="574"/>
        <v>0</v>
      </c>
      <c r="AK980" s="66">
        <f t="shared" si="576"/>
        <v>3.1999999999999806E-2</v>
      </c>
    </row>
    <row r="981" spans="1:37" ht="12" customHeight="1" x14ac:dyDescent="0.25">
      <c r="A981" s="134" t="s">
        <v>654</v>
      </c>
      <c r="B981" s="134" t="s">
        <v>444</v>
      </c>
      <c r="C981" s="134" t="s">
        <v>447</v>
      </c>
      <c r="D981" s="128">
        <v>2029</v>
      </c>
      <c r="E981" s="134" t="s">
        <v>676</v>
      </c>
      <c r="F981" s="57">
        <f>SIM_Parametres!$C$35</f>
        <v>1683153084.5040712</v>
      </c>
      <c r="G981" s="129">
        <f>SIM_Districts!D58*(1+SIM_Parametres!$B$6)^(2029-2023)</f>
        <v>88661.965174167824</v>
      </c>
      <c r="H981" s="129">
        <f>MAX(0,MIN(100,SIM_Districts!F58+(2029-2022)*SIM_Parametres!$B$7))</f>
        <v>56.989999999999995</v>
      </c>
      <c r="I981" s="129">
        <f>SIM_Districts!G58*(1+SIM_Parametres!$B$8)^(2029-2023)</f>
        <v>27.594791242239999</v>
      </c>
      <c r="J981" s="129">
        <f>SIM_Districts!H58*(1+SIM_Parametres!$B$9)^(2029-2023)</f>
        <v>12.488863500000004</v>
      </c>
      <c r="K981" s="129">
        <f>MAX(0,MIN(100,SIM_Districts!I58+(2029-2023)*SIM_Parametres!$B$10))</f>
        <v>97.6</v>
      </c>
      <c r="L981" s="129">
        <f>SIM_Districts!E58</f>
        <v>6089</v>
      </c>
      <c r="M981" s="68">
        <f t="shared" si="570"/>
        <v>14.561005940904554</v>
      </c>
      <c r="N981" s="129">
        <f>N910*(1+SIM_Parametres!$B$6)/(1+SIM_Parametres!$B$11)</f>
        <v>71159</v>
      </c>
      <c r="O981" s="135"/>
      <c r="P981" s="130">
        <f>SIM_Parametres!$D$35</f>
        <v>1</v>
      </c>
      <c r="Q981" s="130">
        <f>SIM_Parametres!$B$12</f>
        <v>0.2</v>
      </c>
      <c r="R981" s="59">
        <f t="shared" si="560"/>
        <v>4.0964035416211977E-3</v>
      </c>
      <c r="S981" s="59">
        <f t="shared" si="561"/>
        <v>0.94858156028368779</v>
      </c>
      <c r="T981" s="59">
        <f t="shared" si="562"/>
        <v>0.86464088397790051</v>
      </c>
      <c r="U981" s="59">
        <f t="shared" si="563"/>
        <v>0.71048099676349064</v>
      </c>
      <c r="V981" s="59">
        <f t="shared" si="564"/>
        <v>8.1455312710388056E-2</v>
      </c>
      <c r="W981" s="59">
        <f t="shared" si="565"/>
        <v>2.2616782921158311E-2</v>
      </c>
      <c r="X981" s="59">
        <f t="shared" si="566"/>
        <v>1.7110370086918493E-2</v>
      </c>
      <c r="Y981" s="59">
        <f t="shared" si="567"/>
        <v>1.8152583050250179E-2</v>
      </c>
      <c r="Z981" s="59">
        <f t="shared" si="568"/>
        <v>2.9896828429499429E-3</v>
      </c>
      <c r="AA981" s="59">
        <f t="shared" si="571"/>
        <v>9.4740283708442449E-3</v>
      </c>
      <c r="AB981" s="59">
        <f t="shared" si="569"/>
        <v>1.0396124105126098E-2</v>
      </c>
      <c r="AC981" s="60">
        <f t="shared" si="572"/>
        <v>17498268.354430124</v>
      </c>
      <c r="AD981" s="60">
        <f t="shared" si="549"/>
        <v>17498268.354430124</v>
      </c>
      <c r="AE981" s="59">
        <f t="shared" si="575"/>
        <v>3.1999999999999806E-2</v>
      </c>
      <c r="AF981" s="57">
        <f t="shared" si="547"/>
        <v>17498268.354430124</v>
      </c>
      <c r="AG981" s="57">
        <v>1</v>
      </c>
      <c r="AH981" s="57">
        <f t="shared" si="548"/>
        <v>17498268.354430124</v>
      </c>
      <c r="AI981" s="60">
        <f t="shared" si="573"/>
        <v>197.35935606724343</v>
      </c>
      <c r="AJ981" s="60">
        <f t="shared" si="574"/>
        <v>0</v>
      </c>
      <c r="AK981" s="59">
        <f t="shared" si="576"/>
        <v>3.1999999999999806E-2</v>
      </c>
    </row>
    <row r="982" spans="1:37" ht="12" customHeight="1" x14ac:dyDescent="0.25">
      <c r="A982" s="133" t="s">
        <v>655</v>
      </c>
      <c r="B982" s="133" t="s">
        <v>444</v>
      </c>
      <c r="C982" s="133" t="s">
        <v>448</v>
      </c>
      <c r="D982" s="124">
        <v>2029</v>
      </c>
      <c r="E982" s="133" t="s">
        <v>676</v>
      </c>
      <c r="F982" s="64">
        <f>SIM_Parametres!$C$35</f>
        <v>1683153084.5040712</v>
      </c>
      <c r="G982" s="125">
        <f>SIM_Districts!D59*(1+SIM_Parametres!$B$6)^(2029-2023)</f>
        <v>156188.01064747584</v>
      </c>
      <c r="H982" s="125">
        <f>MAX(0,MIN(100,SIM_Districts!F59+(2029-2022)*SIM_Parametres!$B$7))</f>
        <v>56.989999999999995</v>
      </c>
      <c r="I982" s="125">
        <f>SIM_Districts!G59*(1+SIM_Parametres!$B$8)^(2029-2023)</f>
        <v>27.594791242239999</v>
      </c>
      <c r="J982" s="125">
        <f>SIM_Districts!H59*(1+SIM_Parametres!$B$9)^(2029-2023)</f>
        <v>12.488863500000004</v>
      </c>
      <c r="K982" s="125">
        <f>MAX(0,MIN(100,SIM_Districts!I59+(2029-2023)*SIM_Parametres!$B$10))</f>
        <v>97.6</v>
      </c>
      <c r="L982" s="125">
        <f>SIM_Districts!E59</f>
        <v>9596</v>
      </c>
      <c r="M982" s="61">
        <f t="shared" si="570"/>
        <v>16.276366261721115</v>
      </c>
      <c r="N982" s="125">
        <f>N911*(1+SIM_Parametres!$B$6)/(1+SIM_Parametres!$B$11)</f>
        <v>71159</v>
      </c>
      <c r="O982" s="3"/>
      <c r="P982" s="126">
        <f>SIM_Parametres!$D$35</f>
        <v>1</v>
      </c>
      <c r="Q982" s="126">
        <f>SIM_Parametres!$B$12</f>
        <v>0.2</v>
      </c>
      <c r="R982" s="66">
        <f t="shared" si="560"/>
        <v>7.2162749688465221E-3</v>
      </c>
      <c r="S982" s="66">
        <f t="shared" si="561"/>
        <v>0.94858156028368779</v>
      </c>
      <c r="T982" s="66">
        <f t="shared" si="562"/>
        <v>0.86464088397790051</v>
      </c>
      <c r="U982" s="66">
        <f t="shared" si="563"/>
        <v>0.83194467542502504</v>
      </c>
      <c r="V982" s="66">
        <f t="shared" si="564"/>
        <v>8.1455312710388056E-2</v>
      </c>
      <c r="W982" s="66">
        <f t="shared" si="565"/>
        <v>2.2616782921158311E-2</v>
      </c>
      <c r="X982" s="66">
        <f t="shared" si="566"/>
        <v>1.7110370086918493E-2</v>
      </c>
      <c r="Y982" s="66">
        <f t="shared" si="567"/>
        <v>2.1255944751036638E-2</v>
      </c>
      <c r="Z982" s="66">
        <f t="shared" si="568"/>
        <v>2.9896828429499429E-3</v>
      </c>
      <c r="AA982" s="66">
        <f t="shared" si="571"/>
        <v>1.1501119312218762E-2</v>
      </c>
      <c r="AB982" s="66">
        <f t="shared" si="569"/>
        <v>1.2017796858225712E-2</v>
      </c>
      <c r="AC982" s="67">
        <f t="shared" si="572"/>
        <v>20227791.850865945</v>
      </c>
      <c r="AD982" s="67">
        <f t="shared" si="549"/>
        <v>20227791.850865945</v>
      </c>
      <c r="AE982" s="66">
        <f t="shared" si="575"/>
        <v>3.1999999999999806E-2</v>
      </c>
      <c r="AF982" s="64">
        <f t="shared" si="547"/>
        <v>20227791.850865945</v>
      </c>
      <c r="AG982" s="64">
        <v>1</v>
      </c>
      <c r="AH982" s="64">
        <f t="shared" si="548"/>
        <v>20227791.850865945</v>
      </c>
      <c r="AI982" s="67">
        <f t="shared" si="573"/>
        <v>129.50924829000533</v>
      </c>
      <c r="AJ982" s="67">
        <f t="shared" si="574"/>
        <v>0</v>
      </c>
      <c r="AK982" s="66">
        <f t="shared" si="576"/>
        <v>3.1999999999999806E-2</v>
      </c>
    </row>
    <row r="983" spans="1:37" ht="12" customHeight="1" x14ac:dyDescent="0.25">
      <c r="A983" s="134" t="s">
        <v>656</v>
      </c>
      <c r="B983" s="134" t="s">
        <v>444</v>
      </c>
      <c r="C983" s="134" t="s">
        <v>449</v>
      </c>
      <c r="D983" s="128">
        <v>2029</v>
      </c>
      <c r="E983" s="134" t="s">
        <v>676</v>
      </c>
      <c r="F983" s="57">
        <f>SIM_Parametres!$C$35</f>
        <v>1683153084.5040712</v>
      </c>
      <c r="G983" s="129">
        <f>SIM_Districts!D60*(1+SIM_Parametres!$B$6)^(2029-2023)</f>
        <v>115261.86818394436</v>
      </c>
      <c r="H983" s="129">
        <f>MAX(0,MIN(100,SIM_Districts!F60+(2029-2022)*SIM_Parametres!$B$7))</f>
        <v>56.989999999999995</v>
      </c>
      <c r="I983" s="129">
        <f>SIM_Districts!G60*(1+SIM_Parametres!$B$8)^(2029-2023)</f>
        <v>27.594791242239999</v>
      </c>
      <c r="J983" s="129">
        <f>SIM_Districts!H60*(1+SIM_Parametres!$B$9)^(2029-2023)</f>
        <v>12.488863500000004</v>
      </c>
      <c r="K983" s="129">
        <f>MAX(0,MIN(100,SIM_Districts!I60+(2029-2023)*SIM_Parametres!$B$10))</f>
        <v>97.6</v>
      </c>
      <c r="L983" s="129">
        <f>SIM_Districts!E60</f>
        <v>5363</v>
      </c>
      <c r="M983" s="68">
        <f t="shared" si="570"/>
        <v>21.492050752180564</v>
      </c>
      <c r="N983" s="129">
        <f>N912*(1+SIM_Parametres!$B$6)/(1+SIM_Parametres!$B$11)</f>
        <v>71159</v>
      </c>
      <c r="O983" s="135"/>
      <c r="P983" s="130">
        <f>SIM_Parametres!$D$35</f>
        <v>1</v>
      </c>
      <c r="Q983" s="130">
        <f>SIM_Parametres!$B$12</f>
        <v>0.2</v>
      </c>
      <c r="R983" s="59">
        <f t="shared" si="560"/>
        <v>5.3253852891155138E-3</v>
      </c>
      <c r="S983" s="59">
        <f t="shared" si="561"/>
        <v>0.94858156028368779</v>
      </c>
      <c r="T983" s="59">
        <f t="shared" si="562"/>
        <v>0.86464088397790051</v>
      </c>
      <c r="U983" s="59">
        <f t="shared" si="563"/>
        <v>0.68524994865574662</v>
      </c>
      <c r="V983" s="59">
        <f t="shared" si="564"/>
        <v>8.1455312710388056E-2</v>
      </c>
      <c r="W983" s="59">
        <f t="shared" si="565"/>
        <v>2.2616782921158311E-2</v>
      </c>
      <c r="X983" s="59">
        <f t="shared" si="566"/>
        <v>1.7110370086918493E-2</v>
      </c>
      <c r="Y983" s="59">
        <f t="shared" si="567"/>
        <v>1.7507937101509701E-2</v>
      </c>
      <c r="Z983" s="59">
        <f t="shared" si="568"/>
        <v>2.9896828429499429E-3</v>
      </c>
      <c r="AA983" s="59">
        <f t="shared" si="571"/>
        <v>1.017918512190381E-2</v>
      </c>
      <c r="AB983" s="59">
        <f t="shared" si="569"/>
        <v>1.0960249505973751E-2</v>
      </c>
      <c r="AC983" s="60">
        <f t="shared" si="572"/>
        <v>18447777.762913946</v>
      </c>
      <c r="AD983" s="60">
        <f t="shared" si="549"/>
        <v>18447777.762913946</v>
      </c>
      <c r="AE983" s="59">
        <f t="shared" si="575"/>
        <v>3.2000000000000028E-2</v>
      </c>
      <c r="AF983" s="57">
        <f t="shared" si="547"/>
        <v>18447777.762913946</v>
      </c>
      <c r="AG983" s="57">
        <v>1</v>
      </c>
      <c r="AH983" s="57">
        <f t="shared" si="548"/>
        <v>18447777.762913946</v>
      </c>
      <c r="AI983" s="60">
        <f t="shared" si="573"/>
        <v>160.0510043223789</v>
      </c>
      <c r="AJ983" s="60">
        <f t="shared" si="574"/>
        <v>0</v>
      </c>
      <c r="AK983" s="59">
        <f t="shared" si="576"/>
        <v>3.2000000000000028E-2</v>
      </c>
    </row>
    <row r="984" spans="1:37" ht="12" customHeight="1" x14ac:dyDescent="0.25">
      <c r="A984" s="133" t="s">
        <v>657</v>
      </c>
      <c r="B984" s="133" t="s">
        <v>444</v>
      </c>
      <c r="C984" s="133" t="s">
        <v>450</v>
      </c>
      <c r="D984" s="124">
        <v>2029</v>
      </c>
      <c r="E984" s="133" t="s">
        <v>676</v>
      </c>
      <c r="F984" s="64">
        <f>SIM_Parametres!$C$35</f>
        <v>1683153084.5040712</v>
      </c>
      <c r="G984" s="125">
        <f>SIM_Districts!D61*(1+SIM_Parametres!$B$6)^(2029-2023)</f>
        <v>146462.45469224712</v>
      </c>
      <c r="H984" s="125">
        <f>MAX(0,MIN(100,SIM_Districts!F61+(2029-2022)*SIM_Parametres!$B$7))</f>
        <v>56.989999999999995</v>
      </c>
      <c r="I984" s="125">
        <f>SIM_Districts!G61*(1+SIM_Parametres!$B$8)^(2029-2023)</f>
        <v>27.594791242239999</v>
      </c>
      <c r="J984" s="125">
        <f>SIM_Districts!H61*(1+SIM_Parametres!$B$9)^(2029-2023)</f>
        <v>12.488863500000004</v>
      </c>
      <c r="K984" s="125">
        <f>MAX(0,MIN(100,SIM_Districts!I61+(2029-2023)*SIM_Parametres!$B$10))</f>
        <v>97.6</v>
      </c>
      <c r="L984" s="125">
        <f>SIM_Districts!E61</f>
        <v>2477</v>
      </c>
      <c r="M984" s="61">
        <f t="shared" si="570"/>
        <v>59.128968386050509</v>
      </c>
      <c r="N984" s="125">
        <f>N913*(1+SIM_Parametres!$B$6)/(1+SIM_Parametres!$B$11)</f>
        <v>71159</v>
      </c>
      <c r="O984" s="3"/>
      <c r="P984" s="126">
        <f>SIM_Parametres!$D$35</f>
        <v>1</v>
      </c>
      <c r="Q984" s="126">
        <f>SIM_Parametres!$B$12</f>
        <v>0.2</v>
      </c>
      <c r="R984" s="66">
        <f t="shared" si="560"/>
        <v>6.766930069024229E-3</v>
      </c>
      <c r="S984" s="66">
        <f t="shared" si="561"/>
        <v>0.94858156028368779</v>
      </c>
      <c r="T984" s="66">
        <f t="shared" si="562"/>
        <v>0.86464088397790051</v>
      </c>
      <c r="U984" s="66">
        <f t="shared" si="563"/>
        <v>0.58483187330804909</v>
      </c>
      <c r="V984" s="66">
        <f t="shared" si="564"/>
        <v>8.1455312710388056E-2</v>
      </c>
      <c r="W984" s="66">
        <f t="shared" si="565"/>
        <v>2.2616782921158311E-2</v>
      </c>
      <c r="X984" s="66">
        <f t="shared" si="566"/>
        <v>1.7110370086918493E-2</v>
      </c>
      <c r="Y984" s="66">
        <f t="shared" si="567"/>
        <v>1.4942284450982639E-2</v>
      </c>
      <c r="Z984" s="66">
        <f t="shared" si="568"/>
        <v>2.9896828429499429E-3</v>
      </c>
      <c r="AA984" s="66">
        <f t="shared" si="571"/>
        <v>1.0915829357322687E-2</v>
      </c>
      <c r="AB984" s="66">
        <f t="shared" si="569"/>
        <v>1.1549564894308853E-2</v>
      </c>
      <c r="AC984" s="67">
        <f t="shared" si="572"/>
        <v>19439685.776535887</v>
      </c>
      <c r="AD984" s="67">
        <f t="shared" si="549"/>
        <v>19439685.776535887</v>
      </c>
      <c r="AE984" s="66">
        <f t="shared" si="575"/>
        <v>3.1999999999999806E-2</v>
      </c>
      <c r="AF984" s="64">
        <f t="shared" ref="AF984:AF1047" si="577">AD984</f>
        <v>19439685.776535887</v>
      </c>
      <c r="AG984" s="64">
        <v>1</v>
      </c>
      <c r="AH984" s="64">
        <f t="shared" ref="AH984:AH1047" si="578">AF984</f>
        <v>19439685.776535887</v>
      </c>
      <c r="AI984" s="67">
        <f t="shared" si="573"/>
        <v>132.72811668617291</v>
      </c>
      <c r="AJ984" s="67">
        <f t="shared" si="574"/>
        <v>0</v>
      </c>
      <c r="AK984" s="66">
        <f t="shared" si="576"/>
        <v>3.1999999999999806E-2</v>
      </c>
    </row>
    <row r="985" spans="1:37" ht="12" customHeight="1" x14ac:dyDescent="0.25">
      <c r="A985" s="134" t="s">
        <v>658</v>
      </c>
      <c r="B985" s="134" t="s">
        <v>444</v>
      </c>
      <c r="C985" s="134" t="s">
        <v>451</v>
      </c>
      <c r="D985" s="128">
        <v>2029</v>
      </c>
      <c r="E985" s="134" t="s">
        <v>676</v>
      </c>
      <c r="F985" s="57">
        <f>SIM_Parametres!$C$35</f>
        <v>1683153084.5040712</v>
      </c>
      <c r="G985" s="129">
        <f>SIM_Districts!D62*(1+SIM_Parametres!$B$6)^(2029-2023)</f>
        <v>491336.9973418286</v>
      </c>
      <c r="H985" s="129">
        <f>MAX(0,MIN(100,SIM_Districts!F62+(2029-2022)*SIM_Parametres!$B$7))</f>
        <v>56.989999999999995</v>
      </c>
      <c r="I985" s="129">
        <f>SIM_Districts!G62*(1+SIM_Parametres!$B$8)^(2029-2023)</f>
        <v>27.594791242239999</v>
      </c>
      <c r="J985" s="129">
        <f>SIM_Districts!H62*(1+SIM_Parametres!$B$9)^(2029-2023)</f>
        <v>12.488863500000004</v>
      </c>
      <c r="K985" s="129">
        <f>MAX(0,MIN(100,SIM_Districts!I62+(2029-2023)*SIM_Parametres!$B$10))</f>
        <v>97.6</v>
      </c>
      <c r="L985" s="129">
        <f>SIM_Districts!E62</f>
        <v>11599</v>
      </c>
      <c r="M985" s="68">
        <f t="shared" si="570"/>
        <v>42.360289450972374</v>
      </c>
      <c r="N985" s="129">
        <f>N914*(1+SIM_Parametres!$B$6)/(1+SIM_Parametres!$B$11)</f>
        <v>71159</v>
      </c>
      <c r="O985" s="135"/>
      <c r="P985" s="130">
        <f>SIM_Parametres!$D$35</f>
        <v>1</v>
      </c>
      <c r="Q985" s="130">
        <f>SIM_Parametres!$B$12</f>
        <v>0.2</v>
      </c>
      <c r="R985" s="59">
        <f t="shared" si="560"/>
        <v>2.2700992608124679E-2</v>
      </c>
      <c r="S985" s="59">
        <f t="shared" si="561"/>
        <v>0.94858156028368779</v>
      </c>
      <c r="T985" s="59">
        <f t="shared" si="562"/>
        <v>0.86464088397790051</v>
      </c>
      <c r="U985" s="59">
        <f t="shared" si="563"/>
        <v>0.901020512243767</v>
      </c>
      <c r="V985" s="59">
        <f t="shared" si="564"/>
        <v>8.1455312710388056E-2</v>
      </c>
      <c r="W985" s="59">
        <f t="shared" si="565"/>
        <v>2.2616782921158311E-2</v>
      </c>
      <c r="X985" s="59">
        <f t="shared" si="566"/>
        <v>1.7110370086918493E-2</v>
      </c>
      <c r="Y985" s="59">
        <f t="shared" si="567"/>
        <v>2.3020812313054136E-2</v>
      </c>
      <c r="Z985" s="59">
        <f t="shared" si="568"/>
        <v>2.9896828429499429E-3</v>
      </c>
      <c r="AA985" s="59">
        <f t="shared" si="571"/>
        <v>2.0880193273886533E-2</v>
      </c>
      <c r="AB985" s="59">
        <f t="shared" si="569"/>
        <v>1.9521056027559928E-2</v>
      </c>
      <c r="AC985" s="60">
        <f t="shared" si="572"/>
        <v>32856925.665564291</v>
      </c>
      <c r="AD985" s="60">
        <f t="shared" ref="AD985:AD1048" si="579">F985*((1-P985)*AB985+P985*(Q985/71+(1-Q985)*AA985))</f>
        <v>32856925.665564291</v>
      </c>
      <c r="AE985" s="59">
        <f t="shared" si="575"/>
        <v>3.1999999999999806E-2</v>
      </c>
      <c r="AF985" s="57">
        <f t="shared" si="577"/>
        <v>32856925.665564291</v>
      </c>
      <c r="AG985" s="57">
        <v>1</v>
      </c>
      <c r="AH985" s="57">
        <f t="shared" si="578"/>
        <v>32856925.665564291</v>
      </c>
      <c r="AI985" s="60">
        <f t="shared" si="573"/>
        <v>66.872484350502432</v>
      </c>
      <c r="AJ985" s="60">
        <f t="shared" si="574"/>
        <v>0</v>
      </c>
      <c r="AK985" s="59">
        <f t="shared" si="576"/>
        <v>3.1999999999999806E-2</v>
      </c>
    </row>
    <row r="986" spans="1:37" ht="12" customHeight="1" x14ac:dyDescent="0.25">
      <c r="A986" s="133" t="s">
        <v>659</v>
      </c>
      <c r="B986" s="133" t="s">
        <v>452</v>
      </c>
      <c r="C986" s="133" t="s">
        <v>454</v>
      </c>
      <c r="D986" s="124">
        <v>2029</v>
      </c>
      <c r="E986" s="133" t="s">
        <v>676</v>
      </c>
      <c r="F986" s="64">
        <f>SIM_Parametres!$C$35</f>
        <v>1683153084.5040712</v>
      </c>
      <c r="G986" s="125">
        <f>SIM_Districts!D63*(1+SIM_Parametres!$B$6)^(2029-2023)</f>
        <v>145755.57573270195</v>
      </c>
      <c r="H986" s="125">
        <f>MAX(0,MIN(100,SIM_Districts!F63+(2029-2022)*SIM_Parametres!$B$7))</f>
        <v>24.09</v>
      </c>
      <c r="I986" s="125">
        <f>SIM_Districts!G63*(1+SIM_Parametres!$B$8)^(2029-2023)</f>
        <v>27.594791242239999</v>
      </c>
      <c r="J986" s="125">
        <f>SIM_Districts!H63*(1+SIM_Parametres!$B$9)^(2029-2023)</f>
        <v>8.4499119000000036</v>
      </c>
      <c r="K986" s="125">
        <f>MAX(0,MIN(100,SIM_Districts!I63+(2029-2023)*SIM_Parametres!$B$10))</f>
        <v>100</v>
      </c>
      <c r="L986" s="125">
        <f>SIM_Districts!E63</f>
        <v>393</v>
      </c>
      <c r="M986" s="61">
        <f t="shared" si="570"/>
        <v>370.8793275641271</v>
      </c>
      <c r="N986" s="125">
        <f>N915*(1+SIM_Parametres!$B$6)/(1+SIM_Parametres!$B$11)</f>
        <v>153373</v>
      </c>
      <c r="O986" s="3"/>
      <c r="P986" s="126">
        <f>SIM_Parametres!$D$35</f>
        <v>1</v>
      </c>
      <c r="Q986" s="126">
        <f>SIM_Parametres!$B$12</f>
        <v>0.2</v>
      </c>
      <c r="R986" s="66">
        <f t="shared" si="560"/>
        <v>6.7342705011058995E-3</v>
      </c>
      <c r="S986" s="66">
        <f t="shared" si="561"/>
        <v>0.36524822695035458</v>
      </c>
      <c r="T986" s="66">
        <f t="shared" si="562"/>
        <v>0.65469613259668513</v>
      </c>
      <c r="U986" s="66">
        <f t="shared" si="563"/>
        <v>0.5089487082445231</v>
      </c>
      <c r="V986" s="66">
        <f t="shared" si="564"/>
        <v>0.65207282116061327</v>
      </c>
      <c r="W986" s="66">
        <f t="shared" si="565"/>
        <v>8.7085182836609577E-3</v>
      </c>
      <c r="X986" s="66">
        <f t="shared" si="566"/>
        <v>1.2955775433225826E-2</v>
      </c>
      <c r="Y986" s="66">
        <f t="shared" si="567"/>
        <v>1.3003491630053692E-2</v>
      </c>
      <c r="Z986" s="66">
        <f t="shared" si="568"/>
        <v>2.3933256909947777E-2</v>
      </c>
      <c r="AA986" s="66">
        <f t="shared" si="571"/>
        <v>9.1370437851966291E-3</v>
      </c>
      <c r="AB986" s="66">
        <f t="shared" si="569"/>
        <v>1.0126536436608005E-2</v>
      </c>
      <c r="AC986" s="67">
        <f t="shared" si="572"/>
        <v>17044511.038619637</v>
      </c>
      <c r="AD986" s="67">
        <f t="shared" si="579"/>
        <v>17044511.038619637</v>
      </c>
      <c r="AE986" s="66">
        <f t="shared" si="575"/>
        <v>3.2000000000000028E-2</v>
      </c>
      <c r="AF986" s="64">
        <f t="shared" si="577"/>
        <v>17044511.038619637</v>
      </c>
      <c r="AG986" s="64">
        <v>1</v>
      </c>
      <c r="AH986" s="64">
        <f t="shared" si="578"/>
        <v>17044511.038619637</v>
      </c>
      <c r="AI986" s="67">
        <f t="shared" si="573"/>
        <v>116.93899840838476</v>
      </c>
      <c r="AJ986" s="67">
        <f t="shared" si="574"/>
        <v>0</v>
      </c>
      <c r="AK986" s="66">
        <f t="shared" si="576"/>
        <v>3.2000000000000028E-2</v>
      </c>
    </row>
    <row r="987" spans="1:37" ht="12" customHeight="1" x14ac:dyDescent="0.25">
      <c r="A987" s="134" t="s">
        <v>661</v>
      </c>
      <c r="B987" s="134" t="s">
        <v>452</v>
      </c>
      <c r="C987" s="134" t="s">
        <v>455</v>
      </c>
      <c r="D987" s="128">
        <v>2029</v>
      </c>
      <c r="E987" s="134" t="s">
        <v>676</v>
      </c>
      <c r="F987" s="57">
        <f>SIM_Parametres!$C$35</f>
        <v>1683153084.5040712</v>
      </c>
      <c r="G987" s="129">
        <f>SIM_Districts!D64*(1+SIM_Parametres!$B$6)^(2029-2023)</f>
        <v>252623.25627204747</v>
      </c>
      <c r="H987" s="129">
        <f>MAX(0,MIN(100,SIM_Districts!F64+(2029-2022)*SIM_Parametres!$B$7))</f>
        <v>24.09</v>
      </c>
      <c r="I987" s="129">
        <f>SIM_Districts!G64*(1+SIM_Parametres!$B$8)^(2029-2023)</f>
        <v>27.594791242239999</v>
      </c>
      <c r="J987" s="129">
        <f>SIM_Districts!H64*(1+SIM_Parametres!$B$9)^(2029-2023)</f>
        <v>8.4499119000000036</v>
      </c>
      <c r="K987" s="129">
        <f>MAX(0,MIN(100,SIM_Districts!I64+(2029-2023)*SIM_Parametres!$B$10))</f>
        <v>100</v>
      </c>
      <c r="L987" s="129">
        <f>SIM_Districts!E64</f>
        <v>537</v>
      </c>
      <c r="M987" s="68">
        <f t="shared" si="570"/>
        <v>470.43436922168991</v>
      </c>
      <c r="N987" s="129">
        <f>N916*(1+SIM_Parametres!$B$6)/(1+SIM_Parametres!$B$11)</f>
        <v>153373</v>
      </c>
      <c r="O987" s="135"/>
      <c r="P987" s="130">
        <f>SIM_Parametres!$D$35</f>
        <v>1</v>
      </c>
      <c r="Q987" s="130">
        <f>SIM_Parametres!$B$12</f>
        <v>0.2</v>
      </c>
      <c r="R987" s="59">
        <f t="shared" si="560"/>
        <v>1.1671823421191246E-2</v>
      </c>
      <c r="S987" s="59">
        <f t="shared" si="561"/>
        <v>0.36524822695035458</v>
      </c>
      <c r="T987" s="59">
        <f t="shared" si="562"/>
        <v>0.65469613259668513</v>
      </c>
      <c r="U987" s="59">
        <f t="shared" si="563"/>
        <v>0.51275775815315705</v>
      </c>
      <c r="V987" s="59">
        <f t="shared" si="564"/>
        <v>0.65207282116061327</v>
      </c>
      <c r="W987" s="59">
        <f t="shared" si="565"/>
        <v>8.7085182836609577E-3</v>
      </c>
      <c r="X987" s="59">
        <f t="shared" si="566"/>
        <v>1.2955775433225826E-2</v>
      </c>
      <c r="Y987" s="59">
        <f t="shared" si="567"/>
        <v>1.3100811748570588E-2</v>
      </c>
      <c r="Z987" s="59">
        <f t="shared" si="568"/>
        <v>2.3933256909947777E-2</v>
      </c>
      <c r="AA987" s="59">
        <f t="shared" si="571"/>
        <v>1.2104441543173684E-2</v>
      </c>
      <c r="AB987" s="59">
        <f t="shared" si="569"/>
        <v>1.2500454642989649E-2</v>
      </c>
      <c r="AC987" s="60">
        <f t="shared" si="572"/>
        <v>21040178.79005127</v>
      </c>
      <c r="AD987" s="60">
        <f t="shared" si="579"/>
        <v>21040178.79005127</v>
      </c>
      <c r="AE987" s="59">
        <f t="shared" si="575"/>
        <v>3.1999999999999806E-2</v>
      </c>
      <c r="AF987" s="57">
        <f t="shared" si="577"/>
        <v>21040178.79005127</v>
      </c>
      <c r="AG987" s="57">
        <v>1</v>
      </c>
      <c r="AH987" s="57">
        <f t="shared" si="578"/>
        <v>21040178.79005127</v>
      </c>
      <c r="AI987" s="60">
        <f t="shared" si="573"/>
        <v>83.286784837391664</v>
      </c>
      <c r="AJ987" s="60">
        <f t="shared" si="574"/>
        <v>0</v>
      </c>
      <c r="AK987" s="59">
        <f t="shared" si="576"/>
        <v>3.1999999999999806E-2</v>
      </c>
    </row>
    <row r="988" spans="1:37" ht="12" customHeight="1" x14ac:dyDescent="0.25">
      <c r="A988" s="133" t="s">
        <v>662</v>
      </c>
      <c r="B988" s="133" t="s">
        <v>452</v>
      </c>
      <c r="C988" s="133" t="s">
        <v>456</v>
      </c>
      <c r="D988" s="124">
        <v>2029</v>
      </c>
      <c r="E988" s="133" t="s">
        <v>676</v>
      </c>
      <c r="F988" s="64">
        <f>SIM_Parametres!$C$35</f>
        <v>1683153084.5040712</v>
      </c>
      <c r="G988" s="125">
        <f>SIM_Districts!D65*(1+SIM_Parametres!$B$6)^(2029-2023)</f>
        <v>657767.5885889302</v>
      </c>
      <c r="H988" s="125">
        <f>MAX(0,MIN(100,SIM_Districts!F65+(2029-2022)*SIM_Parametres!$B$7))</f>
        <v>24.09</v>
      </c>
      <c r="I988" s="125">
        <f>SIM_Districts!G65*(1+SIM_Parametres!$B$8)^(2029-2023)</f>
        <v>27.594791242239999</v>
      </c>
      <c r="J988" s="125">
        <f>SIM_Districts!H65*(1+SIM_Parametres!$B$9)^(2029-2023)</f>
        <v>8.4499119000000036</v>
      </c>
      <c r="K988" s="125">
        <f>MAX(0,MIN(100,SIM_Districts!I65+(2029-2023)*SIM_Parametres!$B$10))</f>
        <v>100</v>
      </c>
      <c r="L988" s="125">
        <f>SIM_Districts!E65</f>
        <v>487</v>
      </c>
      <c r="M988" s="61">
        <f t="shared" si="570"/>
        <v>1350.65213262614</v>
      </c>
      <c r="N988" s="125">
        <f>N917*(1+SIM_Parametres!$B$6)/(1+SIM_Parametres!$B$11)</f>
        <v>153373</v>
      </c>
      <c r="O988" s="3"/>
      <c r="P988" s="126">
        <f>SIM_Parametres!$D$35</f>
        <v>1</v>
      </c>
      <c r="Q988" s="126">
        <f>SIM_Parametres!$B$12</f>
        <v>0.2</v>
      </c>
      <c r="R988" s="66">
        <f t="shared" si="560"/>
        <v>3.0390500302652678E-2</v>
      </c>
      <c r="S988" s="66">
        <f t="shared" si="561"/>
        <v>0.36524822695035458</v>
      </c>
      <c r="T988" s="66">
        <f t="shared" si="562"/>
        <v>0.65469613259668513</v>
      </c>
      <c r="U988" s="66">
        <f t="shared" si="563"/>
        <v>0.50060006219339392</v>
      </c>
      <c r="V988" s="66">
        <f t="shared" si="564"/>
        <v>0.65207282116061327</v>
      </c>
      <c r="W988" s="66">
        <f t="shared" si="565"/>
        <v>8.7085182836609577E-3</v>
      </c>
      <c r="X988" s="66">
        <f t="shared" si="566"/>
        <v>1.2955775433225826E-2</v>
      </c>
      <c r="Y988" s="66">
        <f t="shared" si="567"/>
        <v>1.2790186148991382E-2</v>
      </c>
      <c r="Z988" s="66">
        <f t="shared" si="568"/>
        <v>2.3933256909947777E-2</v>
      </c>
      <c r="AA988" s="66">
        <f t="shared" si="571"/>
        <v>2.3320116392071582E-2</v>
      </c>
      <c r="AB988" s="66">
        <f t="shared" si="569"/>
        <v>2.147299452210797E-2</v>
      </c>
      <c r="AC988" s="67">
        <f t="shared" si="572"/>
        <v>36142336.963425055</v>
      </c>
      <c r="AD988" s="67">
        <f t="shared" si="579"/>
        <v>36142336.963425055</v>
      </c>
      <c r="AE988" s="66">
        <f t="shared" si="575"/>
        <v>3.1999999999999806E-2</v>
      </c>
      <c r="AF988" s="64">
        <f t="shared" si="577"/>
        <v>36142336.963425055</v>
      </c>
      <c r="AG988" s="64">
        <v>1</v>
      </c>
      <c r="AH988" s="64">
        <f t="shared" si="578"/>
        <v>36142336.963425055</v>
      </c>
      <c r="AI988" s="67">
        <f t="shared" si="573"/>
        <v>54.946971529805943</v>
      </c>
      <c r="AJ988" s="67">
        <f t="shared" si="574"/>
        <v>0</v>
      </c>
      <c r="AK988" s="66">
        <f t="shared" si="576"/>
        <v>3.1999999999999806E-2</v>
      </c>
    </row>
    <row r="989" spans="1:37" ht="12" customHeight="1" x14ac:dyDescent="0.25">
      <c r="A989" s="134" t="s">
        <v>663</v>
      </c>
      <c r="B989" s="134" t="s">
        <v>452</v>
      </c>
      <c r="C989" s="134" t="s">
        <v>457</v>
      </c>
      <c r="D989" s="128">
        <v>2029</v>
      </c>
      <c r="E989" s="134" t="s">
        <v>676</v>
      </c>
      <c r="F989" s="57">
        <f>SIM_Parametres!$C$35</f>
        <v>1683153084.5040712</v>
      </c>
      <c r="G989" s="129">
        <f>SIM_Districts!D66*(1+SIM_Parametres!$B$6)^(2029-2023)</f>
        <v>131841.28432124952</v>
      </c>
      <c r="H989" s="129">
        <f>MAX(0,MIN(100,SIM_Districts!F66+(2029-2022)*SIM_Parametres!$B$7))</f>
        <v>24.09</v>
      </c>
      <c r="I989" s="129">
        <f>SIM_Districts!G66*(1+SIM_Parametres!$B$8)^(2029-2023)</f>
        <v>27.594791242239999</v>
      </c>
      <c r="J989" s="129">
        <f>SIM_Districts!H66*(1+SIM_Parametres!$B$9)^(2029-2023)</f>
        <v>8.4499119000000036</v>
      </c>
      <c r="K989" s="129">
        <f>MAX(0,MIN(100,SIM_Districts!I66+(2029-2023)*SIM_Parametres!$B$10))</f>
        <v>100</v>
      </c>
      <c r="L989" s="129">
        <f>SIM_Districts!E66</f>
        <v>230</v>
      </c>
      <c r="M989" s="68">
        <f t="shared" si="570"/>
        <v>573.22297530978051</v>
      </c>
      <c r="N989" s="129">
        <f>N918*(1+SIM_Parametres!$B$6)/(1+SIM_Parametres!$B$11)</f>
        <v>153373</v>
      </c>
      <c r="O989" s="135"/>
      <c r="P989" s="130">
        <f>SIM_Parametres!$D$35</f>
        <v>1</v>
      </c>
      <c r="Q989" s="130">
        <f>SIM_Parametres!$B$12</f>
        <v>0.2</v>
      </c>
      <c r="R989" s="59">
        <f t="shared" si="560"/>
        <v>6.0913955940918828E-3</v>
      </c>
      <c r="S989" s="59">
        <f t="shared" si="561"/>
        <v>0.36524822695035458</v>
      </c>
      <c r="T989" s="59">
        <f t="shared" si="562"/>
        <v>0.65469613259668513</v>
      </c>
      <c r="U989" s="59">
        <f t="shared" si="563"/>
        <v>0.50090567337352976</v>
      </c>
      <c r="V989" s="59">
        <f t="shared" si="564"/>
        <v>0.65207282116061327</v>
      </c>
      <c r="W989" s="59">
        <f t="shared" si="565"/>
        <v>8.7085182836609577E-3</v>
      </c>
      <c r="X989" s="59">
        <f t="shared" si="566"/>
        <v>1.2955775433225826E-2</v>
      </c>
      <c r="Y989" s="59">
        <f t="shared" si="567"/>
        <v>1.2797994425854201E-2</v>
      </c>
      <c r="Z989" s="59">
        <f t="shared" si="568"/>
        <v>2.3933256909947777E-2</v>
      </c>
      <c r="AA989" s="59">
        <f t="shared" si="571"/>
        <v>8.7410439807782455E-3</v>
      </c>
      <c r="AB989" s="59">
        <f t="shared" si="569"/>
        <v>9.8097365930732983E-3</v>
      </c>
      <c r="AC989" s="60">
        <f t="shared" si="572"/>
        <v>16511288.404803786</v>
      </c>
      <c r="AD989" s="60">
        <f t="shared" si="579"/>
        <v>16511288.404803786</v>
      </c>
      <c r="AE989" s="59">
        <f t="shared" si="575"/>
        <v>3.2000000000000028E-2</v>
      </c>
      <c r="AF989" s="57">
        <f t="shared" si="577"/>
        <v>16511288.404803786</v>
      </c>
      <c r="AG989" s="57">
        <v>1</v>
      </c>
      <c r="AH989" s="57">
        <f t="shared" si="578"/>
        <v>16511288.404803786</v>
      </c>
      <c r="AI989" s="60">
        <f t="shared" si="573"/>
        <v>125.23610104230895</v>
      </c>
      <c r="AJ989" s="60">
        <f t="shared" si="574"/>
        <v>0</v>
      </c>
      <c r="AK989" s="59">
        <f t="shared" si="576"/>
        <v>3.2000000000000028E-2</v>
      </c>
    </row>
    <row r="990" spans="1:37" ht="12" customHeight="1" x14ac:dyDescent="0.25">
      <c r="A990" s="133" t="s">
        <v>664</v>
      </c>
      <c r="B990" s="133" t="s">
        <v>452</v>
      </c>
      <c r="C990" s="133" t="s">
        <v>458</v>
      </c>
      <c r="D990" s="124">
        <v>2029</v>
      </c>
      <c r="E990" s="133" t="s">
        <v>676</v>
      </c>
      <c r="F990" s="64">
        <f>SIM_Parametres!$C$35</f>
        <v>1683153084.5040712</v>
      </c>
      <c r="G990" s="125">
        <f>SIM_Districts!D67*(1+SIM_Parametres!$B$6)^(2029-2023)</f>
        <v>218449.47954538747</v>
      </c>
      <c r="H990" s="125">
        <f>MAX(0,MIN(100,SIM_Districts!F67+(2029-2022)*SIM_Parametres!$B$7))</f>
        <v>24.09</v>
      </c>
      <c r="I990" s="125">
        <f>SIM_Districts!G67*(1+SIM_Parametres!$B$8)^(2029-2023)</f>
        <v>27.594791242239999</v>
      </c>
      <c r="J990" s="125">
        <f>SIM_Districts!H67*(1+SIM_Parametres!$B$9)^(2029-2023)</f>
        <v>8.4499119000000036</v>
      </c>
      <c r="K990" s="125">
        <f>MAX(0,MIN(100,SIM_Districts!I67+(2029-2023)*SIM_Parametres!$B$10))</f>
        <v>100</v>
      </c>
      <c r="L990" s="125">
        <f>SIM_Districts!E67</f>
        <v>557</v>
      </c>
      <c r="M990" s="61">
        <f t="shared" si="570"/>
        <v>392.18937081757178</v>
      </c>
      <c r="N990" s="125">
        <f>N919*(1+SIM_Parametres!$B$6)/(1+SIM_Parametres!$B$11)</f>
        <v>153373</v>
      </c>
      <c r="O990" s="3"/>
      <c r="P990" s="126">
        <f>SIM_Parametres!$D$35</f>
        <v>1</v>
      </c>
      <c r="Q990" s="126">
        <f>SIM_Parametres!$B$12</f>
        <v>0.2</v>
      </c>
      <c r="R990" s="66">
        <f t="shared" si="560"/>
        <v>1.009290985054496E-2</v>
      </c>
      <c r="S990" s="66">
        <f t="shared" si="561"/>
        <v>0.36524822695035458</v>
      </c>
      <c r="T990" s="66">
        <f t="shared" si="562"/>
        <v>0.65469613259668513</v>
      </c>
      <c r="U990" s="66">
        <f t="shared" si="563"/>
        <v>0.51437733390901985</v>
      </c>
      <c r="V990" s="66">
        <f t="shared" si="564"/>
        <v>0.65207282116061327</v>
      </c>
      <c r="W990" s="66">
        <f t="shared" si="565"/>
        <v>8.7085182836609577E-3</v>
      </c>
      <c r="X990" s="66">
        <f t="shared" si="566"/>
        <v>1.2955775433225826E-2</v>
      </c>
      <c r="Y990" s="66">
        <f t="shared" si="567"/>
        <v>1.3142191438595229E-2</v>
      </c>
      <c r="Z990" s="66">
        <f t="shared" si="568"/>
        <v>2.3933256909947777E-2</v>
      </c>
      <c r="AA990" s="66">
        <f t="shared" si="571"/>
        <v>1.1159162385287143E-2</v>
      </c>
      <c r="AB990" s="66">
        <f t="shared" si="569"/>
        <v>1.1744231316680417E-2</v>
      </c>
      <c r="AC990" s="67">
        <f t="shared" si="572"/>
        <v>19767339.165799957</v>
      </c>
      <c r="AD990" s="67">
        <f t="shared" si="579"/>
        <v>19767339.165799957</v>
      </c>
      <c r="AE990" s="66">
        <f t="shared" si="575"/>
        <v>3.1999999999999806E-2</v>
      </c>
      <c r="AF990" s="64">
        <f t="shared" si="577"/>
        <v>19767339.165799957</v>
      </c>
      <c r="AG990" s="64">
        <v>1</v>
      </c>
      <c r="AH990" s="64">
        <f t="shared" si="578"/>
        <v>19767339.165799957</v>
      </c>
      <c r="AI990" s="67">
        <f t="shared" si="573"/>
        <v>90.489293940811962</v>
      </c>
      <c r="AJ990" s="67">
        <f t="shared" si="574"/>
        <v>0</v>
      </c>
      <c r="AK990" s="66">
        <f t="shared" si="576"/>
        <v>3.1999999999999806E-2</v>
      </c>
    </row>
    <row r="991" spans="1:37" ht="12" customHeight="1" x14ac:dyDescent="0.25">
      <c r="A991" s="134" t="s">
        <v>665</v>
      </c>
      <c r="B991" s="134" t="s">
        <v>452</v>
      </c>
      <c r="C991" s="134" t="s">
        <v>459</v>
      </c>
      <c r="D991" s="128">
        <v>2029</v>
      </c>
      <c r="E991" s="134" t="s">
        <v>676</v>
      </c>
      <c r="F991" s="57">
        <f>SIM_Parametres!$C$35</f>
        <v>1683153084.5040712</v>
      </c>
      <c r="G991" s="129">
        <f>SIM_Districts!D68*(1+SIM_Parametres!$B$6)^(2029-2023)</f>
        <v>277473.87266740901</v>
      </c>
      <c r="H991" s="129">
        <f>MAX(0,MIN(100,SIM_Districts!F68+(2029-2022)*SIM_Parametres!$B$7))</f>
        <v>24.09</v>
      </c>
      <c r="I991" s="129">
        <f>SIM_Districts!G68*(1+SIM_Parametres!$B$8)^(2029-2023)</f>
        <v>27.594791242239999</v>
      </c>
      <c r="J991" s="129">
        <f>SIM_Districts!H68*(1+SIM_Parametres!$B$9)^(2029-2023)</f>
        <v>8.4499119000000036</v>
      </c>
      <c r="K991" s="129">
        <f>MAX(0,MIN(100,SIM_Districts!I68+(2029-2023)*SIM_Parametres!$B$10))</f>
        <v>100</v>
      </c>
      <c r="L991" s="129">
        <f>SIM_Districts!E68</f>
        <v>793</v>
      </c>
      <c r="M991" s="68">
        <f t="shared" si="570"/>
        <v>349.90400084162548</v>
      </c>
      <c r="N991" s="129">
        <f>N920*(1+SIM_Parametres!$B$6)/(1+SIM_Parametres!$B$11)</f>
        <v>153373</v>
      </c>
      <c r="O991" s="135"/>
      <c r="P991" s="130">
        <f>SIM_Parametres!$D$35</f>
        <v>1</v>
      </c>
      <c r="Q991" s="130">
        <f>SIM_Parametres!$B$12</f>
        <v>0.2</v>
      </c>
      <c r="R991" s="59">
        <f t="shared" ref="R991:R997" si="580">IFERROR(G991/SUM($G$927:$G$997),1/71)</f>
        <v>1.2819983771725506E-2</v>
      </c>
      <c r="S991" s="59">
        <f t="shared" ref="S991:S997" si="581">IF(MAX($H$927:$H$997)=MIN($H$927:$H$997),1,(H991-MIN($H$927:$H$997))/(MAX($H$927:$H$997)-MIN($H$927:$H$997)))</f>
        <v>0.36524822695035458</v>
      </c>
      <c r="T991" s="59">
        <f t="shared" ref="T991:T997" si="582">(IF(MAX($I$927:$I$997)=MIN($I$927:$I$997),1,(I991-MIN($I$927:$I$997))/(MAX($I$927:$I$997)-MIN($I$927:$I$997)))+IF(MAX($J$927:$J$997)=MIN($J$927:$J$997),1,(J991-MIN($J$927:$J$997))/(MAX($J$927:$J$997)-MIN($J$927:$J$997))))/2</f>
        <v>0.65469613259668513</v>
      </c>
      <c r="U991" s="59">
        <f t="shared" ref="U991:U997" si="583">(IF(MAX($L$927:$L$997)=MIN($L$927:$L$997),1,(L991-MIN($L$927:$L$997))/(MAX($L$927:$L$997)-MIN($L$927:$L$997)))+IF(MAX($M$927:$M$997)=MIN($M$927:$M$997),1,(MAX($M$927:$M$997)-M991)/(MAX($M$927:$M$997)-MIN($M$927:$M$997))))/2</f>
        <v>0.52305332187907927</v>
      </c>
      <c r="V991" s="59">
        <f t="shared" ref="V991:V997" si="584">IF(MAX($N$927:$N$997)=MIN($N$927:$N$997),1,(N991-MIN($N$927:$N$997))/(MAX($N$927:$N$997)-MIN($N$927:$N$997)))</f>
        <v>0.65207282116061327</v>
      </c>
      <c r="W991" s="59">
        <f t="shared" ref="W991:W997" si="585">IFERROR(S991/SUM($S$927:$S$997),1/71)</f>
        <v>8.7085182836609577E-3</v>
      </c>
      <c r="X991" s="59">
        <f t="shared" ref="X991:X997" si="586">IFERROR(T991/SUM($T$927:$T$997),1/71)</f>
        <v>1.2955775433225826E-2</v>
      </c>
      <c r="Y991" s="59">
        <f t="shared" ref="Y991:Y997" si="587">IFERROR(U991/SUM($U$927:$U$997),1/71)</f>
        <v>1.3363860410583092E-2</v>
      </c>
      <c r="Z991" s="59">
        <f t="shared" ref="Z991:Z997" si="588">IFERROR(V991/SUM($V$927:$V$997),1/71)</f>
        <v>2.3933256909947777E-2</v>
      </c>
      <c r="AA991" s="59">
        <f t="shared" si="571"/>
        <v>1.2806490186594865E-2</v>
      </c>
      <c r="AB991" s="59">
        <f t="shared" ref="AB991:AB997" si="589">IFERROR(AH920/SUM($AH$856:$AH$926),1/71)</f>
        <v>1.3062093557726593E-2</v>
      </c>
      <c r="AC991" s="60">
        <f t="shared" si="572"/>
        <v>21985503.061768278</v>
      </c>
      <c r="AD991" s="60">
        <f t="shared" si="579"/>
        <v>21985503.061768278</v>
      </c>
      <c r="AE991" s="59">
        <f t="shared" si="575"/>
        <v>3.2000000000000028E-2</v>
      </c>
      <c r="AF991" s="57">
        <f t="shared" si="577"/>
        <v>21985503.061768278</v>
      </c>
      <c r="AG991" s="57">
        <v>1</v>
      </c>
      <c r="AH991" s="57">
        <f t="shared" si="578"/>
        <v>21985503.061768278</v>
      </c>
      <c r="AI991" s="60">
        <f t="shared" si="573"/>
        <v>79.234498190469125</v>
      </c>
      <c r="AJ991" s="60">
        <f t="shared" si="574"/>
        <v>0</v>
      </c>
      <c r="AK991" s="59">
        <f t="shared" si="576"/>
        <v>3.2000000000000028E-2</v>
      </c>
    </row>
    <row r="992" spans="1:37" ht="12" customHeight="1" x14ac:dyDescent="0.25">
      <c r="A992" s="133" t="s">
        <v>666</v>
      </c>
      <c r="B992" s="133" t="s">
        <v>452</v>
      </c>
      <c r="C992" s="133" t="s">
        <v>452</v>
      </c>
      <c r="D992" s="124">
        <v>2029</v>
      </c>
      <c r="E992" s="133" t="s">
        <v>676</v>
      </c>
      <c r="F992" s="64">
        <f>SIM_Parametres!$C$35</f>
        <v>1683153084.5040712</v>
      </c>
      <c r="G992" s="125">
        <f>SIM_Districts!D69*(1+SIM_Parametres!$B$6)^(2029-2023)</f>
        <v>739826.44456329267</v>
      </c>
      <c r="H992" s="125">
        <f>MAX(0,MIN(100,SIM_Districts!F69+(2029-2022)*SIM_Parametres!$B$7))</f>
        <v>24.09</v>
      </c>
      <c r="I992" s="125">
        <f>SIM_Districts!G69*(1+SIM_Parametres!$B$8)^(2029-2023)</f>
        <v>27.594791242239999</v>
      </c>
      <c r="J992" s="125">
        <f>SIM_Districts!H69*(1+SIM_Parametres!$B$9)^(2029-2023)</f>
        <v>8.4499119000000036</v>
      </c>
      <c r="K992" s="125">
        <f>MAX(0,MIN(100,SIM_Districts!I69+(2029-2023)*SIM_Parametres!$B$10))</f>
        <v>100</v>
      </c>
      <c r="L992" s="125">
        <f>SIM_Districts!E69</f>
        <v>503</v>
      </c>
      <c r="M992" s="61">
        <f t="shared" si="570"/>
        <v>1470.8279215970033</v>
      </c>
      <c r="N992" s="125">
        <f>N921*(1+SIM_Parametres!$B$6)/(1+SIM_Parametres!$B$11)</f>
        <v>153373</v>
      </c>
      <c r="O992" s="3"/>
      <c r="P992" s="126">
        <f>SIM_Parametres!$D$35</f>
        <v>1</v>
      </c>
      <c r="Q992" s="126">
        <f>SIM_Parametres!$B$12</f>
        <v>0.2</v>
      </c>
      <c r="R992" s="66">
        <f t="shared" si="580"/>
        <v>3.4181823758820555E-2</v>
      </c>
      <c r="S992" s="66">
        <f t="shared" si="581"/>
        <v>0.36524822695035458</v>
      </c>
      <c r="T992" s="66">
        <f t="shared" si="582"/>
        <v>0.65469613259668513</v>
      </c>
      <c r="U992" s="66">
        <f t="shared" si="583"/>
        <v>0.49973089584614422</v>
      </c>
      <c r="V992" s="66">
        <f t="shared" si="584"/>
        <v>0.65207282116061327</v>
      </c>
      <c r="W992" s="66">
        <f t="shared" si="585"/>
        <v>8.7085182836609577E-3</v>
      </c>
      <c r="X992" s="66">
        <f t="shared" si="586"/>
        <v>1.2955775433225826E-2</v>
      </c>
      <c r="Y992" s="66">
        <f t="shared" si="587"/>
        <v>1.2767979201339289E-2</v>
      </c>
      <c r="Z992" s="66">
        <f t="shared" si="588"/>
        <v>2.3933256909947777E-2</v>
      </c>
      <c r="AA992" s="66">
        <f t="shared" si="571"/>
        <v>2.5593800118389704E-2</v>
      </c>
      <c r="AB992" s="66">
        <f t="shared" si="589"/>
        <v>2.329194150316247E-2</v>
      </c>
      <c r="AC992" s="67">
        <f t="shared" si="572"/>
        <v>39203903.185136303</v>
      </c>
      <c r="AD992" s="67">
        <f t="shared" si="579"/>
        <v>39203903.185136303</v>
      </c>
      <c r="AE992" s="66">
        <f t="shared" si="575"/>
        <v>3.1999999999999584E-2</v>
      </c>
      <c r="AF992" s="64">
        <f t="shared" si="577"/>
        <v>39203903.185136303</v>
      </c>
      <c r="AG992" s="64">
        <v>1</v>
      </c>
      <c r="AH992" s="64">
        <f t="shared" si="578"/>
        <v>39203903.185136303</v>
      </c>
      <c r="AI992" s="67">
        <f t="shared" si="573"/>
        <v>52.990675682426733</v>
      </c>
      <c r="AJ992" s="67">
        <f t="shared" si="574"/>
        <v>0</v>
      </c>
      <c r="AK992" s="66">
        <f t="shared" si="576"/>
        <v>3.1999999999999584E-2</v>
      </c>
    </row>
    <row r="993" spans="1:37" ht="12" customHeight="1" x14ac:dyDescent="0.25">
      <c r="A993" s="134" t="s">
        <v>667</v>
      </c>
      <c r="B993" s="134" t="s">
        <v>452</v>
      </c>
      <c r="C993" s="134" t="s">
        <v>460</v>
      </c>
      <c r="D993" s="128">
        <v>2029</v>
      </c>
      <c r="E993" s="134" t="s">
        <v>676</v>
      </c>
      <c r="F993" s="57">
        <f>SIM_Parametres!$C$35</f>
        <v>1683153084.5040712</v>
      </c>
      <c r="G993" s="129">
        <f>SIM_Districts!D70*(1+SIM_Parametres!$B$6)^(2029-2023)</f>
        <v>518021.67806465866</v>
      </c>
      <c r="H993" s="129">
        <f>MAX(0,MIN(100,SIM_Districts!F70+(2029-2022)*SIM_Parametres!$B$7))</f>
        <v>24.09</v>
      </c>
      <c r="I993" s="129">
        <f>SIM_Districts!G70*(1+SIM_Parametres!$B$8)^(2029-2023)</f>
        <v>27.594791242239999</v>
      </c>
      <c r="J993" s="129">
        <f>SIM_Districts!H70*(1+SIM_Parametres!$B$9)^(2029-2023)</f>
        <v>8.4499119000000036</v>
      </c>
      <c r="K993" s="129">
        <f>MAX(0,MIN(100,SIM_Districts!I70+(2029-2023)*SIM_Parametres!$B$10))</f>
        <v>100</v>
      </c>
      <c r="L993" s="129">
        <f>SIM_Districts!E70</f>
        <v>1739</v>
      </c>
      <c r="M993" s="68">
        <f t="shared" si="570"/>
        <v>297.8848062476473</v>
      </c>
      <c r="N993" s="129">
        <f>N922*(1+SIM_Parametres!$B$6)/(1+SIM_Parametres!$B$11)</f>
        <v>153373</v>
      </c>
      <c r="O993" s="135"/>
      <c r="P993" s="130">
        <f>SIM_Parametres!$D$35</f>
        <v>1</v>
      </c>
      <c r="Q993" s="130">
        <f>SIM_Parametres!$B$12</f>
        <v>0.2</v>
      </c>
      <c r="R993" s="59">
        <f t="shared" si="580"/>
        <v>2.3933891297041633E-2</v>
      </c>
      <c r="S993" s="59">
        <f t="shared" si="581"/>
        <v>0.36524822695035458</v>
      </c>
      <c r="T993" s="59">
        <f t="shared" si="582"/>
        <v>0.65469613259668513</v>
      </c>
      <c r="U993" s="59">
        <f t="shared" si="583"/>
        <v>0.55643930835847488</v>
      </c>
      <c r="V993" s="59">
        <f t="shared" si="584"/>
        <v>0.65207282116061327</v>
      </c>
      <c r="W993" s="59">
        <f t="shared" si="585"/>
        <v>8.7085182836609577E-3</v>
      </c>
      <c r="X993" s="59">
        <f t="shared" si="586"/>
        <v>1.2955775433225826E-2</v>
      </c>
      <c r="Y993" s="59">
        <f t="shared" si="587"/>
        <v>1.4216862665453396E-2</v>
      </c>
      <c r="Z993" s="59">
        <f t="shared" si="588"/>
        <v>2.3933256909947777E-2</v>
      </c>
      <c r="AA993" s="59">
        <f t="shared" si="571"/>
        <v>1.9517484814528058E-2</v>
      </c>
      <c r="AB993" s="59">
        <f t="shared" si="589"/>
        <v>1.8430889260073149E-2</v>
      </c>
      <c r="AC993" s="60">
        <f t="shared" si="572"/>
        <v>31022008.108245086</v>
      </c>
      <c r="AD993" s="60">
        <f t="shared" si="579"/>
        <v>31022008.108245086</v>
      </c>
      <c r="AE993" s="59">
        <f t="shared" si="575"/>
        <v>3.2000000000000028E-2</v>
      </c>
      <c r="AF993" s="57">
        <f t="shared" si="577"/>
        <v>31022008.108245086</v>
      </c>
      <c r="AG993" s="57">
        <v>1</v>
      </c>
      <c r="AH993" s="57">
        <f t="shared" si="578"/>
        <v>31022008.108245086</v>
      </c>
      <c r="AI993" s="60">
        <f t="shared" si="573"/>
        <v>59.885540358357296</v>
      </c>
      <c r="AJ993" s="60">
        <f t="shared" si="574"/>
        <v>0</v>
      </c>
      <c r="AK993" s="59">
        <f t="shared" si="576"/>
        <v>3.2000000000000028E-2</v>
      </c>
    </row>
    <row r="994" spans="1:37" ht="12" customHeight="1" x14ac:dyDescent="0.25">
      <c r="A994" s="133" t="s">
        <v>668</v>
      </c>
      <c r="B994" s="133" t="s">
        <v>461</v>
      </c>
      <c r="C994" s="133" t="s">
        <v>463</v>
      </c>
      <c r="D994" s="124">
        <v>2029</v>
      </c>
      <c r="E994" s="133" t="s">
        <v>676</v>
      </c>
      <c r="F994" s="64">
        <f>SIM_Parametres!$C$35</f>
        <v>1683153084.5040712</v>
      </c>
      <c r="G994" s="125">
        <f>SIM_Districts!D71*(1+SIM_Parametres!$B$6)^(2029-2023)</f>
        <v>190663.88260515765</v>
      </c>
      <c r="H994" s="125">
        <f>MAX(0,MIN(100,SIM_Districts!F71+(2029-2022)*SIM_Parametres!$B$7))</f>
        <v>42.489999999999995</v>
      </c>
      <c r="I994" s="125">
        <f>SIM_Districts!G71*(1+SIM_Parametres!$B$8)^(2029-2023)</f>
        <v>27.594791242239999</v>
      </c>
      <c r="J994" s="125">
        <f>SIM_Districts!H71*(1+SIM_Parametres!$B$9)^(2029-2023)</f>
        <v>5.473842300000002</v>
      </c>
      <c r="K994" s="125">
        <f>MAX(0,MIN(100,SIM_Districts!I71+(2029-2023)*SIM_Parametres!$B$10))</f>
        <v>100</v>
      </c>
      <c r="L994" s="125">
        <f>SIM_Districts!E71</f>
        <v>2537</v>
      </c>
      <c r="M994" s="61">
        <f t="shared" si="570"/>
        <v>75.153284432462613</v>
      </c>
      <c r="N994" s="125">
        <f>N923*(1+SIM_Parametres!$B$6)/(1+SIM_Parametres!$B$11)</f>
        <v>69419</v>
      </c>
      <c r="O994" s="3"/>
      <c r="P994" s="126">
        <f>SIM_Parametres!$D$35</f>
        <v>1</v>
      </c>
      <c r="Q994" s="126">
        <f>SIM_Parametres!$B$12</f>
        <v>0.2</v>
      </c>
      <c r="R994" s="66">
        <f t="shared" si="580"/>
        <v>8.8091460913227691E-3</v>
      </c>
      <c r="S994" s="66">
        <f t="shared" si="581"/>
        <v>0.6914893617021276</v>
      </c>
      <c r="T994" s="66">
        <f t="shared" si="582"/>
        <v>0.5</v>
      </c>
      <c r="U994" s="66">
        <f t="shared" si="583"/>
        <v>0.58672050041788648</v>
      </c>
      <c r="V994" s="66">
        <f t="shared" si="584"/>
        <v>6.9378604793203735E-2</v>
      </c>
      <c r="W994" s="66">
        <f t="shared" si="585"/>
        <v>1.6487000634115404E-2</v>
      </c>
      <c r="X994" s="66">
        <f t="shared" si="586"/>
        <v>9.8944951620838582E-3</v>
      </c>
      <c r="Y994" s="66">
        <f t="shared" si="587"/>
        <v>1.4990538324933458E-2</v>
      </c>
      <c r="Z994" s="66">
        <f t="shared" si="588"/>
        <v>2.5464272067252584E-3</v>
      </c>
      <c r="AA994" s="66">
        <f t="shared" si="571"/>
        <v>1.0119560300806485E-2</v>
      </c>
      <c r="AB994" s="66">
        <f t="shared" si="589"/>
        <v>1.0912549649095892E-2</v>
      </c>
      <c r="AC994" s="67">
        <f t="shared" si="572"/>
        <v>18367491.601679571</v>
      </c>
      <c r="AD994" s="67">
        <f t="shared" si="579"/>
        <v>18367491.601679571</v>
      </c>
      <c r="AE994" s="66">
        <f t="shared" si="575"/>
        <v>3.1999999999999584E-2</v>
      </c>
      <c r="AF994" s="64">
        <f t="shared" si="577"/>
        <v>18367491.601679571</v>
      </c>
      <c r="AG994" s="64">
        <v>1</v>
      </c>
      <c r="AH994" s="64">
        <f t="shared" si="578"/>
        <v>18367491.601679571</v>
      </c>
      <c r="AI994" s="67">
        <f t="shared" si="573"/>
        <v>96.334404559024293</v>
      </c>
      <c r="AJ994" s="67">
        <f t="shared" si="574"/>
        <v>0</v>
      </c>
      <c r="AK994" s="66">
        <f t="shared" si="576"/>
        <v>3.1999999999999584E-2</v>
      </c>
    </row>
    <row r="995" spans="1:37" ht="12" customHeight="1" x14ac:dyDescent="0.25">
      <c r="A995" s="134" t="s">
        <v>670</v>
      </c>
      <c r="B995" s="134" t="s">
        <v>461</v>
      </c>
      <c r="C995" s="134" t="s">
        <v>464</v>
      </c>
      <c r="D995" s="128">
        <v>2029</v>
      </c>
      <c r="E995" s="134" t="s">
        <v>676</v>
      </c>
      <c r="F995" s="57">
        <f>SIM_Parametres!$C$35</f>
        <v>1683153084.5040712</v>
      </c>
      <c r="G995" s="129">
        <f>SIM_Districts!D72*(1+SIM_Parametres!$B$6)^(2029-2023)</f>
        <v>116442.78590521154</v>
      </c>
      <c r="H995" s="129">
        <f>MAX(0,MIN(100,SIM_Districts!F72+(2029-2022)*SIM_Parametres!$B$7))</f>
        <v>42.489999999999995</v>
      </c>
      <c r="I995" s="129">
        <f>SIM_Districts!G72*(1+SIM_Parametres!$B$8)^(2029-2023)</f>
        <v>27.594791242239999</v>
      </c>
      <c r="J995" s="129">
        <f>SIM_Districts!H72*(1+SIM_Parametres!$B$9)^(2029-2023)</f>
        <v>5.473842300000002</v>
      </c>
      <c r="K995" s="129">
        <f>MAX(0,MIN(100,SIM_Districts!I72+(2029-2023)*SIM_Parametres!$B$10))</f>
        <v>100</v>
      </c>
      <c r="L995" s="129">
        <f>SIM_Districts!E72</f>
        <v>1893</v>
      </c>
      <c r="M995" s="68">
        <f t="shared" si="570"/>
        <v>61.512301059277092</v>
      </c>
      <c r="N995" s="129">
        <f>N924*(1+SIM_Parametres!$B$6)/(1+SIM_Parametres!$B$11)</f>
        <v>69419</v>
      </c>
      <c r="O995" s="135"/>
      <c r="P995" s="130">
        <f>SIM_Parametres!$D$35</f>
        <v>1</v>
      </c>
      <c r="Q995" s="130">
        <f>SIM_Parametres!$B$12</f>
        <v>0.2</v>
      </c>
      <c r="R995" s="59">
        <f t="shared" si="580"/>
        <v>5.379946628087183E-3</v>
      </c>
      <c r="S995" s="59">
        <f t="shared" si="581"/>
        <v>0.6914893617021276</v>
      </c>
      <c r="T995" s="59">
        <f t="shared" si="582"/>
        <v>0.5</v>
      </c>
      <c r="U995" s="59">
        <f t="shared" si="583"/>
        <v>0.56457363162952034</v>
      </c>
      <c r="V995" s="59">
        <f t="shared" si="584"/>
        <v>6.9378604793203735E-2</v>
      </c>
      <c r="W995" s="59">
        <f t="shared" si="585"/>
        <v>1.6487000634115404E-2</v>
      </c>
      <c r="X995" s="59">
        <f t="shared" si="586"/>
        <v>9.8944951620838582E-3</v>
      </c>
      <c r="Y995" s="59">
        <f t="shared" si="587"/>
        <v>1.4424692261752069E-2</v>
      </c>
      <c r="Z995" s="59">
        <f t="shared" si="588"/>
        <v>2.5464272067252584E-3</v>
      </c>
      <c r="AA995" s="59">
        <f t="shared" si="571"/>
        <v>8.0337483197060657E-3</v>
      </c>
      <c r="AB995" s="59">
        <f t="shared" si="589"/>
        <v>9.2439000642155558E-3</v>
      </c>
      <c r="AC995" s="60">
        <f t="shared" si="572"/>
        <v>15558898.905931799</v>
      </c>
      <c r="AD995" s="60">
        <f t="shared" si="579"/>
        <v>15558898.905931799</v>
      </c>
      <c r="AE995" s="59">
        <f t="shared" si="575"/>
        <v>3.2000000000000028E-2</v>
      </c>
      <c r="AF995" s="57">
        <f t="shared" si="577"/>
        <v>15558898.905931799</v>
      </c>
      <c r="AG995" s="57">
        <v>1</v>
      </c>
      <c r="AH995" s="57">
        <f t="shared" si="578"/>
        <v>15558898.905931799</v>
      </c>
      <c r="AI995" s="60">
        <f t="shared" si="573"/>
        <v>133.61840138896437</v>
      </c>
      <c r="AJ995" s="60">
        <f t="shared" si="574"/>
        <v>0</v>
      </c>
      <c r="AK995" s="59">
        <f t="shared" si="576"/>
        <v>3.2000000000000028E-2</v>
      </c>
    </row>
    <row r="996" spans="1:37" ht="12" customHeight="1" x14ac:dyDescent="0.25">
      <c r="A996" s="133" t="s">
        <v>671</v>
      </c>
      <c r="B996" s="133" t="s">
        <v>461</v>
      </c>
      <c r="C996" s="133" t="s">
        <v>465</v>
      </c>
      <c r="D996" s="124">
        <v>2029</v>
      </c>
      <c r="E996" s="133" t="s">
        <v>676</v>
      </c>
      <c r="F996" s="64">
        <f>SIM_Parametres!$C$35</f>
        <v>1683153084.5040712</v>
      </c>
      <c r="G996" s="125">
        <f>SIM_Districts!D73*(1+SIM_Parametres!$B$6)^(2029-2023)</f>
        <v>70118.333009072463</v>
      </c>
      <c r="H996" s="125">
        <f>MAX(0,MIN(100,SIM_Districts!F73+(2029-2022)*SIM_Parametres!$B$7))</f>
        <v>42.489999999999995</v>
      </c>
      <c r="I996" s="125">
        <f>SIM_Districts!G73*(1+SIM_Parametres!$B$8)^(2029-2023)</f>
        <v>27.594791242239999</v>
      </c>
      <c r="J996" s="125">
        <f>SIM_Districts!H73*(1+SIM_Parametres!$B$9)^(2029-2023)</f>
        <v>5.473842300000002</v>
      </c>
      <c r="K996" s="125">
        <f>MAX(0,MIN(100,SIM_Districts!I73+(2029-2023)*SIM_Parametres!$B$10))</f>
        <v>100</v>
      </c>
      <c r="L996" s="125">
        <f>SIM_Districts!E73</f>
        <v>877</v>
      </c>
      <c r="M996" s="61">
        <f t="shared" si="570"/>
        <v>79.952489177961766</v>
      </c>
      <c r="N996" s="125">
        <f>N925*(1+SIM_Parametres!$B$6)/(1+SIM_Parametres!$B$11)</f>
        <v>69419</v>
      </c>
      <c r="O996" s="3"/>
      <c r="P996" s="126">
        <f>SIM_Parametres!$D$35</f>
        <v>1</v>
      </c>
      <c r="Q996" s="126">
        <f>SIM_Parametres!$B$12</f>
        <v>0.2</v>
      </c>
      <c r="R996" s="66">
        <f t="shared" si="580"/>
        <v>3.2396415656555507E-3</v>
      </c>
      <c r="S996" s="66">
        <f t="shared" si="581"/>
        <v>0.6914893617021276</v>
      </c>
      <c r="T996" s="66">
        <f t="shared" si="582"/>
        <v>0.5</v>
      </c>
      <c r="U996" s="66">
        <f t="shared" si="583"/>
        <v>0.52916053895252124</v>
      </c>
      <c r="V996" s="66">
        <f t="shared" si="584"/>
        <v>6.9378604793203735E-2</v>
      </c>
      <c r="W996" s="66">
        <f t="shared" si="585"/>
        <v>1.6487000634115404E-2</v>
      </c>
      <c r="X996" s="66">
        <f t="shared" si="586"/>
        <v>9.8944951620838582E-3</v>
      </c>
      <c r="Y996" s="66">
        <f t="shared" si="587"/>
        <v>1.3519898032471051E-2</v>
      </c>
      <c r="Z996" s="66">
        <f t="shared" si="588"/>
        <v>2.5464272067252584E-3</v>
      </c>
      <c r="AA996" s="66">
        <f t="shared" si="571"/>
        <v>6.7043255707830351E-3</v>
      </c>
      <c r="AB996" s="66">
        <f t="shared" si="589"/>
        <v>8.180361865077132E-3</v>
      </c>
      <c r="AC996" s="67">
        <f t="shared" si="572"/>
        <v>13768801.305564051</v>
      </c>
      <c r="AD996" s="67">
        <f t="shared" si="579"/>
        <v>13768801.305564051</v>
      </c>
      <c r="AE996" s="66">
        <f t="shared" si="575"/>
        <v>3.1999999999999806E-2</v>
      </c>
      <c r="AF996" s="64">
        <f t="shared" si="577"/>
        <v>13768801.305564051</v>
      </c>
      <c r="AG996" s="64">
        <v>1</v>
      </c>
      <c r="AH996" s="64">
        <f t="shared" si="578"/>
        <v>13768801.305564051</v>
      </c>
      <c r="AI996" s="67">
        <f t="shared" si="573"/>
        <v>196.36521170265891</v>
      </c>
      <c r="AJ996" s="67">
        <f t="shared" si="574"/>
        <v>0</v>
      </c>
      <c r="AK996" s="66">
        <f t="shared" si="576"/>
        <v>3.1999999999999806E-2</v>
      </c>
    </row>
    <row r="997" spans="1:37" ht="12" customHeight="1" x14ac:dyDescent="0.25">
      <c r="A997" s="134" t="s">
        <v>672</v>
      </c>
      <c r="B997" s="134" t="s">
        <v>461</v>
      </c>
      <c r="C997" s="134" t="s">
        <v>461</v>
      </c>
      <c r="D997" s="128">
        <v>2029</v>
      </c>
      <c r="E997" s="134" t="s">
        <v>676</v>
      </c>
      <c r="F997" s="57">
        <f>SIM_Parametres!$C$35</f>
        <v>1683153084.5040712</v>
      </c>
      <c r="G997" s="129">
        <f>SIM_Districts!D74*(1+SIM_Parametres!$B$6)^(2029-2023)</f>
        <v>360182.29309108324</v>
      </c>
      <c r="H997" s="129">
        <f>MAX(0,MIN(100,SIM_Districts!F74+(2029-2022)*SIM_Parametres!$B$7))</f>
        <v>42.489999999999995</v>
      </c>
      <c r="I997" s="129">
        <f>SIM_Districts!G74*(1+SIM_Parametres!$B$8)^(2029-2023)</f>
        <v>27.594791242239999</v>
      </c>
      <c r="J997" s="129">
        <f>SIM_Districts!H74*(1+SIM_Parametres!$B$9)^(2029-2023)</f>
        <v>5.473842300000002</v>
      </c>
      <c r="K997" s="129">
        <f>MAX(0,MIN(100,SIM_Districts!I74+(2029-2023)*SIM_Parametres!$B$10))</f>
        <v>100</v>
      </c>
      <c r="L997" s="129">
        <f>SIM_Districts!E74</f>
        <v>1136</v>
      </c>
      <c r="M997" s="68">
        <f t="shared" si="570"/>
        <v>317.06187772102396</v>
      </c>
      <c r="N997" s="129">
        <f>N926*(1+SIM_Parametres!$B$6)/(1+SIM_Parametres!$B$11)</f>
        <v>69419</v>
      </c>
      <c r="O997" s="135"/>
      <c r="P997" s="130">
        <f>SIM_Parametres!$D$35</f>
        <v>1</v>
      </c>
      <c r="Q997" s="130">
        <f>SIM_Parametres!$B$12</f>
        <v>0.2</v>
      </c>
      <c r="R997" s="59">
        <f t="shared" si="580"/>
        <v>1.6641318722737254E-2</v>
      </c>
      <c r="S997" s="59">
        <f t="shared" si="581"/>
        <v>0.6914893617021276</v>
      </c>
      <c r="T997" s="59">
        <f t="shared" si="582"/>
        <v>0.5</v>
      </c>
      <c r="U997" s="59">
        <f t="shared" si="583"/>
        <v>0.53532398626606015</v>
      </c>
      <c r="V997" s="59">
        <f t="shared" si="584"/>
        <v>6.9378604793203735E-2</v>
      </c>
      <c r="W997" s="59">
        <f t="shared" si="585"/>
        <v>1.6487000634115404E-2</v>
      </c>
      <c r="X997" s="59">
        <f t="shared" si="586"/>
        <v>9.8944951620838582E-3</v>
      </c>
      <c r="Y997" s="59">
        <f t="shared" si="587"/>
        <v>1.3677372320656833E-2</v>
      </c>
      <c r="Z997" s="59">
        <f t="shared" si="588"/>
        <v>2.5464272067252584E-3</v>
      </c>
      <c r="AA997" s="59">
        <f t="shared" si="571"/>
        <v>1.4753205579441346E-2</v>
      </c>
      <c r="AB997" s="59">
        <f t="shared" si="589"/>
        <v>1.4619465872003782E-2</v>
      </c>
      <c r="AC997" s="60">
        <f t="shared" si="572"/>
        <v>24606799.076265167</v>
      </c>
      <c r="AD997" s="60">
        <f t="shared" si="579"/>
        <v>24606799.076265167</v>
      </c>
      <c r="AE997" s="59">
        <f t="shared" si="575"/>
        <v>3.1999999999999806E-2</v>
      </c>
      <c r="AF997" s="57">
        <f t="shared" si="577"/>
        <v>24606799.076265167</v>
      </c>
      <c r="AG997" s="57">
        <v>1</v>
      </c>
      <c r="AH997" s="57">
        <f t="shared" si="578"/>
        <v>24606799.076265167</v>
      </c>
      <c r="AI997" s="60">
        <f t="shared" si="573"/>
        <v>68.317625680845381</v>
      </c>
      <c r="AJ997" s="60">
        <f t="shared" si="574"/>
        <v>0</v>
      </c>
      <c r="AK997" s="59">
        <f t="shared" si="576"/>
        <v>3.1999999999999806E-2</v>
      </c>
    </row>
    <row r="998" spans="1:37" ht="12" customHeight="1" x14ac:dyDescent="0.25">
      <c r="A998" s="133" t="s">
        <v>587</v>
      </c>
      <c r="B998" s="133" t="s">
        <v>376</v>
      </c>
      <c r="C998" s="133" t="s">
        <v>379</v>
      </c>
      <c r="D998" s="124">
        <v>2030</v>
      </c>
      <c r="E998" s="133" t="s">
        <v>676</v>
      </c>
      <c r="F998" s="64">
        <f>SIM_Parametres!$C$36</f>
        <v>1737013983.2082016</v>
      </c>
      <c r="G998" s="125">
        <f>SIM_Districts!D4*(1+SIM_Parametres!$B$6)^(2030-2023)</f>
        <v>558317.22956987028</v>
      </c>
      <c r="H998" s="125">
        <f>MAX(0,MIN(100,SIM_Districts!F4+(2030-2022)*SIM_Parametres!$B$7))</f>
        <v>2.660000000000001</v>
      </c>
      <c r="I998" s="125">
        <f>SIM_Districts!G4*(1+SIM_Parametres!$B$8)^(2030-2023)</f>
        <v>25.939103767705593</v>
      </c>
      <c r="J998" s="125">
        <f>SIM_Districts!H4*(1+SIM_Parametres!$B$9)^(2030-2023)</f>
        <v>4.9742877600000019</v>
      </c>
      <c r="K998" s="125">
        <f>MAX(0,MIN(100,SIM_Districts!I4+(2030-2023)*SIM_Parametres!$B$10))</f>
        <v>100</v>
      </c>
      <c r="L998" s="125">
        <f>SIM_Districts!E4</f>
        <v>13</v>
      </c>
      <c r="M998" s="61">
        <f t="shared" si="570"/>
        <v>42947.479197682333</v>
      </c>
      <c r="N998" s="125">
        <f>N927*(1+SIM_Parametres!$B$6)/(1+SIM_Parametres!$B$11)</f>
        <v>73189</v>
      </c>
      <c r="O998" s="3"/>
      <c r="P998" s="126">
        <f>SIM_Parametres!$D$36</f>
        <v>1</v>
      </c>
      <c r="Q998" s="126">
        <f>SIM_Parametres!$B$12</f>
        <v>0.2</v>
      </c>
      <c r="R998" s="66">
        <f t="shared" ref="R998:R1029" si="590">IFERROR(G998/SUM($G$998:$G$1068),1/71)</f>
        <v>2.5044316606264862E-2</v>
      </c>
      <c r="S998" s="66">
        <f t="shared" ref="S998:S1029" si="591">IF(MAX($H$998:$H$1068)=MIN($H$998:$H$1068),1,(H998-MIN($H$998:$H$1068))/(MAX($H$998:$H$1068)-MIN($H$998:$H$1068)))</f>
        <v>0</v>
      </c>
      <c r="T998" s="66">
        <f t="shared" ref="T998:T1029" si="592">(IF(MAX($I$998:$I$1068)=MIN($I$998:$I$1068),1,(I998-MIN($I$998:$I$1068))/(MAX($I$998:$I$1068)-MIN($I$998:$I$1068)))+IF(MAX($J$998:$J$1068)=MIN($J$998:$J$1068),1,(J998-MIN($J$998:$J$1068))/(MAX($J$998:$J$1068)-MIN($J$998:$J$1068))))/2</f>
        <v>0.50276243093922657</v>
      </c>
      <c r="U998" s="66">
        <f t="shared" ref="U998:U1029" si="593">(IF(MAX($L$998:$L$1068)=MIN($L$998:$L$1068),1,(L998-MIN($L$998:$L$1068))/(MAX($L$998:$L$1068)-MIN($L$998:$L$1068)))+IF(MAX($M$998:$M$1068)=MIN($M$998:$M$1068),1,(MAX($M$998:$M$1068)-M998)/(MAX($M$998:$M$1068)-MIN($M$998:$M$1068))))/2</f>
        <v>6.3061112543855713E-3</v>
      </c>
      <c r="V998" s="66">
        <f t="shared" ref="V998:V1029" si="594">IF(MAX($N$998:$N$1068)=MIN($N$998:$N$1068),1,(N998-MIN($N$998:$N$1068))/(MAX($N$998:$N$1068)-MIN($N$998:$N$1068)))</f>
        <v>9.5544805280436421E-2</v>
      </c>
      <c r="W998" s="66">
        <f t="shared" ref="W998:W1029" si="595">IFERROR(S998/SUM($S$998:$S$1068),1/71)</f>
        <v>0</v>
      </c>
      <c r="X998" s="66">
        <f t="shared" ref="X998:X1029" si="596">IFERROR(T998/SUM($T$998:$T$1068),1/71)</f>
        <v>9.9491608812113941E-3</v>
      </c>
      <c r="Y998" s="66">
        <f t="shared" ref="Y998:Y1029" si="597">IFERROR(U998/SUM($U$998:$U$1068),1/71)</f>
        <v>1.611193104260573E-4</v>
      </c>
      <c r="Z998" s="66">
        <f t="shared" ref="Z998:Z1029" si="598">IFERROR(V998/SUM($V$998:$V$1068),1/71)</f>
        <v>3.506814418545408E-3</v>
      </c>
      <c r="AA998" s="66">
        <f t="shared" si="571"/>
        <v>1.6702360782389195E-2</v>
      </c>
      <c r="AB998" s="66">
        <f t="shared" ref="AB998:AB1029" si="599">IFERROR(AH927/SUM($AH$927:$AH$997),1/71)</f>
        <v>1.6178790034362057E-2</v>
      </c>
      <c r="AC998" s="67">
        <f t="shared" si="572"/>
        <v>28102784.5210764</v>
      </c>
      <c r="AD998" s="67">
        <f t="shared" si="579"/>
        <v>28102784.5210764</v>
      </c>
      <c r="AE998" s="66">
        <f t="shared" si="575"/>
        <v>3.200000000000025E-2</v>
      </c>
      <c r="AF998" s="64">
        <f t="shared" si="577"/>
        <v>28102784.5210764</v>
      </c>
      <c r="AG998" s="64">
        <v>1</v>
      </c>
      <c r="AH998" s="64">
        <f t="shared" si="578"/>
        <v>28102784.5210764</v>
      </c>
      <c r="AI998" s="67">
        <f t="shared" si="573"/>
        <v>50.334797195363095</v>
      </c>
      <c r="AJ998" s="67">
        <f t="shared" si="574"/>
        <v>0</v>
      </c>
      <c r="AK998" s="66">
        <f t="shared" si="576"/>
        <v>3.200000000000025E-2</v>
      </c>
    </row>
    <row r="999" spans="1:37" ht="12" customHeight="1" x14ac:dyDescent="0.25">
      <c r="A999" s="134" t="s">
        <v>590</v>
      </c>
      <c r="B999" s="134" t="s">
        <v>376</v>
      </c>
      <c r="C999" s="134" t="s">
        <v>381</v>
      </c>
      <c r="D999" s="128">
        <v>2030</v>
      </c>
      <c r="E999" s="134" t="s">
        <v>676</v>
      </c>
      <c r="F999" s="57">
        <f>SIM_Parametres!$C$36</f>
        <v>1737013983.2082016</v>
      </c>
      <c r="G999" s="129">
        <f>SIM_Districts!D5*(1+SIM_Parametres!$B$6)^(2030-2023)</f>
        <v>292636.18753919355</v>
      </c>
      <c r="H999" s="129">
        <f>MAX(0,MIN(100,SIM_Districts!F5+(2030-2022)*SIM_Parametres!$B$7))</f>
        <v>2.660000000000001</v>
      </c>
      <c r="I999" s="129">
        <f>SIM_Districts!G5*(1+SIM_Parametres!$B$8)^(2030-2023)</f>
        <v>25.939103767705593</v>
      </c>
      <c r="J999" s="129">
        <f>SIM_Districts!H5*(1+SIM_Parametres!$B$9)^(2030-2023)</f>
        <v>4.9742877600000019</v>
      </c>
      <c r="K999" s="129">
        <f>MAX(0,MIN(100,SIM_Districts!I5+(2030-2023)*SIM_Parametres!$B$10))</f>
        <v>100</v>
      </c>
      <c r="L999" s="129">
        <f>SIM_Districts!E5</f>
        <v>10</v>
      </c>
      <c r="M999" s="68">
        <f t="shared" si="570"/>
        <v>29263.618753919356</v>
      </c>
      <c r="N999" s="129">
        <f>N928*(1+SIM_Parametres!$B$6)/(1+SIM_Parametres!$B$11)</f>
        <v>73189</v>
      </c>
      <c r="O999" s="135"/>
      <c r="P999" s="130">
        <f>SIM_Parametres!$D$36</f>
        <v>1</v>
      </c>
      <c r="Q999" s="130">
        <f>SIM_Parametres!$B$12</f>
        <v>0.2</v>
      </c>
      <c r="R999" s="59">
        <f t="shared" si="590"/>
        <v>1.3126718902850366E-2</v>
      </c>
      <c r="S999" s="59">
        <f t="shared" si="591"/>
        <v>0</v>
      </c>
      <c r="T999" s="59">
        <f t="shared" si="592"/>
        <v>0.50276243093922657</v>
      </c>
      <c r="U999" s="59">
        <f t="shared" si="593"/>
        <v>0.16355896203869918</v>
      </c>
      <c r="V999" s="59">
        <f t="shared" si="594"/>
        <v>9.5544805280436421E-2</v>
      </c>
      <c r="W999" s="59">
        <f t="shared" si="595"/>
        <v>0</v>
      </c>
      <c r="X999" s="59">
        <f t="shared" si="596"/>
        <v>9.9491608812113941E-3</v>
      </c>
      <c r="Y999" s="59">
        <f t="shared" si="597"/>
        <v>4.1788839610703184E-3</v>
      </c>
      <c r="Z999" s="59">
        <f t="shared" si="598"/>
        <v>3.506814418545408E-3</v>
      </c>
      <c r="AA999" s="59">
        <f t="shared" si="571"/>
        <v>9.7526903928727149E-3</v>
      </c>
      <c r="AB999" s="59">
        <f t="shared" si="599"/>
        <v>1.0619053722748874E-2</v>
      </c>
      <c r="AC999" s="60">
        <f t="shared" si="572"/>
        <v>18445444.804853909</v>
      </c>
      <c r="AD999" s="60">
        <f t="shared" si="579"/>
        <v>18445444.804853909</v>
      </c>
      <c r="AE999" s="59">
        <f t="shared" si="575"/>
        <v>3.200000000000025E-2</v>
      </c>
      <c r="AF999" s="57">
        <f t="shared" si="577"/>
        <v>18445444.804853909</v>
      </c>
      <c r="AG999" s="57">
        <v>1</v>
      </c>
      <c r="AH999" s="57">
        <f t="shared" si="578"/>
        <v>18445444.804853909</v>
      </c>
      <c r="AI999" s="60">
        <f t="shared" si="573"/>
        <v>63.032002159279983</v>
      </c>
      <c r="AJ999" s="60">
        <f t="shared" si="574"/>
        <v>0</v>
      </c>
      <c r="AK999" s="59">
        <f t="shared" si="576"/>
        <v>3.200000000000025E-2</v>
      </c>
    </row>
    <row r="1000" spans="1:37" ht="12" customHeight="1" x14ac:dyDescent="0.25">
      <c r="A1000" s="133" t="s">
        <v>591</v>
      </c>
      <c r="B1000" s="133" t="s">
        <v>376</v>
      </c>
      <c r="C1000" s="133" t="s">
        <v>382</v>
      </c>
      <c r="D1000" s="124">
        <v>2030</v>
      </c>
      <c r="E1000" s="133" t="s">
        <v>676</v>
      </c>
      <c r="F1000" s="64">
        <f>SIM_Parametres!$C$36</f>
        <v>1737013983.2082016</v>
      </c>
      <c r="G1000" s="125">
        <f>SIM_Districts!D6*(1+SIM_Parametres!$B$6)^(2030-2023)</f>
        <v>223032.70599933848</v>
      </c>
      <c r="H1000" s="125">
        <f>MAX(0,MIN(100,SIM_Districts!F6+(2030-2022)*SIM_Parametres!$B$7))</f>
        <v>2.660000000000001</v>
      </c>
      <c r="I1000" s="125">
        <f>SIM_Districts!G6*(1+SIM_Parametres!$B$8)^(2030-2023)</f>
        <v>25.939103767705593</v>
      </c>
      <c r="J1000" s="125">
        <f>SIM_Districts!H6*(1+SIM_Parametres!$B$9)^(2030-2023)</f>
        <v>4.9742877600000019</v>
      </c>
      <c r="K1000" s="125">
        <f>MAX(0,MIN(100,SIM_Districts!I6+(2030-2023)*SIM_Parametres!$B$10))</f>
        <v>100</v>
      </c>
      <c r="L1000" s="125">
        <f>SIM_Districts!E6</f>
        <v>169</v>
      </c>
      <c r="M1000" s="61">
        <f t="shared" si="570"/>
        <v>1319.7201538422396</v>
      </c>
      <c r="N1000" s="125">
        <f>N929*(1+SIM_Parametres!$B$6)/(1+SIM_Parametres!$B$11)</f>
        <v>73189</v>
      </c>
      <c r="O1000" s="3"/>
      <c r="P1000" s="126">
        <f>SIM_Parametres!$D$36</f>
        <v>1</v>
      </c>
      <c r="Q1000" s="126">
        <f>SIM_Parametres!$B$12</f>
        <v>0.2</v>
      </c>
      <c r="R1000" s="66">
        <f t="shared" si="590"/>
        <v>1.0004530411684889E-2</v>
      </c>
      <c r="S1000" s="66">
        <f t="shared" si="591"/>
        <v>0</v>
      </c>
      <c r="T1000" s="66">
        <f t="shared" si="592"/>
        <v>0.50276243093922657</v>
      </c>
      <c r="U1000" s="66">
        <f t="shared" si="593"/>
        <v>0.49040605765544515</v>
      </c>
      <c r="V1000" s="66">
        <f t="shared" si="594"/>
        <v>9.5544805280436421E-2</v>
      </c>
      <c r="W1000" s="66">
        <f t="shared" si="595"/>
        <v>0</v>
      </c>
      <c r="X1000" s="66">
        <f t="shared" si="596"/>
        <v>9.9491608812113941E-3</v>
      </c>
      <c r="Y1000" s="66">
        <f t="shared" si="597"/>
        <v>1.2529732294725466E-2</v>
      </c>
      <c r="Z1000" s="66">
        <f t="shared" si="598"/>
        <v>3.506814418545408E-3</v>
      </c>
      <c r="AA1000" s="66">
        <f t="shared" si="571"/>
        <v>8.2969197148561862E-3</v>
      </c>
      <c r="AB1000" s="66">
        <f t="shared" si="599"/>
        <v>9.4544371803356505E-3</v>
      </c>
      <c r="AC1000" s="67">
        <f t="shared" si="572"/>
        <v>16422489.585606553</v>
      </c>
      <c r="AD1000" s="67">
        <f t="shared" si="579"/>
        <v>16422489.585606553</v>
      </c>
      <c r="AE1000" s="66">
        <f t="shared" si="575"/>
        <v>3.2000000000000473E-2</v>
      </c>
      <c r="AF1000" s="64">
        <f t="shared" si="577"/>
        <v>16422489.585606553</v>
      </c>
      <c r="AG1000" s="64">
        <v>1</v>
      </c>
      <c r="AH1000" s="64">
        <f t="shared" si="578"/>
        <v>16422489.585606553</v>
      </c>
      <c r="AI1000" s="67">
        <f t="shared" si="573"/>
        <v>73.632651821277108</v>
      </c>
      <c r="AJ1000" s="67">
        <f t="shared" si="574"/>
        <v>0</v>
      </c>
      <c r="AK1000" s="66">
        <f t="shared" si="576"/>
        <v>3.2000000000000473E-2</v>
      </c>
    </row>
    <row r="1001" spans="1:37" ht="12" customHeight="1" x14ac:dyDescent="0.25">
      <c r="A1001" s="134" t="s">
        <v>592</v>
      </c>
      <c r="B1001" s="134" t="s">
        <v>376</v>
      </c>
      <c r="C1001" s="134" t="s">
        <v>383</v>
      </c>
      <c r="D1001" s="128">
        <v>2030</v>
      </c>
      <c r="E1001" s="134" t="s">
        <v>676</v>
      </c>
      <c r="F1001" s="57">
        <f>SIM_Parametres!$C$36</f>
        <v>1737013983.2082016</v>
      </c>
      <c r="G1001" s="129">
        <f>SIM_Districts!D7*(1+SIM_Parametres!$B$6)^(2030-2023)</f>
        <v>565328.7404766574</v>
      </c>
      <c r="H1001" s="129">
        <f>MAX(0,MIN(100,SIM_Districts!F7+(2030-2022)*SIM_Parametres!$B$7))</f>
        <v>2.660000000000001</v>
      </c>
      <c r="I1001" s="129">
        <f>SIM_Districts!G7*(1+SIM_Parametres!$B$8)^(2030-2023)</f>
        <v>25.939103767705593</v>
      </c>
      <c r="J1001" s="129">
        <f>SIM_Districts!H7*(1+SIM_Parametres!$B$9)^(2030-2023)</f>
        <v>4.9742877600000019</v>
      </c>
      <c r="K1001" s="129">
        <f>MAX(0,MIN(100,SIM_Districts!I7+(2030-2023)*SIM_Parametres!$B$10))</f>
        <v>100</v>
      </c>
      <c r="L1001" s="129">
        <f>SIM_Districts!E7</f>
        <v>13</v>
      </c>
      <c r="M1001" s="68">
        <f t="shared" si="570"/>
        <v>43486.826190512111</v>
      </c>
      <c r="N1001" s="129">
        <f>N930*(1+SIM_Parametres!$B$6)/(1+SIM_Parametres!$B$11)</f>
        <v>73189</v>
      </c>
      <c r="O1001" s="135"/>
      <c r="P1001" s="130">
        <f>SIM_Parametres!$D$36</f>
        <v>1</v>
      </c>
      <c r="Q1001" s="130">
        <f>SIM_Parametres!$B$12</f>
        <v>0.2</v>
      </c>
      <c r="R1001" s="59">
        <f t="shared" si="590"/>
        <v>2.5358830452045938E-2</v>
      </c>
      <c r="S1001" s="59">
        <f t="shared" si="591"/>
        <v>0</v>
      </c>
      <c r="T1001" s="59">
        <f t="shared" si="592"/>
        <v>0.50276243093922657</v>
      </c>
      <c r="U1001" s="59">
        <f t="shared" si="593"/>
        <v>1.0392129693778578E-4</v>
      </c>
      <c r="V1001" s="59">
        <f t="shared" si="594"/>
        <v>9.5544805280436421E-2</v>
      </c>
      <c r="W1001" s="59">
        <f t="shared" si="595"/>
        <v>0</v>
      </c>
      <c r="X1001" s="59">
        <f t="shared" si="596"/>
        <v>9.9491608812113941E-3</v>
      </c>
      <c r="Y1001" s="59">
        <f t="shared" si="597"/>
        <v>2.6551589443578551E-6</v>
      </c>
      <c r="Z1001" s="59">
        <f t="shared" si="598"/>
        <v>3.506814418545408E-3</v>
      </c>
      <c r="AA1001" s="59">
        <f t="shared" si="571"/>
        <v>1.6883145882283759E-2</v>
      </c>
      <c r="AB1001" s="59">
        <f t="shared" si="599"/>
        <v>1.6323418114277708E-2</v>
      </c>
      <c r="AC1001" s="60">
        <f t="shared" si="572"/>
        <v>28354005.51825444</v>
      </c>
      <c r="AD1001" s="60">
        <f t="shared" si="579"/>
        <v>28354005.51825444</v>
      </c>
      <c r="AE1001" s="59">
        <f t="shared" si="575"/>
        <v>3.2000000000000473E-2</v>
      </c>
      <c r="AF1001" s="57">
        <f t="shared" si="577"/>
        <v>28354005.51825444</v>
      </c>
      <c r="AG1001" s="57">
        <v>1</v>
      </c>
      <c r="AH1001" s="57">
        <f t="shared" si="578"/>
        <v>28354005.51825444</v>
      </c>
      <c r="AI1001" s="60">
        <f t="shared" si="573"/>
        <v>50.154898359400121</v>
      </c>
      <c r="AJ1001" s="60">
        <f t="shared" si="574"/>
        <v>0</v>
      </c>
      <c r="AK1001" s="59">
        <f t="shared" si="576"/>
        <v>3.2000000000000473E-2</v>
      </c>
    </row>
    <row r="1002" spans="1:37" ht="12" customHeight="1" x14ac:dyDescent="0.25">
      <c r="A1002" s="133" t="s">
        <v>593</v>
      </c>
      <c r="B1002" s="133" t="s">
        <v>376</v>
      </c>
      <c r="C1002" s="133" t="s">
        <v>384</v>
      </c>
      <c r="D1002" s="124">
        <v>2030</v>
      </c>
      <c r="E1002" s="133" t="s">
        <v>676</v>
      </c>
      <c r="F1002" s="64">
        <f>SIM_Parametres!$C$36</f>
        <v>1737013983.2082016</v>
      </c>
      <c r="G1002" s="125">
        <f>SIM_Districts!D8*(1+SIM_Parametres!$B$6)^(2030-2023)</f>
        <v>400911.82290346827</v>
      </c>
      <c r="H1002" s="125">
        <f>MAX(0,MIN(100,SIM_Districts!F8+(2030-2022)*SIM_Parametres!$B$7))</f>
        <v>2.660000000000001</v>
      </c>
      <c r="I1002" s="125">
        <f>SIM_Districts!G8*(1+SIM_Parametres!$B$8)^(2030-2023)</f>
        <v>25.939103767705593</v>
      </c>
      <c r="J1002" s="125">
        <f>SIM_Districts!H8*(1+SIM_Parametres!$B$9)^(2030-2023)</f>
        <v>4.9742877600000019</v>
      </c>
      <c r="K1002" s="125">
        <f>MAX(0,MIN(100,SIM_Districts!I8+(2030-2023)*SIM_Parametres!$B$10))</f>
        <v>100</v>
      </c>
      <c r="L1002" s="125">
        <f>SIM_Districts!E8</f>
        <v>34</v>
      </c>
      <c r="M1002" s="61">
        <f t="shared" si="570"/>
        <v>11791.524203043184</v>
      </c>
      <c r="N1002" s="125">
        <f>N931*(1+SIM_Parametres!$B$6)/(1+SIM_Parametres!$B$11)</f>
        <v>73189</v>
      </c>
      <c r="O1002" s="3"/>
      <c r="P1002" s="126">
        <f>SIM_Parametres!$D$36</f>
        <v>1</v>
      </c>
      <c r="Q1002" s="126">
        <f>SIM_Parametres!$B$12</f>
        <v>0.2</v>
      </c>
      <c r="R1002" s="66">
        <f t="shared" si="590"/>
        <v>1.7983615930542811E-2</v>
      </c>
      <c r="S1002" s="66">
        <f t="shared" si="591"/>
        <v>0</v>
      </c>
      <c r="T1002" s="66">
        <f t="shared" si="592"/>
        <v>0.50276243093922657</v>
      </c>
      <c r="U1002" s="66">
        <f t="shared" si="593"/>
        <v>0.36530968637307898</v>
      </c>
      <c r="V1002" s="66">
        <f t="shared" si="594"/>
        <v>9.5544805280436421E-2</v>
      </c>
      <c r="W1002" s="66">
        <f t="shared" si="595"/>
        <v>0</v>
      </c>
      <c r="X1002" s="66">
        <f t="shared" si="596"/>
        <v>9.9491608812113941E-3</v>
      </c>
      <c r="Y1002" s="66">
        <f t="shared" si="597"/>
        <v>9.333556352888123E-3</v>
      </c>
      <c r="Z1002" s="66">
        <f t="shared" si="598"/>
        <v>3.506814418545408E-3</v>
      </c>
      <c r="AA1002" s="66">
        <f t="shared" si="571"/>
        <v>1.2924562229079072E-2</v>
      </c>
      <c r="AB1002" s="66">
        <f t="shared" si="599"/>
        <v>1.315655119171396E-2</v>
      </c>
      <c r="AC1002" s="67">
        <f t="shared" si="572"/>
        <v>22853113.390801683</v>
      </c>
      <c r="AD1002" s="67">
        <f t="shared" si="579"/>
        <v>22853113.390801683</v>
      </c>
      <c r="AE1002" s="66">
        <f t="shared" si="575"/>
        <v>3.2000000000000473E-2</v>
      </c>
      <c r="AF1002" s="64">
        <f t="shared" si="577"/>
        <v>22853113.390801683</v>
      </c>
      <c r="AG1002" s="64">
        <v>1</v>
      </c>
      <c r="AH1002" s="64">
        <f t="shared" si="578"/>
        <v>22853113.390801683</v>
      </c>
      <c r="AI1002" s="67">
        <f t="shared" si="573"/>
        <v>57.002842234224325</v>
      </c>
      <c r="AJ1002" s="67">
        <f t="shared" si="574"/>
        <v>0</v>
      </c>
      <c r="AK1002" s="66">
        <f t="shared" si="576"/>
        <v>3.2000000000000473E-2</v>
      </c>
    </row>
    <row r="1003" spans="1:37" ht="12" customHeight="1" x14ac:dyDescent="0.25">
      <c r="A1003" s="134" t="s">
        <v>594</v>
      </c>
      <c r="B1003" s="134" t="s">
        <v>376</v>
      </c>
      <c r="C1003" s="134" t="s">
        <v>385</v>
      </c>
      <c r="D1003" s="128">
        <v>2030</v>
      </c>
      <c r="E1003" s="134" t="s">
        <v>676</v>
      </c>
      <c r="F1003" s="57">
        <f>SIM_Parametres!$C$36</f>
        <v>1737013983.2082016</v>
      </c>
      <c r="G1003" s="129">
        <f>SIM_Districts!D9*(1+SIM_Parametres!$B$6)^(2030-2023)</f>
        <v>588208.08399515634</v>
      </c>
      <c r="H1003" s="129">
        <f>MAX(0,MIN(100,SIM_Districts!F9+(2030-2022)*SIM_Parametres!$B$7))</f>
        <v>2.660000000000001</v>
      </c>
      <c r="I1003" s="129">
        <f>SIM_Districts!G9*(1+SIM_Parametres!$B$8)^(2030-2023)</f>
        <v>25.939103767705593</v>
      </c>
      <c r="J1003" s="129">
        <f>SIM_Districts!H9*(1+SIM_Parametres!$B$9)^(2030-2023)</f>
        <v>4.9742877600000019</v>
      </c>
      <c r="K1003" s="129">
        <f>MAX(0,MIN(100,SIM_Districts!I9+(2030-2023)*SIM_Parametres!$B$10))</f>
        <v>100</v>
      </c>
      <c r="L1003" s="129">
        <f>SIM_Districts!E9</f>
        <v>28</v>
      </c>
      <c r="M1003" s="68">
        <f t="shared" si="570"/>
        <v>21007.431571255584</v>
      </c>
      <c r="N1003" s="129">
        <f>N932*(1+SIM_Parametres!$B$6)/(1+SIM_Parametres!$B$11)</f>
        <v>73189</v>
      </c>
      <c r="O1003" s="135"/>
      <c r="P1003" s="130">
        <f>SIM_Parametres!$D$36</f>
        <v>1</v>
      </c>
      <c r="Q1003" s="130">
        <f>SIM_Parametres!$B$12</f>
        <v>0.2</v>
      </c>
      <c r="R1003" s="59">
        <f t="shared" si="590"/>
        <v>2.6385124272966028E-2</v>
      </c>
      <c r="S1003" s="59">
        <f t="shared" si="591"/>
        <v>0</v>
      </c>
      <c r="T1003" s="59">
        <f t="shared" si="592"/>
        <v>0.50276243093922657</v>
      </c>
      <c r="U1003" s="59">
        <f t="shared" si="593"/>
        <v>0.25912404305391834</v>
      </c>
      <c r="V1003" s="59">
        <f t="shared" si="594"/>
        <v>9.5544805280436421E-2</v>
      </c>
      <c r="W1003" s="59">
        <f t="shared" si="595"/>
        <v>0</v>
      </c>
      <c r="X1003" s="59">
        <f t="shared" si="596"/>
        <v>9.9491608812113941E-3</v>
      </c>
      <c r="Y1003" s="59">
        <f t="shared" si="597"/>
        <v>6.6205440163499231E-3</v>
      </c>
      <c r="Z1003" s="59">
        <f t="shared" si="598"/>
        <v>3.506814418545408E-3</v>
      </c>
      <c r="AA1003" s="59">
        <f t="shared" si="571"/>
        <v>1.7829816617706089E-2</v>
      </c>
      <c r="AB1003" s="59">
        <f t="shared" si="599"/>
        <v>1.708075470261557E-2</v>
      </c>
      <c r="AC1003" s="60">
        <f t="shared" si="572"/>
        <v>29669509.762192506</v>
      </c>
      <c r="AD1003" s="60">
        <f t="shared" si="579"/>
        <v>29669509.762192506</v>
      </c>
      <c r="AE1003" s="59">
        <f t="shared" si="575"/>
        <v>3.2000000000000473E-2</v>
      </c>
      <c r="AF1003" s="57">
        <f t="shared" si="577"/>
        <v>29669509.762192506</v>
      </c>
      <c r="AG1003" s="57">
        <v>1</v>
      </c>
      <c r="AH1003" s="57">
        <f t="shared" si="578"/>
        <v>29669509.762192506</v>
      </c>
      <c r="AI1003" s="60">
        <f t="shared" si="573"/>
        <v>50.440499832431449</v>
      </c>
      <c r="AJ1003" s="60">
        <f t="shared" si="574"/>
        <v>0</v>
      </c>
      <c r="AK1003" s="59">
        <f t="shared" si="576"/>
        <v>3.2000000000000473E-2</v>
      </c>
    </row>
    <row r="1004" spans="1:37" ht="12" customHeight="1" x14ac:dyDescent="0.25">
      <c r="A1004" s="133" t="s">
        <v>595</v>
      </c>
      <c r="B1004" s="133" t="s">
        <v>376</v>
      </c>
      <c r="C1004" s="133" t="s">
        <v>386</v>
      </c>
      <c r="D1004" s="124">
        <v>2030</v>
      </c>
      <c r="E1004" s="133" t="s">
        <v>676</v>
      </c>
      <c r="F1004" s="64">
        <f>SIM_Parametres!$C$36</f>
        <v>1737013983.2082016</v>
      </c>
      <c r="G1004" s="125">
        <f>SIM_Districts!D10*(1+SIM_Parametres!$B$6)^(2030-2023)</f>
        <v>752028.51274361438</v>
      </c>
      <c r="H1004" s="125">
        <f>MAX(0,MIN(100,SIM_Districts!F10+(2030-2022)*SIM_Parametres!$B$7))</f>
        <v>2.660000000000001</v>
      </c>
      <c r="I1004" s="125">
        <f>SIM_Districts!G10*(1+SIM_Parametres!$B$8)^(2030-2023)</f>
        <v>25.939103767705593</v>
      </c>
      <c r="J1004" s="125">
        <f>SIM_Districts!H10*(1+SIM_Parametres!$B$9)^(2030-2023)</f>
        <v>4.9742877600000019</v>
      </c>
      <c r="K1004" s="125">
        <f>MAX(0,MIN(100,SIM_Districts!I10+(2030-2023)*SIM_Parametres!$B$10))</f>
        <v>100</v>
      </c>
      <c r="L1004" s="125">
        <f>SIM_Districts!E10</f>
        <v>22</v>
      </c>
      <c r="M1004" s="61">
        <f t="shared" si="570"/>
        <v>34183.114215618836</v>
      </c>
      <c r="N1004" s="125">
        <f>N933*(1+SIM_Parametres!$B$6)/(1+SIM_Parametres!$B$11)</f>
        <v>73189</v>
      </c>
      <c r="O1004" s="3"/>
      <c r="P1004" s="126">
        <f>SIM_Parametres!$D$36</f>
        <v>1</v>
      </c>
      <c r="Q1004" s="126">
        <f>SIM_Parametres!$B$12</f>
        <v>0.2</v>
      </c>
      <c r="R1004" s="66">
        <f t="shared" si="590"/>
        <v>3.3733582222779307E-2</v>
      </c>
      <c r="S1004" s="66">
        <f t="shared" si="591"/>
        <v>0</v>
      </c>
      <c r="T1004" s="66">
        <f t="shared" si="592"/>
        <v>0.50276243093922657</v>
      </c>
      <c r="U1004" s="66">
        <f t="shared" si="593"/>
        <v>0.10740318997556662</v>
      </c>
      <c r="V1004" s="66">
        <f t="shared" si="594"/>
        <v>9.5544805280436421E-2</v>
      </c>
      <c r="W1004" s="66">
        <f t="shared" si="595"/>
        <v>0</v>
      </c>
      <c r="X1004" s="66">
        <f t="shared" si="596"/>
        <v>9.9491608812113941E-3</v>
      </c>
      <c r="Y1004" s="66">
        <f t="shared" si="597"/>
        <v>2.7441202998738068E-3</v>
      </c>
      <c r="Z1004" s="66">
        <f t="shared" si="598"/>
        <v>3.506814418545408E-3</v>
      </c>
      <c r="AA1004" s="66">
        <f t="shared" si="571"/>
        <v>2.204507020177025E-2</v>
      </c>
      <c r="AB1004" s="66">
        <f t="shared" si="599"/>
        <v>2.0452957569866898E-2</v>
      </c>
      <c r="AC1004" s="67">
        <f t="shared" si="572"/>
        <v>35527073.296822853</v>
      </c>
      <c r="AD1004" s="67">
        <f t="shared" si="579"/>
        <v>35527073.296822853</v>
      </c>
      <c r="AE1004" s="66">
        <f t="shared" si="575"/>
        <v>3.2000000000000473E-2</v>
      </c>
      <c r="AF1004" s="64">
        <f t="shared" si="577"/>
        <v>35527073.296822853</v>
      </c>
      <c r="AG1004" s="64">
        <v>1</v>
      </c>
      <c r="AH1004" s="64">
        <f t="shared" si="578"/>
        <v>35527073.296822853</v>
      </c>
      <c r="AI1004" s="67">
        <f t="shared" si="573"/>
        <v>47.241657323882528</v>
      </c>
      <c r="AJ1004" s="67">
        <f t="shared" si="574"/>
        <v>0</v>
      </c>
      <c r="AK1004" s="66">
        <f t="shared" si="576"/>
        <v>3.2000000000000473E-2</v>
      </c>
    </row>
    <row r="1005" spans="1:37" ht="12" customHeight="1" x14ac:dyDescent="0.25">
      <c r="A1005" s="134" t="s">
        <v>596</v>
      </c>
      <c r="B1005" s="134" t="s">
        <v>376</v>
      </c>
      <c r="C1005" s="134" t="s">
        <v>387</v>
      </c>
      <c r="D1005" s="128">
        <v>2030</v>
      </c>
      <c r="E1005" s="134" t="s">
        <v>676</v>
      </c>
      <c r="F1005" s="57">
        <f>SIM_Parametres!$C$36</f>
        <v>1737013983.2082016</v>
      </c>
      <c r="G1005" s="129">
        <f>SIM_Districts!D11*(1+SIM_Parametres!$B$6)^(2030-2023)</f>
        <v>362383.56432130339</v>
      </c>
      <c r="H1005" s="129">
        <f>MAX(0,MIN(100,SIM_Districts!F11+(2030-2022)*SIM_Parametres!$B$7))</f>
        <v>2.660000000000001</v>
      </c>
      <c r="I1005" s="129">
        <f>SIM_Districts!G11*(1+SIM_Parametres!$B$8)^(2030-2023)</f>
        <v>25.939103767705593</v>
      </c>
      <c r="J1005" s="129">
        <f>SIM_Districts!H11*(1+SIM_Parametres!$B$9)^(2030-2023)</f>
        <v>4.9742877600000019</v>
      </c>
      <c r="K1005" s="129">
        <f>MAX(0,MIN(100,SIM_Districts!I11+(2030-2023)*SIM_Parametres!$B$10))</f>
        <v>100</v>
      </c>
      <c r="L1005" s="129">
        <f>SIM_Districts!E11</f>
        <v>34</v>
      </c>
      <c r="M1005" s="68">
        <f t="shared" si="570"/>
        <v>10658.340127097159</v>
      </c>
      <c r="N1005" s="129">
        <f>N934*(1+SIM_Parametres!$B$6)/(1+SIM_Parametres!$B$11)</f>
        <v>73189</v>
      </c>
      <c r="O1005" s="135"/>
      <c r="P1005" s="130">
        <f>SIM_Parametres!$D$36</f>
        <v>1</v>
      </c>
      <c r="Q1005" s="130">
        <f>SIM_Parametres!$B$12</f>
        <v>0.2</v>
      </c>
      <c r="R1005" s="59">
        <f t="shared" si="590"/>
        <v>1.6255362072134839E-2</v>
      </c>
      <c r="S1005" s="59">
        <f t="shared" si="591"/>
        <v>0</v>
      </c>
      <c r="T1005" s="59">
        <f t="shared" si="592"/>
        <v>0.50276243093922657</v>
      </c>
      <c r="U1005" s="59">
        <f t="shared" si="593"/>
        <v>0.37834067197086158</v>
      </c>
      <c r="V1005" s="59">
        <f t="shared" si="594"/>
        <v>9.5544805280436421E-2</v>
      </c>
      <c r="W1005" s="59">
        <f t="shared" si="595"/>
        <v>0</v>
      </c>
      <c r="X1005" s="59">
        <f t="shared" si="596"/>
        <v>9.9491608812113941E-3</v>
      </c>
      <c r="Y1005" s="59">
        <f t="shared" si="597"/>
        <v>9.6664942490006425E-3</v>
      </c>
      <c r="Z1005" s="59">
        <f t="shared" si="598"/>
        <v>3.506814418545408E-3</v>
      </c>
      <c r="AA1005" s="59">
        <f t="shared" si="571"/>
        <v>1.1904256808839914E-2</v>
      </c>
      <c r="AB1005" s="59">
        <f t="shared" si="599"/>
        <v>1.2340306855522632E-2</v>
      </c>
      <c r="AC1005" s="60">
        <f t="shared" si="572"/>
        <v>21435285.56512285</v>
      </c>
      <c r="AD1005" s="60">
        <f t="shared" si="579"/>
        <v>21435285.56512285</v>
      </c>
      <c r="AE1005" s="59">
        <f t="shared" si="575"/>
        <v>3.200000000000025E-2</v>
      </c>
      <c r="AF1005" s="57">
        <f t="shared" si="577"/>
        <v>21435285.56512285</v>
      </c>
      <c r="AG1005" s="57">
        <v>1</v>
      </c>
      <c r="AH1005" s="57">
        <f t="shared" si="578"/>
        <v>21435285.56512285</v>
      </c>
      <c r="AI1005" s="60">
        <f t="shared" si="573"/>
        <v>59.150821603259828</v>
      </c>
      <c r="AJ1005" s="60">
        <f t="shared" si="574"/>
        <v>0</v>
      </c>
      <c r="AK1005" s="59">
        <f t="shared" si="576"/>
        <v>3.200000000000025E-2</v>
      </c>
    </row>
    <row r="1006" spans="1:37" ht="12" customHeight="1" x14ac:dyDescent="0.25">
      <c r="A1006" s="133" t="s">
        <v>597</v>
      </c>
      <c r="B1006" s="133" t="s">
        <v>376</v>
      </c>
      <c r="C1006" s="133" t="s">
        <v>388</v>
      </c>
      <c r="D1006" s="124">
        <v>2030</v>
      </c>
      <c r="E1006" s="133" t="s">
        <v>676</v>
      </c>
      <c r="F1006" s="64">
        <f>SIM_Parametres!$C$36</f>
        <v>1737013983.2082016</v>
      </c>
      <c r="G1006" s="125">
        <f>SIM_Districts!D12*(1+SIM_Parametres!$B$6)^(2030-2023)</f>
        <v>563638.89378556365</v>
      </c>
      <c r="H1006" s="125">
        <f>MAX(0,MIN(100,SIM_Districts!F12+(2030-2022)*SIM_Parametres!$B$7))</f>
        <v>2.660000000000001</v>
      </c>
      <c r="I1006" s="125">
        <f>SIM_Districts!G12*(1+SIM_Parametres!$B$8)^(2030-2023)</f>
        <v>25.939103767705593</v>
      </c>
      <c r="J1006" s="125">
        <f>SIM_Districts!H12*(1+SIM_Parametres!$B$9)^(2030-2023)</f>
        <v>4.9742877600000019</v>
      </c>
      <c r="K1006" s="125">
        <f>MAX(0,MIN(100,SIM_Districts!I12+(2030-2023)*SIM_Parametres!$B$10))</f>
        <v>100</v>
      </c>
      <c r="L1006" s="125">
        <f>SIM_Districts!E12</f>
        <v>18</v>
      </c>
      <c r="M1006" s="61">
        <f t="shared" si="570"/>
        <v>31313.271876975759</v>
      </c>
      <c r="N1006" s="125">
        <f>N935*(1+SIM_Parametres!$B$6)/(1+SIM_Parametres!$B$11)</f>
        <v>73189</v>
      </c>
      <c r="O1006" s="3"/>
      <c r="P1006" s="126">
        <f>SIM_Parametres!$D$36</f>
        <v>1</v>
      </c>
      <c r="Q1006" s="126">
        <f>SIM_Parametres!$B$12</f>
        <v>0.2</v>
      </c>
      <c r="R1006" s="66">
        <f t="shared" si="590"/>
        <v>2.5283029360289543E-2</v>
      </c>
      <c r="S1006" s="66">
        <f t="shared" si="591"/>
        <v>0</v>
      </c>
      <c r="T1006" s="66">
        <f t="shared" si="592"/>
        <v>0.50276243093922657</v>
      </c>
      <c r="U1006" s="66">
        <f t="shared" si="593"/>
        <v>0.14026621640536646</v>
      </c>
      <c r="V1006" s="66">
        <f t="shared" si="594"/>
        <v>9.5544805280436421E-2</v>
      </c>
      <c r="W1006" s="66">
        <f t="shared" si="595"/>
        <v>0</v>
      </c>
      <c r="X1006" s="66">
        <f t="shared" si="596"/>
        <v>9.9491608812113941E-3</v>
      </c>
      <c r="Y1006" s="66">
        <f t="shared" si="597"/>
        <v>3.5837610774132676E-3</v>
      </c>
      <c r="Z1006" s="66">
        <f t="shared" si="598"/>
        <v>3.506814418545408E-3</v>
      </c>
      <c r="AA1006" s="66">
        <f t="shared" si="571"/>
        <v>1.7016720523153363E-2</v>
      </c>
      <c r="AB1006" s="66">
        <f t="shared" si="599"/>
        <v>1.6430277826973393E-2</v>
      </c>
      <c r="AC1006" s="67">
        <f t="shared" si="572"/>
        <v>28539622.333448455</v>
      </c>
      <c r="AD1006" s="67">
        <f t="shared" si="579"/>
        <v>28539622.333448455</v>
      </c>
      <c r="AE1006" s="66">
        <f t="shared" si="575"/>
        <v>3.200000000000025E-2</v>
      </c>
      <c r="AF1006" s="64">
        <f t="shared" si="577"/>
        <v>28539622.333448455</v>
      </c>
      <c r="AG1006" s="64">
        <v>1</v>
      </c>
      <c r="AH1006" s="64">
        <f t="shared" si="578"/>
        <v>28539622.333448455</v>
      </c>
      <c r="AI1006" s="67">
        <f t="shared" si="573"/>
        <v>50.634586520046561</v>
      </c>
      <c r="AJ1006" s="67">
        <f t="shared" si="574"/>
        <v>0</v>
      </c>
      <c r="AK1006" s="66">
        <f t="shared" si="576"/>
        <v>3.200000000000025E-2</v>
      </c>
    </row>
    <row r="1007" spans="1:37" ht="12" customHeight="1" x14ac:dyDescent="0.25">
      <c r="A1007" s="134" t="s">
        <v>598</v>
      </c>
      <c r="B1007" s="134" t="s">
        <v>376</v>
      </c>
      <c r="C1007" s="134" t="s">
        <v>389</v>
      </c>
      <c r="D1007" s="128">
        <v>2030</v>
      </c>
      <c r="E1007" s="134" t="s">
        <v>676</v>
      </c>
      <c r="F1007" s="57">
        <f>SIM_Parametres!$C$36</f>
        <v>1737013983.2082016</v>
      </c>
      <c r="G1007" s="129">
        <f>SIM_Districts!D13*(1+SIM_Parametres!$B$6)^(2030-2023)</f>
        <v>618453.14209368464</v>
      </c>
      <c r="H1007" s="129">
        <f>MAX(0,MIN(100,SIM_Districts!F13+(2030-2022)*SIM_Parametres!$B$7))</f>
        <v>2.660000000000001</v>
      </c>
      <c r="I1007" s="129">
        <f>SIM_Districts!G13*(1+SIM_Parametres!$B$8)^(2030-2023)</f>
        <v>25.939103767705593</v>
      </c>
      <c r="J1007" s="129">
        <f>SIM_Districts!H13*(1+SIM_Parametres!$B$9)^(2030-2023)</f>
        <v>4.9742877600000019</v>
      </c>
      <c r="K1007" s="129">
        <f>MAX(0,MIN(100,SIM_Districts!I13+(2030-2023)*SIM_Parametres!$B$10))</f>
        <v>100</v>
      </c>
      <c r="L1007" s="129">
        <f>SIM_Districts!E13</f>
        <v>203</v>
      </c>
      <c r="M1007" s="68">
        <f t="shared" si="570"/>
        <v>3046.5672024319442</v>
      </c>
      <c r="N1007" s="129">
        <f>N936*(1+SIM_Parametres!$B$6)/(1+SIM_Parametres!$B$11)</f>
        <v>73189</v>
      </c>
      <c r="O1007" s="135"/>
      <c r="P1007" s="130">
        <f>SIM_Parametres!$D$36</f>
        <v>1</v>
      </c>
      <c r="Q1007" s="130">
        <f>SIM_Parametres!$B$12</f>
        <v>0.2</v>
      </c>
      <c r="R1007" s="59">
        <f t="shared" si="590"/>
        <v>2.7741820378113943E-2</v>
      </c>
      <c r="S1007" s="59">
        <f t="shared" si="591"/>
        <v>0</v>
      </c>
      <c r="T1007" s="59">
        <f t="shared" si="592"/>
        <v>0.50276243093922657</v>
      </c>
      <c r="U1007" s="59">
        <f t="shared" si="593"/>
        <v>0.47172605328939687</v>
      </c>
      <c r="V1007" s="59">
        <f t="shared" si="594"/>
        <v>9.5544805280436421E-2</v>
      </c>
      <c r="W1007" s="59">
        <f t="shared" si="595"/>
        <v>0</v>
      </c>
      <c r="X1007" s="59">
        <f t="shared" si="596"/>
        <v>9.9491608812113941E-3</v>
      </c>
      <c r="Y1007" s="59">
        <f t="shared" si="597"/>
        <v>1.2052463610301236E-2</v>
      </c>
      <c r="Z1007" s="59">
        <f t="shared" si="598"/>
        <v>3.506814418545408E-3</v>
      </c>
      <c r="AA1007" s="59">
        <f t="shared" si="571"/>
        <v>1.8915430260492402E-2</v>
      </c>
      <c r="AB1007" s="59">
        <f t="shared" si="599"/>
        <v>1.7949245616844623E-2</v>
      </c>
      <c r="AC1007" s="60">
        <f t="shared" si="572"/>
        <v>31178090.624497641</v>
      </c>
      <c r="AD1007" s="60">
        <f t="shared" si="579"/>
        <v>31178090.624497641</v>
      </c>
      <c r="AE1007" s="59">
        <f t="shared" si="575"/>
        <v>3.200000000000025E-2</v>
      </c>
      <c r="AF1007" s="57">
        <f t="shared" si="577"/>
        <v>31178090.624497641</v>
      </c>
      <c r="AG1007" s="57">
        <v>1</v>
      </c>
      <c r="AH1007" s="57">
        <f t="shared" si="578"/>
        <v>31178090.624497641</v>
      </c>
      <c r="AI1007" s="60">
        <f t="shared" si="573"/>
        <v>50.413020004957325</v>
      </c>
      <c r="AJ1007" s="60">
        <f t="shared" si="574"/>
        <v>0</v>
      </c>
      <c r="AK1007" s="59">
        <f t="shared" si="576"/>
        <v>3.200000000000025E-2</v>
      </c>
    </row>
    <row r="1008" spans="1:37" ht="12" customHeight="1" x14ac:dyDescent="0.25">
      <c r="A1008" s="133" t="s">
        <v>599</v>
      </c>
      <c r="B1008" s="133" t="s">
        <v>390</v>
      </c>
      <c r="C1008" s="133" t="s">
        <v>392</v>
      </c>
      <c r="D1008" s="124">
        <v>2030</v>
      </c>
      <c r="E1008" s="133" t="s">
        <v>676</v>
      </c>
      <c r="F1008" s="64">
        <f>SIM_Parametres!$C$36</f>
        <v>1737013983.2082016</v>
      </c>
      <c r="G1008" s="125">
        <f>SIM_Districts!D14*(1+SIM_Parametres!$B$6)^(2030-2023)</f>
        <v>1067590.7790081929</v>
      </c>
      <c r="H1008" s="125">
        <f>MAX(0,MIN(100,SIM_Districts!F14+(2030-2022)*SIM_Parametres!$B$7))</f>
        <v>30.759999999999998</v>
      </c>
      <c r="I1008" s="125">
        <f>SIM_Districts!G14*(1+SIM_Parametres!$B$8)^(2030-2023)</f>
        <v>25.939103767705593</v>
      </c>
      <c r="J1008" s="125">
        <f>SIM_Districts!H14*(1+SIM_Parametres!$B$9)^(2030-2023)</f>
        <v>8.3701957500000024</v>
      </c>
      <c r="K1008" s="125">
        <f>MAX(0,MIN(100,SIM_Districts!I14+(2030-2023)*SIM_Parametres!$B$10))</f>
        <v>100</v>
      </c>
      <c r="L1008" s="125">
        <f>SIM_Districts!E14</f>
        <v>1335</v>
      </c>
      <c r="M1008" s="61">
        <f t="shared" si="570"/>
        <v>799.69346742186735</v>
      </c>
      <c r="N1008" s="125">
        <f>N937*(1+SIM_Parametres!$B$6)/(1+SIM_Parametres!$B$11)</f>
        <v>203502</v>
      </c>
      <c r="O1008" s="3"/>
      <c r="P1008" s="126">
        <f>SIM_Parametres!$D$36</f>
        <v>1</v>
      </c>
      <c r="Q1008" s="126">
        <f>SIM_Parametres!$B$12</f>
        <v>0.2</v>
      </c>
      <c r="R1008" s="66">
        <f t="shared" si="590"/>
        <v>4.7888691337733706E-2</v>
      </c>
      <c r="S1008" s="66">
        <f t="shared" si="591"/>
        <v>0.4982269503546099</v>
      </c>
      <c r="T1008" s="66">
        <f t="shared" si="592"/>
        <v>0.69889502762430933</v>
      </c>
      <c r="U1008" s="66">
        <f t="shared" si="593"/>
        <v>0.53677681892865114</v>
      </c>
      <c r="V1008" s="66">
        <f t="shared" si="594"/>
        <v>1</v>
      </c>
      <c r="W1008" s="66">
        <f t="shared" si="595"/>
        <v>1.1879095328683151E-2</v>
      </c>
      <c r="X1008" s="66">
        <f t="shared" si="596"/>
        <v>1.3830426939266385E-2</v>
      </c>
      <c r="Y1008" s="66">
        <f t="shared" si="597"/>
        <v>1.3714491773092492E-2</v>
      </c>
      <c r="Z1008" s="66">
        <f t="shared" si="598"/>
        <v>3.6703349891733537E-2</v>
      </c>
      <c r="AA1008" s="66">
        <f t="shared" si="571"/>
        <v>3.5110535226073949E-2</v>
      </c>
      <c r="AB1008" s="66">
        <f t="shared" si="599"/>
        <v>3.090532958930986E-2</v>
      </c>
      <c r="AC1008" s="67">
        <f t="shared" si="572"/>
        <v>53682989.65228942</v>
      </c>
      <c r="AD1008" s="67">
        <f t="shared" si="579"/>
        <v>53682989.65228942</v>
      </c>
      <c r="AE1008" s="66">
        <f t="shared" si="575"/>
        <v>3.200000000000025E-2</v>
      </c>
      <c r="AF1008" s="64">
        <f t="shared" si="577"/>
        <v>53682989.65228942</v>
      </c>
      <c r="AG1008" s="64">
        <v>1</v>
      </c>
      <c r="AH1008" s="64">
        <f t="shared" si="578"/>
        <v>53682989.65228942</v>
      </c>
      <c r="AI1008" s="67">
        <f t="shared" si="573"/>
        <v>50.284238781231963</v>
      </c>
      <c r="AJ1008" s="67">
        <f t="shared" si="574"/>
        <v>0</v>
      </c>
      <c r="AK1008" s="66">
        <f t="shared" si="576"/>
        <v>3.200000000000025E-2</v>
      </c>
    </row>
    <row r="1009" spans="1:37" ht="12" customHeight="1" x14ac:dyDescent="0.25">
      <c r="A1009" s="134" t="s">
        <v>601</v>
      </c>
      <c r="B1009" s="134" t="s">
        <v>390</v>
      </c>
      <c r="C1009" s="134" t="s">
        <v>390</v>
      </c>
      <c r="D1009" s="128">
        <v>2030</v>
      </c>
      <c r="E1009" s="134" t="s">
        <v>676</v>
      </c>
      <c r="F1009" s="57">
        <f>SIM_Parametres!$C$36</f>
        <v>1737013983.2082016</v>
      </c>
      <c r="G1009" s="129">
        <f>SIM_Districts!D15*(1+SIM_Parametres!$B$6)^(2030-2023)</f>
        <v>956146.98856658384</v>
      </c>
      <c r="H1009" s="129">
        <f>MAX(0,MIN(100,SIM_Districts!F15+(2030-2022)*SIM_Parametres!$B$7))</f>
        <v>30.759999999999998</v>
      </c>
      <c r="I1009" s="129">
        <f>SIM_Districts!G15*(1+SIM_Parametres!$B$8)^(2030-2023)</f>
        <v>25.939103767705593</v>
      </c>
      <c r="J1009" s="129">
        <f>SIM_Districts!H15*(1+SIM_Parametres!$B$9)^(2030-2023)</f>
        <v>8.3701957500000024</v>
      </c>
      <c r="K1009" s="129">
        <f>MAX(0,MIN(100,SIM_Districts!I15+(2030-2023)*SIM_Parametres!$B$10))</f>
        <v>100</v>
      </c>
      <c r="L1009" s="129">
        <f>SIM_Districts!E15</f>
        <v>1292</v>
      </c>
      <c r="M1009" s="68">
        <f t="shared" si="570"/>
        <v>740.05184873574603</v>
      </c>
      <c r="N1009" s="129">
        <f>N938*(1+SIM_Parametres!$B$6)/(1+SIM_Parametres!$B$11)</f>
        <v>203502</v>
      </c>
      <c r="O1009" s="135"/>
      <c r="P1009" s="130">
        <f>SIM_Parametres!$D$36</f>
        <v>1</v>
      </c>
      <c r="Q1009" s="130">
        <f>SIM_Parametres!$B$12</f>
        <v>0.2</v>
      </c>
      <c r="R1009" s="59">
        <f t="shared" si="590"/>
        <v>4.2889681055045287E-2</v>
      </c>
      <c r="S1009" s="59">
        <f t="shared" si="591"/>
        <v>0.4982269503546099</v>
      </c>
      <c r="T1009" s="59">
        <f t="shared" si="592"/>
        <v>0.69889502762430933</v>
      </c>
      <c r="U1009" s="59">
        <f t="shared" si="593"/>
        <v>0.53597312572887268</v>
      </c>
      <c r="V1009" s="59">
        <f t="shared" si="594"/>
        <v>1</v>
      </c>
      <c r="W1009" s="59">
        <f t="shared" si="595"/>
        <v>1.1879095328683151E-2</v>
      </c>
      <c r="X1009" s="59">
        <f t="shared" si="596"/>
        <v>1.3830426939266385E-2</v>
      </c>
      <c r="Y1009" s="59">
        <f t="shared" si="597"/>
        <v>1.3693957645336282E-2</v>
      </c>
      <c r="Z1009" s="59">
        <f t="shared" si="598"/>
        <v>3.6703349891733537E-2</v>
      </c>
      <c r="AA1009" s="59">
        <f t="shared" si="571"/>
        <v>3.2110102350073097E-2</v>
      </c>
      <c r="AB1009" s="59">
        <f t="shared" si="599"/>
        <v>2.8504983288509173E-2</v>
      </c>
      <c r="AC1009" s="60">
        <f t="shared" si="572"/>
        <v>49513554.563256562</v>
      </c>
      <c r="AD1009" s="60">
        <f t="shared" si="579"/>
        <v>49513554.563256562</v>
      </c>
      <c r="AE1009" s="59">
        <f t="shared" si="575"/>
        <v>3.2000000000000473E-2</v>
      </c>
      <c r="AF1009" s="57">
        <f t="shared" si="577"/>
        <v>49513554.563256562</v>
      </c>
      <c r="AG1009" s="57">
        <v>1</v>
      </c>
      <c r="AH1009" s="57">
        <f t="shared" si="578"/>
        <v>49513554.563256562</v>
      </c>
      <c r="AI1009" s="60">
        <f t="shared" si="573"/>
        <v>51.784459037501378</v>
      </c>
      <c r="AJ1009" s="60">
        <f t="shared" si="574"/>
        <v>0</v>
      </c>
      <c r="AK1009" s="59">
        <f t="shared" si="576"/>
        <v>3.2000000000000473E-2</v>
      </c>
    </row>
    <row r="1010" spans="1:37" ht="12" customHeight="1" x14ac:dyDescent="0.25">
      <c r="A1010" s="133" t="s">
        <v>602</v>
      </c>
      <c r="B1010" s="133" t="s">
        <v>390</v>
      </c>
      <c r="C1010" s="133" t="s">
        <v>393</v>
      </c>
      <c r="D1010" s="124">
        <v>2030</v>
      </c>
      <c r="E1010" s="133" t="s">
        <v>676</v>
      </c>
      <c r="F1010" s="64">
        <f>SIM_Parametres!$C$36</f>
        <v>1737013983.2082016</v>
      </c>
      <c r="G1010" s="125">
        <f>SIM_Districts!D16*(1+SIM_Parametres!$B$6)^(2030-2023)</f>
        <v>534809.42050613929</v>
      </c>
      <c r="H1010" s="125">
        <f>MAX(0,MIN(100,SIM_Districts!F16+(2030-2022)*SIM_Parametres!$B$7))</f>
        <v>30.759999999999998</v>
      </c>
      <c r="I1010" s="125">
        <f>SIM_Districts!G16*(1+SIM_Parametres!$B$8)^(2030-2023)</f>
        <v>25.939103767705593</v>
      </c>
      <c r="J1010" s="125">
        <f>SIM_Districts!H16*(1+SIM_Parametres!$B$9)^(2030-2023)</f>
        <v>8.3701957500000024</v>
      </c>
      <c r="K1010" s="125">
        <f>MAX(0,MIN(100,SIM_Districts!I16+(2030-2023)*SIM_Parametres!$B$10))</f>
        <v>100</v>
      </c>
      <c r="L1010" s="125">
        <f>SIM_Districts!E16</f>
        <v>1729</v>
      </c>
      <c r="M1010" s="61">
        <f t="shared" si="570"/>
        <v>309.31718941939806</v>
      </c>
      <c r="N1010" s="125">
        <f>N939*(1+SIM_Parametres!$B$6)/(1+SIM_Parametres!$B$11)</f>
        <v>203502</v>
      </c>
      <c r="O1010" s="3"/>
      <c r="P1010" s="126">
        <f>SIM_Parametres!$D$36</f>
        <v>1</v>
      </c>
      <c r="Q1010" s="126">
        <f>SIM_Parametres!$B$12</f>
        <v>0.2</v>
      </c>
      <c r="R1010" s="66">
        <f t="shared" si="590"/>
        <v>2.3989831840739592E-2</v>
      </c>
      <c r="S1010" s="66">
        <f t="shared" si="591"/>
        <v>0.4982269503546099</v>
      </c>
      <c r="T1010" s="66">
        <f t="shared" si="592"/>
        <v>0.69889502762430933</v>
      </c>
      <c r="U1010" s="66">
        <f t="shared" si="593"/>
        <v>0.55606420327741424</v>
      </c>
      <c r="V1010" s="66">
        <f t="shared" si="594"/>
        <v>1</v>
      </c>
      <c r="W1010" s="66">
        <f t="shared" si="595"/>
        <v>1.1879095328683151E-2</v>
      </c>
      <c r="X1010" s="66">
        <f t="shared" si="596"/>
        <v>1.3830426939266385E-2</v>
      </c>
      <c r="Y1010" s="66">
        <f t="shared" si="597"/>
        <v>1.4207278839612113E-2</v>
      </c>
      <c r="Z1010" s="66">
        <f t="shared" si="598"/>
        <v>3.6703349891733537E-2</v>
      </c>
      <c r="AA1010" s="66">
        <f t="shared" si="571"/>
        <v>2.0795858881203468E-2</v>
      </c>
      <c r="AB1010" s="66">
        <f t="shared" si="599"/>
        <v>1.9453588513413472E-2</v>
      </c>
      <c r="AC1010" s="67">
        <f t="shared" si="572"/>
        <v>33791155.271377668</v>
      </c>
      <c r="AD1010" s="67">
        <f t="shared" si="579"/>
        <v>33791155.271377668</v>
      </c>
      <c r="AE1010" s="66">
        <f t="shared" si="575"/>
        <v>3.2000000000000473E-2</v>
      </c>
      <c r="AF1010" s="64">
        <f t="shared" si="577"/>
        <v>33791155.271377668</v>
      </c>
      <c r="AG1010" s="64">
        <v>1</v>
      </c>
      <c r="AH1010" s="64">
        <f t="shared" si="578"/>
        <v>33791155.271377668</v>
      </c>
      <c r="AI1010" s="67">
        <f t="shared" si="573"/>
        <v>63.183545344803377</v>
      </c>
      <c r="AJ1010" s="67">
        <f t="shared" si="574"/>
        <v>0</v>
      </c>
      <c r="AK1010" s="66">
        <f t="shared" si="576"/>
        <v>3.2000000000000473E-2</v>
      </c>
    </row>
    <row r="1011" spans="1:37" ht="12" customHeight="1" x14ac:dyDescent="0.25">
      <c r="A1011" s="134" t="s">
        <v>603</v>
      </c>
      <c r="B1011" s="134" t="s">
        <v>394</v>
      </c>
      <c r="C1011" s="134" t="s">
        <v>396</v>
      </c>
      <c r="D1011" s="128">
        <v>2030</v>
      </c>
      <c r="E1011" s="134" t="s">
        <v>676</v>
      </c>
      <c r="F1011" s="57">
        <f>SIM_Parametres!$C$36</f>
        <v>1737013983.2082016</v>
      </c>
      <c r="G1011" s="129">
        <f>SIM_Districts!D17*(1+SIM_Parametres!$B$6)^(2030-2023)</f>
        <v>118513.10542007133</v>
      </c>
      <c r="H1011" s="129">
        <f>MAX(0,MIN(100,SIM_Districts!F17+(2030-2022)*SIM_Parametres!$B$7))</f>
        <v>39.86</v>
      </c>
      <c r="I1011" s="129">
        <f>SIM_Districts!G17*(1+SIM_Parametres!$B$8)^(2030-2023)</f>
        <v>25.939103767705593</v>
      </c>
      <c r="J1011" s="129">
        <f>SIM_Districts!H17*(1+SIM_Parametres!$B$9)^(2030-2023)</f>
        <v>7.6049207100000027</v>
      </c>
      <c r="K1011" s="129">
        <f>MAX(0,MIN(100,SIM_Districts!I17+(2030-2023)*SIM_Parametres!$B$10))</f>
        <v>100</v>
      </c>
      <c r="L1011" s="129">
        <f>SIM_Districts!E17</f>
        <v>978</v>
      </c>
      <c r="M1011" s="68">
        <f t="shared" si="570"/>
        <v>121.17904439680095</v>
      </c>
      <c r="N1011" s="129">
        <f>N940*(1+SIM_Parametres!$B$6)/(1+SIM_Parametres!$B$11)</f>
        <v>95110</v>
      </c>
      <c r="O1011" s="135"/>
      <c r="P1011" s="130">
        <f>SIM_Parametres!$D$36</f>
        <v>1</v>
      </c>
      <c r="Q1011" s="130">
        <f>SIM_Parametres!$B$12</f>
        <v>0.2</v>
      </c>
      <c r="R1011" s="59">
        <f t="shared" si="590"/>
        <v>5.3161170333549087E-3</v>
      </c>
      <c r="S1011" s="59">
        <f t="shared" si="591"/>
        <v>0.65957446808510634</v>
      </c>
      <c r="T1011" s="59">
        <f t="shared" si="592"/>
        <v>0.65469613259668513</v>
      </c>
      <c r="U1011" s="59">
        <f t="shared" si="593"/>
        <v>0.53221272247018292</v>
      </c>
      <c r="V1011" s="59">
        <f t="shared" si="594"/>
        <v>0.24769050312675686</v>
      </c>
      <c r="W1011" s="59">
        <f t="shared" si="595"/>
        <v>1.5726062143310078E-2</v>
      </c>
      <c r="X1011" s="59">
        <f t="shared" si="596"/>
        <v>1.2955775433225826E-2</v>
      </c>
      <c r="Y1011" s="59">
        <f t="shared" si="597"/>
        <v>1.3597880434592079E-2</v>
      </c>
      <c r="Z1011" s="59">
        <f t="shared" si="598"/>
        <v>9.0910712011208778E-3</v>
      </c>
      <c r="AA1011" s="59">
        <f t="shared" si="571"/>
        <v>8.6263934382789786E-3</v>
      </c>
      <c r="AB1011" s="59">
        <f t="shared" si="599"/>
        <v>9.7180161590738855E-3</v>
      </c>
      <c r="AC1011" s="60">
        <f t="shared" si="572"/>
        <v>16880329.957354601</v>
      </c>
      <c r="AD1011" s="60">
        <f t="shared" si="579"/>
        <v>16880329.957354601</v>
      </c>
      <c r="AE1011" s="59">
        <f t="shared" si="575"/>
        <v>3.200000000000025E-2</v>
      </c>
      <c r="AF1011" s="57">
        <f t="shared" si="577"/>
        <v>16880329.957354601</v>
      </c>
      <c r="AG1011" s="57">
        <v>1</v>
      </c>
      <c r="AH1011" s="57">
        <f t="shared" si="578"/>
        <v>16880329.957354601</v>
      </c>
      <c r="AI1011" s="60">
        <f t="shared" si="573"/>
        <v>142.43428941906501</v>
      </c>
      <c r="AJ1011" s="60">
        <f t="shared" si="574"/>
        <v>0</v>
      </c>
      <c r="AK1011" s="59">
        <f t="shared" si="576"/>
        <v>3.200000000000025E-2</v>
      </c>
    </row>
    <row r="1012" spans="1:37" ht="12" customHeight="1" x14ac:dyDescent="0.25">
      <c r="A1012" s="133" t="s">
        <v>605</v>
      </c>
      <c r="B1012" s="133" t="s">
        <v>394</v>
      </c>
      <c r="C1012" s="133" t="s">
        <v>394</v>
      </c>
      <c r="D1012" s="124">
        <v>2030</v>
      </c>
      <c r="E1012" s="133" t="s">
        <v>676</v>
      </c>
      <c r="F1012" s="64">
        <f>SIM_Parametres!$C$36</f>
        <v>1737013983.2082016</v>
      </c>
      <c r="G1012" s="125">
        <f>SIM_Districts!D18*(1+SIM_Parametres!$B$6)^(2030-2023)</f>
        <v>289701.70849628985</v>
      </c>
      <c r="H1012" s="125">
        <f>MAX(0,MIN(100,SIM_Districts!F18+(2030-2022)*SIM_Parametres!$B$7))</f>
        <v>39.86</v>
      </c>
      <c r="I1012" s="125">
        <f>SIM_Districts!G18*(1+SIM_Parametres!$B$8)^(2030-2023)</f>
        <v>25.939103767705593</v>
      </c>
      <c r="J1012" s="125">
        <f>SIM_Districts!H18*(1+SIM_Parametres!$B$9)^(2030-2023)</f>
        <v>7.6049207100000027</v>
      </c>
      <c r="K1012" s="125">
        <f>MAX(0,MIN(100,SIM_Districts!I18+(2030-2023)*SIM_Parametres!$B$10))</f>
        <v>100</v>
      </c>
      <c r="L1012" s="125">
        <f>SIM_Districts!E18</f>
        <v>1155</v>
      </c>
      <c r="M1012" s="61">
        <f t="shared" si="570"/>
        <v>250.8239900400778</v>
      </c>
      <c r="N1012" s="125">
        <f>N941*(1+SIM_Parametres!$B$6)/(1+SIM_Parametres!$B$11)</f>
        <v>95110</v>
      </c>
      <c r="O1012" s="3"/>
      <c r="P1012" s="126">
        <f>SIM_Parametres!$D$36</f>
        <v>1</v>
      </c>
      <c r="Q1012" s="126">
        <f>SIM_Parametres!$B$12</f>
        <v>0.2</v>
      </c>
      <c r="R1012" s="66">
        <f t="shared" si="590"/>
        <v>1.2995087603774125E-2</v>
      </c>
      <c r="S1012" s="66">
        <f t="shared" si="591"/>
        <v>0.65957446808510634</v>
      </c>
      <c r="T1012" s="66">
        <f t="shared" si="592"/>
        <v>0.65469613259668513</v>
      </c>
      <c r="U1012" s="66">
        <f t="shared" si="593"/>
        <v>0.5368532343373823</v>
      </c>
      <c r="V1012" s="66">
        <f t="shared" si="594"/>
        <v>0.24769050312675686</v>
      </c>
      <c r="W1012" s="66">
        <f t="shared" si="595"/>
        <v>1.5726062143310078E-2</v>
      </c>
      <c r="X1012" s="66">
        <f t="shared" si="596"/>
        <v>1.2955775433225826E-2</v>
      </c>
      <c r="Y1012" s="66">
        <f t="shared" si="597"/>
        <v>1.3716444164584495E-2</v>
      </c>
      <c r="Z1012" s="66">
        <f t="shared" si="598"/>
        <v>9.0910712011208778E-3</v>
      </c>
      <c r="AA1012" s="66">
        <f t="shared" si="571"/>
        <v>1.3239703967030128E-2</v>
      </c>
      <c r="AB1012" s="66">
        <f t="shared" si="599"/>
        <v>1.3408664582074804E-2</v>
      </c>
      <c r="AC1012" s="67">
        <f t="shared" si="572"/>
        <v>23291037.875212498</v>
      </c>
      <c r="AD1012" s="67">
        <f t="shared" si="579"/>
        <v>23291037.875212498</v>
      </c>
      <c r="AE1012" s="66">
        <f t="shared" si="575"/>
        <v>3.200000000000025E-2</v>
      </c>
      <c r="AF1012" s="64">
        <f t="shared" si="577"/>
        <v>23291037.875212498</v>
      </c>
      <c r="AG1012" s="64">
        <v>1</v>
      </c>
      <c r="AH1012" s="64">
        <f t="shared" si="578"/>
        <v>23291037.875212498</v>
      </c>
      <c r="AI1012" s="67">
        <f t="shared" si="573"/>
        <v>80.396618977864193</v>
      </c>
      <c r="AJ1012" s="67">
        <f t="shared" si="574"/>
        <v>0</v>
      </c>
      <c r="AK1012" s="66">
        <f t="shared" si="576"/>
        <v>3.200000000000025E-2</v>
      </c>
    </row>
    <row r="1013" spans="1:37" ht="12" customHeight="1" x14ac:dyDescent="0.25">
      <c r="A1013" s="134" t="s">
        <v>606</v>
      </c>
      <c r="B1013" s="134" t="s">
        <v>394</v>
      </c>
      <c r="C1013" s="134" t="s">
        <v>397</v>
      </c>
      <c r="D1013" s="128">
        <v>2030</v>
      </c>
      <c r="E1013" s="134" t="s">
        <v>676</v>
      </c>
      <c r="F1013" s="57">
        <f>SIM_Parametres!$C$36</f>
        <v>1737013983.2082016</v>
      </c>
      <c r="G1013" s="129">
        <f>SIM_Districts!D19*(1+SIM_Parametres!$B$6)^(2030-2023)</f>
        <v>79153.452104879208</v>
      </c>
      <c r="H1013" s="129">
        <f>MAX(0,MIN(100,SIM_Districts!F19+(2030-2022)*SIM_Parametres!$B$7))</f>
        <v>39.86</v>
      </c>
      <c r="I1013" s="129">
        <f>SIM_Districts!G19*(1+SIM_Parametres!$B$8)^(2030-2023)</f>
        <v>25.939103767705593</v>
      </c>
      <c r="J1013" s="129">
        <f>SIM_Districts!H19*(1+SIM_Parametres!$B$9)^(2030-2023)</f>
        <v>7.6049207100000027</v>
      </c>
      <c r="K1013" s="129">
        <f>MAX(0,MIN(100,SIM_Districts!I19+(2030-2023)*SIM_Parametres!$B$10))</f>
        <v>100</v>
      </c>
      <c r="L1013" s="129">
        <f>SIM_Districts!E19</f>
        <v>733</v>
      </c>
      <c r="M1013" s="68">
        <f t="shared" si="570"/>
        <v>107.9856099657288</v>
      </c>
      <c r="N1013" s="129">
        <f>N942*(1+SIM_Parametres!$B$6)/(1+SIM_Parametres!$B$11)</f>
        <v>95110</v>
      </c>
      <c r="O1013" s="135"/>
      <c r="P1013" s="130">
        <f>SIM_Parametres!$D$36</f>
        <v>1</v>
      </c>
      <c r="Q1013" s="130">
        <f>SIM_Parametres!$B$12</f>
        <v>0.2</v>
      </c>
      <c r="R1013" s="59">
        <f t="shared" si="590"/>
        <v>3.5505694791483008E-3</v>
      </c>
      <c r="S1013" s="59">
        <f t="shared" si="591"/>
        <v>0.65957446808510634</v>
      </c>
      <c r="T1013" s="59">
        <f t="shared" si="592"/>
        <v>0.65469613259668513</v>
      </c>
      <c r="U1013" s="59">
        <f t="shared" si="593"/>
        <v>0.52387753369973955</v>
      </c>
      <c r="V1013" s="59">
        <f t="shared" si="594"/>
        <v>0.24769050312675686</v>
      </c>
      <c r="W1013" s="59">
        <f t="shared" si="595"/>
        <v>1.5726062143310078E-2</v>
      </c>
      <c r="X1013" s="59">
        <f t="shared" si="596"/>
        <v>1.2955775433225826E-2</v>
      </c>
      <c r="Y1013" s="59">
        <f t="shared" si="597"/>
        <v>1.3384918783141528E-2</v>
      </c>
      <c r="Z1013" s="59">
        <f t="shared" si="598"/>
        <v>9.0910712011208778E-3</v>
      </c>
      <c r="AA1013" s="59">
        <f t="shared" si="571"/>
        <v>7.5564168231824855E-3</v>
      </c>
      <c r="AB1013" s="59">
        <f t="shared" si="599"/>
        <v>8.8620348669966927E-3</v>
      </c>
      <c r="AC1013" s="60">
        <f t="shared" si="572"/>
        <v>15393478.483651891</v>
      </c>
      <c r="AD1013" s="60">
        <f t="shared" si="579"/>
        <v>15393478.483651891</v>
      </c>
      <c r="AE1013" s="59">
        <f t="shared" si="575"/>
        <v>3.200000000000025E-2</v>
      </c>
      <c r="AF1013" s="57">
        <f t="shared" si="577"/>
        <v>15393478.483651891</v>
      </c>
      <c r="AG1013" s="57">
        <v>1</v>
      </c>
      <c r="AH1013" s="57">
        <f t="shared" si="578"/>
        <v>15393478.483651891</v>
      </c>
      <c r="AI1013" s="60">
        <f t="shared" si="573"/>
        <v>194.47640089348675</v>
      </c>
      <c r="AJ1013" s="60">
        <f t="shared" si="574"/>
        <v>0</v>
      </c>
      <c r="AK1013" s="59">
        <f t="shared" si="576"/>
        <v>3.200000000000025E-2</v>
      </c>
    </row>
    <row r="1014" spans="1:37" ht="12" customHeight="1" x14ac:dyDescent="0.25">
      <c r="A1014" s="133" t="s">
        <v>607</v>
      </c>
      <c r="B1014" s="133" t="s">
        <v>394</v>
      </c>
      <c r="C1014" s="133" t="s">
        <v>398</v>
      </c>
      <c r="D1014" s="124">
        <v>2030</v>
      </c>
      <c r="E1014" s="133" t="s">
        <v>676</v>
      </c>
      <c r="F1014" s="64">
        <f>SIM_Parametres!$C$36</f>
        <v>1737013983.2082016</v>
      </c>
      <c r="G1014" s="125">
        <f>SIM_Districts!D20*(1+SIM_Parametres!$B$6)^(2030-2023)</f>
        <v>149443.20326164138</v>
      </c>
      <c r="H1014" s="125">
        <f>MAX(0,MIN(100,SIM_Districts!F20+(2030-2022)*SIM_Parametres!$B$7))</f>
        <v>39.86</v>
      </c>
      <c r="I1014" s="125">
        <f>SIM_Districts!G20*(1+SIM_Parametres!$B$8)^(2030-2023)</f>
        <v>25.939103767705593</v>
      </c>
      <c r="J1014" s="125">
        <f>SIM_Districts!H20*(1+SIM_Parametres!$B$9)^(2030-2023)</f>
        <v>7.6049207100000027</v>
      </c>
      <c r="K1014" s="125">
        <f>MAX(0,MIN(100,SIM_Districts!I20+(2030-2023)*SIM_Parametres!$B$10))</f>
        <v>100</v>
      </c>
      <c r="L1014" s="125">
        <f>SIM_Districts!E20</f>
        <v>1476</v>
      </c>
      <c r="M1014" s="61">
        <f t="shared" si="570"/>
        <v>101.24878269758901</v>
      </c>
      <c r="N1014" s="125">
        <f>N943*(1+SIM_Parametres!$B$6)/(1+SIM_Parametres!$B$11)</f>
        <v>95110</v>
      </c>
      <c r="O1014" s="3"/>
      <c r="P1014" s="126">
        <f>SIM_Parametres!$D$36</f>
        <v>1</v>
      </c>
      <c r="Q1014" s="126">
        <f>SIM_Parametres!$B$12</f>
        <v>0.2</v>
      </c>
      <c r="R1014" s="66">
        <f t="shared" si="590"/>
        <v>6.7035418198043662E-3</v>
      </c>
      <c r="S1014" s="66">
        <f t="shared" si="591"/>
        <v>0.65957446808510634</v>
      </c>
      <c r="T1014" s="66">
        <f t="shared" si="592"/>
        <v>0.65469613259668513</v>
      </c>
      <c r="U1014" s="66">
        <f t="shared" si="593"/>
        <v>0.54969284466862123</v>
      </c>
      <c r="V1014" s="66">
        <f t="shared" si="594"/>
        <v>0.24769050312675686</v>
      </c>
      <c r="W1014" s="66">
        <f t="shared" si="595"/>
        <v>1.5726062143310078E-2</v>
      </c>
      <c r="X1014" s="66">
        <f t="shared" si="596"/>
        <v>1.2955775433225826E-2</v>
      </c>
      <c r="Y1014" s="66">
        <f t="shared" si="597"/>
        <v>1.4044492478237353E-2</v>
      </c>
      <c r="Z1014" s="66">
        <f t="shared" si="598"/>
        <v>9.0910712011208778E-3</v>
      </c>
      <c r="AA1014" s="66">
        <f t="shared" si="571"/>
        <v>9.4811789123309155E-3</v>
      </c>
      <c r="AB1014" s="66">
        <f t="shared" si="599"/>
        <v>1.0401844538315436E-2</v>
      </c>
      <c r="AC1014" s="67">
        <f t="shared" si="572"/>
        <v>18068149.414211776</v>
      </c>
      <c r="AD1014" s="67">
        <f t="shared" si="579"/>
        <v>18068149.414211776</v>
      </c>
      <c r="AE1014" s="66">
        <f t="shared" si="575"/>
        <v>3.200000000000025E-2</v>
      </c>
      <c r="AF1014" s="64">
        <f t="shared" si="577"/>
        <v>18068149.414211776</v>
      </c>
      <c r="AG1014" s="64">
        <v>1</v>
      </c>
      <c r="AH1014" s="64">
        <f t="shared" si="578"/>
        <v>18068149.414211776</v>
      </c>
      <c r="AI1014" s="67">
        <f t="shared" si="573"/>
        <v>120.90311917751467</v>
      </c>
      <c r="AJ1014" s="67">
        <f t="shared" si="574"/>
        <v>0</v>
      </c>
      <c r="AK1014" s="66">
        <f t="shared" si="576"/>
        <v>3.200000000000025E-2</v>
      </c>
    </row>
    <row r="1015" spans="1:37" ht="12" customHeight="1" x14ac:dyDescent="0.25">
      <c r="A1015" s="134" t="s">
        <v>608</v>
      </c>
      <c r="B1015" s="134" t="s">
        <v>394</v>
      </c>
      <c r="C1015" s="134" t="s">
        <v>399</v>
      </c>
      <c r="D1015" s="128">
        <v>2030</v>
      </c>
      <c r="E1015" s="134" t="s">
        <v>676</v>
      </c>
      <c r="F1015" s="57">
        <f>SIM_Parametres!$C$36</f>
        <v>1737013983.2082016</v>
      </c>
      <c r="G1015" s="129">
        <f>SIM_Districts!D21*(1+SIM_Parametres!$B$6)^(2030-2023)</f>
        <v>121443.89484137879</v>
      </c>
      <c r="H1015" s="129">
        <f>MAX(0,MIN(100,SIM_Districts!F21+(2030-2022)*SIM_Parametres!$B$7))</f>
        <v>39.86</v>
      </c>
      <c r="I1015" s="129">
        <f>SIM_Districts!G21*(1+SIM_Parametres!$B$8)^(2030-2023)</f>
        <v>25.939103767705593</v>
      </c>
      <c r="J1015" s="129">
        <f>SIM_Districts!H21*(1+SIM_Parametres!$B$9)^(2030-2023)</f>
        <v>7.6049207100000027</v>
      </c>
      <c r="K1015" s="129">
        <f>MAX(0,MIN(100,SIM_Districts!I21+(2030-2023)*SIM_Parametres!$B$10))</f>
        <v>100</v>
      </c>
      <c r="L1015" s="129">
        <f>SIM_Districts!E21</f>
        <v>406</v>
      </c>
      <c r="M1015" s="68">
        <f t="shared" si="570"/>
        <v>299.1228936979773</v>
      </c>
      <c r="N1015" s="129">
        <f>N944*(1+SIM_Parametres!$B$6)/(1+SIM_Parametres!$B$11)</f>
        <v>95110</v>
      </c>
      <c r="O1015" s="135"/>
      <c r="P1015" s="130">
        <f>SIM_Parametres!$D$36</f>
        <v>1</v>
      </c>
      <c r="Q1015" s="130">
        <f>SIM_Parametres!$B$12</f>
        <v>0.2</v>
      </c>
      <c r="R1015" s="59">
        <f t="shared" si="590"/>
        <v>5.4475828278639973E-3</v>
      </c>
      <c r="S1015" s="59">
        <f t="shared" si="591"/>
        <v>0.65957446808510634</v>
      </c>
      <c r="T1015" s="59">
        <f t="shared" si="592"/>
        <v>0.65469613259668513</v>
      </c>
      <c r="U1015" s="59">
        <f t="shared" si="593"/>
        <v>0.51035214004959617</v>
      </c>
      <c r="V1015" s="59">
        <f t="shared" si="594"/>
        <v>0.24769050312675686</v>
      </c>
      <c r="W1015" s="59">
        <f t="shared" si="595"/>
        <v>1.5726062143310078E-2</v>
      </c>
      <c r="X1015" s="59">
        <f t="shared" si="596"/>
        <v>1.2955775433225826E-2</v>
      </c>
      <c r="Y1015" s="59">
        <f t="shared" si="597"/>
        <v>1.3039348904932267E-2</v>
      </c>
      <c r="Z1015" s="59">
        <f t="shared" si="598"/>
        <v>9.0910712011208778E-3</v>
      </c>
      <c r="AA1015" s="59">
        <f t="shared" si="571"/>
        <v>8.6773463385014411E-3</v>
      </c>
      <c r="AB1015" s="59">
        <f t="shared" si="599"/>
        <v>9.7587784792518562E-3</v>
      </c>
      <c r="AC1015" s="60">
        <f t="shared" si="572"/>
        <v>16951134.677491747</v>
      </c>
      <c r="AD1015" s="60">
        <f t="shared" si="579"/>
        <v>16951134.677491747</v>
      </c>
      <c r="AE1015" s="59">
        <f t="shared" si="575"/>
        <v>3.200000000000025E-2</v>
      </c>
      <c r="AF1015" s="57">
        <f t="shared" si="577"/>
        <v>16951134.677491747</v>
      </c>
      <c r="AG1015" s="57">
        <v>1</v>
      </c>
      <c r="AH1015" s="57">
        <f t="shared" si="578"/>
        <v>16951134.677491747</v>
      </c>
      <c r="AI1015" s="60">
        <f t="shared" si="573"/>
        <v>139.57996570870927</v>
      </c>
      <c r="AJ1015" s="60">
        <f t="shared" si="574"/>
        <v>0</v>
      </c>
      <c r="AK1015" s="59">
        <f t="shared" si="576"/>
        <v>3.200000000000025E-2</v>
      </c>
    </row>
    <row r="1016" spans="1:37" ht="12" customHeight="1" x14ac:dyDescent="0.25">
      <c r="A1016" s="133" t="s">
        <v>609</v>
      </c>
      <c r="B1016" s="133" t="s">
        <v>394</v>
      </c>
      <c r="C1016" s="133" t="s">
        <v>400</v>
      </c>
      <c r="D1016" s="124">
        <v>2030</v>
      </c>
      <c r="E1016" s="133" t="s">
        <v>676</v>
      </c>
      <c r="F1016" s="64">
        <f>SIM_Parametres!$C$36</f>
        <v>1737013983.2082016</v>
      </c>
      <c r="G1016" s="125">
        <f>SIM_Districts!D22*(1+SIM_Parametres!$B$6)^(2030-2023)</f>
        <v>127625.24088900418</v>
      </c>
      <c r="H1016" s="125">
        <f>MAX(0,MIN(100,SIM_Districts!F22+(2030-2022)*SIM_Parametres!$B$7))</f>
        <v>39.86</v>
      </c>
      <c r="I1016" s="125">
        <f>SIM_Districts!G22*(1+SIM_Parametres!$B$8)^(2030-2023)</f>
        <v>25.939103767705593</v>
      </c>
      <c r="J1016" s="125">
        <f>SIM_Districts!H22*(1+SIM_Parametres!$B$9)^(2030-2023)</f>
        <v>7.6049207100000027</v>
      </c>
      <c r="K1016" s="125">
        <f>MAX(0,MIN(100,SIM_Districts!I22+(2030-2023)*SIM_Parametres!$B$10))</f>
        <v>100</v>
      </c>
      <c r="L1016" s="125">
        <f>SIM_Districts!E22</f>
        <v>866</v>
      </c>
      <c r="M1016" s="61">
        <f t="shared" si="570"/>
        <v>147.37325737760298</v>
      </c>
      <c r="N1016" s="125">
        <f>N945*(1+SIM_Parametres!$B$6)/(1+SIM_Parametres!$B$11)</f>
        <v>95110</v>
      </c>
      <c r="O1016" s="3"/>
      <c r="P1016" s="126">
        <f>SIM_Parametres!$D$36</f>
        <v>1</v>
      </c>
      <c r="Q1016" s="126">
        <f>SIM_Parametres!$B$12</f>
        <v>0.2</v>
      </c>
      <c r="R1016" s="66">
        <f t="shared" si="590"/>
        <v>5.7248581460354938E-3</v>
      </c>
      <c r="S1016" s="66">
        <f t="shared" si="591"/>
        <v>0.65957446808510634</v>
      </c>
      <c r="T1016" s="66">
        <f t="shared" si="592"/>
        <v>0.65469613259668513</v>
      </c>
      <c r="U1016" s="66">
        <f t="shared" si="593"/>
        <v>0.52803177519419786</v>
      </c>
      <c r="V1016" s="66">
        <f t="shared" si="594"/>
        <v>0.24769050312675686</v>
      </c>
      <c r="W1016" s="66">
        <f t="shared" si="595"/>
        <v>1.5726062143310078E-2</v>
      </c>
      <c r="X1016" s="66">
        <f t="shared" si="596"/>
        <v>1.2955775433225826E-2</v>
      </c>
      <c r="Y1016" s="66">
        <f t="shared" si="597"/>
        <v>1.3491058446387235E-2</v>
      </c>
      <c r="Z1016" s="66">
        <f t="shared" si="598"/>
        <v>9.0910712011208778E-3</v>
      </c>
      <c r="AA1016" s="66">
        <f t="shared" si="571"/>
        <v>8.8662970064770866E-3</v>
      </c>
      <c r="AB1016" s="66">
        <f t="shared" si="599"/>
        <v>9.9099390136323726E-3</v>
      </c>
      <c r="AC1016" s="67">
        <f t="shared" si="572"/>
        <v>17213702.639419928</v>
      </c>
      <c r="AD1016" s="67">
        <f t="shared" si="579"/>
        <v>17213702.639419928</v>
      </c>
      <c r="AE1016" s="66">
        <f t="shared" si="575"/>
        <v>3.200000000000025E-2</v>
      </c>
      <c r="AF1016" s="64">
        <f t="shared" si="577"/>
        <v>17213702.639419928</v>
      </c>
      <c r="AG1016" s="64">
        <v>1</v>
      </c>
      <c r="AH1016" s="64">
        <f t="shared" si="578"/>
        <v>17213702.639419928</v>
      </c>
      <c r="AI1016" s="67">
        <f t="shared" si="573"/>
        <v>134.87694534023018</v>
      </c>
      <c r="AJ1016" s="67">
        <f t="shared" si="574"/>
        <v>0</v>
      </c>
      <c r="AK1016" s="66">
        <f t="shared" si="576"/>
        <v>3.200000000000025E-2</v>
      </c>
    </row>
    <row r="1017" spans="1:37" ht="12" customHeight="1" x14ac:dyDescent="0.25">
      <c r="A1017" s="134" t="s">
        <v>610</v>
      </c>
      <c r="B1017" s="134" t="s">
        <v>394</v>
      </c>
      <c r="C1017" s="134" t="s">
        <v>401</v>
      </c>
      <c r="D1017" s="128">
        <v>2030</v>
      </c>
      <c r="E1017" s="134" t="s">
        <v>676</v>
      </c>
      <c r="F1017" s="57">
        <f>SIM_Parametres!$C$36</f>
        <v>1737013983.2082016</v>
      </c>
      <c r="G1017" s="129">
        <f>SIM_Districts!D23*(1+SIM_Parametres!$B$6)^(2030-2023)</f>
        <v>229514.14127012753</v>
      </c>
      <c r="H1017" s="129">
        <f>MAX(0,MIN(100,SIM_Districts!F23+(2030-2022)*SIM_Parametres!$B$7))</f>
        <v>39.86</v>
      </c>
      <c r="I1017" s="129">
        <f>SIM_Districts!G23*(1+SIM_Parametres!$B$8)^(2030-2023)</f>
        <v>25.939103767705593</v>
      </c>
      <c r="J1017" s="129">
        <f>SIM_Districts!H23*(1+SIM_Parametres!$B$9)^(2030-2023)</f>
        <v>7.6049207100000027</v>
      </c>
      <c r="K1017" s="129">
        <f>MAX(0,MIN(100,SIM_Districts!I23+(2030-2023)*SIM_Parametres!$B$10))</f>
        <v>100</v>
      </c>
      <c r="L1017" s="129">
        <f>SIM_Districts!E23</f>
        <v>1459</v>
      </c>
      <c r="M1017" s="68">
        <f t="shared" si="570"/>
        <v>157.30921265944312</v>
      </c>
      <c r="N1017" s="129">
        <f>N946*(1+SIM_Parametres!$B$6)/(1+SIM_Parametres!$B$11)</f>
        <v>95110</v>
      </c>
      <c r="O1017" s="135"/>
      <c r="P1017" s="130">
        <f>SIM_Parametres!$D$36</f>
        <v>1</v>
      </c>
      <c r="Q1017" s="130">
        <f>SIM_Parametres!$B$12</f>
        <v>0.2</v>
      </c>
      <c r="R1017" s="59">
        <f t="shared" si="590"/>
        <v>1.0295266767984887E-2</v>
      </c>
      <c r="S1017" s="59">
        <f t="shared" si="591"/>
        <v>0.65957446808510634</v>
      </c>
      <c r="T1017" s="59">
        <f t="shared" si="592"/>
        <v>0.65469613259668513</v>
      </c>
      <c r="U1017" s="59">
        <f t="shared" si="593"/>
        <v>0.54845929360496004</v>
      </c>
      <c r="V1017" s="59">
        <f t="shared" si="594"/>
        <v>0.24769050312675686</v>
      </c>
      <c r="W1017" s="59">
        <f t="shared" si="595"/>
        <v>1.5726062143310078E-2</v>
      </c>
      <c r="X1017" s="59">
        <f t="shared" si="596"/>
        <v>1.2955775433225826E-2</v>
      </c>
      <c r="Y1017" s="59">
        <f t="shared" si="597"/>
        <v>1.4012975606946159E-2</v>
      </c>
      <c r="Z1017" s="59">
        <f t="shared" si="598"/>
        <v>9.0910712011208778E-3</v>
      </c>
      <c r="AA1017" s="59">
        <f t="shared" si="571"/>
        <v>1.1634638037674668E-2</v>
      </c>
      <c r="AB1017" s="59">
        <f t="shared" si="599"/>
        <v>1.2124611838590435E-2</v>
      </c>
      <c r="AC1017" s="60">
        <f t="shared" si="572"/>
        <v>21060620.304603294</v>
      </c>
      <c r="AD1017" s="60">
        <f t="shared" si="579"/>
        <v>21060620.304603294</v>
      </c>
      <c r="AE1017" s="59">
        <f t="shared" si="575"/>
        <v>3.200000000000025E-2</v>
      </c>
      <c r="AF1017" s="57">
        <f t="shared" si="577"/>
        <v>21060620.304603294</v>
      </c>
      <c r="AG1017" s="57">
        <v>1</v>
      </c>
      <c r="AH1017" s="57">
        <f t="shared" si="578"/>
        <v>21060620.304603294</v>
      </c>
      <c r="AI1017" s="60">
        <f t="shared" si="573"/>
        <v>91.761754583199817</v>
      </c>
      <c r="AJ1017" s="60">
        <f t="shared" si="574"/>
        <v>0</v>
      </c>
      <c r="AK1017" s="59">
        <f t="shared" si="576"/>
        <v>3.200000000000025E-2</v>
      </c>
    </row>
    <row r="1018" spans="1:37" ht="12" customHeight="1" x14ac:dyDescent="0.25">
      <c r="A1018" s="133" t="s">
        <v>611</v>
      </c>
      <c r="B1018" s="133" t="s">
        <v>402</v>
      </c>
      <c r="C1018" s="133" t="s">
        <v>404</v>
      </c>
      <c r="D1018" s="124">
        <v>2030</v>
      </c>
      <c r="E1018" s="133" t="s">
        <v>676</v>
      </c>
      <c r="F1018" s="64">
        <f>SIM_Parametres!$C$36</f>
        <v>1737013983.2082016</v>
      </c>
      <c r="G1018" s="125">
        <f>SIM_Districts!D24*(1+SIM_Parametres!$B$6)^(2030-2023)</f>
        <v>180117.48733920307</v>
      </c>
      <c r="H1018" s="125">
        <f>MAX(0,MIN(100,SIM_Districts!F24+(2030-2022)*SIM_Parametres!$B$7))</f>
        <v>51.56</v>
      </c>
      <c r="I1018" s="125">
        <f>SIM_Districts!G24*(1+SIM_Parametres!$B$8)^(2030-2023)</f>
        <v>25.939103767705593</v>
      </c>
      <c r="J1018" s="125">
        <f>SIM_Districts!H24*(1+SIM_Parametres!$B$9)^(2030-2023)</f>
        <v>13.583631960000004</v>
      </c>
      <c r="K1018" s="125">
        <f>MAX(0,MIN(100,SIM_Districts!I24+(2030-2023)*SIM_Parametres!$B$10))</f>
        <v>99.4</v>
      </c>
      <c r="L1018" s="125">
        <f>SIM_Districts!E24</f>
        <v>1150</v>
      </c>
      <c r="M1018" s="61">
        <f t="shared" si="570"/>
        <v>156.62390203408964</v>
      </c>
      <c r="N1018" s="125">
        <f>N947*(1+SIM_Parametres!$B$6)/(1+SIM_Parametres!$B$11)</f>
        <v>169739</v>
      </c>
      <c r="O1018" s="3"/>
      <c r="P1018" s="126">
        <f>SIM_Parametres!$D$36</f>
        <v>1</v>
      </c>
      <c r="Q1018" s="126">
        <f>SIM_Parametres!$B$12</f>
        <v>0.2</v>
      </c>
      <c r="R1018" s="66">
        <f t="shared" si="590"/>
        <v>8.0794916229311679E-3</v>
      </c>
      <c r="S1018" s="66">
        <f t="shared" si="591"/>
        <v>0.86702127659574468</v>
      </c>
      <c r="T1018" s="66">
        <f t="shared" si="592"/>
        <v>1</v>
      </c>
      <c r="U1018" s="66">
        <f t="shared" si="593"/>
        <v>0.53776328071078594</v>
      </c>
      <c r="V1018" s="66">
        <f t="shared" si="594"/>
        <v>0.76566328194948607</v>
      </c>
      <c r="W1018" s="66">
        <f t="shared" si="595"/>
        <v>2.0672162333544703E-2</v>
      </c>
      <c r="X1018" s="66">
        <f t="shared" si="596"/>
        <v>1.9788990324167716E-2</v>
      </c>
      <c r="Y1018" s="66">
        <f t="shared" si="597"/>
        <v>1.3739695585027887E-2</v>
      </c>
      <c r="Z1018" s="66">
        <f t="shared" si="598"/>
        <v>2.8102407336645013E-2</v>
      </c>
      <c r="AA1018" s="66">
        <f t="shared" si="571"/>
        <v>1.3008973018499209E-2</v>
      </c>
      <c r="AB1018" s="66">
        <f t="shared" si="599"/>
        <v>1.3224079823250069E-2</v>
      </c>
      <c r="AC1018" s="67">
        <f t="shared" si="572"/>
        <v>22970411.568046819</v>
      </c>
      <c r="AD1018" s="67">
        <f t="shared" si="579"/>
        <v>22970411.568046819</v>
      </c>
      <c r="AE1018" s="66">
        <f t="shared" si="575"/>
        <v>3.200000000000025E-2</v>
      </c>
      <c r="AF1018" s="64">
        <f t="shared" si="577"/>
        <v>22970411.568046819</v>
      </c>
      <c r="AG1018" s="64">
        <v>1</v>
      </c>
      <c r="AH1018" s="64">
        <f t="shared" si="578"/>
        <v>22970411.568046819</v>
      </c>
      <c r="AI1018" s="67">
        <f t="shared" si="573"/>
        <v>127.53015771749135</v>
      </c>
      <c r="AJ1018" s="67">
        <f t="shared" si="574"/>
        <v>0</v>
      </c>
      <c r="AK1018" s="66">
        <f t="shared" si="576"/>
        <v>3.200000000000025E-2</v>
      </c>
    </row>
    <row r="1019" spans="1:37" ht="12" customHeight="1" x14ac:dyDescent="0.25">
      <c r="A1019" s="134" t="s">
        <v>613</v>
      </c>
      <c r="B1019" s="134" t="s">
        <v>402</v>
      </c>
      <c r="C1019" s="134" t="s">
        <v>402</v>
      </c>
      <c r="D1019" s="128">
        <v>2030</v>
      </c>
      <c r="E1019" s="134" t="s">
        <v>676</v>
      </c>
      <c r="F1019" s="57">
        <f>SIM_Parametres!$C$36</f>
        <v>1737013983.2082016</v>
      </c>
      <c r="G1019" s="129">
        <f>SIM_Districts!D25*(1+SIM_Parametres!$B$6)^(2030-2023)</f>
        <v>369572.17706471175</v>
      </c>
      <c r="H1019" s="129">
        <f>MAX(0,MIN(100,SIM_Districts!F25+(2030-2022)*SIM_Parametres!$B$7))</f>
        <v>51.56</v>
      </c>
      <c r="I1019" s="129">
        <f>SIM_Districts!G25*(1+SIM_Parametres!$B$8)^(2030-2023)</f>
        <v>25.939103767705593</v>
      </c>
      <c r="J1019" s="129">
        <f>SIM_Districts!H25*(1+SIM_Parametres!$B$9)^(2030-2023)</f>
        <v>13.583631960000004</v>
      </c>
      <c r="K1019" s="129">
        <f>MAX(0,MIN(100,SIM_Districts!I25+(2030-2023)*SIM_Parametres!$B$10))</f>
        <v>99.4</v>
      </c>
      <c r="L1019" s="129">
        <f>SIM_Districts!E25</f>
        <v>2609</v>
      </c>
      <c r="M1019" s="68">
        <f t="shared" si="570"/>
        <v>141.65280838049512</v>
      </c>
      <c r="N1019" s="129">
        <f>N948*(1+SIM_Parametres!$B$6)/(1+SIM_Parametres!$B$11)</f>
        <v>169739</v>
      </c>
      <c r="O1019" s="135"/>
      <c r="P1019" s="130">
        <f>SIM_Parametres!$D$36</f>
        <v>1</v>
      </c>
      <c r="Q1019" s="130">
        <f>SIM_Parametres!$B$12</f>
        <v>0.2</v>
      </c>
      <c r="R1019" s="59">
        <f t="shared" si="590"/>
        <v>1.6577820137139297E-2</v>
      </c>
      <c r="S1019" s="59">
        <f t="shared" si="591"/>
        <v>0.86702127659574468</v>
      </c>
      <c r="T1019" s="59">
        <f t="shared" si="592"/>
        <v>1</v>
      </c>
      <c r="U1019" s="59">
        <f t="shared" si="593"/>
        <v>0.58847583069176324</v>
      </c>
      <c r="V1019" s="59">
        <f t="shared" si="594"/>
        <v>0.76566328194948607</v>
      </c>
      <c r="W1019" s="59">
        <f t="shared" si="595"/>
        <v>2.0672162333544703E-2</v>
      </c>
      <c r="X1019" s="59">
        <f t="shared" si="596"/>
        <v>1.9788990324167716E-2</v>
      </c>
      <c r="Y1019" s="59">
        <f t="shared" si="597"/>
        <v>1.5035386503452404E-2</v>
      </c>
      <c r="Z1019" s="59">
        <f t="shared" si="598"/>
        <v>2.8102407336645013E-2</v>
      </c>
      <c r="AA1019" s="59">
        <f t="shared" si="571"/>
        <v>1.8172754672945313E-2</v>
      </c>
      <c r="AB1019" s="59">
        <f t="shared" si="599"/>
        <v>1.7355105146806951E-2</v>
      </c>
      <c r="AC1019" s="60">
        <f t="shared" si="572"/>
        <v>30146060.320052311</v>
      </c>
      <c r="AD1019" s="60">
        <f t="shared" si="579"/>
        <v>30146060.320052311</v>
      </c>
      <c r="AE1019" s="59">
        <f t="shared" si="575"/>
        <v>3.200000000000025E-2</v>
      </c>
      <c r="AF1019" s="57">
        <f t="shared" si="577"/>
        <v>30146060.320052311</v>
      </c>
      <c r="AG1019" s="57">
        <v>1</v>
      </c>
      <c r="AH1019" s="57">
        <f t="shared" si="578"/>
        <v>30146060.320052311</v>
      </c>
      <c r="AI1019" s="60">
        <f t="shared" si="573"/>
        <v>81.570156496855986</v>
      </c>
      <c r="AJ1019" s="60">
        <f t="shared" si="574"/>
        <v>0</v>
      </c>
      <c r="AK1019" s="59">
        <f t="shared" si="576"/>
        <v>3.200000000000025E-2</v>
      </c>
    </row>
    <row r="1020" spans="1:37" ht="12" customHeight="1" x14ac:dyDescent="0.25">
      <c r="A1020" s="133" t="s">
        <v>614</v>
      </c>
      <c r="B1020" s="133" t="s">
        <v>402</v>
      </c>
      <c r="C1020" s="133" t="s">
        <v>405</v>
      </c>
      <c r="D1020" s="124">
        <v>2030</v>
      </c>
      <c r="E1020" s="133" t="s">
        <v>676</v>
      </c>
      <c r="F1020" s="64">
        <f>SIM_Parametres!$C$36</f>
        <v>1737013983.2082016</v>
      </c>
      <c r="G1020" s="125">
        <f>SIM_Districts!D26*(1+SIM_Parametres!$B$6)^(2030-2023)</f>
        <v>290845.49119113496</v>
      </c>
      <c r="H1020" s="125">
        <f>MAX(0,MIN(100,SIM_Districts!F26+(2030-2022)*SIM_Parametres!$B$7))</f>
        <v>51.56</v>
      </c>
      <c r="I1020" s="125">
        <f>SIM_Districts!G26*(1+SIM_Parametres!$B$8)^(2030-2023)</f>
        <v>25.939103767705593</v>
      </c>
      <c r="J1020" s="125">
        <f>SIM_Districts!H26*(1+SIM_Parametres!$B$9)^(2030-2023)</f>
        <v>13.583631960000004</v>
      </c>
      <c r="K1020" s="125">
        <f>MAX(0,MIN(100,SIM_Districts!I26+(2030-2023)*SIM_Parametres!$B$10))</f>
        <v>99.4</v>
      </c>
      <c r="L1020" s="125">
        <f>SIM_Districts!E26</f>
        <v>4537</v>
      </c>
      <c r="M1020" s="61">
        <f t="shared" si="570"/>
        <v>64.105243815546615</v>
      </c>
      <c r="N1020" s="125">
        <f>N949*(1+SIM_Parametres!$B$6)/(1+SIM_Parametres!$B$11)</f>
        <v>169739</v>
      </c>
      <c r="O1020" s="3"/>
      <c r="P1020" s="126">
        <f>SIM_Parametres!$D$36</f>
        <v>1</v>
      </c>
      <c r="Q1020" s="126">
        <f>SIM_Parametres!$B$12</f>
        <v>0.2</v>
      </c>
      <c r="R1020" s="66">
        <f t="shared" si="590"/>
        <v>1.3046394019591772E-2</v>
      </c>
      <c r="S1020" s="66">
        <f t="shared" si="591"/>
        <v>0.86702127659574468</v>
      </c>
      <c r="T1020" s="66">
        <f t="shared" si="592"/>
        <v>1</v>
      </c>
      <c r="U1020" s="66">
        <f t="shared" si="593"/>
        <v>0.65615433798264988</v>
      </c>
      <c r="V1020" s="66">
        <f t="shared" si="594"/>
        <v>0.76566328194948607</v>
      </c>
      <c r="W1020" s="66">
        <f t="shared" si="595"/>
        <v>2.0672162333544703E-2</v>
      </c>
      <c r="X1020" s="66">
        <f t="shared" si="596"/>
        <v>1.9788990324167716E-2</v>
      </c>
      <c r="Y1020" s="66">
        <f t="shared" si="597"/>
        <v>1.6764552702001338E-2</v>
      </c>
      <c r="Z1020" s="66">
        <f t="shared" si="598"/>
        <v>2.8102407336645013E-2</v>
      </c>
      <c r="AA1020" s="66">
        <f t="shared" si="571"/>
        <v>1.6140357312344245E-2</v>
      </c>
      <c r="AB1020" s="66">
        <f t="shared" si="599"/>
        <v>1.5729187258326095E-2</v>
      </c>
      <c r="AC1020" s="67">
        <f t="shared" si="572"/>
        <v>27321818.212212715</v>
      </c>
      <c r="AD1020" s="67">
        <f t="shared" si="579"/>
        <v>27321818.212212715</v>
      </c>
      <c r="AE1020" s="66">
        <f t="shared" si="575"/>
        <v>3.2000000000000473E-2</v>
      </c>
      <c r="AF1020" s="64">
        <f t="shared" si="577"/>
        <v>27321818.212212715</v>
      </c>
      <c r="AG1020" s="64">
        <v>1</v>
      </c>
      <c r="AH1020" s="64">
        <f t="shared" si="578"/>
        <v>27321818.212212715</v>
      </c>
      <c r="AI1020" s="67">
        <f t="shared" si="573"/>
        <v>93.939287490132116</v>
      </c>
      <c r="AJ1020" s="67">
        <f t="shared" si="574"/>
        <v>0</v>
      </c>
      <c r="AK1020" s="66">
        <f t="shared" si="576"/>
        <v>3.2000000000000473E-2</v>
      </c>
    </row>
    <row r="1021" spans="1:37" ht="12" customHeight="1" x14ac:dyDescent="0.25">
      <c r="A1021" s="134" t="s">
        <v>615</v>
      </c>
      <c r="B1021" s="134" t="s">
        <v>402</v>
      </c>
      <c r="C1021" s="134" t="s">
        <v>406</v>
      </c>
      <c r="D1021" s="128">
        <v>2030</v>
      </c>
      <c r="E1021" s="134" t="s">
        <v>676</v>
      </c>
      <c r="F1021" s="57">
        <f>SIM_Parametres!$C$36</f>
        <v>1737013983.2082016</v>
      </c>
      <c r="G1021" s="129">
        <f>SIM_Districts!D27*(1+SIM_Parametres!$B$6)^(2030-2023)</f>
        <v>168459.51296884072</v>
      </c>
      <c r="H1021" s="129">
        <f>MAX(0,MIN(100,SIM_Districts!F27+(2030-2022)*SIM_Parametres!$B$7))</f>
        <v>51.56</v>
      </c>
      <c r="I1021" s="129">
        <f>SIM_Districts!G27*(1+SIM_Parametres!$B$8)^(2030-2023)</f>
        <v>25.939103767705593</v>
      </c>
      <c r="J1021" s="129">
        <f>SIM_Districts!H27*(1+SIM_Parametres!$B$9)^(2030-2023)</f>
        <v>13.583631960000004</v>
      </c>
      <c r="K1021" s="129">
        <f>MAX(0,MIN(100,SIM_Districts!I27+(2030-2023)*SIM_Parametres!$B$10))</f>
        <v>99.4</v>
      </c>
      <c r="L1021" s="129">
        <f>SIM_Districts!E27</f>
        <v>2765</v>
      </c>
      <c r="M1021" s="68">
        <f t="shared" si="570"/>
        <v>60.925682809707311</v>
      </c>
      <c r="N1021" s="129">
        <f>N950*(1+SIM_Parametres!$B$6)/(1+SIM_Parametres!$B$11)</f>
        <v>169739</v>
      </c>
      <c r="O1021" s="135"/>
      <c r="P1021" s="130">
        <f>SIM_Parametres!$D$36</f>
        <v>1</v>
      </c>
      <c r="Q1021" s="130">
        <f>SIM_Parametres!$B$12</f>
        <v>0.2</v>
      </c>
      <c r="R1021" s="59">
        <f t="shared" si="590"/>
        <v>7.5565523589145303E-3</v>
      </c>
      <c r="S1021" s="59">
        <f t="shared" si="591"/>
        <v>0.86702127659574468</v>
      </c>
      <c r="T1021" s="59">
        <f t="shared" si="592"/>
        <v>1</v>
      </c>
      <c r="U1021" s="59">
        <f t="shared" si="593"/>
        <v>0.59480805510502444</v>
      </c>
      <c r="V1021" s="59">
        <f t="shared" si="594"/>
        <v>0.76566328194948607</v>
      </c>
      <c r="W1021" s="59">
        <f t="shared" si="595"/>
        <v>2.0672162333544703E-2</v>
      </c>
      <c r="X1021" s="59">
        <f t="shared" si="596"/>
        <v>1.9788990324167716E-2</v>
      </c>
      <c r="Y1021" s="59">
        <f t="shared" si="597"/>
        <v>1.519717299750104E-2</v>
      </c>
      <c r="Z1021" s="59">
        <f t="shared" si="598"/>
        <v>2.8102407336645013E-2</v>
      </c>
      <c r="AA1021" s="59">
        <f t="shared" si="571"/>
        <v>1.2768083330712884E-2</v>
      </c>
      <c r="AB1021" s="59">
        <f t="shared" si="599"/>
        <v>1.3031368073021011E-2</v>
      </c>
      <c r="AC1021" s="60">
        <f t="shared" si="572"/>
        <v>22635668.563170414</v>
      </c>
      <c r="AD1021" s="60">
        <f t="shared" si="579"/>
        <v>22635668.563170414</v>
      </c>
      <c r="AE1021" s="59">
        <f t="shared" si="575"/>
        <v>3.200000000000025E-2</v>
      </c>
      <c r="AF1021" s="57">
        <f t="shared" si="577"/>
        <v>22635668.563170414</v>
      </c>
      <c r="AG1021" s="57">
        <v>1</v>
      </c>
      <c r="AH1021" s="57">
        <f t="shared" si="578"/>
        <v>22635668.563170414</v>
      </c>
      <c r="AI1021" s="60">
        <f t="shared" si="573"/>
        <v>134.36859791561454</v>
      </c>
      <c r="AJ1021" s="60">
        <f t="shared" si="574"/>
        <v>0</v>
      </c>
      <c r="AK1021" s="59">
        <f t="shared" si="576"/>
        <v>3.200000000000025E-2</v>
      </c>
    </row>
    <row r="1022" spans="1:37" ht="12" customHeight="1" x14ac:dyDescent="0.25">
      <c r="A1022" s="133" t="s">
        <v>616</v>
      </c>
      <c r="B1022" s="133" t="s">
        <v>407</v>
      </c>
      <c r="C1022" s="133" t="s">
        <v>409</v>
      </c>
      <c r="D1022" s="124">
        <v>2030</v>
      </c>
      <c r="E1022" s="133" t="s">
        <v>676</v>
      </c>
      <c r="F1022" s="64">
        <f>SIM_Parametres!$C$36</f>
        <v>1737013983.2082016</v>
      </c>
      <c r="G1022" s="125">
        <f>SIM_Districts!D28*(1+SIM_Parametres!$B$6)^(2030-2023)</f>
        <v>197071.29857408488</v>
      </c>
      <c r="H1022" s="125">
        <f>MAX(0,MIN(100,SIM_Districts!F28+(2030-2022)*SIM_Parametres!$B$7))</f>
        <v>42.96</v>
      </c>
      <c r="I1022" s="125">
        <f>SIM_Districts!G28*(1+SIM_Parametres!$B$8)^(2030-2023)</f>
        <v>25.939103767705593</v>
      </c>
      <c r="J1022" s="125">
        <f>SIM_Districts!H28*(1+SIM_Parametres!$B$9)^(2030-2023)</f>
        <v>6.9831347400000015</v>
      </c>
      <c r="K1022" s="125">
        <f>MAX(0,MIN(100,SIM_Districts!I28+(2030-2023)*SIM_Parametres!$B$10))</f>
        <v>100</v>
      </c>
      <c r="L1022" s="125">
        <f>SIM_Districts!E28</f>
        <v>1066</v>
      </c>
      <c r="M1022" s="61">
        <f t="shared" si="570"/>
        <v>184.86988609201208</v>
      </c>
      <c r="N1022" s="125">
        <f>N951*(1+SIM_Parametres!$B$6)/(1+SIM_Parametres!$B$11)</f>
        <v>190293</v>
      </c>
      <c r="O1022" s="3"/>
      <c r="P1022" s="126">
        <f>SIM_Parametres!$D$36</f>
        <v>1</v>
      </c>
      <c r="Q1022" s="126">
        <f>SIM_Parametres!$B$12</f>
        <v>0.2</v>
      </c>
      <c r="R1022" s="66">
        <f t="shared" si="590"/>
        <v>8.8399851090024129E-3</v>
      </c>
      <c r="S1022" s="66">
        <f t="shared" si="591"/>
        <v>0.71453900709219853</v>
      </c>
      <c r="T1022" s="66">
        <f t="shared" si="592"/>
        <v>0.61878453038674031</v>
      </c>
      <c r="U1022" s="66">
        <f t="shared" si="593"/>
        <v>0.53452867131516979</v>
      </c>
      <c r="V1022" s="66">
        <f t="shared" si="594"/>
        <v>0.90832112938040932</v>
      </c>
      <c r="W1022" s="66">
        <f t="shared" si="595"/>
        <v>1.7036567321919254E-2</v>
      </c>
      <c r="X1022" s="66">
        <f t="shared" si="596"/>
        <v>1.2245121084567868E-2</v>
      </c>
      <c r="Y1022" s="66">
        <f t="shared" si="597"/>
        <v>1.3657052254725573E-2</v>
      </c>
      <c r="Z1022" s="66">
        <f t="shared" si="598"/>
        <v>3.333842822570373E-2</v>
      </c>
      <c r="AA1022" s="66">
        <f t="shared" si="571"/>
        <v>1.204601835039598E-2</v>
      </c>
      <c r="AB1022" s="66">
        <f t="shared" si="599"/>
        <v>1.2453716088767488E-2</v>
      </c>
      <c r="AC1022" s="67">
        <f t="shared" si="572"/>
        <v>21632278.989094082</v>
      </c>
      <c r="AD1022" s="67">
        <f t="shared" si="579"/>
        <v>21632278.989094082</v>
      </c>
      <c r="AE1022" s="66">
        <f t="shared" si="575"/>
        <v>3.200000000000025E-2</v>
      </c>
      <c r="AF1022" s="64">
        <f t="shared" si="577"/>
        <v>21632278.989094082</v>
      </c>
      <c r="AG1022" s="64">
        <v>1</v>
      </c>
      <c r="AH1022" s="64">
        <f t="shared" si="578"/>
        <v>21632278.989094082</v>
      </c>
      <c r="AI1022" s="67">
        <f t="shared" si="573"/>
        <v>109.76879507881192</v>
      </c>
      <c r="AJ1022" s="67">
        <f t="shared" si="574"/>
        <v>0</v>
      </c>
      <c r="AK1022" s="66">
        <f t="shared" si="576"/>
        <v>3.200000000000025E-2</v>
      </c>
    </row>
    <row r="1023" spans="1:37" ht="12" customHeight="1" x14ac:dyDescent="0.25">
      <c r="A1023" s="134" t="s">
        <v>618</v>
      </c>
      <c r="B1023" s="134" t="s">
        <v>407</v>
      </c>
      <c r="C1023" s="134" t="s">
        <v>410</v>
      </c>
      <c r="D1023" s="128">
        <v>2030</v>
      </c>
      <c r="E1023" s="134" t="s">
        <v>676</v>
      </c>
      <c r="F1023" s="57">
        <f>SIM_Parametres!$C$36</f>
        <v>1737013983.2082016</v>
      </c>
      <c r="G1023" s="129">
        <f>SIM_Districts!D29*(1+SIM_Parametres!$B$6)^(2030-2023)</f>
        <v>535715.83754495741</v>
      </c>
      <c r="H1023" s="129">
        <f>MAX(0,MIN(100,SIM_Districts!F29+(2030-2022)*SIM_Parametres!$B$7))</f>
        <v>42.96</v>
      </c>
      <c r="I1023" s="129">
        <f>SIM_Districts!G29*(1+SIM_Parametres!$B$8)^(2030-2023)</f>
        <v>25.939103767705593</v>
      </c>
      <c r="J1023" s="129">
        <f>SIM_Districts!H29*(1+SIM_Parametres!$B$9)^(2030-2023)</f>
        <v>6.9831347400000015</v>
      </c>
      <c r="K1023" s="129">
        <f>MAX(0,MIN(100,SIM_Districts!I29+(2030-2023)*SIM_Parametres!$B$10))</f>
        <v>100</v>
      </c>
      <c r="L1023" s="129">
        <f>SIM_Districts!E29</f>
        <v>535</v>
      </c>
      <c r="M1023" s="68">
        <f t="shared" si="570"/>
        <v>1001.3380141027242</v>
      </c>
      <c r="N1023" s="129">
        <f>N952*(1+SIM_Parametres!$B$6)/(1+SIM_Parametres!$B$11)</f>
        <v>190293</v>
      </c>
      <c r="O1023" s="135"/>
      <c r="P1023" s="130">
        <f>SIM_Parametres!$D$36</f>
        <v>1</v>
      </c>
      <c r="Q1023" s="130">
        <f>SIM_Parametres!$B$12</f>
        <v>0.2</v>
      </c>
      <c r="R1023" s="59">
        <f t="shared" si="590"/>
        <v>2.4030490796070354E-2</v>
      </c>
      <c r="S1023" s="59">
        <f t="shared" si="591"/>
        <v>0.71453900709219853</v>
      </c>
      <c r="T1023" s="59">
        <f t="shared" si="592"/>
        <v>0.61878453038674031</v>
      </c>
      <c r="U1023" s="59">
        <f t="shared" si="593"/>
        <v>0.50674567312414043</v>
      </c>
      <c r="V1023" s="59">
        <f t="shared" si="594"/>
        <v>0.90832112938040932</v>
      </c>
      <c r="W1023" s="59">
        <f t="shared" si="595"/>
        <v>1.7036567321919254E-2</v>
      </c>
      <c r="X1023" s="59">
        <f t="shared" si="596"/>
        <v>1.2245121084567868E-2</v>
      </c>
      <c r="Y1023" s="59">
        <f t="shared" si="597"/>
        <v>1.2947204722778851E-2</v>
      </c>
      <c r="Z1023" s="59">
        <f t="shared" si="598"/>
        <v>3.333842822570373E-2</v>
      </c>
      <c r="AA1023" s="59">
        <f t="shared" si="571"/>
        <v>2.1124829386039407E-2</v>
      </c>
      <c r="AB1023" s="59">
        <f t="shared" si="599"/>
        <v>1.9716764917282224E-2</v>
      </c>
      <c r="AC1023" s="60">
        <f t="shared" si="572"/>
        <v>34248296.364948139</v>
      </c>
      <c r="AD1023" s="60">
        <f t="shared" si="579"/>
        <v>34248296.364948139</v>
      </c>
      <c r="AE1023" s="59">
        <f t="shared" si="575"/>
        <v>3.2000000000000473E-2</v>
      </c>
      <c r="AF1023" s="57">
        <f t="shared" si="577"/>
        <v>34248296.364948139</v>
      </c>
      <c r="AG1023" s="57">
        <v>1</v>
      </c>
      <c r="AH1023" s="57">
        <f t="shared" si="578"/>
        <v>34248296.364948139</v>
      </c>
      <c r="AI1023" s="60">
        <f t="shared" si="573"/>
        <v>63.929968025397443</v>
      </c>
      <c r="AJ1023" s="60">
        <f t="shared" si="574"/>
        <v>0</v>
      </c>
      <c r="AK1023" s="59">
        <f t="shared" si="576"/>
        <v>3.2000000000000473E-2</v>
      </c>
    </row>
    <row r="1024" spans="1:37" ht="12" customHeight="1" x14ac:dyDescent="0.25">
      <c r="A1024" s="133" t="s">
        <v>619</v>
      </c>
      <c r="B1024" s="133" t="s">
        <v>407</v>
      </c>
      <c r="C1024" s="133" t="s">
        <v>411</v>
      </c>
      <c r="D1024" s="124">
        <v>2030</v>
      </c>
      <c r="E1024" s="133" t="s">
        <v>676</v>
      </c>
      <c r="F1024" s="64">
        <f>SIM_Parametres!$C$36</f>
        <v>1737013983.2082016</v>
      </c>
      <c r="G1024" s="125">
        <f>SIM_Districts!D30*(1+SIM_Parametres!$B$6)^(2030-2023)</f>
        <v>300527.05825975951</v>
      </c>
      <c r="H1024" s="125">
        <f>MAX(0,MIN(100,SIM_Districts!F30+(2030-2022)*SIM_Parametres!$B$7))</f>
        <v>42.96</v>
      </c>
      <c r="I1024" s="125">
        <f>SIM_Districts!G30*(1+SIM_Parametres!$B$8)^(2030-2023)</f>
        <v>25.939103767705593</v>
      </c>
      <c r="J1024" s="125">
        <f>SIM_Districts!H30*(1+SIM_Parametres!$B$9)^(2030-2023)</f>
        <v>6.9831347400000015</v>
      </c>
      <c r="K1024" s="125">
        <f>MAX(0,MIN(100,SIM_Districts!I30+(2030-2023)*SIM_Parametres!$B$10))</f>
        <v>100</v>
      </c>
      <c r="L1024" s="125">
        <f>SIM_Districts!E30</f>
        <v>1359</v>
      </c>
      <c r="M1024" s="61">
        <f t="shared" si="570"/>
        <v>221.1383798820894</v>
      </c>
      <c r="N1024" s="125">
        <f>N953*(1+SIM_Parametres!$B$6)/(1+SIM_Parametres!$B$11)</f>
        <v>190293</v>
      </c>
      <c r="O1024" s="3"/>
      <c r="P1024" s="126">
        <f>SIM_Parametres!$D$36</f>
        <v>1</v>
      </c>
      <c r="Q1024" s="126">
        <f>SIM_Parametres!$B$12</f>
        <v>0.2</v>
      </c>
      <c r="R1024" s="66">
        <f t="shared" si="590"/>
        <v>1.3480678003803075E-2</v>
      </c>
      <c r="S1024" s="66">
        <f t="shared" si="591"/>
        <v>0.71453900709219853</v>
      </c>
      <c r="T1024" s="66">
        <f t="shared" si="592"/>
        <v>0.61878453038674031</v>
      </c>
      <c r="U1024" s="66">
        <f t="shared" si="593"/>
        <v>0.54426125050867202</v>
      </c>
      <c r="V1024" s="66">
        <f t="shared" si="594"/>
        <v>0.90832112938040932</v>
      </c>
      <c r="W1024" s="66">
        <f t="shared" si="595"/>
        <v>1.7036567321919254E-2</v>
      </c>
      <c r="X1024" s="66">
        <f t="shared" si="596"/>
        <v>1.2245121084567868E-2</v>
      </c>
      <c r="Y1024" s="66">
        <f t="shared" si="597"/>
        <v>1.3905716825499445E-2</v>
      </c>
      <c r="Z1024" s="66">
        <f t="shared" si="598"/>
        <v>3.333842822570373E-2</v>
      </c>
      <c r="AA1024" s="66">
        <f t="shared" si="571"/>
        <v>1.4842867315815071E-2</v>
      </c>
      <c r="AB1024" s="66">
        <f t="shared" si="599"/>
        <v>1.4691195261102758E-2</v>
      </c>
      <c r="AC1024" s="67">
        <f t="shared" si="572"/>
        <v>25518811.598577563</v>
      </c>
      <c r="AD1024" s="67">
        <f t="shared" si="579"/>
        <v>25518811.598577563</v>
      </c>
      <c r="AE1024" s="66">
        <f t="shared" si="575"/>
        <v>3.200000000000025E-2</v>
      </c>
      <c r="AF1024" s="64">
        <f t="shared" si="577"/>
        <v>25518811.598577563</v>
      </c>
      <c r="AG1024" s="64">
        <v>1</v>
      </c>
      <c r="AH1024" s="64">
        <f t="shared" si="578"/>
        <v>25518811.598577563</v>
      </c>
      <c r="AI1024" s="67">
        <f t="shared" si="573"/>
        <v>84.91352408115101</v>
      </c>
      <c r="AJ1024" s="67">
        <f t="shared" si="574"/>
        <v>0</v>
      </c>
      <c r="AK1024" s="66">
        <f t="shared" si="576"/>
        <v>3.200000000000025E-2</v>
      </c>
    </row>
    <row r="1025" spans="1:37" ht="12" customHeight="1" x14ac:dyDescent="0.25">
      <c r="A1025" s="134" t="s">
        <v>620</v>
      </c>
      <c r="B1025" s="134" t="s">
        <v>407</v>
      </c>
      <c r="C1025" s="134" t="s">
        <v>412</v>
      </c>
      <c r="D1025" s="128">
        <v>2030</v>
      </c>
      <c r="E1025" s="134" t="s">
        <v>676</v>
      </c>
      <c r="F1025" s="57">
        <f>SIM_Parametres!$C$36</f>
        <v>1737013983.2082016</v>
      </c>
      <c r="G1025" s="129">
        <f>SIM_Districts!D31*(1+SIM_Parametres!$B$6)^(2030-2023)</f>
        <v>610682.79901193036</v>
      </c>
      <c r="H1025" s="129">
        <f>MAX(0,MIN(100,SIM_Districts!F31+(2030-2022)*SIM_Parametres!$B$7))</f>
        <v>42.96</v>
      </c>
      <c r="I1025" s="129">
        <f>SIM_Districts!G31*(1+SIM_Parametres!$B$8)^(2030-2023)</f>
        <v>25.939103767705593</v>
      </c>
      <c r="J1025" s="129">
        <f>SIM_Districts!H31*(1+SIM_Parametres!$B$9)^(2030-2023)</f>
        <v>6.9831347400000015</v>
      </c>
      <c r="K1025" s="129">
        <f>MAX(0,MIN(100,SIM_Districts!I31+(2030-2023)*SIM_Parametres!$B$10))</f>
        <v>100</v>
      </c>
      <c r="L1025" s="129">
        <f>SIM_Districts!E31</f>
        <v>2302</v>
      </c>
      <c r="M1025" s="68">
        <f t="shared" si="570"/>
        <v>265.28357906686807</v>
      </c>
      <c r="N1025" s="129">
        <f>N954*(1+SIM_Parametres!$B$6)/(1+SIM_Parametres!$B$11)</f>
        <v>190293</v>
      </c>
      <c r="O1025" s="135"/>
      <c r="P1025" s="130">
        <f>SIM_Parametres!$D$36</f>
        <v>1</v>
      </c>
      <c r="Q1025" s="130">
        <f>SIM_Parametres!$B$12</f>
        <v>0.2</v>
      </c>
      <c r="R1025" s="59">
        <f t="shared" si="590"/>
        <v>2.7393267759688256E-2</v>
      </c>
      <c r="S1025" s="59">
        <f t="shared" si="591"/>
        <v>0.71453900709219853</v>
      </c>
      <c r="T1025" s="59">
        <f t="shared" si="592"/>
        <v>0.61878453038674031</v>
      </c>
      <c r="U1025" s="59">
        <f t="shared" si="593"/>
        <v>0.5764195329812869</v>
      </c>
      <c r="V1025" s="59">
        <f t="shared" si="594"/>
        <v>0.90832112938040932</v>
      </c>
      <c r="W1025" s="59">
        <f t="shared" si="595"/>
        <v>1.7036567321919254E-2</v>
      </c>
      <c r="X1025" s="59">
        <f t="shared" si="596"/>
        <v>1.2245121084567868E-2</v>
      </c>
      <c r="Y1025" s="59">
        <f t="shared" si="597"/>
        <v>1.4727351599683098E-2</v>
      </c>
      <c r="Z1025" s="59">
        <f t="shared" si="598"/>
        <v>3.333842822570373E-2</v>
      </c>
      <c r="AA1025" s="59">
        <f t="shared" si="571"/>
        <v>2.3231502908055361E-2</v>
      </c>
      <c r="AB1025" s="59">
        <f t="shared" si="599"/>
        <v>2.1402103734894987E-2</v>
      </c>
      <c r="AC1025" s="60">
        <f t="shared" si="572"/>
        <v>37175753.457585081</v>
      </c>
      <c r="AD1025" s="60">
        <f t="shared" si="579"/>
        <v>37175753.457585081</v>
      </c>
      <c r="AE1025" s="59">
        <f t="shared" si="575"/>
        <v>3.2000000000000473E-2</v>
      </c>
      <c r="AF1025" s="57">
        <f t="shared" si="577"/>
        <v>37175753.457585081</v>
      </c>
      <c r="AG1025" s="57">
        <v>1</v>
      </c>
      <c r="AH1025" s="57">
        <f t="shared" si="578"/>
        <v>37175753.457585081</v>
      </c>
      <c r="AI1025" s="60">
        <f t="shared" si="573"/>
        <v>60.875717340875703</v>
      </c>
      <c r="AJ1025" s="60">
        <f t="shared" si="574"/>
        <v>0</v>
      </c>
      <c r="AK1025" s="59">
        <f t="shared" si="576"/>
        <v>3.2000000000000473E-2</v>
      </c>
    </row>
    <row r="1026" spans="1:37" ht="12" customHeight="1" x14ac:dyDescent="0.25">
      <c r="A1026" s="133" t="s">
        <v>621</v>
      </c>
      <c r="B1026" s="133" t="s">
        <v>413</v>
      </c>
      <c r="C1026" s="133" t="s">
        <v>413</v>
      </c>
      <c r="D1026" s="124">
        <v>2030</v>
      </c>
      <c r="E1026" s="133" t="s">
        <v>676</v>
      </c>
      <c r="F1026" s="64">
        <f>SIM_Parametres!$C$36</f>
        <v>1737013983.2082016</v>
      </c>
      <c r="G1026" s="125">
        <f>SIM_Districts!D32*(1+SIM_Parametres!$B$6)^(2030-2023)</f>
        <v>156414.12833086954</v>
      </c>
      <c r="H1026" s="125">
        <f>MAX(0,MIN(100,SIM_Districts!F32+(2030-2022)*SIM_Parametres!$B$7))</f>
        <v>59.06</v>
      </c>
      <c r="I1026" s="125">
        <f>SIM_Districts!G32*(1+SIM_Parametres!$B$8)^(2030-2023)</f>
        <v>25.939103767705593</v>
      </c>
      <c r="J1026" s="125">
        <f>SIM_Districts!H32*(1+SIM_Parametres!$B$9)^(2030-2023)</f>
        <v>10.187723970000004</v>
      </c>
      <c r="K1026" s="125">
        <f>MAX(0,MIN(100,SIM_Districts!I32+(2030-2023)*SIM_Parametres!$B$10))</f>
        <v>100</v>
      </c>
      <c r="L1026" s="125">
        <f>SIM_Districts!E32</f>
        <v>7061</v>
      </c>
      <c r="M1026" s="61">
        <f t="shared" si="570"/>
        <v>22.151838030147221</v>
      </c>
      <c r="N1026" s="125">
        <f>N955*(1+SIM_Parametres!$B$6)/(1+SIM_Parametres!$B$11)</f>
        <v>59423</v>
      </c>
      <c r="O1026" s="3"/>
      <c r="P1026" s="126">
        <f>SIM_Parametres!$D$36</f>
        <v>1</v>
      </c>
      <c r="Q1026" s="126">
        <f>SIM_Parametres!$B$12</f>
        <v>0.2</v>
      </c>
      <c r="R1026" s="66">
        <f t="shared" si="590"/>
        <v>7.0162351153467547E-3</v>
      </c>
      <c r="S1026" s="66">
        <f t="shared" si="591"/>
        <v>1</v>
      </c>
      <c r="T1026" s="66">
        <f t="shared" si="592"/>
        <v>0.80386740331491713</v>
      </c>
      <c r="U1026" s="66">
        <f t="shared" si="593"/>
        <v>0.7440692299347168</v>
      </c>
      <c r="V1026" s="66">
        <f t="shared" si="594"/>
        <v>0</v>
      </c>
      <c r="W1026" s="66">
        <f t="shared" si="595"/>
        <v>2.3842739378566898E-2</v>
      </c>
      <c r="X1026" s="66">
        <f t="shared" si="596"/>
        <v>1.590772426611272E-2</v>
      </c>
      <c r="Y1026" s="66">
        <f t="shared" si="597"/>
        <v>1.9010752649337739E-2</v>
      </c>
      <c r="Z1026" s="66">
        <f t="shared" si="598"/>
        <v>0</v>
      </c>
      <c r="AA1026" s="66">
        <f t="shared" si="571"/>
        <v>1.1122848248376883E-2</v>
      </c>
      <c r="AB1026" s="66">
        <f t="shared" si="599"/>
        <v>1.1715180007152211E-2</v>
      </c>
      <c r="AC1026" s="67">
        <f t="shared" si="572"/>
        <v>20349431.488224547</v>
      </c>
      <c r="AD1026" s="67">
        <f t="shared" si="579"/>
        <v>20349431.488224547</v>
      </c>
      <c r="AE1026" s="66">
        <f t="shared" si="575"/>
        <v>3.2000000000000028E-2</v>
      </c>
      <c r="AF1026" s="64">
        <f t="shared" si="577"/>
        <v>20349431.488224547</v>
      </c>
      <c r="AG1026" s="64">
        <v>1</v>
      </c>
      <c r="AH1026" s="64">
        <f t="shared" si="578"/>
        <v>20349431.488224547</v>
      </c>
      <c r="AI1026" s="67">
        <f t="shared" si="573"/>
        <v>130.09970202422198</v>
      </c>
      <c r="AJ1026" s="67">
        <f t="shared" si="574"/>
        <v>0</v>
      </c>
      <c r="AK1026" s="66">
        <f t="shared" si="576"/>
        <v>3.2000000000000028E-2</v>
      </c>
    </row>
    <row r="1027" spans="1:37" ht="12" customHeight="1" x14ac:dyDescent="0.25">
      <c r="A1027" s="134" t="s">
        <v>623</v>
      </c>
      <c r="B1027" s="134" t="s">
        <v>413</v>
      </c>
      <c r="C1027" s="134" t="s">
        <v>415</v>
      </c>
      <c r="D1027" s="128">
        <v>2030</v>
      </c>
      <c r="E1027" s="134" t="s">
        <v>676</v>
      </c>
      <c r="F1027" s="57">
        <f>SIM_Parametres!$C$36</f>
        <v>1737013983.2082016</v>
      </c>
      <c r="G1027" s="129">
        <f>SIM_Districts!D33*(1+SIM_Parametres!$B$6)^(2030-2023)</f>
        <v>44044.242868595444</v>
      </c>
      <c r="H1027" s="129">
        <f>MAX(0,MIN(100,SIM_Districts!F33+(2030-2022)*SIM_Parametres!$B$7))</f>
        <v>59.06</v>
      </c>
      <c r="I1027" s="129">
        <f>SIM_Districts!G33*(1+SIM_Parametres!$B$8)^(2030-2023)</f>
        <v>25.939103767705593</v>
      </c>
      <c r="J1027" s="129">
        <f>SIM_Districts!H33*(1+SIM_Parametres!$B$9)^(2030-2023)</f>
        <v>10.187723970000004</v>
      </c>
      <c r="K1027" s="129">
        <f>MAX(0,MIN(100,SIM_Districts!I33+(2030-2023)*SIM_Parametres!$B$10))</f>
        <v>100</v>
      </c>
      <c r="L1027" s="129">
        <f>SIM_Districts!E33</f>
        <v>1931</v>
      </c>
      <c r="M1027" s="68">
        <f t="shared" si="570"/>
        <v>22.809033075398986</v>
      </c>
      <c r="N1027" s="129">
        <f>N956*(1+SIM_Parametres!$B$6)/(1+SIM_Parametres!$B$11)</f>
        <v>59423</v>
      </c>
      <c r="O1027" s="135"/>
      <c r="P1027" s="130">
        <f>SIM_Parametres!$D$36</f>
        <v>1</v>
      </c>
      <c r="Q1027" s="130">
        <f>SIM_Parametres!$B$12</f>
        <v>0.2</v>
      </c>
      <c r="R1027" s="59">
        <f t="shared" si="590"/>
        <v>1.9756831863027543E-3</v>
      </c>
      <c r="S1027" s="59">
        <f t="shared" si="591"/>
        <v>1</v>
      </c>
      <c r="T1027" s="59">
        <f t="shared" si="592"/>
        <v>0.80386740331491713</v>
      </c>
      <c r="U1027" s="59">
        <f t="shared" si="593"/>
        <v>0.56635625479419383</v>
      </c>
      <c r="V1027" s="59">
        <f t="shared" si="594"/>
        <v>0</v>
      </c>
      <c r="W1027" s="59">
        <f t="shared" si="595"/>
        <v>2.3842739378566898E-2</v>
      </c>
      <c r="X1027" s="59">
        <f t="shared" si="596"/>
        <v>1.590772426611272E-2</v>
      </c>
      <c r="Y1027" s="59">
        <f t="shared" si="597"/>
        <v>1.447023776570143E-2</v>
      </c>
      <c r="Z1027" s="59">
        <f t="shared" si="598"/>
        <v>0</v>
      </c>
      <c r="AA1027" s="59">
        <f t="shared" si="571"/>
        <v>7.8714913467686654E-3</v>
      </c>
      <c r="AB1027" s="59">
        <f t="shared" si="599"/>
        <v>9.1140944858656373E-3</v>
      </c>
      <c r="AC1027" s="60">
        <f t="shared" si="572"/>
        <v>15831309.566229377</v>
      </c>
      <c r="AD1027" s="60">
        <f t="shared" si="579"/>
        <v>15831309.566229377</v>
      </c>
      <c r="AE1027" s="59">
        <f t="shared" si="575"/>
        <v>3.2000000000000028E-2</v>
      </c>
      <c r="AF1027" s="57">
        <f t="shared" si="577"/>
        <v>15831309.566229377</v>
      </c>
      <c r="AG1027" s="57">
        <v>1</v>
      </c>
      <c r="AH1027" s="57">
        <f t="shared" si="578"/>
        <v>15831309.566229377</v>
      </c>
      <c r="AI1027" s="60">
        <f t="shared" si="573"/>
        <v>359.44106505500775</v>
      </c>
      <c r="AJ1027" s="60">
        <f t="shared" si="574"/>
        <v>0</v>
      </c>
      <c r="AK1027" s="59">
        <f t="shared" si="576"/>
        <v>3.2000000000000028E-2</v>
      </c>
    </row>
    <row r="1028" spans="1:37" ht="12" customHeight="1" x14ac:dyDescent="0.25">
      <c r="A1028" s="133" t="s">
        <v>624</v>
      </c>
      <c r="B1028" s="133" t="s">
        <v>413</v>
      </c>
      <c r="C1028" s="133" t="s">
        <v>416</v>
      </c>
      <c r="D1028" s="124">
        <v>2030</v>
      </c>
      <c r="E1028" s="133" t="s">
        <v>676</v>
      </c>
      <c r="F1028" s="64">
        <f>SIM_Parametres!$C$36</f>
        <v>1737013983.2082016</v>
      </c>
      <c r="G1028" s="125">
        <f>SIM_Districts!D34*(1+SIM_Parametres!$B$6)^(2030-2023)</f>
        <v>101041.51728784562</v>
      </c>
      <c r="H1028" s="125">
        <f>MAX(0,MIN(100,SIM_Districts!F34+(2030-2022)*SIM_Parametres!$B$7))</f>
        <v>59.06</v>
      </c>
      <c r="I1028" s="125">
        <f>SIM_Districts!G34*(1+SIM_Parametres!$B$8)^(2030-2023)</f>
        <v>25.939103767705593</v>
      </c>
      <c r="J1028" s="125">
        <f>SIM_Districts!H34*(1+SIM_Parametres!$B$9)^(2030-2023)</f>
        <v>10.187723970000004</v>
      </c>
      <c r="K1028" s="125">
        <f>MAX(0,MIN(100,SIM_Districts!I34+(2030-2023)*SIM_Parametres!$B$10))</f>
        <v>100</v>
      </c>
      <c r="L1028" s="125">
        <f>SIM_Districts!E34</f>
        <v>7918</v>
      </c>
      <c r="M1028" s="61">
        <f t="shared" ref="M1028:M1068" si="600">IFERROR(G1028/L1028,0)</f>
        <v>12.7609898064973</v>
      </c>
      <c r="N1028" s="125">
        <f>N957*(1+SIM_Parametres!$B$6)/(1+SIM_Parametres!$B$11)</f>
        <v>59423</v>
      </c>
      <c r="O1028" s="3"/>
      <c r="P1028" s="126">
        <f>SIM_Parametres!$D$36</f>
        <v>1</v>
      </c>
      <c r="Q1028" s="126">
        <f>SIM_Parametres!$B$12</f>
        <v>0.2</v>
      </c>
      <c r="R1028" s="66">
        <f t="shared" si="590"/>
        <v>4.5323977396930937E-3</v>
      </c>
      <c r="S1028" s="66">
        <f t="shared" si="591"/>
        <v>1</v>
      </c>
      <c r="T1028" s="66">
        <f t="shared" si="592"/>
        <v>0.80386740331491713</v>
      </c>
      <c r="U1028" s="66">
        <f t="shared" si="593"/>
        <v>0.77386406994971757</v>
      </c>
      <c r="V1028" s="66">
        <f t="shared" si="594"/>
        <v>0</v>
      </c>
      <c r="W1028" s="66">
        <f t="shared" si="595"/>
        <v>2.3842739378566898E-2</v>
      </c>
      <c r="X1028" s="66">
        <f t="shared" si="596"/>
        <v>1.590772426611272E-2</v>
      </c>
      <c r="Y1028" s="66">
        <f t="shared" si="597"/>
        <v>1.9772002155383658E-2</v>
      </c>
      <c r="Z1028" s="66">
        <f t="shared" si="598"/>
        <v>0</v>
      </c>
      <c r="AA1028" s="66">
        <f t="shared" ref="AA1028:AA1068" si="601">0.6*R1028+0.15*W1028+0.15*X1028+0.05*Y1028+0.05*Z1028</f>
        <v>9.6706082982869809E-3</v>
      </c>
      <c r="AB1028" s="66">
        <f t="shared" si="599"/>
        <v>1.0553388047080291E-2</v>
      </c>
      <c r="AC1028" s="67">
        <f t="shared" ref="AC1028:AC1068" si="602">F1028*(Q1028/71+(1-Q1028)*AA1028)</f>
        <v>18331382.608000759</v>
      </c>
      <c r="AD1028" s="67">
        <f t="shared" si="579"/>
        <v>18331382.608000759</v>
      </c>
      <c r="AE1028" s="66">
        <f t="shared" si="575"/>
        <v>3.2000000000000028E-2</v>
      </c>
      <c r="AF1028" s="64">
        <f t="shared" si="577"/>
        <v>18331382.608000759</v>
      </c>
      <c r="AG1028" s="64">
        <v>1</v>
      </c>
      <c r="AH1028" s="64">
        <f t="shared" si="578"/>
        <v>18331382.608000759</v>
      </c>
      <c r="AI1028" s="67">
        <f t="shared" ref="AI1028:AI1068" si="603">IFERROR(AH1028/G1028,0)</f>
        <v>181.42426103696147</v>
      </c>
      <c r="AJ1028" s="67">
        <f t="shared" ref="AJ1028:AJ1068" si="604">AH1028-F1028*AB1028</f>
        <v>0</v>
      </c>
      <c r="AK1028" s="66">
        <f t="shared" si="576"/>
        <v>3.2000000000000028E-2</v>
      </c>
    </row>
    <row r="1029" spans="1:37" ht="12" customHeight="1" x14ac:dyDescent="0.25">
      <c r="A1029" s="134" t="s">
        <v>625</v>
      </c>
      <c r="B1029" s="134" t="s">
        <v>417</v>
      </c>
      <c r="C1029" s="134" t="s">
        <v>417</v>
      </c>
      <c r="D1029" s="128">
        <v>2030</v>
      </c>
      <c r="E1029" s="134" t="s">
        <v>676</v>
      </c>
      <c r="F1029" s="57">
        <f>SIM_Parametres!$C$36</f>
        <v>1737013983.2082016</v>
      </c>
      <c r="G1029" s="129">
        <f>SIM_Districts!D35*(1+SIM_Parametres!$B$6)^(2030-2023)</f>
        <v>417777.08322003949</v>
      </c>
      <c r="H1029" s="129">
        <f>MAX(0,MIN(100,SIM_Districts!F35+(2030-2022)*SIM_Parametres!$B$7))</f>
        <v>55.86</v>
      </c>
      <c r="I1029" s="129">
        <f>SIM_Districts!G35*(1+SIM_Parametres!$B$8)^(2030-2023)</f>
        <v>25.939103767705593</v>
      </c>
      <c r="J1029" s="129">
        <f>SIM_Districts!H35*(1+SIM_Parametres!$B$9)^(2030-2023)</f>
        <v>8.5615145100000021</v>
      </c>
      <c r="K1029" s="129">
        <f>MAX(0,MIN(100,SIM_Districts!I35+(2030-2023)*SIM_Parametres!$B$10))</f>
        <v>100</v>
      </c>
      <c r="L1029" s="129">
        <f>SIM_Districts!E35</f>
        <v>3571</v>
      </c>
      <c r="M1029" s="68">
        <f t="shared" si="600"/>
        <v>116.99162229628661</v>
      </c>
      <c r="N1029" s="129">
        <f>N958*(1+SIM_Parametres!$B$6)/(1+SIM_Parametres!$B$11)</f>
        <v>155501</v>
      </c>
      <c r="O1029" s="135"/>
      <c r="P1029" s="130">
        <f>SIM_Parametres!$D$36</f>
        <v>1</v>
      </c>
      <c r="Q1029" s="130">
        <f>SIM_Parametres!$B$12</f>
        <v>0.2</v>
      </c>
      <c r="R1029" s="59">
        <f t="shared" si="590"/>
        <v>1.8740137307002368E-2</v>
      </c>
      <c r="S1029" s="59">
        <f t="shared" si="591"/>
        <v>0.94326241134751765</v>
      </c>
      <c r="T1029" s="59">
        <f t="shared" si="592"/>
        <v>0.70994475138121538</v>
      </c>
      <c r="U1029" s="59">
        <f t="shared" si="593"/>
        <v>0.62208351647816407</v>
      </c>
      <c r="V1029" s="59">
        <f t="shared" si="594"/>
        <v>0.66684249613059499</v>
      </c>
      <c r="W1029" s="59">
        <f t="shared" si="595"/>
        <v>2.2489959839357424E-2</v>
      </c>
      <c r="X1029" s="59">
        <f t="shared" si="596"/>
        <v>1.4049089815776525E-2</v>
      </c>
      <c r="Y1029" s="59">
        <f t="shared" si="597"/>
        <v>1.5894053111206074E-2</v>
      </c>
      <c r="Z1029" s="59">
        <f t="shared" si="598"/>
        <v>2.4475353458158197E-2</v>
      </c>
      <c r="AA1029" s="59">
        <f t="shared" si="601"/>
        <v>1.8743410160939729E-2</v>
      </c>
      <c r="AB1029" s="59">
        <f t="shared" si="599"/>
        <v>1.7811629537202486E-2</v>
      </c>
      <c r="AC1029" s="60">
        <f t="shared" si="602"/>
        <v>30939049.569844954</v>
      </c>
      <c r="AD1029" s="60">
        <f t="shared" si="579"/>
        <v>30939049.569844954</v>
      </c>
      <c r="AE1029" s="59">
        <f t="shared" si="575"/>
        <v>3.200000000000025E-2</v>
      </c>
      <c r="AF1029" s="57">
        <f t="shared" si="577"/>
        <v>30939049.569844954</v>
      </c>
      <c r="AG1029" s="57">
        <v>1</v>
      </c>
      <c r="AH1029" s="57">
        <f t="shared" si="578"/>
        <v>30939049.569844954</v>
      </c>
      <c r="AI1029" s="60">
        <f t="shared" si="603"/>
        <v>74.056358791584628</v>
      </c>
      <c r="AJ1029" s="60">
        <f t="shared" si="604"/>
        <v>0</v>
      </c>
      <c r="AK1029" s="59">
        <f t="shared" si="576"/>
        <v>3.200000000000025E-2</v>
      </c>
    </row>
    <row r="1030" spans="1:37" ht="12" customHeight="1" x14ac:dyDescent="0.25">
      <c r="A1030" s="133" t="s">
        <v>627</v>
      </c>
      <c r="B1030" s="133" t="s">
        <v>417</v>
      </c>
      <c r="C1030" s="133" t="s">
        <v>419</v>
      </c>
      <c r="D1030" s="124">
        <v>2030</v>
      </c>
      <c r="E1030" s="133" t="s">
        <v>676</v>
      </c>
      <c r="F1030" s="64">
        <f>SIM_Parametres!$C$36</f>
        <v>1737013983.2082016</v>
      </c>
      <c r="G1030" s="125">
        <f>SIM_Districts!D36*(1+SIM_Parametres!$B$6)^(2030-2023)</f>
        <v>234517.2681546759</v>
      </c>
      <c r="H1030" s="125">
        <f>MAX(0,MIN(100,SIM_Districts!F36+(2030-2022)*SIM_Parametres!$B$7))</f>
        <v>55.86</v>
      </c>
      <c r="I1030" s="125">
        <f>SIM_Districts!G36*(1+SIM_Parametres!$B$8)^(2030-2023)</f>
        <v>25.939103767705593</v>
      </c>
      <c r="J1030" s="125">
        <f>SIM_Districts!H36*(1+SIM_Parametres!$B$9)^(2030-2023)</f>
        <v>8.5615145100000021</v>
      </c>
      <c r="K1030" s="125">
        <f>MAX(0,MIN(100,SIM_Districts!I36+(2030-2023)*SIM_Parametres!$B$10))</f>
        <v>100</v>
      </c>
      <c r="L1030" s="125">
        <f>SIM_Districts!E36</f>
        <v>4702</v>
      </c>
      <c r="M1030" s="61">
        <f t="shared" si="600"/>
        <v>49.876067238340262</v>
      </c>
      <c r="N1030" s="125">
        <f>N959*(1+SIM_Parametres!$B$6)/(1+SIM_Parametres!$B$11)</f>
        <v>155501</v>
      </c>
      <c r="O1030" s="3"/>
      <c r="P1030" s="126">
        <f>SIM_Parametres!$D$36</f>
        <v>1</v>
      </c>
      <c r="Q1030" s="126">
        <f>SIM_Parametres!$B$12</f>
        <v>0.2</v>
      </c>
      <c r="R1030" s="66">
        <f t="shared" ref="R1030:R1061" si="605">IFERROR(G1030/SUM($G$998:$G$1068),1/71)</f>
        <v>1.0519690961045302E-2</v>
      </c>
      <c r="S1030" s="66">
        <f t="shared" ref="S1030:S1061" si="606">IF(MAX($H$998:$H$1068)=MIN($H$998:$H$1068),1,(H1030-MIN($H$998:$H$1068))/(MAX($H$998:$H$1068)-MIN($H$998:$H$1068)))</f>
        <v>0.94326241134751765</v>
      </c>
      <c r="T1030" s="66">
        <f t="shared" ref="T1030:T1061" si="607">(IF(MAX($I$998:$I$1068)=MIN($I$998:$I$1068),1,(I1030-MIN($I$998:$I$1068))/(MAX($I$998:$I$1068)-MIN($I$998:$I$1068)))+IF(MAX($J$998:$J$1068)=MIN($J$998:$J$1068),1,(J1030-MIN($J$998:$J$1068))/(MAX($J$998:$J$1068)-MIN($J$998:$J$1068))))/2</f>
        <v>0.70994475138121538</v>
      </c>
      <c r="U1030" s="66">
        <f t="shared" ref="U1030:U1061" si="608">(IF(MAX($L$998:$L$1068)=MIN($L$998:$L$1068),1,(L1030-MIN($L$998:$L$1068))/(MAX($L$998:$L$1068)-MIN($L$998:$L$1068)))+IF(MAX($M$998:$M$1068)=MIN($M$998:$M$1068),1,(MAX($M$998:$M$1068)-M1030)/(MAX($M$998:$M$1068)-MIN($M$998:$M$1068))))/2</f>
        <v>0.66203363691805861</v>
      </c>
      <c r="V1030" s="66">
        <f t="shared" ref="V1030:V1061" si="609">IF(MAX($N$998:$N$1068)=MIN($N$998:$N$1068),1,(N1030-MIN($N$998:$N$1068))/(MAX($N$998:$N$1068)-MIN($N$998:$N$1068)))</f>
        <v>0.66684249613059499</v>
      </c>
      <c r="W1030" s="66">
        <f t="shared" ref="W1030:W1061" si="610">IFERROR(S1030/SUM($S$998:$S$1068),1/71)</f>
        <v>2.2489959839357424E-2</v>
      </c>
      <c r="X1030" s="66">
        <f t="shared" ref="X1030:X1061" si="611">IFERROR(T1030/SUM($T$998:$T$1068),1/71)</f>
        <v>1.4049089815776525E-2</v>
      </c>
      <c r="Y1030" s="66">
        <f t="shared" ref="Y1030:Y1061" si="612">IFERROR(U1030/SUM($U$998:$U$1068),1/71)</f>
        <v>1.6914767081679927E-2</v>
      </c>
      <c r="Z1030" s="66">
        <f t="shared" ref="Z1030:Z1061" si="613">IFERROR(V1030/SUM($V$998:$V$1068),1/71)</f>
        <v>2.4475353458158197E-2</v>
      </c>
      <c r="AA1030" s="66">
        <f t="shared" si="601"/>
        <v>1.3862178051889181E-2</v>
      </c>
      <c r="AB1030" s="66">
        <f t="shared" ref="AB1030:AB1061" si="614">IFERROR(AH959/SUM($AH$927:$AH$997),1/71)</f>
        <v>1.3906643849962047E-2</v>
      </c>
      <c r="AC1030" s="67">
        <f t="shared" si="602"/>
        <v>24156034.826880421</v>
      </c>
      <c r="AD1030" s="67">
        <f t="shared" si="579"/>
        <v>24156034.826880421</v>
      </c>
      <c r="AE1030" s="66">
        <f t="shared" si="575"/>
        <v>3.2000000000000473E-2</v>
      </c>
      <c r="AF1030" s="64">
        <f t="shared" si="577"/>
        <v>24156034.826880421</v>
      </c>
      <c r="AG1030" s="64">
        <v>1</v>
      </c>
      <c r="AH1030" s="64">
        <f t="shared" si="578"/>
        <v>24156034.826880421</v>
      </c>
      <c r="AI1030" s="67">
        <f t="shared" si="603"/>
        <v>103.00322452565969</v>
      </c>
      <c r="AJ1030" s="67">
        <f t="shared" si="604"/>
        <v>0</v>
      </c>
      <c r="AK1030" s="66">
        <f t="shared" si="576"/>
        <v>3.2000000000000473E-2</v>
      </c>
    </row>
    <row r="1031" spans="1:37" ht="12" customHeight="1" x14ac:dyDescent="0.25">
      <c r="A1031" s="134" t="s">
        <v>628</v>
      </c>
      <c r="B1031" s="134" t="s">
        <v>417</v>
      </c>
      <c r="C1031" s="134" t="s">
        <v>420</v>
      </c>
      <c r="D1031" s="128">
        <v>2030</v>
      </c>
      <c r="E1031" s="134" t="s">
        <v>676</v>
      </c>
      <c r="F1031" s="57">
        <f>SIM_Parametres!$C$36</f>
        <v>1737013983.2082016</v>
      </c>
      <c r="G1031" s="129">
        <f>SIM_Districts!D37*(1+SIM_Parametres!$B$6)^(2030-2023)</f>
        <v>472791.80096822476</v>
      </c>
      <c r="H1031" s="129">
        <f>MAX(0,MIN(100,SIM_Districts!F37+(2030-2022)*SIM_Parametres!$B$7))</f>
        <v>55.86</v>
      </c>
      <c r="I1031" s="129">
        <f>SIM_Districts!G37*(1+SIM_Parametres!$B$8)^(2030-2023)</f>
        <v>25.939103767705593</v>
      </c>
      <c r="J1031" s="129">
        <f>SIM_Districts!H37*(1+SIM_Parametres!$B$9)^(2030-2023)</f>
        <v>8.5615145100000021</v>
      </c>
      <c r="K1031" s="129">
        <f>MAX(0,MIN(100,SIM_Districts!I37+(2030-2023)*SIM_Parametres!$B$10))</f>
        <v>100</v>
      </c>
      <c r="L1031" s="129">
        <f>SIM_Districts!E37</f>
        <v>5498</v>
      </c>
      <c r="M1031" s="68">
        <f t="shared" si="600"/>
        <v>85.99341596366402</v>
      </c>
      <c r="N1031" s="129">
        <f>N960*(1+SIM_Parametres!$B$6)/(1+SIM_Parametres!$B$11)</f>
        <v>155501</v>
      </c>
      <c r="O1031" s="135"/>
      <c r="P1031" s="130">
        <f>SIM_Parametres!$D$36</f>
        <v>1</v>
      </c>
      <c r="Q1031" s="130">
        <f>SIM_Parametres!$B$12</f>
        <v>0.2</v>
      </c>
      <c r="R1031" s="59">
        <f t="shared" si="605"/>
        <v>2.120792073964212E-2</v>
      </c>
      <c r="S1031" s="59">
        <f t="shared" si="606"/>
        <v>0.94326241134751765</v>
      </c>
      <c r="T1031" s="59">
        <f t="shared" si="607"/>
        <v>0.70994475138121538</v>
      </c>
      <c r="U1031" s="59">
        <f t="shared" si="608"/>
        <v>0.68919209164884077</v>
      </c>
      <c r="V1031" s="59">
        <f t="shared" si="609"/>
        <v>0.66684249613059499</v>
      </c>
      <c r="W1031" s="59">
        <f t="shared" si="610"/>
        <v>2.2489959839357424E-2</v>
      </c>
      <c r="X1031" s="59">
        <f t="shared" si="611"/>
        <v>1.4049089815776525E-2</v>
      </c>
      <c r="Y1031" s="59">
        <f t="shared" si="612"/>
        <v>1.7608657709666835E-2</v>
      </c>
      <c r="Z1031" s="59">
        <f t="shared" si="613"/>
        <v>2.4475353458158197E-2</v>
      </c>
      <c r="AA1031" s="59">
        <f t="shared" si="601"/>
        <v>2.0309810450446619E-2</v>
      </c>
      <c r="AB1031" s="59">
        <f t="shared" si="614"/>
        <v>1.9064749768807992E-2</v>
      </c>
      <c r="AC1031" s="60">
        <f t="shared" si="602"/>
        <v>33115736.934784822</v>
      </c>
      <c r="AD1031" s="60">
        <f t="shared" si="579"/>
        <v>33115736.934784822</v>
      </c>
      <c r="AE1031" s="59">
        <f t="shared" si="575"/>
        <v>3.2000000000000473E-2</v>
      </c>
      <c r="AF1031" s="57">
        <f t="shared" si="577"/>
        <v>33115736.934784822</v>
      </c>
      <c r="AG1031" s="57">
        <v>1</v>
      </c>
      <c r="AH1031" s="57">
        <f t="shared" si="578"/>
        <v>33115736.934784822</v>
      </c>
      <c r="AI1031" s="60">
        <f t="shared" si="603"/>
        <v>70.042959431545754</v>
      </c>
      <c r="AJ1031" s="60">
        <f t="shared" si="604"/>
        <v>0</v>
      </c>
      <c r="AK1031" s="59">
        <f t="shared" si="576"/>
        <v>3.2000000000000473E-2</v>
      </c>
    </row>
    <row r="1032" spans="1:37" ht="12" customHeight="1" x14ac:dyDescent="0.25">
      <c r="A1032" s="133" t="s">
        <v>629</v>
      </c>
      <c r="B1032" s="133" t="s">
        <v>421</v>
      </c>
      <c r="C1032" s="133" t="s">
        <v>423</v>
      </c>
      <c r="D1032" s="124">
        <v>2030</v>
      </c>
      <c r="E1032" s="133" t="s">
        <v>676</v>
      </c>
      <c r="F1032" s="64">
        <f>SIM_Parametres!$C$36</f>
        <v>1737013983.2082016</v>
      </c>
      <c r="G1032" s="125">
        <f>SIM_Districts!D38*(1+SIM_Parametres!$B$6)^(2030-2023)</f>
        <v>100496.6831654624</v>
      </c>
      <c r="H1032" s="125">
        <f>MAX(0,MIN(100,SIM_Districts!F38+(2030-2022)*SIM_Parametres!$B$7))</f>
        <v>40.36</v>
      </c>
      <c r="I1032" s="125">
        <f>SIM_Districts!G38*(1+SIM_Parametres!$B$8)^(2030-2023)</f>
        <v>25.939103767705593</v>
      </c>
      <c r="J1032" s="125">
        <f>SIM_Districts!H38*(1+SIM_Parametres!$B$9)^(2030-2023)</f>
        <v>8.6093442000000024</v>
      </c>
      <c r="K1032" s="125">
        <f>MAX(0,MIN(100,SIM_Districts!I38+(2030-2023)*SIM_Parametres!$B$10))</f>
        <v>100</v>
      </c>
      <c r="L1032" s="125">
        <f>SIM_Districts!E38</f>
        <v>822</v>
      </c>
      <c r="M1032" s="61">
        <f t="shared" si="600"/>
        <v>122.25873864411484</v>
      </c>
      <c r="N1032" s="125">
        <f>N961*(1+SIM_Parametres!$B$6)/(1+SIM_Parametres!$B$11)</f>
        <v>97480</v>
      </c>
      <c r="O1032" s="3"/>
      <c r="P1032" s="126">
        <f>SIM_Parametres!$D$36</f>
        <v>1</v>
      </c>
      <c r="Q1032" s="126">
        <f>SIM_Parametres!$B$12</f>
        <v>0.2</v>
      </c>
      <c r="R1032" s="66">
        <f t="shared" si="605"/>
        <v>4.5079582319433971E-3</v>
      </c>
      <c r="S1032" s="66">
        <f t="shared" si="606"/>
        <v>0.66843971631205668</v>
      </c>
      <c r="T1032" s="66">
        <f t="shared" si="607"/>
        <v>0.71270718232044195</v>
      </c>
      <c r="U1032" s="66">
        <f t="shared" si="608"/>
        <v>0.52679639914705134</v>
      </c>
      <c r="V1032" s="66">
        <f t="shared" si="609"/>
        <v>0.26413981218637</v>
      </c>
      <c r="W1032" s="66">
        <f t="shared" si="610"/>
        <v>1.5937433946311558E-2</v>
      </c>
      <c r="X1032" s="66">
        <f t="shared" si="611"/>
        <v>1.4103755534904061E-2</v>
      </c>
      <c r="Y1032" s="66">
        <f t="shared" si="612"/>
        <v>1.3459494947298206E-2</v>
      </c>
      <c r="Z1032" s="66">
        <f t="shared" si="613"/>
        <v>9.6948159470131197E-3</v>
      </c>
      <c r="AA1032" s="66">
        <f t="shared" si="601"/>
        <v>8.3686689060639488E-3</v>
      </c>
      <c r="AB1032" s="66">
        <f t="shared" si="614"/>
        <v>9.5118365333018602E-3</v>
      </c>
      <c r="AC1032" s="67">
        <f t="shared" si="602"/>
        <v>16522193.064335963</v>
      </c>
      <c r="AD1032" s="67">
        <f t="shared" si="579"/>
        <v>16522193.064335963</v>
      </c>
      <c r="AE1032" s="66">
        <f t="shared" si="575"/>
        <v>3.2000000000000473E-2</v>
      </c>
      <c r="AF1032" s="64">
        <f t="shared" si="577"/>
        <v>16522193.064335963</v>
      </c>
      <c r="AG1032" s="64">
        <v>1</v>
      </c>
      <c r="AH1032" s="64">
        <f t="shared" si="578"/>
        <v>16522193.064335963</v>
      </c>
      <c r="AI1032" s="67">
        <f t="shared" si="603"/>
        <v>164.40535691245708</v>
      </c>
      <c r="AJ1032" s="67">
        <f t="shared" si="604"/>
        <v>0</v>
      </c>
      <c r="AK1032" s="66">
        <f t="shared" si="576"/>
        <v>3.2000000000000473E-2</v>
      </c>
    </row>
    <row r="1033" spans="1:37" ht="12" customHeight="1" x14ac:dyDescent="0.25">
      <c r="A1033" s="134" t="s">
        <v>631</v>
      </c>
      <c r="B1033" s="134" t="s">
        <v>421</v>
      </c>
      <c r="C1033" s="134" t="s">
        <v>424</v>
      </c>
      <c r="D1033" s="128">
        <v>2030</v>
      </c>
      <c r="E1033" s="134" t="s">
        <v>676</v>
      </c>
      <c r="F1033" s="57">
        <f>SIM_Parametres!$C$36</f>
        <v>1737013983.2082016</v>
      </c>
      <c r="G1033" s="129">
        <f>SIM_Districts!D39*(1+SIM_Parametres!$B$6)^(2030-2023)</f>
        <v>208793.22638544932</v>
      </c>
      <c r="H1033" s="129">
        <f>MAX(0,MIN(100,SIM_Districts!F39+(2030-2022)*SIM_Parametres!$B$7))</f>
        <v>40.36</v>
      </c>
      <c r="I1033" s="129">
        <f>SIM_Districts!G39*(1+SIM_Parametres!$B$8)^(2030-2023)</f>
        <v>25.939103767705593</v>
      </c>
      <c r="J1033" s="129">
        <f>SIM_Districts!H39*(1+SIM_Parametres!$B$9)^(2030-2023)</f>
        <v>8.6093442000000024</v>
      </c>
      <c r="K1033" s="129">
        <f>MAX(0,MIN(100,SIM_Districts!I39+(2030-2023)*SIM_Parametres!$B$10))</f>
        <v>100</v>
      </c>
      <c r="L1033" s="129">
        <f>SIM_Districts!E39</f>
        <v>6832</v>
      </c>
      <c r="M1033" s="68">
        <f t="shared" si="600"/>
        <v>30.561069435809326</v>
      </c>
      <c r="N1033" s="129">
        <f>N962*(1+SIM_Parametres!$B$6)/(1+SIM_Parametres!$B$11)</f>
        <v>97480</v>
      </c>
      <c r="O1033" s="135"/>
      <c r="P1033" s="130">
        <f>SIM_Parametres!$D$36</f>
        <v>1</v>
      </c>
      <c r="Q1033" s="130">
        <f>SIM_Parametres!$B$12</f>
        <v>0.2</v>
      </c>
      <c r="R1033" s="59">
        <f t="shared" si="605"/>
        <v>9.3657931188497138E-3</v>
      </c>
      <c r="S1033" s="59">
        <f t="shared" si="606"/>
        <v>0.66843971631205668</v>
      </c>
      <c r="T1033" s="59">
        <f t="shared" si="607"/>
        <v>0.71270718232044195</v>
      </c>
      <c r="U1033" s="59">
        <f t="shared" si="608"/>
        <v>0.73603986945859257</v>
      </c>
      <c r="V1033" s="59">
        <f t="shared" si="609"/>
        <v>0.26413981218637</v>
      </c>
      <c r="W1033" s="59">
        <f t="shared" si="610"/>
        <v>1.5937433946311558E-2</v>
      </c>
      <c r="X1033" s="59">
        <f t="shared" si="611"/>
        <v>1.4103755534904061E-2</v>
      </c>
      <c r="Y1033" s="59">
        <f t="shared" si="612"/>
        <v>1.8805604821954314E-2</v>
      </c>
      <c r="Z1033" s="59">
        <f t="shared" si="613"/>
        <v>9.6948159470131197E-3</v>
      </c>
      <c r="AA1033" s="59">
        <f t="shared" si="601"/>
        <v>1.1550675331940544E-2</v>
      </c>
      <c r="AB1033" s="59">
        <f t="shared" si="614"/>
        <v>1.2057441674003135E-2</v>
      </c>
      <c r="AC1033" s="60">
        <f t="shared" si="602"/>
        <v>20943944.78946076</v>
      </c>
      <c r="AD1033" s="60">
        <f t="shared" si="579"/>
        <v>20943944.78946076</v>
      </c>
      <c r="AE1033" s="59">
        <f t="shared" si="575"/>
        <v>3.2000000000000473E-2</v>
      </c>
      <c r="AF1033" s="57">
        <f t="shared" si="577"/>
        <v>20943944.78946076</v>
      </c>
      <c r="AG1033" s="57">
        <v>1</v>
      </c>
      <c r="AH1033" s="57">
        <f t="shared" si="578"/>
        <v>20943944.78946076</v>
      </c>
      <c r="AI1033" s="60">
        <f t="shared" si="603"/>
        <v>100.30950310043359</v>
      </c>
      <c r="AJ1033" s="60">
        <f t="shared" si="604"/>
        <v>0</v>
      </c>
      <c r="AK1033" s="59">
        <f t="shared" si="576"/>
        <v>3.2000000000000473E-2</v>
      </c>
    </row>
    <row r="1034" spans="1:37" ht="12" customHeight="1" x14ac:dyDescent="0.25">
      <c r="A1034" s="133" t="s">
        <v>632</v>
      </c>
      <c r="B1034" s="133" t="s">
        <v>421</v>
      </c>
      <c r="C1034" s="133" t="s">
        <v>425</v>
      </c>
      <c r="D1034" s="124">
        <v>2030</v>
      </c>
      <c r="E1034" s="133" t="s">
        <v>676</v>
      </c>
      <c r="F1034" s="64">
        <f>SIM_Parametres!$C$36</f>
        <v>1737013983.2082016</v>
      </c>
      <c r="G1034" s="125">
        <f>SIM_Districts!D40*(1+SIM_Parametres!$B$6)^(2030-2023)</f>
        <v>131274.27664771976</v>
      </c>
      <c r="H1034" s="125">
        <f>MAX(0,MIN(100,SIM_Districts!F40+(2030-2022)*SIM_Parametres!$B$7))</f>
        <v>40.36</v>
      </c>
      <c r="I1034" s="125">
        <f>SIM_Districts!G40*(1+SIM_Parametres!$B$8)^(2030-2023)</f>
        <v>25.939103767705593</v>
      </c>
      <c r="J1034" s="125">
        <f>SIM_Districts!H40*(1+SIM_Parametres!$B$9)^(2030-2023)</f>
        <v>8.6093442000000024</v>
      </c>
      <c r="K1034" s="125">
        <f>MAX(0,MIN(100,SIM_Districts!I40+(2030-2023)*SIM_Parametres!$B$10))</f>
        <v>100</v>
      </c>
      <c r="L1034" s="125">
        <f>SIM_Districts!E40</f>
        <v>1601</v>
      </c>
      <c r="M1034" s="61">
        <f t="shared" si="600"/>
        <v>81.995175919874924</v>
      </c>
      <c r="N1034" s="125">
        <f>N963*(1+SIM_Parametres!$B$6)/(1+SIM_Parametres!$B$11)</f>
        <v>97480</v>
      </c>
      <c r="O1034" s="3"/>
      <c r="P1034" s="126">
        <f>SIM_Parametres!$D$36</f>
        <v>1</v>
      </c>
      <c r="Q1034" s="126">
        <f>SIM_Parametres!$B$12</f>
        <v>0.2</v>
      </c>
      <c r="R1034" s="66">
        <f t="shared" si="605"/>
        <v>5.8885421629505013E-3</v>
      </c>
      <c r="S1034" s="66">
        <f t="shared" si="606"/>
        <v>0.66843971631205668</v>
      </c>
      <c r="T1034" s="66">
        <f t="shared" si="607"/>
        <v>0.71270718232044195</v>
      </c>
      <c r="U1034" s="66">
        <f t="shared" si="608"/>
        <v>0.5542443044598161</v>
      </c>
      <c r="V1034" s="66">
        <f t="shared" si="609"/>
        <v>0.26413981218637</v>
      </c>
      <c r="W1034" s="66">
        <f t="shared" si="610"/>
        <v>1.5937433946311558E-2</v>
      </c>
      <c r="X1034" s="66">
        <f t="shared" si="611"/>
        <v>1.4103755534904061E-2</v>
      </c>
      <c r="Y1034" s="66">
        <f t="shared" si="612"/>
        <v>1.4160780953560279E-2</v>
      </c>
      <c r="Z1034" s="66">
        <f t="shared" si="613"/>
        <v>9.6948159470131197E-3</v>
      </c>
      <c r="AA1034" s="66">
        <f t="shared" si="601"/>
        <v>9.2320835649813138E-3</v>
      </c>
      <c r="AB1034" s="66">
        <f t="shared" si="614"/>
        <v>1.0202568260435753E-2</v>
      </c>
      <c r="AC1034" s="67">
        <f t="shared" si="602"/>
        <v>17722003.733013082</v>
      </c>
      <c r="AD1034" s="67">
        <f t="shared" si="579"/>
        <v>17722003.733013082</v>
      </c>
      <c r="AE1034" s="66">
        <f t="shared" si="575"/>
        <v>3.2000000000000028E-2</v>
      </c>
      <c r="AF1034" s="64">
        <f t="shared" si="577"/>
        <v>17722003.733013082</v>
      </c>
      <c r="AG1034" s="64">
        <v>1</v>
      </c>
      <c r="AH1034" s="64">
        <f t="shared" si="578"/>
        <v>17722003.733013082</v>
      </c>
      <c r="AI1034" s="67">
        <f t="shared" si="603"/>
        <v>134.99982011381294</v>
      </c>
      <c r="AJ1034" s="67">
        <f t="shared" si="604"/>
        <v>0</v>
      </c>
      <c r="AK1034" s="66">
        <f t="shared" si="576"/>
        <v>3.2000000000000028E-2</v>
      </c>
    </row>
    <row r="1035" spans="1:37" ht="12" customHeight="1" x14ac:dyDescent="0.25">
      <c r="A1035" s="134" t="s">
        <v>633</v>
      </c>
      <c r="B1035" s="134" t="s">
        <v>421</v>
      </c>
      <c r="C1035" s="134" t="s">
        <v>426</v>
      </c>
      <c r="D1035" s="128">
        <v>2030</v>
      </c>
      <c r="E1035" s="134" t="s">
        <v>676</v>
      </c>
      <c r="F1035" s="57">
        <f>SIM_Parametres!$C$36</f>
        <v>1737013983.2082016</v>
      </c>
      <c r="G1035" s="129">
        <f>SIM_Districts!D41*(1+SIM_Parametres!$B$6)^(2030-2023)</f>
        <v>279116.18413657794</v>
      </c>
      <c r="H1035" s="129">
        <f>MAX(0,MIN(100,SIM_Districts!F41+(2030-2022)*SIM_Parametres!$B$7))</f>
        <v>40.36</v>
      </c>
      <c r="I1035" s="129">
        <f>SIM_Districts!G41*(1+SIM_Parametres!$B$8)^(2030-2023)</f>
        <v>25.939103767705593</v>
      </c>
      <c r="J1035" s="129">
        <f>SIM_Districts!H41*(1+SIM_Parametres!$B$9)^(2030-2023)</f>
        <v>8.6093442000000024</v>
      </c>
      <c r="K1035" s="129">
        <f>MAX(0,MIN(100,SIM_Districts!I41+(2030-2023)*SIM_Parametres!$B$10))</f>
        <v>100</v>
      </c>
      <c r="L1035" s="129">
        <f>SIM_Districts!E41</f>
        <v>2260</v>
      </c>
      <c r="M1035" s="68">
        <f t="shared" si="600"/>
        <v>123.50273634361855</v>
      </c>
      <c r="N1035" s="129">
        <f>N964*(1+SIM_Parametres!$B$6)/(1+SIM_Parametres!$B$11)</f>
        <v>97480</v>
      </c>
      <c r="O1035" s="135"/>
      <c r="P1035" s="130">
        <f>SIM_Parametres!$D$36</f>
        <v>1</v>
      </c>
      <c r="Q1035" s="130">
        <f>SIM_Parametres!$B$12</f>
        <v>0.2</v>
      </c>
      <c r="R1035" s="59">
        <f t="shared" si="605"/>
        <v>1.2520255000610162E-2</v>
      </c>
      <c r="S1035" s="59">
        <f t="shared" si="606"/>
        <v>0.66843971631205668</v>
      </c>
      <c r="T1035" s="59">
        <f t="shared" si="607"/>
        <v>0.71270718232044195</v>
      </c>
      <c r="U1035" s="59">
        <f t="shared" si="608"/>
        <v>0.57659503553202685</v>
      </c>
      <c r="V1035" s="59">
        <f t="shared" si="609"/>
        <v>0.26413981218637</v>
      </c>
      <c r="W1035" s="59">
        <f t="shared" si="610"/>
        <v>1.5937433946311558E-2</v>
      </c>
      <c r="X1035" s="59">
        <f t="shared" si="611"/>
        <v>1.4103755534904061E-2</v>
      </c>
      <c r="Y1035" s="59">
        <f t="shared" si="612"/>
        <v>1.4731835638865497E-2</v>
      </c>
      <c r="Z1035" s="59">
        <f t="shared" si="613"/>
        <v>9.6948159470131197E-3</v>
      </c>
      <c r="AA1035" s="59">
        <f t="shared" si="601"/>
        <v>1.3239664001842368E-2</v>
      </c>
      <c r="AB1035" s="59">
        <f t="shared" si="614"/>
        <v>1.3408632609924597E-2</v>
      </c>
      <c r="AC1035" s="60">
        <f t="shared" si="602"/>
        <v>23290982.339140512</v>
      </c>
      <c r="AD1035" s="60">
        <f t="shared" si="579"/>
        <v>23290982.339140512</v>
      </c>
      <c r="AE1035" s="59">
        <f t="shared" ref="AE1035:AE1068" si="615">IFERROR(AD1035/AH964-1,0)</f>
        <v>3.2000000000000028E-2</v>
      </c>
      <c r="AF1035" s="57">
        <f t="shared" si="577"/>
        <v>23290982.339140512</v>
      </c>
      <c r="AG1035" s="57">
        <v>1</v>
      </c>
      <c r="AH1035" s="57">
        <f t="shared" si="578"/>
        <v>23290982.339140512</v>
      </c>
      <c r="AI1035" s="60">
        <f t="shared" si="603"/>
        <v>83.445474189141606</v>
      </c>
      <c r="AJ1035" s="60">
        <f t="shared" si="604"/>
        <v>0</v>
      </c>
      <c r="AK1035" s="59">
        <f t="shared" ref="AK1035:AK1068" si="616">IFERROR(AH1035/AH964-1,0)</f>
        <v>3.2000000000000028E-2</v>
      </c>
    </row>
    <row r="1036" spans="1:37" ht="12" customHeight="1" x14ac:dyDescent="0.25">
      <c r="A1036" s="133" t="s">
        <v>634</v>
      </c>
      <c r="B1036" s="133" t="s">
        <v>421</v>
      </c>
      <c r="C1036" s="133" t="s">
        <v>427</v>
      </c>
      <c r="D1036" s="124">
        <v>2030</v>
      </c>
      <c r="E1036" s="133" t="s">
        <v>676</v>
      </c>
      <c r="F1036" s="64">
        <f>SIM_Parametres!$C$36</f>
        <v>1737013983.2082016</v>
      </c>
      <c r="G1036" s="125">
        <f>SIM_Districts!D42*(1+SIM_Parametres!$B$6)^(2030-2023)</f>
        <v>119833.98995153763</v>
      </c>
      <c r="H1036" s="125">
        <f>MAX(0,MIN(100,SIM_Districts!F42+(2030-2022)*SIM_Parametres!$B$7))</f>
        <v>40.36</v>
      </c>
      <c r="I1036" s="125">
        <f>SIM_Districts!G42*(1+SIM_Parametres!$B$8)^(2030-2023)</f>
        <v>25.939103767705593</v>
      </c>
      <c r="J1036" s="125">
        <f>SIM_Districts!H42*(1+SIM_Parametres!$B$9)^(2030-2023)</f>
        <v>8.6093442000000024</v>
      </c>
      <c r="K1036" s="125">
        <f>MAX(0,MIN(100,SIM_Districts!I42+(2030-2023)*SIM_Parametres!$B$10))</f>
        <v>100</v>
      </c>
      <c r="L1036" s="125">
        <f>SIM_Districts!E42</f>
        <v>2889</v>
      </c>
      <c r="M1036" s="61">
        <f t="shared" si="600"/>
        <v>41.479401160103023</v>
      </c>
      <c r="N1036" s="125">
        <f>N965*(1+SIM_Parametres!$B$6)/(1+SIM_Parametres!$B$11)</f>
        <v>97480</v>
      </c>
      <c r="O1036" s="3"/>
      <c r="P1036" s="126">
        <f>SIM_Parametres!$D$36</f>
        <v>1</v>
      </c>
      <c r="Q1036" s="126">
        <f>SIM_Parametres!$B$12</f>
        <v>0.2</v>
      </c>
      <c r="R1036" s="66">
        <f t="shared" si="605"/>
        <v>5.375367668395933E-3</v>
      </c>
      <c r="S1036" s="66">
        <f t="shared" si="606"/>
        <v>0.66843971631205668</v>
      </c>
      <c r="T1036" s="66">
        <f t="shared" si="607"/>
        <v>0.71270718232044195</v>
      </c>
      <c r="U1036" s="66">
        <f t="shared" si="608"/>
        <v>0.59932709011759788</v>
      </c>
      <c r="V1036" s="66">
        <f t="shared" si="609"/>
        <v>0.26413981218637</v>
      </c>
      <c r="W1036" s="66">
        <f t="shared" si="610"/>
        <v>1.5937433946311558E-2</v>
      </c>
      <c r="X1036" s="66">
        <f t="shared" si="611"/>
        <v>1.4103755534904061E-2</v>
      </c>
      <c r="Y1036" s="66">
        <f t="shared" si="612"/>
        <v>1.5312633029150606E-2</v>
      </c>
      <c r="Z1036" s="66">
        <f t="shared" si="613"/>
        <v>9.6948159470131197E-3</v>
      </c>
      <c r="AA1036" s="66">
        <f t="shared" si="601"/>
        <v>8.9817714720280863E-3</v>
      </c>
      <c r="AB1036" s="66">
        <f t="shared" si="614"/>
        <v>1.0002318586073174E-2</v>
      </c>
      <c r="AC1036" s="67">
        <f t="shared" si="602"/>
        <v>17374167.248512391</v>
      </c>
      <c r="AD1036" s="67">
        <f t="shared" si="579"/>
        <v>17374167.248512391</v>
      </c>
      <c r="AE1036" s="66">
        <f t="shared" si="615"/>
        <v>3.2000000000000028E-2</v>
      </c>
      <c r="AF1036" s="64">
        <f t="shared" si="577"/>
        <v>17374167.248512391</v>
      </c>
      <c r="AG1036" s="64">
        <v>1</v>
      </c>
      <c r="AH1036" s="64">
        <f t="shared" si="578"/>
        <v>17374167.248512391</v>
      </c>
      <c r="AI1036" s="67">
        <f t="shared" si="603"/>
        <v>144.98530221299251</v>
      </c>
      <c r="AJ1036" s="67">
        <f t="shared" si="604"/>
        <v>0</v>
      </c>
      <c r="AK1036" s="66">
        <f t="shared" si="616"/>
        <v>3.2000000000000028E-2</v>
      </c>
    </row>
    <row r="1037" spans="1:37" ht="12" customHeight="1" x14ac:dyDescent="0.25">
      <c r="A1037" s="134" t="s">
        <v>635</v>
      </c>
      <c r="B1037" s="134" t="s">
        <v>421</v>
      </c>
      <c r="C1037" s="134" t="s">
        <v>428</v>
      </c>
      <c r="D1037" s="128">
        <v>2030</v>
      </c>
      <c r="E1037" s="134" t="s">
        <v>676</v>
      </c>
      <c r="F1037" s="57">
        <f>SIM_Parametres!$C$36</f>
        <v>1737013983.2082016</v>
      </c>
      <c r="G1037" s="129">
        <f>SIM_Districts!D43*(1+SIM_Parametres!$B$6)^(2030-2023)</f>
        <v>174373.97638766892</v>
      </c>
      <c r="H1037" s="129">
        <f>MAX(0,MIN(100,SIM_Districts!F43+(2030-2022)*SIM_Parametres!$B$7))</f>
        <v>40.36</v>
      </c>
      <c r="I1037" s="129">
        <f>SIM_Districts!G43*(1+SIM_Parametres!$B$8)^(2030-2023)</f>
        <v>25.939103767705593</v>
      </c>
      <c r="J1037" s="129">
        <f>SIM_Districts!H43*(1+SIM_Parametres!$B$9)^(2030-2023)</f>
        <v>8.6093442000000024</v>
      </c>
      <c r="K1037" s="129">
        <f>MAX(0,MIN(100,SIM_Districts!I43+(2030-2023)*SIM_Parametres!$B$10))</f>
        <v>100</v>
      </c>
      <c r="L1037" s="129">
        <f>SIM_Districts!E43</f>
        <v>8907</v>
      </c>
      <c r="M1037" s="68">
        <f t="shared" si="600"/>
        <v>19.57718383155596</v>
      </c>
      <c r="N1037" s="129">
        <f>N966*(1+SIM_Parametres!$B$6)/(1+SIM_Parametres!$B$11)</f>
        <v>97480</v>
      </c>
      <c r="O1037" s="135"/>
      <c r="P1037" s="130">
        <f>SIM_Parametres!$D$36</f>
        <v>1</v>
      </c>
      <c r="Q1037" s="130">
        <f>SIM_Parametres!$B$12</f>
        <v>0.2</v>
      </c>
      <c r="R1037" s="59">
        <f t="shared" si="605"/>
        <v>7.8218561800619101E-3</v>
      </c>
      <c r="S1037" s="59">
        <f t="shared" si="606"/>
        <v>0.66843971631205668</v>
      </c>
      <c r="T1037" s="59">
        <f t="shared" si="607"/>
        <v>0.71270718232044195</v>
      </c>
      <c r="U1037" s="59">
        <f t="shared" si="608"/>
        <v>0.80804507507275991</v>
      </c>
      <c r="V1037" s="59">
        <f t="shared" si="609"/>
        <v>0.26413981218637</v>
      </c>
      <c r="W1037" s="59">
        <f t="shared" si="610"/>
        <v>1.5937433946311558E-2</v>
      </c>
      <c r="X1037" s="59">
        <f t="shared" si="611"/>
        <v>1.4103755534904061E-2</v>
      </c>
      <c r="Y1037" s="59">
        <f t="shared" si="612"/>
        <v>2.0645316905621235E-2</v>
      </c>
      <c r="Z1037" s="59">
        <f t="shared" si="613"/>
        <v>9.6948159470131197E-3</v>
      </c>
      <c r="AA1037" s="59">
        <f t="shared" si="601"/>
        <v>1.0716298772851206E-2</v>
      </c>
      <c r="AB1037" s="59">
        <f t="shared" si="614"/>
        <v>1.1389940426731669E-2</v>
      </c>
      <c r="AC1037" s="60">
        <f t="shared" si="602"/>
        <v>19784485.789141301</v>
      </c>
      <c r="AD1037" s="60">
        <f t="shared" si="579"/>
        <v>19784485.789141301</v>
      </c>
      <c r="AE1037" s="59">
        <f t="shared" si="615"/>
        <v>3.200000000000025E-2</v>
      </c>
      <c r="AF1037" s="57">
        <f t="shared" si="577"/>
        <v>19784485.789141301</v>
      </c>
      <c r="AG1037" s="57">
        <v>1</v>
      </c>
      <c r="AH1037" s="57">
        <f t="shared" si="578"/>
        <v>19784485.789141301</v>
      </c>
      <c r="AI1037" s="60">
        <f t="shared" si="603"/>
        <v>113.46008274283058</v>
      </c>
      <c r="AJ1037" s="60">
        <f t="shared" si="604"/>
        <v>0</v>
      </c>
      <c r="AK1037" s="59">
        <f t="shared" si="616"/>
        <v>3.200000000000025E-2</v>
      </c>
    </row>
    <row r="1038" spans="1:37" ht="12" customHeight="1" x14ac:dyDescent="0.25">
      <c r="A1038" s="133" t="s">
        <v>636</v>
      </c>
      <c r="B1038" s="133" t="s">
        <v>421</v>
      </c>
      <c r="C1038" s="133" t="s">
        <v>421</v>
      </c>
      <c r="D1038" s="124">
        <v>2030</v>
      </c>
      <c r="E1038" s="133" t="s">
        <v>676</v>
      </c>
      <c r="F1038" s="64">
        <f>SIM_Parametres!$C$36</f>
        <v>1737013983.2082016</v>
      </c>
      <c r="G1038" s="125">
        <f>SIM_Districts!D44*(1+SIM_Parametres!$B$6)^(2030-2023)</f>
        <v>257265.0151695743</v>
      </c>
      <c r="H1038" s="125">
        <f>MAX(0,MIN(100,SIM_Districts!F44+(2030-2022)*SIM_Parametres!$B$7))</f>
        <v>40.36</v>
      </c>
      <c r="I1038" s="125">
        <f>SIM_Districts!G44*(1+SIM_Parametres!$B$8)^(2030-2023)</f>
        <v>25.939103767705593</v>
      </c>
      <c r="J1038" s="125">
        <f>SIM_Districts!H44*(1+SIM_Parametres!$B$9)^(2030-2023)</f>
        <v>8.6093442000000024</v>
      </c>
      <c r="K1038" s="125">
        <f>MAX(0,MIN(100,SIM_Districts!I44+(2030-2023)*SIM_Parametres!$B$10))</f>
        <v>100</v>
      </c>
      <c r="L1038" s="125">
        <f>SIM_Districts!E44</f>
        <v>759</v>
      </c>
      <c r="M1038" s="61">
        <f t="shared" si="600"/>
        <v>338.95258915622435</v>
      </c>
      <c r="N1038" s="125">
        <f>N967*(1+SIM_Parametres!$B$6)/(1+SIM_Parametres!$B$11)</f>
        <v>97480</v>
      </c>
      <c r="O1038" s="3"/>
      <c r="P1038" s="126">
        <f>SIM_Parametres!$D$36</f>
        <v>1</v>
      </c>
      <c r="Q1038" s="126">
        <f>SIM_Parametres!$B$12</f>
        <v>0.2</v>
      </c>
      <c r="R1038" s="66">
        <f t="shared" si="605"/>
        <v>1.1540081785736907E-2</v>
      </c>
      <c r="S1038" s="66">
        <f t="shared" si="606"/>
        <v>0.66843971631205668</v>
      </c>
      <c r="T1038" s="66">
        <f t="shared" si="607"/>
        <v>0.71270718232044195</v>
      </c>
      <c r="U1038" s="66">
        <f t="shared" si="608"/>
        <v>0.52212219334654875</v>
      </c>
      <c r="V1038" s="66">
        <f t="shared" si="609"/>
        <v>0.26413981218637</v>
      </c>
      <c r="W1038" s="66">
        <f t="shared" si="610"/>
        <v>1.5937433946311558E-2</v>
      </c>
      <c r="X1038" s="66">
        <f t="shared" si="611"/>
        <v>1.4103755534904061E-2</v>
      </c>
      <c r="Y1038" s="66">
        <f t="shared" si="612"/>
        <v>1.3340070347099039E-2</v>
      </c>
      <c r="Z1038" s="66">
        <f t="shared" si="613"/>
        <v>9.6948159470131197E-3</v>
      </c>
      <c r="AA1038" s="66">
        <f t="shared" si="601"/>
        <v>1.2581971808330095E-2</v>
      </c>
      <c r="AB1038" s="66">
        <f t="shared" si="614"/>
        <v>1.2882478855114777E-2</v>
      </c>
      <c r="AC1038" s="67">
        <f t="shared" si="602"/>
        <v>22377045.909718357</v>
      </c>
      <c r="AD1038" s="67">
        <f t="shared" si="579"/>
        <v>22377045.909718357</v>
      </c>
      <c r="AE1038" s="66">
        <f t="shared" si="615"/>
        <v>3.200000000000025E-2</v>
      </c>
      <c r="AF1038" s="64">
        <f t="shared" si="577"/>
        <v>22377045.909718357</v>
      </c>
      <c r="AG1038" s="64">
        <v>1</v>
      </c>
      <c r="AH1038" s="64">
        <f t="shared" si="578"/>
        <v>22377045.909718357</v>
      </c>
      <c r="AI1038" s="67">
        <f t="shared" si="603"/>
        <v>86.980524324182582</v>
      </c>
      <c r="AJ1038" s="67">
        <f t="shared" si="604"/>
        <v>0</v>
      </c>
      <c r="AK1038" s="66">
        <f t="shared" si="616"/>
        <v>3.200000000000025E-2</v>
      </c>
    </row>
    <row r="1039" spans="1:37" ht="12" customHeight="1" x14ac:dyDescent="0.25">
      <c r="A1039" s="134" t="s">
        <v>637</v>
      </c>
      <c r="B1039" s="134" t="s">
        <v>421</v>
      </c>
      <c r="C1039" s="134" t="s">
        <v>429</v>
      </c>
      <c r="D1039" s="128">
        <v>2030</v>
      </c>
      <c r="E1039" s="134" t="s">
        <v>676</v>
      </c>
      <c r="F1039" s="57">
        <f>SIM_Parametres!$C$36</f>
        <v>1737013983.2082016</v>
      </c>
      <c r="G1039" s="129">
        <f>SIM_Districts!D45*(1+SIM_Parametres!$B$6)^(2030-2023)</f>
        <v>113571.4722287942</v>
      </c>
      <c r="H1039" s="129">
        <f>MAX(0,MIN(100,SIM_Districts!F45+(2030-2022)*SIM_Parametres!$B$7))</f>
        <v>40.36</v>
      </c>
      <c r="I1039" s="129">
        <f>SIM_Districts!G45*(1+SIM_Parametres!$B$8)^(2030-2023)</f>
        <v>25.939103767705593</v>
      </c>
      <c r="J1039" s="129">
        <f>SIM_Districts!H45*(1+SIM_Parametres!$B$9)^(2030-2023)</f>
        <v>8.6093442000000024</v>
      </c>
      <c r="K1039" s="129">
        <f>MAX(0,MIN(100,SIM_Districts!I45+(2030-2023)*SIM_Parametres!$B$10))</f>
        <v>100</v>
      </c>
      <c r="L1039" s="129">
        <f>SIM_Districts!E45</f>
        <v>1185</v>
      </c>
      <c r="M1039" s="68">
        <f t="shared" si="600"/>
        <v>95.840904834425487</v>
      </c>
      <c r="N1039" s="129">
        <f>N968*(1+SIM_Parametres!$B$6)/(1+SIM_Parametres!$B$11)</f>
        <v>97480</v>
      </c>
      <c r="O1039" s="135"/>
      <c r="P1039" s="130">
        <f>SIM_Parametres!$D$36</f>
        <v>1</v>
      </c>
      <c r="Q1039" s="130">
        <f>SIM_Parametres!$B$12</f>
        <v>0.2</v>
      </c>
      <c r="R1039" s="59">
        <f t="shared" si="605"/>
        <v>5.0944512497470553E-3</v>
      </c>
      <c r="S1039" s="59">
        <f t="shared" si="606"/>
        <v>0.66843971631205668</v>
      </c>
      <c r="T1039" s="59">
        <f t="shared" si="607"/>
        <v>0.71270718232044195</v>
      </c>
      <c r="U1039" s="59">
        <f t="shared" si="608"/>
        <v>0.53967466644845508</v>
      </c>
      <c r="V1039" s="59">
        <f t="shared" si="609"/>
        <v>0.26413981218637</v>
      </c>
      <c r="W1039" s="59">
        <f t="shared" si="610"/>
        <v>1.5937433946311558E-2</v>
      </c>
      <c r="X1039" s="59">
        <f t="shared" si="611"/>
        <v>1.4103755534904061E-2</v>
      </c>
      <c r="Y1039" s="59">
        <f t="shared" si="612"/>
        <v>1.378853093530771E-2</v>
      </c>
      <c r="Z1039" s="59">
        <f t="shared" si="613"/>
        <v>9.6948159470131197E-3</v>
      </c>
      <c r="AA1039" s="59">
        <f t="shared" si="601"/>
        <v>8.7370165161466153E-3</v>
      </c>
      <c r="AB1039" s="59">
        <f t="shared" si="614"/>
        <v>9.8065146213679975E-3</v>
      </c>
      <c r="AC1039" s="60">
        <f t="shared" si="602"/>
        <v>17034053.023851894</v>
      </c>
      <c r="AD1039" s="60">
        <f t="shared" si="579"/>
        <v>17034053.023851894</v>
      </c>
      <c r="AE1039" s="59">
        <f t="shared" si="615"/>
        <v>3.2000000000000028E-2</v>
      </c>
      <c r="AF1039" s="57">
        <f t="shared" si="577"/>
        <v>17034053.023851894</v>
      </c>
      <c r="AG1039" s="57">
        <v>1</v>
      </c>
      <c r="AH1039" s="57">
        <f t="shared" si="578"/>
        <v>17034053.023851894</v>
      </c>
      <c r="AI1039" s="60">
        <f t="shared" si="603"/>
        <v>149.98531488203415</v>
      </c>
      <c r="AJ1039" s="60">
        <f t="shared" si="604"/>
        <v>0</v>
      </c>
      <c r="AK1039" s="59">
        <f t="shared" si="616"/>
        <v>3.2000000000000028E-2</v>
      </c>
    </row>
    <row r="1040" spans="1:37" ht="12" customHeight="1" x14ac:dyDescent="0.25">
      <c r="A1040" s="133" t="s">
        <v>638</v>
      </c>
      <c r="B1040" s="133" t="s">
        <v>430</v>
      </c>
      <c r="C1040" s="133" t="s">
        <v>432</v>
      </c>
      <c r="D1040" s="124">
        <v>2030</v>
      </c>
      <c r="E1040" s="133" t="s">
        <v>676</v>
      </c>
      <c r="F1040" s="64">
        <f>SIM_Parametres!$C$36</f>
        <v>1737013983.2082016</v>
      </c>
      <c r="G1040" s="125">
        <f>SIM_Districts!D46*(1+SIM_Parametres!$B$6)^(2030-2023)</f>
        <v>433829.39691156492</v>
      </c>
      <c r="H1040" s="125">
        <f>MAX(0,MIN(100,SIM_Districts!F46+(2030-2022)*SIM_Parametres!$B$7))</f>
        <v>38.06</v>
      </c>
      <c r="I1040" s="125">
        <f>SIM_Districts!G46*(1+SIM_Parametres!$B$8)^(2030-2023)</f>
        <v>25.939103767705593</v>
      </c>
      <c r="J1040" s="125">
        <f>SIM_Districts!H46*(1+SIM_Parametres!$B$9)^(2030-2023)</f>
        <v>12.100911570000005</v>
      </c>
      <c r="K1040" s="125">
        <f>MAX(0,MIN(100,SIM_Districts!I46+(2030-2023)*SIM_Parametres!$B$10))</f>
        <v>95.7</v>
      </c>
      <c r="L1040" s="125">
        <f>SIM_Districts!E46</f>
        <v>8704</v>
      </c>
      <c r="M1040" s="61">
        <f t="shared" si="600"/>
        <v>49.84253181428825</v>
      </c>
      <c r="N1040" s="125">
        <f>N969*(1+SIM_Parametres!$B$6)/(1+SIM_Parametres!$B$11)</f>
        <v>133963</v>
      </c>
      <c r="O1040" s="3"/>
      <c r="P1040" s="126">
        <f>SIM_Parametres!$D$36</f>
        <v>1</v>
      </c>
      <c r="Q1040" s="126">
        <f>SIM_Parametres!$B$12</f>
        <v>0.2</v>
      </c>
      <c r="R1040" s="66">
        <f t="shared" si="605"/>
        <v>1.9460192510499061E-2</v>
      </c>
      <c r="S1040" s="66">
        <f t="shared" si="606"/>
        <v>0.62765957446808507</v>
      </c>
      <c r="T1040" s="66">
        <f t="shared" si="607"/>
        <v>0.91436464088397795</v>
      </c>
      <c r="U1040" s="66">
        <f t="shared" si="608"/>
        <v>0.80066503267175948</v>
      </c>
      <c r="V1040" s="66">
        <f t="shared" si="609"/>
        <v>0.51735506215340199</v>
      </c>
      <c r="W1040" s="66">
        <f t="shared" si="610"/>
        <v>1.4965123652504754E-2</v>
      </c>
      <c r="X1040" s="66">
        <f t="shared" si="611"/>
        <v>1.8094353031214129E-2</v>
      </c>
      <c r="Y1040" s="66">
        <f t="shared" si="612"/>
        <v>2.0456758966409916E-2</v>
      </c>
      <c r="Z1040" s="66">
        <f t="shared" si="613"/>
        <v>1.8988663864475865E-2</v>
      </c>
      <c r="AA1040" s="66">
        <f t="shared" si="601"/>
        <v>1.8607308150401559E-2</v>
      </c>
      <c r="AB1040" s="66">
        <f t="shared" si="614"/>
        <v>1.770274792877195E-2</v>
      </c>
      <c r="AC1040" s="67">
        <f t="shared" si="602"/>
        <v>30749920.69348691</v>
      </c>
      <c r="AD1040" s="67">
        <f t="shared" si="579"/>
        <v>30749920.69348691</v>
      </c>
      <c r="AE1040" s="66">
        <f t="shared" si="615"/>
        <v>3.200000000000025E-2</v>
      </c>
      <c r="AF1040" s="64">
        <f t="shared" si="577"/>
        <v>30749920.69348691</v>
      </c>
      <c r="AG1040" s="64">
        <v>1</v>
      </c>
      <c r="AH1040" s="64">
        <f t="shared" si="578"/>
        <v>30749920.69348691</v>
      </c>
      <c r="AI1040" s="67">
        <f t="shared" si="603"/>
        <v>70.880214463095058</v>
      </c>
      <c r="AJ1040" s="67">
        <f t="shared" si="604"/>
        <v>0</v>
      </c>
      <c r="AK1040" s="66">
        <f t="shared" si="616"/>
        <v>3.200000000000025E-2</v>
      </c>
    </row>
    <row r="1041" spans="1:37" ht="12" customHeight="1" x14ac:dyDescent="0.25">
      <c r="A1041" s="134" t="s">
        <v>640</v>
      </c>
      <c r="B1041" s="134" t="s">
        <v>430</v>
      </c>
      <c r="C1041" s="134" t="s">
        <v>430</v>
      </c>
      <c r="D1041" s="128">
        <v>2030</v>
      </c>
      <c r="E1041" s="134" t="s">
        <v>676</v>
      </c>
      <c r="F1041" s="57">
        <f>SIM_Parametres!$C$36</f>
        <v>1737013983.2082016</v>
      </c>
      <c r="G1041" s="129">
        <f>SIM_Districts!D47*(1+SIM_Parametres!$B$6)^(2030-2023)</f>
        <v>351933.32608678826</v>
      </c>
      <c r="H1041" s="129">
        <f>MAX(0,MIN(100,SIM_Districts!F47+(2030-2022)*SIM_Parametres!$B$7))</f>
        <v>38.06</v>
      </c>
      <c r="I1041" s="129">
        <f>SIM_Districts!G47*(1+SIM_Parametres!$B$8)^(2030-2023)</f>
        <v>25.939103767705593</v>
      </c>
      <c r="J1041" s="129">
        <f>SIM_Districts!H47*(1+SIM_Parametres!$B$9)^(2030-2023)</f>
        <v>12.100911570000005</v>
      </c>
      <c r="K1041" s="129">
        <f>MAX(0,MIN(100,SIM_Districts!I47+(2030-2023)*SIM_Parametres!$B$10))</f>
        <v>95.7</v>
      </c>
      <c r="L1041" s="129">
        <f>SIM_Districts!E47</f>
        <v>3957</v>
      </c>
      <c r="M1041" s="68">
        <f t="shared" si="600"/>
        <v>88.939430398480738</v>
      </c>
      <c r="N1041" s="129">
        <f>N970*(1+SIM_Parametres!$B$6)/(1+SIM_Parametres!$B$11)</f>
        <v>133963</v>
      </c>
      <c r="O1041" s="135"/>
      <c r="P1041" s="130">
        <f>SIM_Parametres!$D$36</f>
        <v>1</v>
      </c>
      <c r="Q1041" s="130">
        <f>SIM_Parametres!$B$12</f>
        <v>0.2</v>
      </c>
      <c r="R1041" s="59">
        <f t="shared" si="605"/>
        <v>1.5786597969766513E-2</v>
      </c>
      <c r="S1041" s="59">
        <f t="shared" si="606"/>
        <v>0.62765957446808507</v>
      </c>
      <c r="T1041" s="59">
        <f t="shared" si="607"/>
        <v>0.91436464088397795</v>
      </c>
      <c r="U1041" s="59">
        <f t="shared" si="608"/>
        <v>0.63577730793030052</v>
      </c>
      <c r="V1041" s="59">
        <f t="shared" si="609"/>
        <v>0.51735506215340199</v>
      </c>
      <c r="W1041" s="59">
        <f t="shared" si="610"/>
        <v>1.4965123652504754E-2</v>
      </c>
      <c r="X1041" s="59">
        <f t="shared" si="611"/>
        <v>1.8094353031214129E-2</v>
      </c>
      <c r="Y1041" s="59">
        <f t="shared" si="612"/>
        <v>1.6243925504331406E-2</v>
      </c>
      <c r="Z1041" s="59">
        <f t="shared" si="613"/>
        <v>1.8988663864475865E-2</v>
      </c>
      <c r="AA1041" s="59">
        <f t="shared" si="601"/>
        <v>1.6192509752858103E-2</v>
      </c>
      <c r="AB1041" s="59">
        <f t="shared" si="614"/>
        <v>1.5770909210737181E-2</v>
      </c>
      <c r="AC1041" s="60">
        <f t="shared" si="602"/>
        <v>27394289.826957516</v>
      </c>
      <c r="AD1041" s="60">
        <f t="shared" si="579"/>
        <v>27394289.826957516</v>
      </c>
      <c r="AE1041" s="59">
        <f t="shared" si="615"/>
        <v>3.2000000000000473E-2</v>
      </c>
      <c r="AF1041" s="57">
        <f t="shared" si="577"/>
        <v>27394289.826957516</v>
      </c>
      <c r="AG1041" s="57">
        <v>1</v>
      </c>
      <c r="AH1041" s="57">
        <f t="shared" si="578"/>
        <v>27394289.826957516</v>
      </c>
      <c r="AI1041" s="60">
        <f t="shared" si="603"/>
        <v>77.839430927328451</v>
      </c>
      <c r="AJ1041" s="60">
        <f t="shared" si="604"/>
        <v>0</v>
      </c>
      <c r="AK1041" s="59">
        <f t="shared" si="616"/>
        <v>3.2000000000000473E-2</v>
      </c>
    </row>
    <row r="1042" spans="1:37" ht="12" customHeight="1" x14ac:dyDescent="0.25">
      <c r="A1042" s="133" t="s">
        <v>641</v>
      </c>
      <c r="B1042" s="133" t="s">
        <v>430</v>
      </c>
      <c r="C1042" s="133" t="s">
        <v>433</v>
      </c>
      <c r="D1042" s="124">
        <v>2030</v>
      </c>
      <c r="E1042" s="133" t="s">
        <v>676</v>
      </c>
      <c r="F1042" s="64">
        <f>SIM_Parametres!$C$36</f>
        <v>1737013983.2082016</v>
      </c>
      <c r="G1042" s="125">
        <f>SIM_Districts!D48*(1+SIM_Parametres!$B$6)^(2030-2023)</f>
        <v>93294.541809534363</v>
      </c>
      <c r="H1042" s="125">
        <f>MAX(0,MIN(100,SIM_Districts!F48+(2030-2022)*SIM_Parametres!$B$7))</f>
        <v>38.06</v>
      </c>
      <c r="I1042" s="125">
        <f>SIM_Districts!G48*(1+SIM_Parametres!$B$8)^(2030-2023)</f>
        <v>25.939103767705593</v>
      </c>
      <c r="J1042" s="125">
        <f>SIM_Districts!H48*(1+SIM_Parametres!$B$9)^(2030-2023)</f>
        <v>12.100911570000005</v>
      </c>
      <c r="K1042" s="125">
        <f>MAX(0,MIN(100,SIM_Districts!I48+(2030-2023)*SIM_Parametres!$B$10))</f>
        <v>95.7</v>
      </c>
      <c r="L1042" s="125">
        <f>SIM_Districts!E48</f>
        <v>14444</v>
      </c>
      <c r="M1042" s="61">
        <f t="shared" si="600"/>
        <v>6.459051634556519</v>
      </c>
      <c r="N1042" s="125">
        <f>N971*(1+SIM_Parametres!$B$6)/(1+SIM_Parametres!$B$11)</f>
        <v>133963</v>
      </c>
      <c r="O1042" s="3"/>
      <c r="P1042" s="126">
        <f>SIM_Parametres!$D$36</f>
        <v>1</v>
      </c>
      <c r="Q1042" s="126">
        <f>SIM_Parametres!$B$12</f>
        <v>0.2</v>
      </c>
      <c r="R1042" s="66">
        <f t="shared" si="605"/>
        <v>4.1848933168593776E-3</v>
      </c>
      <c r="S1042" s="66">
        <f t="shared" si="606"/>
        <v>0.62765957446808507</v>
      </c>
      <c r="T1042" s="66">
        <f t="shared" si="607"/>
        <v>0.91436464088397795</v>
      </c>
      <c r="U1042" s="66">
        <f t="shared" si="608"/>
        <v>1</v>
      </c>
      <c r="V1042" s="66">
        <f t="shared" si="609"/>
        <v>0.51735506215340199</v>
      </c>
      <c r="W1042" s="66">
        <f t="shared" si="610"/>
        <v>1.4965123652504754E-2</v>
      </c>
      <c r="X1042" s="66">
        <f t="shared" si="611"/>
        <v>1.8094353031214129E-2</v>
      </c>
      <c r="Y1042" s="66">
        <f t="shared" si="612"/>
        <v>2.5549709468574187E-2</v>
      </c>
      <c r="Z1042" s="66">
        <f t="shared" si="613"/>
        <v>1.8988663864475865E-2</v>
      </c>
      <c r="AA1042" s="66">
        <f t="shared" si="601"/>
        <v>9.6967761593259628E-3</v>
      </c>
      <c r="AB1042" s="66">
        <f t="shared" si="614"/>
        <v>1.0574322335911473E-2</v>
      </c>
      <c r="AC1042" s="67">
        <f t="shared" si="602"/>
        <v>18367745.760429047</v>
      </c>
      <c r="AD1042" s="67">
        <f t="shared" si="579"/>
        <v>18367745.760429047</v>
      </c>
      <c r="AE1042" s="66">
        <f t="shared" si="615"/>
        <v>3.200000000000025E-2</v>
      </c>
      <c r="AF1042" s="64">
        <f t="shared" si="577"/>
        <v>18367745.760429047</v>
      </c>
      <c r="AG1042" s="64">
        <v>1</v>
      </c>
      <c r="AH1042" s="64">
        <f t="shared" si="578"/>
        <v>18367745.760429047</v>
      </c>
      <c r="AI1042" s="67">
        <f t="shared" si="603"/>
        <v>196.87910358065483</v>
      </c>
      <c r="AJ1042" s="67">
        <f t="shared" si="604"/>
        <v>0</v>
      </c>
      <c r="AK1042" s="66">
        <f t="shared" si="616"/>
        <v>3.200000000000025E-2</v>
      </c>
    </row>
    <row r="1043" spans="1:37" ht="12" customHeight="1" x14ac:dyDescent="0.25">
      <c r="A1043" s="134" t="s">
        <v>642</v>
      </c>
      <c r="B1043" s="134" t="s">
        <v>430</v>
      </c>
      <c r="C1043" s="134" t="s">
        <v>434</v>
      </c>
      <c r="D1043" s="128">
        <v>2030</v>
      </c>
      <c r="E1043" s="134" t="s">
        <v>676</v>
      </c>
      <c r="F1043" s="57">
        <f>SIM_Parametres!$C$36</f>
        <v>1737013983.2082016</v>
      </c>
      <c r="G1043" s="129">
        <f>SIM_Districts!D49*(1+SIM_Parametres!$B$6)^(2030-2023)</f>
        <v>143742.73789539709</v>
      </c>
      <c r="H1043" s="129">
        <f>MAX(0,MIN(100,SIM_Districts!F49+(2030-2022)*SIM_Parametres!$B$7))</f>
        <v>38.06</v>
      </c>
      <c r="I1043" s="129">
        <f>SIM_Districts!G49*(1+SIM_Parametres!$B$8)^(2030-2023)</f>
        <v>25.939103767705593</v>
      </c>
      <c r="J1043" s="129">
        <f>SIM_Districts!H49*(1+SIM_Parametres!$B$9)^(2030-2023)</f>
        <v>12.100911570000005</v>
      </c>
      <c r="K1043" s="129">
        <f>MAX(0,MIN(100,SIM_Districts!I49+(2030-2023)*SIM_Parametres!$B$10))</f>
        <v>95.7</v>
      </c>
      <c r="L1043" s="129">
        <f>SIM_Districts!E49</f>
        <v>1898</v>
      </c>
      <c r="M1043" s="68">
        <f t="shared" si="600"/>
        <v>75.733792357954215</v>
      </c>
      <c r="N1043" s="129">
        <f>N972*(1+SIM_Parametres!$B$6)/(1+SIM_Parametres!$B$11)</f>
        <v>133963</v>
      </c>
      <c r="O1043" s="135"/>
      <c r="P1043" s="130">
        <f>SIM_Parametres!$D$36</f>
        <v>1</v>
      </c>
      <c r="Q1043" s="130">
        <f>SIM_Parametres!$B$12</f>
        <v>0.2</v>
      </c>
      <c r="R1043" s="59">
        <f t="shared" si="605"/>
        <v>6.4478372635519005E-3</v>
      </c>
      <c r="S1043" s="59">
        <f t="shared" si="606"/>
        <v>0.62765957446808507</v>
      </c>
      <c r="T1043" s="59">
        <f t="shared" si="607"/>
        <v>0.91436464088397795</v>
      </c>
      <c r="U1043" s="59">
        <f t="shared" si="608"/>
        <v>0.5646045152795196</v>
      </c>
      <c r="V1043" s="59">
        <f t="shared" si="609"/>
        <v>0.51735506215340199</v>
      </c>
      <c r="W1043" s="59">
        <f t="shared" si="610"/>
        <v>1.4965123652504754E-2</v>
      </c>
      <c r="X1043" s="59">
        <f t="shared" si="611"/>
        <v>1.8094353031214129E-2</v>
      </c>
      <c r="Y1043" s="59">
        <f t="shared" si="612"/>
        <v>1.4425481330036882E-2</v>
      </c>
      <c r="Z1043" s="59">
        <f t="shared" si="613"/>
        <v>1.8988663864475865E-2</v>
      </c>
      <c r="AA1043" s="59">
        <f t="shared" si="601"/>
        <v>1.0498331120414612E-2</v>
      </c>
      <c r="AB1043" s="59">
        <f t="shared" si="614"/>
        <v>1.1215566304782393E-2</v>
      </c>
      <c r="AC1043" s="60">
        <f t="shared" si="602"/>
        <v>19481595.501005758</v>
      </c>
      <c r="AD1043" s="60">
        <f t="shared" si="579"/>
        <v>19481595.501005758</v>
      </c>
      <c r="AE1043" s="59">
        <f t="shared" si="615"/>
        <v>3.200000000000025E-2</v>
      </c>
      <c r="AF1043" s="57">
        <f t="shared" si="577"/>
        <v>19481595.501005758</v>
      </c>
      <c r="AG1043" s="57">
        <v>1</v>
      </c>
      <c r="AH1043" s="57">
        <f t="shared" si="578"/>
        <v>19481595.501005758</v>
      </c>
      <c r="AI1043" s="60">
        <f t="shared" si="603"/>
        <v>135.53098950419806</v>
      </c>
      <c r="AJ1043" s="60">
        <f t="shared" si="604"/>
        <v>0</v>
      </c>
      <c r="AK1043" s="59">
        <f t="shared" si="616"/>
        <v>3.200000000000025E-2</v>
      </c>
    </row>
    <row r="1044" spans="1:37" ht="12" customHeight="1" x14ac:dyDescent="0.25">
      <c r="A1044" s="133" t="s">
        <v>643</v>
      </c>
      <c r="B1044" s="133" t="s">
        <v>435</v>
      </c>
      <c r="C1044" s="133" t="s">
        <v>437</v>
      </c>
      <c r="D1044" s="124">
        <v>2030</v>
      </c>
      <c r="E1044" s="133" t="s">
        <v>676</v>
      </c>
      <c r="F1044" s="64">
        <f>SIM_Parametres!$C$36</f>
        <v>1737013983.2082016</v>
      </c>
      <c r="G1044" s="125">
        <f>SIM_Districts!D50*(1+SIM_Parametres!$B$6)^(2030-2023)</f>
        <v>120958.09466453597</v>
      </c>
      <c r="H1044" s="125">
        <f>MAX(0,MIN(100,SIM_Districts!F50+(2030-2022)*SIM_Parametres!$B$7))</f>
        <v>30.659999999999997</v>
      </c>
      <c r="I1044" s="125">
        <f>SIM_Districts!G50*(1+SIM_Parametres!$B$8)^(2030-2023)</f>
        <v>25.939103767705593</v>
      </c>
      <c r="J1044" s="125">
        <f>SIM_Districts!H50*(1+SIM_Parametres!$B$9)^(2030-2023)</f>
        <v>10.952999010000003</v>
      </c>
      <c r="K1044" s="125">
        <f>MAX(0,MIN(100,SIM_Districts!I50+(2030-2023)*SIM_Parametres!$B$10))</f>
        <v>99.9</v>
      </c>
      <c r="L1044" s="125">
        <f>SIM_Districts!E50</f>
        <v>2448</v>
      </c>
      <c r="M1044" s="61">
        <f t="shared" si="600"/>
        <v>49.410986382571885</v>
      </c>
      <c r="N1044" s="125">
        <f>N973*(1+SIM_Parametres!$B$6)/(1+SIM_Parametres!$B$11)</f>
        <v>89545</v>
      </c>
      <c r="O1044" s="3"/>
      <c r="P1044" s="126">
        <f>SIM_Parametres!$D$36</f>
        <v>1</v>
      </c>
      <c r="Q1044" s="126">
        <f>SIM_Parametres!$B$12</f>
        <v>0.2</v>
      </c>
      <c r="R1044" s="66">
        <f t="shared" si="605"/>
        <v>5.4257913931887603E-3</v>
      </c>
      <c r="S1044" s="66">
        <f t="shared" si="606"/>
        <v>0.4964539007092198</v>
      </c>
      <c r="T1044" s="66">
        <f t="shared" si="607"/>
        <v>0.84806629834254132</v>
      </c>
      <c r="U1044" s="66">
        <f t="shared" si="608"/>
        <v>0.58395945065622235</v>
      </c>
      <c r="V1044" s="66">
        <f t="shared" si="609"/>
        <v>0.20906585970196906</v>
      </c>
      <c r="W1044" s="66">
        <f t="shared" si="610"/>
        <v>1.1836820968082855E-2</v>
      </c>
      <c r="X1044" s="66">
        <f t="shared" si="611"/>
        <v>1.6782375772153281E-2</v>
      </c>
      <c r="Y1044" s="66">
        <f t="shared" si="612"/>
        <v>1.4919994305694665E-2</v>
      </c>
      <c r="Z1044" s="66">
        <f t="shared" si="613"/>
        <v>7.6734173990574452E-3</v>
      </c>
      <c r="AA1044" s="66">
        <f t="shared" si="601"/>
        <v>8.6780249321862825E-3</v>
      </c>
      <c r="AB1044" s="66">
        <f t="shared" si="614"/>
        <v>9.7593213541997299E-3</v>
      </c>
      <c r="AC1044" s="67">
        <f t="shared" si="602"/>
        <v>16952077.658867333</v>
      </c>
      <c r="AD1044" s="67">
        <f t="shared" si="579"/>
        <v>16952077.658867333</v>
      </c>
      <c r="AE1044" s="66">
        <f t="shared" si="615"/>
        <v>3.2000000000000028E-2</v>
      </c>
      <c r="AF1044" s="64">
        <f t="shared" si="577"/>
        <v>16952077.658867333</v>
      </c>
      <c r="AG1044" s="64">
        <v>1</v>
      </c>
      <c r="AH1044" s="64">
        <f t="shared" si="578"/>
        <v>16952077.658867333</v>
      </c>
      <c r="AI1044" s="67">
        <f t="shared" si="603"/>
        <v>140.14835225275385</v>
      </c>
      <c r="AJ1044" s="67">
        <f t="shared" si="604"/>
        <v>0</v>
      </c>
      <c r="AK1044" s="66">
        <f t="shared" si="616"/>
        <v>3.2000000000000028E-2</v>
      </c>
    </row>
    <row r="1045" spans="1:37" ht="12" customHeight="1" x14ac:dyDescent="0.25">
      <c r="A1045" s="134" t="s">
        <v>645</v>
      </c>
      <c r="B1045" s="134" t="s">
        <v>435</v>
      </c>
      <c r="C1045" s="134" t="s">
        <v>438</v>
      </c>
      <c r="D1045" s="128">
        <v>2030</v>
      </c>
      <c r="E1045" s="134" t="s">
        <v>676</v>
      </c>
      <c r="F1045" s="57">
        <f>SIM_Parametres!$C$36</f>
        <v>1737013983.2082016</v>
      </c>
      <c r="G1045" s="129">
        <f>SIM_Districts!D51*(1+SIM_Parametres!$B$6)^(2030-2023)</f>
        <v>228112.08506354317</v>
      </c>
      <c r="H1045" s="129">
        <f>MAX(0,MIN(100,SIM_Districts!F51+(2030-2022)*SIM_Parametres!$B$7))</f>
        <v>30.659999999999997</v>
      </c>
      <c r="I1045" s="129">
        <f>SIM_Districts!G51*(1+SIM_Parametres!$B$8)^(2030-2023)</f>
        <v>25.939103767705593</v>
      </c>
      <c r="J1045" s="129">
        <f>SIM_Districts!H51*(1+SIM_Parametres!$B$9)^(2030-2023)</f>
        <v>10.952999010000003</v>
      </c>
      <c r="K1045" s="129">
        <f>MAX(0,MIN(100,SIM_Districts!I51+(2030-2023)*SIM_Parametres!$B$10))</f>
        <v>99.9</v>
      </c>
      <c r="L1045" s="129">
        <f>SIM_Districts!E51</f>
        <v>6989</v>
      </c>
      <c r="M1045" s="68">
        <f t="shared" si="600"/>
        <v>32.63873015646633</v>
      </c>
      <c r="N1045" s="129">
        <f>N974*(1+SIM_Parametres!$B$6)/(1+SIM_Parametres!$B$11)</f>
        <v>89545</v>
      </c>
      <c r="O1045" s="135"/>
      <c r="P1045" s="130">
        <f>SIM_Parametres!$D$36</f>
        <v>1</v>
      </c>
      <c r="Q1045" s="130">
        <f>SIM_Parametres!$B$12</f>
        <v>0.2</v>
      </c>
      <c r="R1045" s="59">
        <f t="shared" si="605"/>
        <v>1.0232375032466481E-2</v>
      </c>
      <c r="S1045" s="59">
        <f t="shared" si="606"/>
        <v>0.4964539007092198</v>
      </c>
      <c r="T1045" s="59">
        <f t="shared" si="607"/>
        <v>0.84806629834254132</v>
      </c>
      <c r="U1045" s="59">
        <f t="shared" si="608"/>
        <v>0.74145452539080825</v>
      </c>
      <c r="V1045" s="59">
        <f t="shared" si="609"/>
        <v>0.20906585970196906</v>
      </c>
      <c r="W1045" s="59">
        <f t="shared" si="610"/>
        <v>1.1836820968082855E-2</v>
      </c>
      <c r="X1045" s="59">
        <f t="shared" si="611"/>
        <v>1.6782375772153281E-2</v>
      </c>
      <c r="Y1045" s="59">
        <f t="shared" si="612"/>
        <v>1.8943947707894714E-2</v>
      </c>
      <c r="Z1045" s="59">
        <f t="shared" si="613"/>
        <v>7.6734173990574452E-3</v>
      </c>
      <c r="AA1045" s="59">
        <f t="shared" si="601"/>
        <v>1.1763172785862917E-2</v>
      </c>
      <c r="AB1045" s="59">
        <f t="shared" si="614"/>
        <v>1.2227439637141036E-2</v>
      </c>
      <c r="AC1045" s="60">
        <f t="shared" si="602"/>
        <v>21239233.628548201</v>
      </c>
      <c r="AD1045" s="60">
        <f t="shared" si="579"/>
        <v>21239233.628548201</v>
      </c>
      <c r="AE1045" s="59">
        <f t="shared" si="615"/>
        <v>3.200000000000025E-2</v>
      </c>
      <c r="AF1045" s="57">
        <f t="shared" si="577"/>
        <v>21239233.628548201</v>
      </c>
      <c r="AG1045" s="57">
        <v>1</v>
      </c>
      <c r="AH1045" s="57">
        <f t="shared" si="578"/>
        <v>21239233.628548201</v>
      </c>
      <c r="AI1045" s="60">
        <f t="shared" si="603"/>
        <v>93.108761083972269</v>
      </c>
      <c r="AJ1045" s="60">
        <f t="shared" si="604"/>
        <v>0</v>
      </c>
      <c r="AK1045" s="59">
        <f t="shared" si="616"/>
        <v>3.200000000000025E-2</v>
      </c>
    </row>
    <row r="1046" spans="1:37" ht="12" customHeight="1" x14ac:dyDescent="0.25">
      <c r="A1046" s="133" t="s">
        <v>646</v>
      </c>
      <c r="B1046" s="133" t="s">
        <v>435</v>
      </c>
      <c r="C1046" s="133" t="s">
        <v>439</v>
      </c>
      <c r="D1046" s="124">
        <v>2030</v>
      </c>
      <c r="E1046" s="133" t="s">
        <v>676</v>
      </c>
      <c r="F1046" s="64">
        <f>SIM_Parametres!$C$36</f>
        <v>1737013983.2082016</v>
      </c>
      <c r="G1046" s="125">
        <f>SIM_Districts!D52*(1+SIM_Parametres!$B$6)^(2030-2023)</f>
        <v>375100.46008979651</v>
      </c>
      <c r="H1046" s="125">
        <f>MAX(0,MIN(100,SIM_Districts!F52+(2030-2022)*SIM_Parametres!$B$7))</f>
        <v>30.659999999999997</v>
      </c>
      <c r="I1046" s="125">
        <f>SIM_Districts!G52*(1+SIM_Parametres!$B$8)^(2030-2023)</f>
        <v>25.939103767705593</v>
      </c>
      <c r="J1046" s="125">
        <f>SIM_Districts!H52*(1+SIM_Parametres!$B$9)^(2030-2023)</f>
        <v>10.952999010000003</v>
      </c>
      <c r="K1046" s="125">
        <f>MAX(0,MIN(100,SIM_Districts!I52+(2030-2023)*SIM_Parametres!$B$10))</f>
        <v>99.9</v>
      </c>
      <c r="L1046" s="125">
        <f>SIM_Districts!E52</f>
        <v>5859</v>
      </c>
      <c r="M1046" s="61">
        <f t="shared" si="600"/>
        <v>64.021242548181689</v>
      </c>
      <c r="N1046" s="125">
        <f>N975*(1+SIM_Parametres!$B$6)/(1+SIM_Parametres!$B$11)</f>
        <v>89545</v>
      </c>
      <c r="O1046" s="3"/>
      <c r="P1046" s="126">
        <f>SIM_Parametres!$D$36</f>
        <v>1</v>
      </c>
      <c r="Q1046" s="126">
        <f>SIM_Parametres!$B$12</f>
        <v>0.2</v>
      </c>
      <c r="R1046" s="66">
        <f t="shared" si="605"/>
        <v>1.6825801146924585E-2</v>
      </c>
      <c r="S1046" s="66">
        <f t="shared" si="606"/>
        <v>0.4964539007092198</v>
      </c>
      <c r="T1046" s="66">
        <f t="shared" si="607"/>
        <v>0.84806629834254132</v>
      </c>
      <c r="U1046" s="66">
        <f t="shared" si="608"/>
        <v>0.70194995546768002</v>
      </c>
      <c r="V1046" s="66">
        <f t="shared" si="609"/>
        <v>0.20906585970196906</v>
      </c>
      <c r="W1046" s="66">
        <f t="shared" si="610"/>
        <v>1.1836820968082855E-2</v>
      </c>
      <c r="X1046" s="66">
        <f t="shared" si="611"/>
        <v>1.6782375772153281E-2</v>
      </c>
      <c r="Y1046" s="66">
        <f t="shared" si="612"/>
        <v>1.7934617423677815E-2</v>
      </c>
      <c r="Z1046" s="66">
        <f t="shared" si="613"/>
        <v>7.6734173990574452E-3</v>
      </c>
      <c r="AA1046" s="66">
        <f t="shared" si="601"/>
        <v>1.5668761940326934E-2</v>
      </c>
      <c r="AB1046" s="66">
        <f t="shared" si="614"/>
        <v>1.5351910960712249E-2</v>
      </c>
      <c r="AC1046" s="67">
        <f t="shared" si="602"/>
        <v>26666484.007724438</v>
      </c>
      <c r="AD1046" s="67">
        <f t="shared" si="579"/>
        <v>26666484.007724438</v>
      </c>
      <c r="AE1046" s="66">
        <f t="shared" si="615"/>
        <v>3.200000000000025E-2</v>
      </c>
      <c r="AF1046" s="64">
        <f t="shared" si="577"/>
        <v>26666484.007724438</v>
      </c>
      <c r="AG1046" s="64">
        <v>1</v>
      </c>
      <c r="AH1046" s="64">
        <f t="shared" si="578"/>
        <v>26666484.007724438</v>
      </c>
      <c r="AI1046" s="67">
        <f t="shared" si="603"/>
        <v>71.091579043493212</v>
      </c>
      <c r="AJ1046" s="67">
        <f t="shared" si="604"/>
        <v>0</v>
      </c>
      <c r="AK1046" s="66">
        <f t="shared" si="616"/>
        <v>3.200000000000025E-2</v>
      </c>
    </row>
    <row r="1047" spans="1:37" ht="12" customHeight="1" x14ac:dyDescent="0.25">
      <c r="A1047" s="134" t="s">
        <v>647</v>
      </c>
      <c r="B1047" s="134" t="s">
        <v>435</v>
      </c>
      <c r="C1047" s="134" t="s">
        <v>440</v>
      </c>
      <c r="D1047" s="128">
        <v>2030</v>
      </c>
      <c r="E1047" s="134" t="s">
        <v>676</v>
      </c>
      <c r="F1047" s="57">
        <f>SIM_Parametres!$C$36</f>
        <v>1737013983.2082016</v>
      </c>
      <c r="G1047" s="129">
        <f>SIM_Districts!D53*(1+SIM_Parametres!$B$6)^(2030-2023)</f>
        <v>272280.54519254656</v>
      </c>
      <c r="H1047" s="129">
        <f>MAX(0,MIN(100,SIM_Districts!F53+(2030-2022)*SIM_Parametres!$B$7))</f>
        <v>30.659999999999997</v>
      </c>
      <c r="I1047" s="129">
        <f>SIM_Districts!G53*(1+SIM_Parametres!$B$8)^(2030-2023)</f>
        <v>25.939103767705593</v>
      </c>
      <c r="J1047" s="129">
        <f>SIM_Districts!H53*(1+SIM_Parametres!$B$9)^(2030-2023)</f>
        <v>10.952999010000003</v>
      </c>
      <c r="K1047" s="129">
        <f>MAX(0,MIN(100,SIM_Districts!I53+(2030-2023)*SIM_Parametres!$B$10))</f>
        <v>99.9</v>
      </c>
      <c r="L1047" s="129">
        <f>SIM_Districts!E53</f>
        <v>3143</v>
      </c>
      <c r="M1047" s="68">
        <f t="shared" si="600"/>
        <v>86.630781162121082</v>
      </c>
      <c r="N1047" s="129">
        <f>N976*(1+SIM_Parametres!$B$6)/(1+SIM_Parametres!$B$11)</f>
        <v>89545</v>
      </c>
      <c r="O1047" s="135"/>
      <c r="P1047" s="130">
        <f>SIM_Parametres!$D$36</f>
        <v>1</v>
      </c>
      <c r="Q1047" s="130">
        <f>SIM_Parametres!$B$12</f>
        <v>0.2</v>
      </c>
      <c r="R1047" s="59">
        <f t="shared" si="605"/>
        <v>1.2213630205863411E-2</v>
      </c>
      <c r="S1047" s="59">
        <f t="shared" si="606"/>
        <v>0.4964539007092198</v>
      </c>
      <c r="T1047" s="59">
        <f t="shared" si="607"/>
        <v>0.84806629834254132</v>
      </c>
      <c r="U1047" s="59">
        <f t="shared" si="608"/>
        <v>0.6076065442079609</v>
      </c>
      <c r="V1047" s="59">
        <f t="shared" si="609"/>
        <v>0.20906585970196906</v>
      </c>
      <c r="W1047" s="59">
        <f t="shared" si="610"/>
        <v>1.1836820968082855E-2</v>
      </c>
      <c r="X1047" s="59">
        <f t="shared" si="611"/>
        <v>1.6782375772153281E-2</v>
      </c>
      <c r="Y1047" s="59">
        <f t="shared" si="612"/>
        <v>1.5524170675717779E-2</v>
      </c>
      <c r="Z1047" s="59">
        <f t="shared" si="613"/>
        <v>7.6734173990574452E-3</v>
      </c>
      <c r="AA1047" s="59">
        <f t="shared" si="601"/>
        <v>1.2780937038292228E-2</v>
      </c>
      <c r="AB1047" s="59">
        <f t="shared" si="614"/>
        <v>1.3041651039084484E-2</v>
      </c>
      <c r="AC1047" s="60">
        <f t="shared" si="602"/>
        <v>22653530.219011527</v>
      </c>
      <c r="AD1047" s="60">
        <f t="shared" si="579"/>
        <v>22653530.219011527</v>
      </c>
      <c r="AE1047" s="59">
        <f t="shared" si="615"/>
        <v>3.200000000000025E-2</v>
      </c>
      <c r="AF1047" s="57">
        <f t="shared" si="577"/>
        <v>22653530.219011527</v>
      </c>
      <c r="AG1047" s="57">
        <v>1</v>
      </c>
      <c r="AH1047" s="57">
        <f t="shared" si="578"/>
        <v>22653530.219011527</v>
      </c>
      <c r="AI1047" s="60">
        <f t="shared" si="603"/>
        <v>83.19922454610851</v>
      </c>
      <c r="AJ1047" s="60">
        <f t="shared" si="604"/>
        <v>0</v>
      </c>
      <c r="AK1047" s="59">
        <f t="shared" si="616"/>
        <v>3.200000000000025E-2</v>
      </c>
    </row>
    <row r="1048" spans="1:37" ht="12" customHeight="1" x14ac:dyDescent="0.25">
      <c r="A1048" s="133" t="s">
        <v>648</v>
      </c>
      <c r="B1048" s="133" t="s">
        <v>435</v>
      </c>
      <c r="C1048" s="133" t="s">
        <v>435</v>
      </c>
      <c r="D1048" s="124">
        <v>2030</v>
      </c>
      <c r="E1048" s="133" t="s">
        <v>676</v>
      </c>
      <c r="F1048" s="64">
        <f>SIM_Parametres!$C$36</f>
        <v>1737013983.2082016</v>
      </c>
      <c r="G1048" s="125">
        <f>SIM_Districts!D54*(1+SIM_Parametres!$B$6)^(2030-2023)</f>
        <v>482399.57560492388</v>
      </c>
      <c r="H1048" s="125">
        <f>MAX(0,MIN(100,SIM_Districts!F54+(2030-2022)*SIM_Parametres!$B$7))</f>
        <v>30.659999999999997</v>
      </c>
      <c r="I1048" s="125">
        <f>SIM_Districts!G54*(1+SIM_Parametres!$B$8)^(2030-2023)</f>
        <v>25.939103767705593</v>
      </c>
      <c r="J1048" s="125">
        <f>SIM_Districts!H54*(1+SIM_Parametres!$B$9)^(2030-2023)</f>
        <v>10.952999010000003</v>
      </c>
      <c r="K1048" s="125">
        <f>MAX(0,MIN(100,SIM_Districts!I54+(2030-2023)*SIM_Parametres!$B$10))</f>
        <v>99.9</v>
      </c>
      <c r="L1048" s="125">
        <f>SIM_Districts!E54</f>
        <v>802</v>
      </c>
      <c r="M1048" s="61">
        <f t="shared" si="600"/>
        <v>601.49573018070305</v>
      </c>
      <c r="N1048" s="125">
        <f>N977*(1+SIM_Parametres!$B$6)/(1+SIM_Parametres!$B$11)</f>
        <v>89545</v>
      </c>
      <c r="O1048" s="3"/>
      <c r="P1048" s="126">
        <f>SIM_Parametres!$D$36</f>
        <v>1</v>
      </c>
      <c r="Q1048" s="126">
        <f>SIM_Parametres!$B$12</f>
        <v>0.2</v>
      </c>
      <c r="R1048" s="66">
        <f t="shared" si="605"/>
        <v>2.1638894632510352E-2</v>
      </c>
      <c r="S1048" s="66">
        <f t="shared" si="606"/>
        <v>0.4964539007092198</v>
      </c>
      <c r="T1048" s="66">
        <f t="shared" si="607"/>
        <v>0.84806629834254132</v>
      </c>
      <c r="U1048" s="66">
        <f t="shared" si="608"/>
        <v>0.52059263207206896</v>
      </c>
      <c r="V1048" s="66">
        <f t="shared" si="609"/>
        <v>0.20906585970196906</v>
      </c>
      <c r="W1048" s="66">
        <f t="shared" si="610"/>
        <v>1.1836820968082855E-2</v>
      </c>
      <c r="X1048" s="66">
        <f t="shared" si="611"/>
        <v>1.6782375772153281E-2</v>
      </c>
      <c r="Y1048" s="66">
        <f t="shared" si="612"/>
        <v>1.3300990500921699E-2</v>
      </c>
      <c r="Z1048" s="66">
        <f t="shared" si="613"/>
        <v>7.6734173990574452E-3</v>
      </c>
      <c r="AA1048" s="66">
        <f t="shared" si="601"/>
        <v>1.832493668554059E-2</v>
      </c>
      <c r="AB1048" s="66">
        <f t="shared" si="614"/>
        <v>1.7476850756883173E-2</v>
      </c>
      <c r="AC1048" s="67">
        <f t="shared" si="602"/>
        <v>30357534.147148918</v>
      </c>
      <c r="AD1048" s="67">
        <f t="shared" si="579"/>
        <v>30357534.147148918</v>
      </c>
      <c r="AE1048" s="66">
        <f t="shared" si="615"/>
        <v>3.200000000000025E-2</v>
      </c>
      <c r="AF1048" s="64">
        <f t="shared" ref="AF1048:AF1068" si="617">AD1048</f>
        <v>30357534.147148918</v>
      </c>
      <c r="AG1048" s="64">
        <v>1</v>
      </c>
      <c r="AH1048" s="64">
        <f t="shared" ref="AH1048:AH1068" si="618">AF1048</f>
        <v>30357534.147148918</v>
      </c>
      <c r="AI1048" s="67">
        <f t="shared" si="603"/>
        <v>62.930267111203193</v>
      </c>
      <c r="AJ1048" s="67">
        <f t="shared" si="604"/>
        <v>0</v>
      </c>
      <c r="AK1048" s="66">
        <f t="shared" si="616"/>
        <v>3.200000000000025E-2</v>
      </c>
    </row>
    <row r="1049" spans="1:37" ht="12" customHeight="1" x14ac:dyDescent="0.25">
      <c r="A1049" s="134" t="s">
        <v>649</v>
      </c>
      <c r="B1049" s="134" t="s">
        <v>441</v>
      </c>
      <c r="C1049" s="134" t="s">
        <v>443</v>
      </c>
      <c r="D1049" s="128">
        <v>2030</v>
      </c>
      <c r="E1049" s="134" t="s">
        <v>676</v>
      </c>
      <c r="F1049" s="57">
        <f>SIM_Parametres!$C$36</f>
        <v>1737013983.2082016</v>
      </c>
      <c r="G1049" s="129">
        <f>SIM_Districts!D55*(1+SIM_Parametres!$B$6)^(2030-2023)</f>
        <v>355332.69745082257</v>
      </c>
      <c r="H1049" s="129">
        <f>MAX(0,MIN(100,SIM_Districts!F55+(2030-2022)*SIM_Parametres!$B$7))</f>
        <v>57.760000000000005</v>
      </c>
      <c r="I1049" s="129">
        <f>SIM_Districts!G55*(1+SIM_Parametres!$B$8)^(2030-2023)</f>
        <v>25.939103767705593</v>
      </c>
      <c r="J1049" s="129">
        <f>SIM_Districts!H55*(1+SIM_Parametres!$B$9)^(2030-2023)</f>
        <v>11.718274050000003</v>
      </c>
      <c r="K1049" s="129">
        <f>MAX(0,MIN(100,SIM_Districts!I55+(2030-2023)*SIM_Parametres!$B$10))</f>
        <v>95.6</v>
      </c>
      <c r="L1049" s="129">
        <f>SIM_Districts!E55</f>
        <v>2865</v>
      </c>
      <c r="M1049" s="68">
        <f t="shared" si="600"/>
        <v>124.02537432838484</v>
      </c>
      <c r="N1049" s="129">
        <f>N978*(1+SIM_Parametres!$B$6)/(1+SIM_Parametres!$B$11)</f>
        <v>178218</v>
      </c>
      <c r="O1049" s="135"/>
      <c r="P1049" s="130">
        <f>SIM_Parametres!$D$36</f>
        <v>1</v>
      </c>
      <c r="Q1049" s="130">
        <f>SIM_Parametres!$B$12</f>
        <v>0.2</v>
      </c>
      <c r="R1049" s="59">
        <f t="shared" si="605"/>
        <v>1.593908284430412E-2</v>
      </c>
      <c r="S1049" s="59">
        <f t="shared" si="606"/>
        <v>0.97695035460992907</v>
      </c>
      <c r="T1049" s="59">
        <f t="shared" si="607"/>
        <v>0.89226519337016574</v>
      </c>
      <c r="U1049" s="59">
        <f t="shared" si="608"/>
        <v>0.59754648703547397</v>
      </c>
      <c r="V1049" s="59">
        <f t="shared" si="609"/>
        <v>0.82451294081719062</v>
      </c>
      <c r="W1049" s="59">
        <f t="shared" si="610"/>
        <v>2.3293172690763048E-2</v>
      </c>
      <c r="X1049" s="59">
        <f t="shared" si="611"/>
        <v>1.7657027278193845E-2</v>
      </c>
      <c r="Y1049" s="59">
        <f t="shared" si="612"/>
        <v>1.5267139137723493E-2</v>
      </c>
      <c r="Z1049" s="59">
        <f t="shared" si="613"/>
        <v>3.0262386957075536E-2</v>
      </c>
      <c r="AA1049" s="59">
        <f t="shared" si="601"/>
        <v>1.7982456006665957E-2</v>
      </c>
      <c r="AB1049" s="59">
        <f t="shared" si="614"/>
        <v>1.7202866213783464E-2</v>
      </c>
      <c r="AC1049" s="60">
        <f t="shared" si="602"/>
        <v>29881619.164601821</v>
      </c>
      <c r="AD1049" s="60">
        <f t="shared" ref="AD1049:AD1068" si="619">F1049*((1-P1049)*AB1049+P1049*(Q1049/71+(1-Q1049)*AA1049))</f>
        <v>29881619.164601821</v>
      </c>
      <c r="AE1049" s="59">
        <f t="shared" si="615"/>
        <v>3.2000000000000473E-2</v>
      </c>
      <c r="AF1049" s="57">
        <f t="shared" si="617"/>
        <v>29881619.164601821</v>
      </c>
      <c r="AG1049" s="57">
        <v>1</v>
      </c>
      <c r="AH1049" s="57">
        <f t="shared" si="618"/>
        <v>29881619.164601821</v>
      </c>
      <c r="AI1049" s="60">
        <f t="shared" si="603"/>
        <v>84.094763524365462</v>
      </c>
      <c r="AJ1049" s="60">
        <f t="shared" si="604"/>
        <v>0</v>
      </c>
      <c r="AK1049" s="59">
        <f t="shared" si="616"/>
        <v>3.2000000000000473E-2</v>
      </c>
    </row>
    <row r="1050" spans="1:37" ht="12" customHeight="1" x14ac:dyDescent="0.25">
      <c r="A1050" s="133" t="s">
        <v>651</v>
      </c>
      <c r="B1050" s="133" t="s">
        <v>441</v>
      </c>
      <c r="C1050" s="133" t="s">
        <v>441</v>
      </c>
      <c r="D1050" s="124">
        <v>2030</v>
      </c>
      <c r="E1050" s="133" t="s">
        <v>676</v>
      </c>
      <c r="F1050" s="64">
        <f>SIM_Parametres!$C$36</f>
        <v>1737013983.2082016</v>
      </c>
      <c r="G1050" s="125">
        <f>SIM_Districts!D56*(1+SIM_Parametres!$B$6)^(2030-2023)</f>
        <v>369390.15573262883</v>
      </c>
      <c r="H1050" s="125">
        <f>MAX(0,MIN(100,SIM_Districts!F56+(2030-2022)*SIM_Parametres!$B$7))</f>
        <v>57.760000000000005</v>
      </c>
      <c r="I1050" s="125">
        <f>SIM_Districts!G56*(1+SIM_Parametres!$B$8)^(2030-2023)</f>
        <v>25.939103767705593</v>
      </c>
      <c r="J1050" s="125">
        <f>SIM_Districts!H56*(1+SIM_Parametres!$B$9)^(2030-2023)</f>
        <v>11.718274050000003</v>
      </c>
      <c r="K1050" s="125">
        <f>MAX(0,MIN(100,SIM_Districts!I56+(2030-2023)*SIM_Parametres!$B$10))</f>
        <v>95.6</v>
      </c>
      <c r="L1050" s="125">
        <f>SIM_Districts!E56</f>
        <v>2749</v>
      </c>
      <c r="M1050" s="61">
        <f t="shared" si="600"/>
        <v>134.37255574122548</v>
      </c>
      <c r="N1050" s="125">
        <f>N979*(1+SIM_Parametres!$B$6)/(1+SIM_Parametres!$B$11)</f>
        <v>178218</v>
      </c>
      <c r="O1050" s="3"/>
      <c r="P1050" s="126">
        <f>SIM_Parametres!$D$36</f>
        <v>1</v>
      </c>
      <c r="Q1050" s="126">
        <f>SIM_Parametres!$B$12</f>
        <v>0.2</v>
      </c>
      <c r="R1050" s="66">
        <f t="shared" si="605"/>
        <v>1.6569655245159711E-2</v>
      </c>
      <c r="S1050" s="66">
        <f t="shared" si="606"/>
        <v>0.97695035460992907</v>
      </c>
      <c r="T1050" s="66">
        <f t="shared" si="607"/>
        <v>0.89226519337016574</v>
      </c>
      <c r="U1050" s="66">
        <f t="shared" si="608"/>
        <v>0.59340921006518599</v>
      </c>
      <c r="V1050" s="66">
        <f t="shared" si="609"/>
        <v>0.82451294081719062</v>
      </c>
      <c r="W1050" s="66">
        <f t="shared" si="610"/>
        <v>2.3293172690763048E-2</v>
      </c>
      <c r="X1050" s="66">
        <f t="shared" si="611"/>
        <v>1.7657027278193845E-2</v>
      </c>
      <c r="Y1050" s="66">
        <f t="shared" si="612"/>
        <v>1.5161432913141612E-2</v>
      </c>
      <c r="Z1050" s="66">
        <f t="shared" si="613"/>
        <v>3.0262386957075536E-2</v>
      </c>
      <c r="AA1050" s="66">
        <f t="shared" si="601"/>
        <v>1.8355514135950216E-2</v>
      </c>
      <c r="AB1050" s="66">
        <f t="shared" si="614"/>
        <v>1.7501312717210876E-2</v>
      </c>
      <c r="AC1050" s="67">
        <f t="shared" si="602"/>
        <v>30400024.914294824</v>
      </c>
      <c r="AD1050" s="67">
        <f t="shared" si="619"/>
        <v>30400024.914294824</v>
      </c>
      <c r="AE1050" s="66">
        <f t="shared" si="615"/>
        <v>3.200000000000025E-2</v>
      </c>
      <c r="AF1050" s="64">
        <f t="shared" si="617"/>
        <v>30400024.914294824</v>
      </c>
      <c r="AG1050" s="64">
        <v>1</v>
      </c>
      <c r="AH1050" s="64">
        <f t="shared" si="618"/>
        <v>30400024.914294824</v>
      </c>
      <c r="AI1050" s="67">
        <f t="shared" si="603"/>
        <v>82.297875139636645</v>
      </c>
      <c r="AJ1050" s="67">
        <f t="shared" si="604"/>
        <v>0</v>
      </c>
      <c r="AK1050" s="66">
        <f t="shared" si="616"/>
        <v>3.200000000000025E-2</v>
      </c>
    </row>
    <row r="1051" spans="1:37" ht="12" customHeight="1" x14ac:dyDescent="0.25">
      <c r="A1051" s="134" t="s">
        <v>652</v>
      </c>
      <c r="B1051" s="134" t="s">
        <v>444</v>
      </c>
      <c r="C1051" s="134" t="s">
        <v>446</v>
      </c>
      <c r="D1051" s="128">
        <v>2030</v>
      </c>
      <c r="E1051" s="134" t="s">
        <v>676</v>
      </c>
      <c r="F1051" s="57">
        <f>SIM_Parametres!$C$36</f>
        <v>1737013983.2082016</v>
      </c>
      <c r="G1051" s="129">
        <f>SIM_Districts!D57*(1+SIM_Parametres!$B$6)^(2030-2023)</f>
        <v>186223.81108103754</v>
      </c>
      <c r="H1051" s="129">
        <f>MAX(0,MIN(100,SIM_Districts!F57+(2030-2022)*SIM_Parametres!$B$7))</f>
        <v>56.16</v>
      </c>
      <c r="I1051" s="129">
        <f>SIM_Districts!G57*(1+SIM_Parametres!$B$8)^(2030-2023)</f>
        <v>25.939103767705593</v>
      </c>
      <c r="J1051" s="129">
        <f>SIM_Districts!H57*(1+SIM_Parametres!$B$9)^(2030-2023)</f>
        <v>11.239977150000003</v>
      </c>
      <c r="K1051" s="129">
        <f>MAX(0,MIN(100,SIM_Districts!I57+(2030-2023)*SIM_Parametres!$B$10))</f>
        <v>99.6</v>
      </c>
      <c r="L1051" s="129">
        <f>SIM_Districts!E57</f>
        <v>1360</v>
      </c>
      <c r="M1051" s="68">
        <f t="shared" si="600"/>
        <v>136.92927285370408</v>
      </c>
      <c r="N1051" s="129">
        <f>N980*(1+SIM_Parametres!$B$6)/(1+SIM_Parametres!$B$11)</f>
        <v>71159</v>
      </c>
      <c r="O1051" s="135"/>
      <c r="P1051" s="130">
        <f>SIM_Parametres!$D$36</f>
        <v>1</v>
      </c>
      <c r="Q1051" s="130">
        <f>SIM_Parametres!$B$12</f>
        <v>0.2</v>
      </c>
      <c r="R1051" s="59">
        <f t="shared" si="605"/>
        <v>8.3534016815705377E-3</v>
      </c>
      <c r="S1051" s="59">
        <f t="shared" si="606"/>
        <v>0.94858156028368779</v>
      </c>
      <c r="T1051" s="59">
        <f t="shared" si="607"/>
        <v>0.86464088397790051</v>
      </c>
      <c r="U1051" s="59">
        <f t="shared" si="608"/>
        <v>0.54526424876049684</v>
      </c>
      <c r="V1051" s="59">
        <f t="shared" si="609"/>
        <v>8.1455312710388056E-2</v>
      </c>
      <c r="W1051" s="59">
        <f t="shared" si="610"/>
        <v>2.2616782921158311E-2</v>
      </c>
      <c r="X1051" s="59">
        <f t="shared" si="611"/>
        <v>1.7110370086918493E-2</v>
      </c>
      <c r="Y1051" s="59">
        <f t="shared" si="612"/>
        <v>1.3931343139431058E-2</v>
      </c>
      <c r="Z1051" s="59">
        <f t="shared" si="613"/>
        <v>2.9896828429499429E-3</v>
      </c>
      <c r="AA1051" s="59">
        <f t="shared" si="601"/>
        <v>1.1817165259272892E-2</v>
      </c>
      <c r="AB1051" s="59">
        <f t="shared" si="614"/>
        <v>1.2270633615869015E-2</v>
      </c>
      <c r="AC1051" s="60">
        <f t="shared" si="602"/>
        <v>21314262.173589103</v>
      </c>
      <c r="AD1051" s="60">
        <f t="shared" si="619"/>
        <v>21314262.173589103</v>
      </c>
      <c r="AE1051" s="59">
        <f t="shared" si="615"/>
        <v>3.200000000000025E-2</v>
      </c>
      <c r="AF1051" s="57">
        <f t="shared" si="617"/>
        <v>21314262.173589103</v>
      </c>
      <c r="AG1051" s="57">
        <v>1</v>
      </c>
      <c r="AH1051" s="57">
        <f t="shared" si="618"/>
        <v>21314262.173589103</v>
      </c>
      <c r="AI1051" s="60">
        <f t="shared" si="603"/>
        <v>114.45508525391494</v>
      </c>
      <c r="AJ1051" s="60">
        <f t="shared" si="604"/>
        <v>0</v>
      </c>
      <c r="AK1051" s="59">
        <f t="shared" si="616"/>
        <v>3.200000000000025E-2</v>
      </c>
    </row>
    <row r="1052" spans="1:37" ht="12" customHeight="1" x14ac:dyDescent="0.25">
      <c r="A1052" s="133" t="s">
        <v>654</v>
      </c>
      <c r="B1052" s="133" t="s">
        <v>444</v>
      </c>
      <c r="C1052" s="133" t="s">
        <v>447</v>
      </c>
      <c r="D1052" s="124">
        <v>2030</v>
      </c>
      <c r="E1052" s="133" t="s">
        <v>676</v>
      </c>
      <c r="F1052" s="64">
        <f>SIM_Parametres!$C$36</f>
        <v>1737013983.2082016</v>
      </c>
      <c r="G1052" s="125">
        <f>SIM_Districts!D58*(1+SIM_Parametres!$B$6)^(2030-2023)</f>
        <v>91321.824129392873</v>
      </c>
      <c r="H1052" s="125">
        <f>MAX(0,MIN(100,SIM_Districts!F58+(2030-2022)*SIM_Parametres!$B$7))</f>
        <v>56.16</v>
      </c>
      <c r="I1052" s="125">
        <f>SIM_Districts!G58*(1+SIM_Parametres!$B$8)^(2030-2023)</f>
        <v>25.939103767705593</v>
      </c>
      <c r="J1052" s="125">
        <f>SIM_Districts!H58*(1+SIM_Parametres!$B$9)^(2030-2023)</f>
        <v>11.239977150000003</v>
      </c>
      <c r="K1052" s="125">
        <f>MAX(0,MIN(100,SIM_Districts!I58+(2030-2023)*SIM_Parametres!$B$10))</f>
        <v>99.6</v>
      </c>
      <c r="L1052" s="125">
        <f>SIM_Districts!E58</f>
        <v>6089</v>
      </c>
      <c r="M1052" s="61">
        <f t="shared" si="600"/>
        <v>14.997836119131692</v>
      </c>
      <c r="N1052" s="125">
        <f>N981*(1+SIM_Parametres!$B$6)/(1+SIM_Parametres!$B$11)</f>
        <v>71159</v>
      </c>
      <c r="O1052" s="3"/>
      <c r="P1052" s="126">
        <f>SIM_Parametres!$D$36</f>
        <v>1</v>
      </c>
      <c r="Q1052" s="126">
        <f>SIM_Parametres!$B$12</f>
        <v>0.2</v>
      </c>
      <c r="R1052" s="66">
        <f t="shared" si="605"/>
        <v>4.0964035416211995E-3</v>
      </c>
      <c r="S1052" s="66">
        <f t="shared" si="606"/>
        <v>0.94858156028368779</v>
      </c>
      <c r="T1052" s="66">
        <f t="shared" si="607"/>
        <v>0.86464088397790051</v>
      </c>
      <c r="U1052" s="66">
        <f t="shared" si="608"/>
        <v>0.71048099676349064</v>
      </c>
      <c r="V1052" s="66">
        <f t="shared" si="609"/>
        <v>8.1455312710388056E-2</v>
      </c>
      <c r="W1052" s="66">
        <f t="shared" si="610"/>
        <v>2.2616782921158311E-2</v>
      </c>
      <c r="X1052" s="66">
        <f t="shared" si="611"/>
        <v>1.7110370086918493E-2</v>
      </c>
      <c r="Y1052" s="66">
        <f t="shared" si="612"/>
        <v>1.8152583050250182E-2</v>
      </c>
      <c r="Z1052" s="66">
        <f t="shared" si="613"/>
        <v>2.9896828429499429E-3</v>
      </c>
      <c r="AA1052" s="66">
        <f t="shared" si="601"/>
        <v>9.4740283708442466E-3</v>
      </c>
      <c r="AB1052" s="66">
        <f t="shared" si="614"/>
        <v>1.03961241051261E-2</v>
      </c>
      <c r="AC1052" s="67">
        <f t="shared" si="602"/>
        <v>18058212.941771891</v>
      </c>
      <c r="AD1052" s="67">
        <f t="shared" si="619"/>
        <v>18058212.941771891</v>
      </c>
      <c r="AE1052" s="66">
        <f t="shared" si="615"/>
        <v>3.200000000000025E-2</v>
      </c>
      <c r="AF1052" s="64">
        <f t="shared" si="617"/>
        <v>18058212.941771891</v>
      </c>
      <c r="AG1052" s="64">
        <v>1</v>
      </c>
      <c r="AH1052" s="64">
        <f t="shared" si="618"/>
        <v>18058212.941771891</v>
      </c>
      <c r="AI1052" s="67">
        <f t="shared" si="603"/>
        <v>197.74257811785944</v>
      </c>
      <c r="AJ1052" s="67">
        <f t="shared" si="604"/>
        <v>0</v>
      </c>
      <c r="AK1052" s="66">
        <f t="shared" si="616"/>
        <v>3.200000000000025E-2</v>
      </c>
    </row>
    <row r="1053" spans="1:37" ht="12" customHeight="1" x14ac:dyDescent="0.25">
      <c r="A1053" s="134" t="s">
        <v>655</v>
      </c>
      <c r="B1053" s="134" t="s">
        <v>444</v>
      </c>
      <c r="C1053" s="134" t="s">
        <v>448</v>
      </c>
      <c r="D1053" s="128">
        <v>2030</v>
      </c>
      <c r="E1053" s="134" t="s">
        <v>676</v>
      </c>
      <c r="F1053" s="57">
        <f>SIM_Parametres!$C$36</f>
        <v>1737013983.2082016</v>
      </c>
      <c r="G1053" s="129">
        <f>SIM_Districts!D59*(1+SIM_Parametres!$B$6)^(2030-2023)</f>
        <v>160873.65096690011</v>
      </c>
      <c r="H1053" s="129">
        <f>MAX(0,MIN(100,SIM_Districts!F59+(2030-2022)*SIM_Parametres!$B$7))</f>
        <v>56.16</v>
      </c>
      <c r="I1053" s="129">
        <f>SIM_Districts!G59*(1+SIM_Parametres!$B$8)^(2030-2023)</f>
        <v>25.939103767705593</v>
      </c>
      <c r="J1053" s="129">
        <f>SIM_Districts!H59*(1+SIM_Parametres!$B$9)^(2030-2023)</f>
        <v>11.239977150000003</v>
      </c>
      <c r="K1053" s="129">
        <f>MAX(0,MIN(100,SIM_Districts!I59+(2030-2023)*SIM_Parametres!$B$10))</f>
        <v>99.6</v>
      </c>
      <c r="L1053" s="129">
        <f>SIM_Districts!E59</f>
        <v>9596</v>
      </c>
      <c r="M1053" s="68">
        <f t="shared" si="600"/>
        <v>16.76465724957275</v>
      </c>
      <c r="N1053" s="129">
        <f>N982*(1+SIM_Parametres!$B$6)/(1+SIM_Parametres!$B$11)</f>
        <v>71159</v>
      </c>
      <c r="O1053" s="135"/>
      <c r="P1053" s="130">
        <f>SIM_Parametres!$D$36</f>
        <v>1</v>
      </c>
      <c r="Q1053" s="130">
        <f>SIM_Parametres!$B$12</f>
        <v>0.2</v>
      </c>
      <c r="R1053" s="59">
        <f t="shared" si="605"/>
        <v>7.2162749688465247E-3</v>
      </c>
      <c r="S1053" s="59">
        <f t="shared" si="606"/>
        <v>0.94858156028368779</v>
      </c>
      <c r="T1053" s="59">
        <f t="shared" si="607"/>
        <v>0.86464088397790051</v>
      </c>
      <c r="U1053" s="59">
        <f t="shared" si="608"/>
        <v>0.83194467542502504</v>
      </c>
      <c r="V1053" s="59">
        <f t="shared" si="609"/>
        <v>8.1455312710388056E-2</v>
      </c>
      <c r="W1053" s="59">
        <f t="shared" si="610"/>
        <v>2.2616782921158311E-2</v>
      </c>
      <c r="X1053" s="59">
        <f t="shared" si="611"/>
        <v>1.7110370086918493E-2</v>
      </c>
      <c r="Y1053" s="59">
        <f t="shared" si="612"/>
        <v>2.1255944751036641E-2</v>
      </c>
      <c r="Z1053" s="59">
        <f t="shared" si="613"/>
        <v>2.9896828429499429E-3</v>
      </c>
      <c r="AA1053" s="59">
        <f t="shared" si="601"/>
        <v>1.1501119312218764E-2</v>
      </c>
      <c r="AB1053" s="59">
        <f t="shared" si="614"/>
        <v>1.2017796858225713E-2</v>
      </c>
      <c r="AC1053" s="60">
        <f t="shared" si="602"/>
        <v>20875081.190093663</v>
      </c>
      <c r="AD1053" s="60">
        <f t="shared" si="619"/>
        <v>20875081.190093663</v>
      </c>
      <c r="AE1053" s="59">
        <f t="shared" si="615"/>
        <v>3.200000000000025E-2</v>
      </c>
      <c r="AF1053" s="57">
        <f t="shared" si="617"/>
        <v>20875081.190093663</v>
      </c>
      <c r="AG1053" s="57">
        <v>1</v>
      </c>
      <c r="AH1053" s="57">
        <f t="shared" si="618"/>
        <v>20875081.190093663</v>
      </c>
      <c r="AI1053" s="60">
        <f t="shared" si="603"/>
        <v>129.76072255852966</v>
      </c>
      <c r="AJ1053" s="60">
        <f t="shared" si="604"/>
        <v>0</v>
      </c>
      <c r="AK1053" s="59">
        <f t="shared" si="616"/>
        <v>3.200000000000025E-2</v>
      </c>
    </row>
    <row r="1054" spans="1:37" ht="12" customHeight="1" x14ac:dyDescent="0.25">
      <c r="A1054" s="133" t="s">
        <v>656</v>
      </c>
      <c r="B1054" s="133" t="s">
        <v>444</v>
      </c>
      <c r="C1054" s="133" t="s">
        <v>449</v>
      </c>
      <c r="D1054" s="124">
        <v>2030</v>
      </c>
      <c r="E1054" s="133" t="s">
        <v>676</v>
      </c>
      <c r="F1054" s="64">
        <f>SIM_Parametres!$C$36</f>
        <v>1737013983.2082016</v>
      </c>
      <c r="G1054" s="125">
        <f>SIM_Districts!D60*(1+SIM_Parametres!$B$6)^(2030-2023)</f>
        <v>118719.72422946271</v>
      </c>
      <c r="H1054" s="125">
        <f>MAX(0,MIN(100,SIM_Districts!F60+(2030-2022)*SIM_Parametres!$B$7))</f>
        <v>56.16</v>
      </c>
      <c r="I1054" s="125">
        <f>SIM_Districts!G60*(1+SIM_Parametres!$B$8)^(2030-2023)</f>
        <v>25.939103767705593</v>
      </c>
      <c r="J1054" s="125">
        <f>SIM_Districts!H60*(1+SIM_Parametres!$B$9)^(2030-2023)</f>
        <v>11.239977150000003</v>
      </c>
      <c r="K1054" s="125">
        <f>MAX(0,MIN(100,SIM_Districts!I60+(2030-2023)*SIM_Parametres!$B$10))</f>
        <v>99.6</v>
      </c>
      <c r="L1054" s="125">
        <f>SIM_Districts!E60</f>
        <v>5363</v>
      </c>
      <c r="M1054" s="61">
        <f t="shared" si="600"/>
        <v>22.136812274745981</v>
      </c>
      <c r="N1054" s="125">
        <f>N983*(1+SIM_Parametres!$B$6)/(1+SIM_Parametres!$B$11)</f>
        <v>71159</v>
      </c>
      <c r="O1054" s="3"/>
      <c r="P1054" s="126">
        <f>SIM_Parametres!$D$36</f>
        <v>1</v>
      </c>
      <c r="Q1054" s="126">
        <f>SIM_Parametres!$B$12</f>
        <v>0.2</v>
      </c>
      <c r="R1054" s="66">
        <f t="shared" si="605"/>
        <v>5.3253852891155164E-3</v>
      </c>
      <c r="S1054" s="66">
        <f t="shared" si="606"/>
        <v>0.94858156028368779</v>
      </c>
      <c r="T1054" s="66">
        <f t="shared" si="607"/>
        <v>0.86464088397790051</v>
      </c>
      <c r="U1054" s="66">
        <f t="shared" si="608"/>
        <v>0.68524994865574673</v>
      </c>
      <c r="V1054" s="66">
        <f t="shared" si="609"/>
        <v>8.1455312710388056E-2</v>
      </c>
      <c r="W1054" s="66">
        <f t="shared" si="610"/>
        <v>2.2616782921158311E-2</v>
      </c>
      <c r="X1054" s="66">
        <f t="shared" si="611"/>
        <v>1.7110370086918493E-2</v>
      </c>
      <c r="Y1054" s="66">
        <f t="shared" si="612"/>
        <v>1.7507937101509708E-2</v>
      </c>
      <c r="Z1054" s="66">
        <f t="shared" si="613"/>
        <v>2.9896828429499429E-3</v>
      </c>
      <c r="AA1054" s="66">
        <f t="shared" si="601"/>
        <v>1.0179185121903812E-2</v>
      </c>
      <c r="AB1054" s="66">
        <f t="shared" si="614"/>
        <v>1.0960249505973754E-2</v>
      </c>
      <c r="AC1054" s="67">
        <f t="shared" si="602"/>
        <v>19038106.651327197</v>
      </c>
      <c r="AD1054" s="67">
        <f t="shared" si="619"/>
        <v>19038106.651327197</v>
      </c>
      <c r="AE1054" s="66">
        <f t="shared" si="615"/>
        <v>3.200000000000025E-2</v>
      </c>
      <c r="AF1054" s="64">
        <f t="shared" si="617"/>
        <v>19038106.651327197</v>
      </c>
      <c r="AG1054" s="64">
        <v>1</v>
      </c>
      <c r="AH1054" s="64">
        <f t="shared" si="618"/>
        <v>19038106.651327197</v>
      </c>
      <c r="AI1054" s="67">
        <f t="shared" si="603"/>
        <v>160.36178297154859</v>
      </c>
      <c r="AJ1054" s="67">
        <f t="shared" si="604"/>
        <v>0</v>
      </c>
      <c r="AK1054" s="66">
        <f t="shared" si="616"/>
        <v>3.200000000000025E-2</v>
      </c>
    </row>
    <row r="1055" spans="1:37" ht="12" customHeight="1" x14ac:dyDescent="0.25">
      <c r="A1055" s="134" t="s">
        <v>657</v>
      </c>
      <c r="B1055" s="134" t="s">
        <v>444</v>
      </c>
      <c r="C1055" s="134" t="s">
        <v>450</v>
      </c>
      <c r="D1055" s="128">
        <v>2030</v>
      </c>
      <c r="E1055" s="134" t="s">
        <v>676</v>
      </c>
      <c r="F1055" s="57">
        <f>SIM_Parametres!$C$36</f>
        <v>1737013983.2082016</v>
      </c>
      <c r="G1055" s="129">
        <f>SIM_Districts!D61*(1+SIM_Parametres!$B$6)^(2030-2023)</f>
        <v>150856.32833301456</v>
      </c>
      <c r="H1055" s="129">
        <f>MAX(0,MIN(100,SIM_Districts!F61+(2030-2022)*SIM_Parametres!$B$7))</f>
        <v>56.16</v>
      </c>
      <c r="I1055" s="129">
        <f>SIM_Districts!G61*(1+SIM_Parametres!$B$8)^(2030-2023)</f>
        <v>25.939103767705593</v>
      </c>
      <c r="J1055" s="129">
        <f>SIM_Districts!H61*(1+SIM_Parametres!$B$9)^(2030-2023)</f>
        <v>11.239977150000003</v>
      </c>
      <c r="K1055" s="129">
        <f>MAX(0,MIN(100,SIM_Districts!I61+(2030-2023)*SIM_Parametres!$B$10))</f>
        <v>99.6</v>
      </c>
      <c r="L1055" s="129">
        <f>SIM_Districts!E61</f>
        <v>2477</v>
      </c>
      <c r="M1055" s="68">
        <f t="shared" si="600"/>
        <v>60.902837437632037</v>
      </c>
      <c r="N1055" s="129">
        <f>N984*(1+SIM_Parametres!$B$6)/(1+SIM_Parametres!$B$11)</f>
        <v>71159</v>
      </c>
      <c r="O1055" s="135"/>
      <c r="P1055" s="130">
        <f>SIM_Parametres!$D$36</f>
        <v>1</v>
      </c>
      <c r="Q1055" s="130">
        <f>SIM_Parametres!$B$12</f>
        <v>0.2</v>
      </c>
      <c r="R1055" s="59">
        <f t="shared" si="605"/>
        <v>6.7669300690242334E-3</v>
      </c>
      <c r="S1055" s="59">
        <f t="shared" si="606"/>
        <v>0.94858156028368779</v>
      </c>
      <c r="T1055" s="59">
        <f t="shared" si="607"/>
        <v>0.86464088397790051</v>
      </c>
      <c r="U1055" s="59">
        <f t="shared" si="608"/>
        <v>0.5848318733080492</v>
      </c>
      <c r="V1055" s="59">
        <f t="shared" si="609"/>
        <v>8.1455312710388056E-2</v>
      </c>
      <c r="W1055" s="59">
        <f t="shared" si="610"/>
        <v>2.2616782921158311E-2</v>
      </c>
      <c r="X1055" s="59">
        <f t="shared" si="611"/>
        <v>1.7110370086918493E-2</v>
      </c>
      <c r="Y1055" s="59">
        <f t="shared" si="612"/>
        <v>1.4942284450982645E-2</v>
      </c>
      <c r="Z1055" s="59">
        <f t="shared" si="613"/>
        <v>2.9896828429499429E-3</v>
      </c>
      <c r="AA1055" s="59">
        <f t="shared" si="601"/>
        <v>1.0915829357322689E-2</v>
      </c>
      <c r="AB1055" s="59">
        <f t="shared" si="614"/>
        <v>1.1549564894308856E-2</v>
      </c>
      <c r="AC1055" s="60">
        <f t="shared" si="602"/>
        <v>20061755.721385039</v>
      </c>
      <c r="AD1055" s="60">
        <f t="shared" si="619"/>
        <v>20061755.721385039</v>
      </c>
      <c r="AE1055" s="59">
        <f t="shared" si="615"/>
        <v>3.200000000000025E-2</v>
      </c>
      <c r="AF1055" s="57">
        <f t="shared" si="617"/>
        <v>20061755.721385039</v>
      </c>
      <c r="AG1055" s="57">
        <v>1</v>
      </c>
      <c r="AH1055" s="57">
        <f t="shared" si="618"/>
        <v>20061755.721385039</v>
      </c>
      <c r="AI1055" s="60">
        <f t="shared" si="603"/>
        <v>132.98584118459266</v>
      </c>
      <c r="AJ1055" s="60">
        <f t="shared" si="604"/>
        <v>0</v>
      </c>
      <c r="AK1055" s="59">
        <f t="shared" si="616"/>
        <v>3.200000000000025E-2</v>
      </c>
    </row>
    <row r="1056" spans="1:37" ht="12" customHeight="1" x14ac:dyDescent="0.25">
      <c r="A1056" s="133" t="s">
        <v>658</v>
      </c>
      <c r="B1056" s="133" t="s">
        <v>444</v>
      </c>
      <c r="C1056" s="133" t="s">
        <v>451</v>
      </c>
      <c r="D1056" s="124">
        <v>2030</v>
      </c>
      <c r="E1056" s="133" t="s">
        <v>676</v>
      </c>
      <c r="F1056" s="64">
        <f>SIM_Parametres!$C$36</f>
        <v>1737013983.2082016</v>
      </c>
      <c r="G1056" s="125">
        <f>SIM_Districts!D62*(1+SIM_Parametres!$B$6)^(2030-2023)</f>
        <v>506077.10726208345</v>
      </c>
      <c r="H1056" s="125">
        <f>MAX(0,MIN(100,SIM_Districts!F62+(2030-2022)*SIM_Parametres!$B$7))</f>
        <v>56.16</v>
      </c>
      <c r="I1056" s="125">
        <f>SIM_Districts!G62*(1+SIM_Parametres!$B$8)^(2030-2023)</f>
        <v>25.939103767705593</v>
      </c>
      <c r="J1056" s="125">
        <f>SIM_Districts!H62*(1+SIM_Parametres!$B$9)^(2030-2023)</f>
        <v>11.239977150000003</v>
      </c>
      <c r="K1056" s="125">
        <f>MAX(0,MIN(100,SIM_Districts!I62+(2030-2023)*SIM_Parametres!$B$10))</f>
        <v>99.6</v>
      </c>
      <c r="L1056" s="125">
        <f>SIM_Districts!E62</f>
        <v>11599</v>
      </c>
      <c r="M1056" s="61">
        <f t="shared" si="600"/>
        <v>43.631098134501549</v>
      </c>
      <c r="N1056" s="125">
        <f>N985*(1+SIM_Parametres!$B$6)/(1+SIM_Parametres!$B$11)</f>
        <v>71159</v>
      </c>
      <c r="O1056" s="3"/>
      <c r="P1056" s="126">
        <f>SIM_Parametres!$D$36</f>
        <v>1</v>
      </c>
      <c r="Q1056" s="126">
        <f>SIM_Parametres!$B$12</f>
        <v>0.2</v>
      </c>
      <c r="R1056" s="66">
        <f t="shared" si="605"/>
        <v>2.2700992608124689E-2</v>
      </c>
      <c r="S1056" s="66">
        <f t="shared" si="606"/>
        <v>0.94858156028368779</v>
      </c>
      <c r="T1056" s="66">
        <f t="shared" si="607"/>
        <v>0.86464088397790051</v>
      </c>
      <c r="U1056" s="66">
        <f t="shared" si="608"/>
        <v>0.90102051224376711</v>
      </c>
      <c r="V1056" s="66">
        <f t="shared" si="609"/>
        <v>8.1455312710388056E-2</v>
      </c>
      <c r="W1056" s="66">
        <f t="shared" si="610"/>
        <v>2.2616782921158311E-2</v>
      </c>
      <c r="X1056" s="66">
        <f t="shared" si="611"/>
        <v>1.7110370086918493E-2</v>
      </c>
      <c r="Y1056" s="66">
        <f t="shared" si="612"/>
        <v>2.3020812313054143E-2</v>
      </c>
      <c r="Z1056" s="66">
        <f t="shared" si="613"/>
        <v>2.9896828429499429E-3</v>
      </c>
      <c r="AA1056" s="66">
        <f t="shared" si="601"/>
        <v>2.0880193273886537E-2</v>
      </c>
      <c r="AB1056" s="66">
        <f t="shared" si="614"/>
        <v>1.9521056027559932E-2</v>
      </c>
      <c r="AC1056" s="67">
        <f t="shared" si="602"/>
        <v>33908347.286862358</v>
      </c>
      <c r="AD1056" s="67">
        <f t="shared" si="619"/>
        <v>33908347.286862358</v>
      </c>
      <c r="AE1056" s="66">
        <f t="shared" si="615"/>
        <v>3.200000000000025E-2</v>
      </c>
      <c r="AF1056" s="64">
        <f t="shared" si="617"/>
        <v>33908347.286862358</v>
      </c>
      <c r="AG1056" s="64">
        <v>1</v>
      </c>
      <c r="AH1056" s="64">
        <f t="shared" si="618"/>
        <v>33908347.286862358</v>
      </c>
      <c r="AI1056" s="67">
        <f t="shared" si="603"/>
        <v>67.002333834678197</v>
      </c>
      <c r="AJ1056" s="67">
        <f t="shared" si="604"/>
        <v>0</v>
      </c>
      <c r="AK1056" s="66">
        <f t="shared" si="616"/>
        <v>3.200000000000025E-2</v>
      </c>
    </row>
    <row r="1057" spans="1:37" ht="12" customHeight="1" x14ac:dyDescent="0.25">
      <c r="A1057" s="134" t="s">
        <v>659</v>
      </c>
      <c r="B1057" s="134" t="s">
        <v>452</v>
      </c>
      <c r="C1057" s="134" t="s">
        <v>454</v>
      </c>
      <c r="D1057" s="128">
        <v>2030</v>
      </c>
      <c r="E1057" s="134" t="s">
        <v>676</v>
      </c>
      <c r="F1057" s="57">
        <f>SIM_Parametres!$C$36</f>
        <v>1737013983.2082016</v>
      </c>
      <c r="G1057" s="129">
        <f>SIM_Districts!D63*(1+SIM_Parametres!$B$6)^(2030-2023)</f>
        <v>150128.24300468303</v>
      </c>
      <c r="H1057" s="129">
        <f>MAX(0,MIN(100,SIM_Districts!F63+(2030-2022)*SIM_Parametres!$B$7))</f>
        <v>23.259999999999998</v>
      </c>
      <c r="I1057" s="129">
        <f>SIM_Districts!G63*(1+SIM_Parametres!$B$8)^(2030-2023)</f>
        <v>25.939103767705593</v>
      </c>
      <c r="J1057" s="129">
        <f>SIM_Districts!H63*(1+SIM_Parametres!$B$9)^(2030-2023)</f>
        <v>7.6049207100000027</v>
      </c>
      <c r="K1057" s="129">
        <f>MAX(0,MIN(100,SIM_Districts!I63+(2030-2023)*SIM_Parametres!$B$10))</f>
        <v>100</v>
      </c>
      <c r="L1057" s="129">
        <f>SIM_Districts!E63</f>
        <v>393</v>
      </c>
      <c r="M1057" s="68">
        <f t="shared" si="600"/>
        <v>382.00570739105098</v>
      </c>
      <c r="N1057" s="129">
        <f>N986*(1+SIM_Parametres!$B$6)/(1+SIM_Parametres!$B$11)</f>
        <v>153373</v>
      </c>
      <c r="O1057" s="135"/>
      <c r="P1057" s="130">
        <f>SIM_Parametres!$D$36</f>
        <v>1</v>
      </c>
      <c r="Q1057" s="130">
        <f>SIM_Parametres!$B$12</f>
        <v>0.2</v>
      </c>
      <c r="R1057" s="59">
        <f t="shared" si="605"/>
        <v>6.734270501105903E-3</v>
      </c>
      <c r="S1057" s="59">
        <f t="shared" si="606"/>
        <v>0.36524822695035458</v>
      </c>
      <c r="T1057" s="59">
        <f t="shared" si="607"/>
        <v>0.65469613259668513</v>
      </c>
      <c r="U1057" s="59">
        <f t="shared" si="608"/>
        <v>0.5089487082445231</v>
      </c>
      <c r="V1057" s="59">
        <f t="shared" si="609"/>
        <v>0.65207282116061327</v>
      </c>
      <c r="W1057" s="59">
        <f t="shared" si="610"/>
        <v>8.7085182836609577E-3</v>
      </c>
      <c r="X1057" s="59">
        <f t="shared" si="611"/>
        <v>1.2955775433225826E-2</v>
      </c>
      <c r="Y1057" s="59">
        <f t="shared" si="612"/>
        <v>1.3003491630053694E-2</v>
      </c>
      <c r="Z1057" s="59">
        <f t="shared" si="613"/>
        <v>2.3933256909947777E-2</v>
      </c>
      <c r="AA1057" s="59">
        <f t="shared" si="601"/>
        <v>9.1370437851966326E-3</v>
      </c>
      <c r="AB1057" s="59">
        <f t="shared" si="614"/>
        <v>1.012653643660801E-2</v>
      </c>
      <c r="AC1057" s="60">
        <f t="shared" si="602"/>
        <v>17589935.391855467</v>
      </c>
      <c r="AD1057" s="60">
        <f t="shared" si="619"/>
        <v>17589935.391855467</v>
      </c>
      <c r="AE1057" s="59">
        <f t="shared" si="615"/>
        <v>3.2000000000000028E-2</v>
      </c>
      <c r="AF1057" s="57">
        <f t="shared" si="617"/>
        <v>17589935.391855467</v>
      </c>
      <c r="AG1057" s="57">
        <v>1</v>
      </c>
      <c r="AH1057" s="57">
        <f t="shared" si="618"/>
        <v>17589935.391855467</v>
      </c>
      <c r="AI1057" s="60">
        <f t="shared" si="603"/>
        <v>117.16606442471171</v>
      </c>
      <c r="AJ1057" s="60">
        <f t="shared" si="604"/>
        <v>0</v>
      </c>
      <c r="AK1057" s="59">
        <f t="shared" si="616"/>
        <v>3.2000000000000028E-2</v>
      </c>
    </row>
    <row r="1058" spans="1:37" ht="12" customHeight="1" x14ac:dyDescent="0.25">
      <c r="A1058" s="133" t="s">
        <v>661</v>
      </c>
      <c r="B1058" s="133" t="s">
        <v>452</v>
      </c>
      <c r="C1058" s="133" t="s">
        <v>455</v>
      </c>
      <c r="D1058" s="124">
        <v>2030</v>
      </c>
      <c r="E1058" s="133" t="s">
        <v>676</v>
      </c>
      <c r="F1058" s="64">
        <f>SIM_Parametres!$C$36</f>
        <v>1737013983.2082016</v>
      </c>
      <c r="G1058" s="125">
        <f>SIM_Districts!D64*(1+SIM_Parametres!$B$6)^(2030-2023)</f>
        <v>260201.95396020889</v>
      </c>
      <c r="H1058" s="125">
        <f>MAX(0,MIN(100,SIM_Districts!F64+(2030-2022)*SIM_Parametres!$B$7))</f>
        <v>23.259999999999998</v>
      </c>
      <c r="I1058" s="125">
        <f>SIM_Districts!G64*(1+SIM_Parametres!$B$8)^(2030-2023)</f>
        <v>25.939103767705593</v>
      </c>
      <c r="J1058" s="125">
        <f>SIM_Districts!H64*(1+SIM_Parametres!$B$9)^(2030-2023)</f>
        <v>7.6049207100000027</v>
      </c>
      <c r="K1058" s="125">
        <f>MAX(0,MIN(100,SIM_Districts!I64+(2030-2023)*SIM_Parametres!$B$10))</f>
        <v>100</v>
      </c>
      <c r="L1058" s="125">
        <f>SIM_Districts!E64</f>
        <v>537</v>
      </c>
      <c r="M1058" s="61">
        <f t="shared" si="600"/>
        <v>484.54740029834056</v>
      </c>
      <c r="N1058" s="125">
        <f>N987*(1+SIM_Parametres!$B$6)/(1+SIM_Parametres!$B$11)</f>
        <v>153373</v>
      </c>
      <c r="O1058" s="3"/>
      <c r="P1058" s="126">
        <f>SIM_Parametres!$D$36</f>
        <v>1</v>
      </c>
      <c r="Q1058" s="126">
        <f>SIM_Parametres!$B$12</f>
        <v>0.2</v>
      </c>
      <c r="R1058" s="66">
        <f t="shared" si="605"/>
        <v>1.1671823421191252E-2</v>
      </c>
      <c r="S1058" s="66">
        <f t="shared" si="606"/>
        <v>0.36524822695035458</v>
      </c>
      <c r="T1058" s="66">
        <f t="shared" si="607"/>
        <v>0.65469613259668513</v>
      </c>
      <c r="U1058" s="66">
        <f t="shared" si="608"/>
        <v>0.51275775815315705</v>
      </c>
      <c r="V1058" s="66">
        <f t="shared" si="609"/>
        <v>0.65207282116061327</v>
      </c>
      <c r="W1058" s="66">
        <f t="shared" si="610"/>
        <v>8.7085182836609577E-3</v>
      </c>
      <c r="X1058" s="66">
        <f t="shared" si="611"/>
        <v>1.2955775433225826E-2</v>
      </c>
      <c r="Y1058" s="66">
        <f t="shared" si="612"/>
        <v>1.310081174857059E-2</v>
      </c>
      <c r="Z1058" s="66">
        <f t="shared" si="613"/>
        <v>2.3933256909947777E-2</v>
      </c>
      <c r="AA1058" s="66">
        <f t="shared" si="601"/>
        <v>1.2104441543173687E-2</v>
      </c>
      <c r="AB1058" s="66">
        <f t="shared" si="614"/>
        <v>1.250045464298965E-2</v>
      </c>
      <c r="AC1058" s="67">
        <f t="shared" si="602"/>
        <v>21713464.511332918</v>
      </c>
      <c r="AD1058" s="67">
        <f t="shared" si="619"/>
        <v>21713464.511332918</v>
      </c>
      <c r="AE1058" s="66">
        <f t="shared" si="615"/>
        <v>3.200000000000025E-2</v>
      </c>
      <c r="AF1058" s="64">
        <f t="shared" si="617"/>
        <v>21713464.511332918</v>
      </c>
      <c r="AG1058" s="64">
        <v>1</v>
      </c>
      <c r="AH1058" s="64">
        <f t="shared" si="618"/>
        <v>21713464.511332918</v>
      </c>
      <c r="AI1058" s="67">
        <f t="shared" si="603"/>
        <v>83.448506749697302</v>
      </c>
      <c r="AJ1058" s="67">
        <f t="shared" si="604"/>
        <v>0</v>
      </c>
      <c r="AK1058" s="66">
        <f t="shared" si="616"/>
        <v>3.200000000000025E-2</v>
      </c>
    </row>
    <row r="1059" spans="1:37" ht="12" customHeight="1" x14ac:dyDescent="0.25">
      <c r="A1059" s="134" t="s">
        <v>662</v>
      </c>
      <c r="B1059" s="134" t="s">
        <v>452</v>
      </c>
      <c r="C1059" s="134" t="s">
        <v>456</v>
      </c>
      <c r="D1059" s="128">
        <v>2030</v>
      </c>
      <c r="E1059" s="134" t="s">
        <v>676</v>
      </c>
      <c r="F1059" s="57">
        <f>SIM_Parametres!$C$36</f>
        <v>1737013983.2082016</v>
      </c>
      <c r="G1059" s="129">
        <f>SIM_Districts!D65*(1+SIM_Parametres!$B$6)^(2030-2023)</f>
        <v>677500.61624659807</v>
      </c>
      <c r="H1059" s="129">
        <f>MAX(0,MIN(100,SIM_Districts!F65+(2030-2022)*SIM_Parametres!$B$7))</f>
        <v>23.259999999999998</v>
      </c>
      <c r="I1059" s="129">
        <f>SIM_Districts!G65*(1+SIM_Parametres!$B$8)^(2030-2023)</f>
        <v>25.939103767705593</v>
      </c>
      <c r="J1059" s="129">
        <f>SIM_Districts!H65*(1+SIM_Parametres!$B$9)^(2030-2023)</f>
        <v>7.6049207100000027</v>
      </c>
      <c r="K1059" s="129">
        <f>MAX(0,MIN(100,SIM_Districts!I65+(2030-2023)*SIM_Parametres!$B$10))</f>
        <v>100</v>
      </c>
      <c r="L1059" s="129">
        <f>SIM_Districts!E65</f>
        <v>487</v>
      </c>
      <c r="M1059" s="68">
        <f t="shared" si="600"/>
        <v>1391.1716966049241</v>
      </c>
      <c r="N1059" s="129">
        <f>N988*(1+SIM_Parametres!$B$6)/(1+SIM_Parametres!$B$11)</f>
        <v>153373</v>
      </c>
      <c r="O1059" s="135"/>
      <c r="P1059" s="130">
        <f>SIM_Parametres!$D$36</f>
        <v>1</v>
      </c>
      <c r="Q1059" s="130">
        <f>SIM_Parametres!$B$12</f>
        <v>0.2</v>
      </c>
      <c r="R1059" s="59">
        <f t="shared" si="605"/>
        <v>3.0390500302652688E-2</v>
      </c>
      <c r="S1059" s="59">
        <f t="shared" si="606"/>
        <v>0.36524822695035458</v>
      </c>
      <c r="T1059" s="59">
        <f t="shared" si="607"/>
        <v>0.65469613259668513</v>
      </c>
      <c r="U1059" s="59">
        <f t="shared" si="608"/>
        <v>0.50060006219339404</v>
      </c>
      <c r="V1059" s="59">
        <f t="shared" si="609"/>
        <v>0.65207282116061327</v>
      </c>
      <c r="W1059" s="59">
        <f t="shared" si="610"/>
        <v>8.7085182836609577E-3</v>
      </c>
      <c r="X1059" s="59">
        <f t="shared" si="611"/>
        <v>1.2955775433225826E-2</v>
      </c>
      <c r="Y1059" s="59">
        <f t="shared" si="612"/>
        <v>1.2790186148991387E-2</v>
      </c>
      <c r="Z1059" s="59">
        <f t="shared" si="613"/>
        <v>2.3933256909947777E-2</v>
      </c>
      <c r="AA1059" s="59">
        <f t="shared" si="601"/>
        <v>2.3320116392071589E-2</v>
      </c>
      <c r="AB1059" s="59">
        <f t="shared" si="614"/>
        <v>2.147299452210797E-2</v>
      </c>
      <c r="AC1059" s="60">
        <f t="shared" si="602"/>
        <v>37298891.746254675</v>
      </c>
      <c r="AD1059" s="60">
        <f t="shared" si="619"/>
        <v>37298891.746254675</v>
      </c>
      <c r="AE1059" s="59">
        <f t="shared" si="615"/>
        <v>3.2000000000000473E-2</v>
      </c>
      <c r="AF1059" s="57">
        <f t="shared" si="617"/>
        <v>37298891.746254675</v>
      </c>
      <c r="AG1059" s="57">
        <v>1</v>
      </c>
      <c r="AH1059" s="57">
        <f t="shared" si="618"/>
        <v>37298891.746254675</v>
      </c>
      <c r="AI1059" s="60">
        <f t="shared" si="603"/>
        <v>55.053664678407536</v>
      </c>
      <c r="AJ1059" s="60">
        <f t="shared" si="604"/>
        <v>0</v>
      </c>
      <c r="AK1059" s="59">
        <f t="shared" si="616"/>
        <v>3.2000000000000473E-2</v>
      </c>
    </row>
    <row r="1060" spans="1:37" ht="12" customHeight="1" x14ac:dyDescent="0.25">
      <c r="A1060" s="133" t="s">
        <v>663</v>
      </c>
      <c r="B1060" s="133" t="s">
        <v>452</v>
      </c>
      <c r="C1060" s="133" t="s">
        <v>457</v>
      </c>
      <c r="D1060" s="124">
        <v>2030</v>
      </c>
      <c r="E1060" s="133" t="s">
        <v>676</v>
      </c>
      <c r="F1060" s="64">
        <f>SIM_Parametres!$C$36</f>
        <v>1737013983.2082016</v>
      </c>
      <c r="G1060" s="125">
        <f>SIM_Districts!D66*(1+SIM_Parametres!$B$6)^(2030-2023)</f>
        <v>135796.52285088701</v>
      </c>
      <c r="H1060" s="125">
        <f>MAX(0,MIN(100,SIM_Districts!F66+(2030-2022)*SIM_Parametres!$B$7))</f>
        <v>23.259999999999998</v>
      </c>
      <c r="I1060" s="125">
        <f>SIM_Districts!G66*(1+SIM_Parametres!$B$8)^(2030-2023)</f>
        <v>25.939103767705593</v>
      </c>
      <c r="J1060" s="125">
        <f>SIM_Districts!H66*(1+SIM_Parametres!$B$9)^(2030-2023)</f>
        <v>7.6049207100000027</v>
      </c>
      <c r="K1060" s="125">
        <f>MAX(0,MIN(100,SIM_Districts!I66+(2030-2023)*SIM_Parametres!$B$10))</f>
        <v>100</v>
      </c>
      <c r="L1060" s="125">
        <f>SIM_Districts!E66</f>
        <v>230</v>
      </c>
      <c r="M1060" s="61">
        <f t="shared" si="600"/>
        <v>590.41966456907392</v>
      </c>
      <c r="N1060" s="125">
        <f>N989*(1+SIM_Parametres!$B$6)/(1+SIM_Parametres!$B$11)</f>
        <v>153373</v>
      </c>
      <c r="O1060" s="3"/>
      <c r="P1060" s="126">
        <f>SIM_Parametres!$D$36</f>
        <v>1</v>
      </c>
      <c r="Q1060" s="126">
        <f>SIM_Parametres!$B$12</f>
        <v>0.2</v>
      </c>
      <c r="R1060" s="66">
        <f t="shared" si="605"/>
        <v>6.0913955940918845E-3</v>
      </c>
      <c r="S1060" s="66">
        <f t="shared" si="606"/>
        <v>0.36524822695035458</v>
      </c>
      <c r="T1060" s="66">
        <f t="shared" si="607"/>
        <v>0.65469613259668513</v>
      </c>
      <c r="U1060" s="66">
        <f t="shared" si="608"/>
        <v>0.50090567337352976</v>
      </c>
      <c r="V1060" s="66">
        <f t="shared" si="609"/>
        <v>0.65207282116061327</v>
      </c>
      <c r="W1060" s="66">
        <f t="shared" si="610"/>
        <v>8.7085182836609577E-3</v>
      </c>
      <c r="X1060" s="66">
        <f t="shared" si="611"/>
        <v>1.2955775433225826E-2</v>
      </c>
      <c r="Y1060" s="66">
        <f t="shared" si="612"/>
        <v>1.2797994425854203E-2</v>
      </c>
      <c r="Z1060" s="66">
        <f t="shared" si="613"/>
        <v>2.3933256909947777E-2</v>
      </c>
      <c r="AA1060" s="66">
        <f t="shared" si="601"/>
        <v>8.7410439807782472E-3</v>
      </c>
      <c r="AB1060" s="66">
        <f t="shared" si="614"/>
        <v>9.8097365930733017E-3</v>
      </c>
      <c r="AC1060" s="67">
        <f t="shared" si="602"/>
        <v>17039649.633757509</v>
      </c>
      <c r="AD1060" s="67">
        <f t="shared" si="619"/>
        <v>17039649.633757509</v>
      </c>
      <c r="AE1060" s="66">
        <f t="shared" si="615"/>
        <v>3.2000000000000028E-2</v>
      </c>
      <c r="AF1060" s="64">
        <f t="shared" si="617"/>
        <v>17039649.633757509</v>
      </c>
      <c r="AG1060" s="64">
        <v>1</v>
      </c>
      <c r="AH1060" s="64">
        <f t="shared" si="618"/>
        <v>17039649.633757509</v>
      </c>
      <c r="AI1060" s="67">
        <f t="shared" si="603"/>
        <v>125.47927793753674</v>
      </c>
      <c r="AJ1060" s="67">
        <f t="shared" si="604"/>
        <v>0</v>
      </c>
      <c r="AK1060" s="66">
        <f t="shared" si="616"/>
        <v>3.2000000000000028E-2</v>
      </c>
    </row>
    <row r="1061" spans="1:37" ht="12" customHeight="1" x14ac:dyDescent="0.25">
      <c r="A1061" s="134" t="s">
        <v>664</v>
      </c>
      <c r="B1061" s="134" t="s">
        <v>452</v>
      </c>
      <c r="C1061" s="134" t="s">
        <v>458</v>
      </c>
      <c r="D1061" s="128">
        <v>2030</v>
      </c>
      <c r="E1061" s="134" t="s">
        <v>676</v>
      </c>
      <c r="F1061" s="57">
        <f>SIM_Parametres!$C$36</f>
        <v>1737013983.2082016</v>
      </c>
      <c r="G1061" s="129">
        <f>SIM_Districts!D67*(1+SIM_Parametres!$B$6)^(2030-2023)</f>
        <v>225002.96393174911</v>
      </c>
      <c r="H1061" s="129">
        <f>MAX(0,MIN(100,SIM_Districts!F67+(2030-2022)*SIM_Parametres!$B$7))</f>
        <v>23.259999999999998</v>
      </c>
      <c r="I1061" s="129">
        <f>SIM_Districts!G67*(1+SIM_Parametres!$B$8)^(2030-2023)</f>
        <v>25.939103767705593</v>
      </c>
      <c r="J1061" s="129">
        <f>SIM_Districts!H67*(1+SIM_Parametres!$B$9)^(2030-2023)</f>
        <v>7.6049207100000027</v>
      </c>
      <c r="K1061" s="129">
        <f>MAX(0,MIN(100,SIM_Districts!I67+(2030-2023)*SIM_Parametres!$B$10))</f>
        <v>100</v>
      </c>
      <c r="L1061" s="129">
        <f>SIM_Districts!E67</f>
        <v>557</v>
      </c>
      <c r="M1061" s="68">
        <f t="shared" si="600"/>
        <v>403.95505194209892</v>
      </c>
      <c r="N1061" s="129">
        <f>N990*(1+SIM_Parametres!$B$6)/(1+SIM_Parametres!$B$11)</f>
        <v>153373</v>
      </c>
      <c r="O1061" s="135"/>
      <c r="P1061" s="130">
        <f>SIM_Parametres!$D$36</f>
        <v>1</v>
      </c>
      <c r="Q1061" s="130">
        <f>SIM_Parametres!$B$12</f>
        <v>0.2</v>
      </c>
      <c r="R1061" s="59">
        <f t="shared" si="605"/>
        <v>1.0092909850544965E-2</v>
      </c>
      <c r="S1061" s="59">
        <f t="shared" si="606"/>
        <v>0.36524822695035458</v>
      </c>
      <c r="T1061" s="59">
        <f t="shared" si="607"/>
        <v>0.65469613259668513</v>
      </c>
      <c r="U1061" s="59">
        <f t="shared" si="608"/>
        <v>0.51437733390901996</v>
      </c>
      <c r="V1061" s="59">
        <f t="shared" si="609"/>
        <v>0.65207282116061327</v>
      </c>
      <c r="W1061" s="59">
        <f t="shared" si="610"/>
        <v>8.7085182836609577E-3</v>
      </c>
      <c r="X1061" s="59">
        <f t="shared" si="611"/>
        <v>1.2955775433225826E-2</v>
      </c>
      <c r="Y1061" s="59">
        <f t="shared" si="612"/>
        <v>1.3142191438595234E-2</v>
      </c>
      <c r="Z1061" s="59">
        <f t="shared" si="613"/>
        <v>2.3933256909947777E-2</v>
      </c>
      <c r="AA1061" s="59">
        <f t="shared" si="601"/>
        <v>1.1159162385287146E-2</v>
      </c>
      <c r="AB1061" s="59">
        <f t="shared" si="614"/>
        <v>1.1744231316680419E-2</v>
      </c>
      <c r="AC1061" s="60">
        <f t="shared" si="602"/>
        <v>20399894.019105561</v>
      </c>
      <c r="AD1061" s="60">
        <f t="shared" si="619"/>
        <v>20399894.019105561</v>
      </c>
      <c r="AE1061" s="59">
        <f t="shared" si="615"/>
        <v>3.200000000000025E-2</v>
      </c>
      <c r="AF1061" s="57">
        <f t="shared" si="617"/>
        <v>20399894.019105561</v>
      </c>
      <c r="AG1061" s="57">
        <v>1</v>
      </c>
      <c r="AH1061" s="57">
        <f t="shared" si="618"/>
        <v>20399894.019105561</v>
      </c>
      <c r="AI1061" s="60">
        <f t="shared" si="603"/>
        <v>90.665001307687348</v>
      </c>
      <c r="AJ1061" s="60">
        <f t="shared" si="604"/>
        <v>0</v>
      </c>
      <c r="AK1061" s="59">
        <f t="shared" si="616"/>
        <v>3.200000000000025E-2</v>
      </c>
    </row>
    <row r="1062" spans="1:37" ht="12" customHeight="1" x14ac:dyDescent="0.25">
      <c r="A1062" s="133" t="s">
        <v>665</v>
      </c>
      <c r="B1062" s="133" t="s">
        <v>452</v>
      </c>
      <c r="C1062" s="133" t="s">
        <v>459</v>
      </c>
      <c r="D1062" s="124">
        <v>2030</v>
      </c>
      <c r="E1062" s="133" t="s">
        <v>676</v>
      </c>
      <c r="F1062" s="64">
        <f>SIM_Parametres!$C$36</f>
        <v>1737013983.2082016</v>
      </c>
      <c r="G1062" s="125">
        <f>SIM_Districts!D68*(1+SIM_Parametres!$B$6)^(2030-2023)</f>
        <v>285798.0888474313</v>
      </c>
      <c r="H1062" s="125">
        <f>MAX(0,MIN(100,SIM_Districts!F68+(2030-2022)*SIM_Parametres!$B$7))</f>
        <v>23.259999999999998</v>
      </c>
      <c r="I1062" s="125">
        <f>SIM_Districts!G68*(1+SIM_Parametres!$B$8)^(2030-2023)</f>
        <v>25.939103767705593</v>
      </c>
      <c r="J1062" s="125">
        <f>SIM_Districts!H68*(1+SIM_Parametres!$B$9)^(2030-2023)</f>
        <v>7.6049207100000027</v>
      </c>
      <c r="K1062" s="125">
        <f>MAX(0,MIN(100,SIM_Districts!I68+(2030-2023)*SIM_Parametres!$B$10))</f>
        <v>100</v>
      </c>
      <c r="L1062" s="125">
        <f>SIM_Districts!E68</f>
        <v>793</v>
      </c>
      <c r="M1062" s="61">
        <f t="shared" si="600"/>
        <v>360.40112086687429</v>
      </c>
      <c r="N1062" s="125">
        <f>N991*(1+SIM_Parametres!$B$6)/(1+SIM_Parametres!$B$11)</f>
        <v>153373</v>
      </c>
      <c r="O1062" s="3"/>
      <c r="P1062" s="126">
        <f>SIM_Parametres!$D$36</f>
        <v>1</v>
      </c>
      <c r="Q1062" s="126">
        <f>SIM_Parametres!$B$12</f>
        <v>0.2</v>
      </c>
      <c r="R1062" s="66">
        <f t="shared" ref="R1062:R1068" si="620">IFERROR(G1062/SUM($G$998:$G$1068),1/71)</f>
        <v>1.2819983771725512E-2</v>
      </c>
      <c r="S1062" s="66">
        <f t="shared" ref="S1062:S1068" si="621">IF(MAX($H$998:$H$1068)=MIN($H$998:$H$1068),1,(H1062-MIN($H$998:$H$1068))/(MAX($H$998:$H$1068)-MIN($H$998:$H$1068)))</f>
        <v>0.36524822695035458</v>
      </c>
      <c r="T1062" s="66">
        <f t="shared" ref="T1062:T1068" si="622">(IF(MAX($I$998:$I$1068)=MIN($I$998:$I$1068),1,(I1062-MIN($I$998:$I$1068))/(MAX($I$998:$I$1068)-MIN($I$998:$I$1068)))+IF(MAX($J$998:$J$1068)=MIN($J$998:$J$1068),1,(J1062-MIN($J$998:$J$1068))/(MAX($J$998:$J$1068)-MIN($J$998:$J$1068))))/2</f>
        <v>0.65469613259668513</v>
      </c>
      <c r="U1062" s="66">
        <f t="shared" ref="U1062:U1068" si="623">(IF(MAX($L$998:$L$1068)=MIN($L$998:$L$1068),1,(L1062-MIN($L$998:$L$1068))/(MAX($L$998:$L$1068)-MIN($L$998:$L$1068)))+IF(MAX($M$998:$M$1068)=MIN($M$998:$M$1068),1,(MAX($M$998:$M$1068)-M1062)/(MAX($M$998:$M$1068)-MIN($M$998:$M$1068))))/2</f>
        <v>0.52305332187907927</v>
      </c>
      <c r="V1062" s="66">
        <f t="shared" ref="V1062:V1068" si="624">IF(MAX($N$998:$N$1068)=MIN($N$998:$N$1068),1,(N1062-MIN($N$998:$N$1068))/(MAX($N$998:$N$1068)-MIN($N$998:$N$1068)))</f>
        <v>0.65207282116061327</v>
      </c>
      <c r="W1062" s="66">
        <f t="shared" ref="W1062:W1068" si="625">IFERROR(S1062/SUM($S$998:$S$1068),1/71)</f>
        <v>8.7085182836609577E-3</v>
      </c>
      <c r="X1062" s="66">
        <f t="shared" ref="X1062:X1068" si="626">IFERROR(T1062/SUM($T$998:$T$1068),1/71)</f>
        <v>1.2955775433225826E-2</v>
      </c>
      <c r="Y1062" s="66">
        <f t="shared" ref="Y1062:Y1068" si="627">IFERROR(U1062/SUM($U$998:$U$1068),1/71)</f>
        <v>1.3363860410583094E-2</v>
      </c>
      <c r="Z1062" s="66">
        <f t="shared" ref="Z1062:Z1068" si="628">IFERROR(V1062/SUM($V$998:$V$1068),1/71)</f>
        <v>2.3933256909947777E-2</v>
      </c>
      <c r="AA1062" s="66">
        <f t="shared" si="601"/>
        <v>1.2806490186594867E-2</v>
      </c>
      <c r="AB1062" s="66">
        <f t="shared" ref="AB1062:AB1068" si="629">IFERROR(AH991/SUM($AH$927:$AH$997),1/71)</f>
        <v>1.3062093557726596E-2</v>
      </c>
      <c r="AC1062" s="67">
        <f t="shared" si="602"/>
        <v>22689039.159744866</v>
      </c>
      <c r="AD1062" s="67">
        <f t="shared" si="619"/>
        <v>22689039.159744866</v>
      </c>
      <c r="AE1062" s="66">
        <f t="shared" si="615"/>
        <v>3.2000000000000028E-2</v>
      </c>
      <c r="AF1062" s="64">
        <f t="shared" si="617"/>
        <v>22689039.159744866</v>
      </c>
      <c r="AG1062" s="64">
        <v>1</v>
      </c>
      <c r="AH1062" s="64">
        <f t="shared" si="618"/>
        <v>22689039.159744866</v>
      </c>
      <c r="AI1062" s="67">
        <f t="shared" si="603"/>
        <v>79.388351585013723</v>
      </c>
      <c r="AJ1062" s="67">
        <f t="shared" si="604"/>
        <v>0</v>
      </c>
      <c r="AK1062" s="66">
        <f t="shared" si="616"/>
        <v>3.2000000000000028E-2</v>
      </c>
    </row>
    <row r="1063" spans="1:37" ht="12" customHeight="1" x14ac:dyDescent="0.25">
      <c r="A1063" s="134" t="s">
        <v>666</v>
      </c>
      <c r="B1063" s="134" t="s">
        <v>452</v>
      </c>
      <c r="C1063" s="134" t="s">
        <v>452</v>
      </c>
      <c r="D1063" s="128">
        <v>2030</v>
      </c>
      <c r="E1063" s="134" t="s">
        <v>676</v>
      </c>
      <c r="F1063" s="57">
        <f>SIM_Parametres!$C$36</f>
        <v>1737013983.2082016</v>
      </c>
      <c r="G1063" s="129">
        <f>SIM_Districts!D69*(1+SIM_Parametres!$B$6)^(2030-2023)</f>
        <v>762021.23790019145</v>
      </c>
      <c r="H1063" s="129">
        <f>MAX(0,MIN(100,SIM_Districts!F69+(2030-2022)*SIM_Parametres!$B$7))</f>
        <v>23.259999999999998</v>
      </c>
      <c r="I1063" s="129">
        <f>SIM_Districts!G69*(1+SIM_Parametres!$B$8)^(2030-2023)</f>
        <v>25.939103767705593</v>
      </c>
      <c r="J1063" s="129">
        <f>SIM_Districts!H69*(1+SIM_Parametres!$B$9)^(2030-2023)</f>
        <v>7.6049207100000027</v>
      </c>
      <c r="K1063" s="129">
        <f>MAX(0,MIN(100,SIM_Districts!I69+(2030-2023)*SIM_Parametres!$B$10))</f>
        <v>100</v>
      </c>
      <c r="L1063" s="129">
        <f>SIM_Districts!E69</f>
        <v>503</v>
      </c>
      <c r="M1063" s="68">
        <f t="shared" si="600"/>
        <v>1514.9527592449135</v>
      </c>
      <c r="N1063" s="129">
        <f>N992*(1+SIM_Parametres!$B$6)/(1+SIM_Parametres!$B$11)</f>
        <v>153373</v>
      </c>
      <c r="O1063" s="135"/>
      <c r="P1063" s="130">
        <f>SIM_Parametres!$D$36</f>
        <v>1</v>
      </c>
      <c r="Q1063" s="130">
        <f>SIM_Parametres!$B$12</f>
        <v>0.2</v>
      </c>
      <c r="R1063" s="59">
        <f t="shared" si="620"/>
        <v>3.4181823758820569E-2</v>
      </c>
      <c r="S1063" s="59">
        <f t="shared" si="621"/>
        <v>0.36524822695035458</v>
      </c>
      <c r="T1063" s="59">
        <f t="shared" si="622"/>
        <v>0.65469613259668513</v>
      </c>
      <c r="U1063" s="59">
        <f t="shared" si="623"/>
        <v>0.49973089584614416</v>
      </c>
      <c r="V1063" s="59">
        <f t="shared" si="624"/>
        <v>0.65207282116061327</v>
      </c>
      <c r="W1063" s="59">
        <f t="shared" si="625"/>
        <v>8.7085182836609577E-3</v>
      </c>
      <c r="X1063" s="59">
        <f t="shared" si="626"/>
        <v>1.2955775433225826E-2</v>
      </c>
      <c r="Y1063" s="59">
        <f t="shared" si="627"/>
        <v>1.2767979201339291E-2</v>
      </c>
      <c r="Z1063" s="59">
        <f t="shared" si="628"/>
        <v>2.3933256909947777E-2</v>
      </c>
      <c r="AA1063" s="59">
        <f t="shared" si="601"/>
        <v>2.5593800118389715E-2</v>
      </c>
      <c r="AB1063" s="59">
        <f t="shared" si="629"/>
        <v>2.329194150316247E-2</v>
      </c>
      <c r="AC1063" s="60">
        <f t="shared" si="602"/>
        <v>40458428.087060682</v>
      </c>
      <c r="AD1063" s="60">
        <f t="shared" si="619"/>
        <v>40458428.087060682</v>
      </c>
      <c r="AE1063" s="59">
        <f t="shared" si="615"/>
        <v>3.2000000000000473E-2</v>
      </c>
      <c r="AF1063" s="57">
        <f t="shared" si="617"/>
        <v>40458428.087060682</v>
      </c>
      <c r="AG1063" s="57">
        <v>1</v>
      </c>
      <c r="AH1063" s="57">
        <f t="shared" si="618"/>
        <v>40458428.087060682</v>
      </c>
      <c r="AI1063" s="60">
        <f t="shared" si="603"/>
        <v>53.093570198314964</v>
      </c>
      <c r="AJ1063" s="60">
        <f t="shared" si="604"/>
        <v>0</v>
      </c>
      <c r="AK1063" s="59">
        <f t="shared" si="616"/>
        <v>3.2000000000000473E-2</v>
      </c>
    </row>
    <row r="1064" spans="1:37" ht="12" customHeight="1" x14ac:dyDescent="0.25">
      <c r="A1064" s="133" t="s">
        <v>667</v>
      </c>
      <c r="B1064" s="133" t="s">
        <v>452</v>
      </c>
      <c r="C1064" s="133" t="s">
        <v>460</v>
      </c>
      <c r="D1064" s="124">
        <v>2030</v>
      </c>
      <c r="E1064" s="133" t="s">
        <v>676</v>
      </c>
      <c r="F1064" s="64">
        <f>SIM_Parametres!$C$36</f>
        <v>1737013983.2082016</v>
      </c>
      <c r="G1064" s="125">
        <f>SIM_Districts!D70*(1+SIM_Parametres!$B$6)^(2030-2023)</f>
        <v>533562.32840659842</v>
      </c>
      <c r="H1064" s="125">
        <f>MAX(0,MIN(100,SIM_Districts!F70+(2030-2022)*SIM_Parametres!$B$7))</f>
        <v>23.259999999999998</v>
      </c>
      <c r="I1064" s="125">
        <f>SIM_Districts!G70*(1+SIM_Parametres!$B$8)^(2030-2023)</f>
        <v>25.939103767705593</v>
      </c>
      <c r="J1064" s="125">
        <f>SIM_Districts!H70*(1+SIM_Parametres!$B$9)^(2030-2023)</f>
        <v>7.6049207100000027</v>
      </c>
      <c r="K1064" s="125">
        <f>MAX(0,MIN(100,SIM_Districts!I70+(2030-2023)*SIM_Parametres!$B$10))</f>
        <v>100</v>
      </c>
      <c r="L1064" s="125">
        <f>SIM_Districts!E70</f>
        <v>1739</v>
      </c>
      <c r="M1064" s="61">
        <f t="shared" si="600"/>
        <v>306.82135043507674</v>
      </c>
      <c r="N1064" s="125">
        <f>N993*(1+SIM_Parametres!$B$6)/(1+SIM_Parametres!$B$11)</f>
        <v>153373</v>
      </c>
      <c r="O1064" s="3"/>
      <c r="P1064" s="126">
        <f>SIM_Parametres!$D$36</f>
        <v>1</v>
      </c>
      <c r="Q1064" s="126">
        <f>SIM_Parametres!$B$12</f>
        <v>0.2</v>
      </c>
      <c r="R1064" s="66">
        <f t="shared" si="620"/>
        <v>2.393389129704164E-2</v>
      </c>
      <c r="S1064" s="66">
        <f t="shared" si="621"/>
        <v>0.36524822695035458</v>
      </c>
      <c r="T1064" s="66">
        <f t="shared" si="622"/>
        <v>0.65469613259668513</v>
      </c>
      <c r="U1064" s="66">
        <f t="shared" si="623"/>
        <v>0.55643930835847477</v>
      </c>
      <c r="V1064" s="66">
        <f t="shared" si="624"/>
        <v>0.65207282116061327</v>
      </c>
      <c r="W1064" s="66">
        <f t="shared" si="625"/>
        <v>8.7085182836609577E-3</v>
      </c>
      <c r="X1064" s="66">
        <f t="shared" si="626"/>
        <v>1.2955775433225826E-2</v>
      </c>
      <c r="Y1064" s="66">
        <f t="shared" si="627"/>
        <v>1.4216862665453396E-2</v>
      </c>
      <c r="Z1064" s="66">
        <f t="shared" si="628"/>
        <v>2.3933256909947777E-2</v>
      </c>
      <c r="AA1064" s="66">
        <f t="shared" si="601"/>
        <v>1.9517484814528061E-2</v>
      </c>
      <c r="AB1064" s="66">
        <f t="shared" si="629"/>
        <v>1.8430889260073153E-2</v>
      </c>
      <c r="AC1064" s="67">
        <f t="shared" si="602"/>
        <v>32014712.367708933</v>
      </c>
      <c r="AD1064" s="67">
        <f t="shared" si="619"/>
        <v>32014712.367708933</v>
      </c>
      <c r="AE1064" s="66">
        <f t="shared" si="615"/>
        <v>3.2000000000000028E-2</v>
      </c>
      <c r="AF1064" s="64">
        <f t="shared" si="617"/>
        <v>32014712.367708933</v>
      </c>
      <c r="AG1064" s="64">
        <v>1</v>
      </c>
      <c r="AH1064" s="64">
        <f t="shared" si="618"/>
        <v>32014712.367708933</v>
      </c>
      <c r="AI1064" s="67">
        <f t="shared" si="603"/>
        <v>60.001822960994886</v>
      </c>
      <c r="AJ1064" s="67">
        <f t="shared" si="604"/>
        <v>0</v>
      </c>
      <c r="AK1064" s="66">
        <f t="shared" si="616"/>
        <v>3.2000000000000028E-2</v>
      </c>
    </row>
    <row r="1065" spans="1:37" ht="12" customHeight="1" x14ac:dyDescent="0.25">
      <c r="A1065" s="134" t="s">
        <v>668</v>
      </c>
      <c r="B1065" s="134" t="s">
        <v>461</v>
      </c>
      <c r="C1065" s="134" t="s">
        <v>463</v>
      </c>
      <c r="D1065" s="128">
        <v>2030</v>
      </c>
      <c r="E1065" s="134" t="s">
        <v>676</v>
      </c>
      <c r="F1065" s="57">
        <f>SIM_Parametres!$C$36</f>
        <v>1737013983.2082016</v>
      </c>
      <c r="G1065" s="129">
        <f>SIM_Districts!D71*(1+SIM_Parametres!$B$6)^(2030-2023)</f>
        <v>196383.79908331239</v>
      </c>
      <c r="H1065" s="129">
        <f>MAX(0,MIN(100,SIM_Districts!F71+(2030-2022)*SIM_Parametres!$B$7))</f>
        <v>41.66</v>
      </c>
      <c r="I1065" s="129">
        <f>SIM_Districts!G71*(1+SIM_Parametres!$B$8)^(2030-2023)</f>
        <v>25.939103767705593</v>
      </c>
      <c r="J1065" s="129">
        <f>SIM_Districts!H71*(1+SIM_Parametres!$B$9)^(2030-2023)</f>
        <v>4.9264580700000016</v>
      </c>
      <c r="K1065" s="129">
        <f>MAX(0,MIN(100,SIM_Districts!I71+(2030-2023)*SIM_Parametres!$B$10))</f>
        <v>100</v>
      </c>
      <c r="L1065" s="129">
        <f>SIM_Districts!E71</f>
        <v>2537</v>
      </c>
      <c r="M1065" s="68">
        <f t="shared" si="600"/>
        <v>77.407882965436499</v>
      </c>
      <c r="N1065" s="129">
        <f>N994*(1+SIM_Parametres!$B$6)/(1+SIM_Parametres!$B$11)</f>
        <v>69419</v>
      </c>
      <c r="O1065" s="135"/>
      <c r="P1065" s="130">
        <f>SIM_Parametres!$D$36</f>
        <v>1</v>
      </c>
      <c r="Q1065" s="130">
        <f>SIM_Parametres!$B$12</f>
        <v>0.2</v>
      </c>
      <c r="R1065" s="59">
        <f t="shared" si="620"/>
        <v>8.8091460913227743E-3</v>
      </c>
      <c r="S1065" s="59">
        <f t="shared" si="621"/>
        <v>0.6914893617021276</v>
      </c>
      <c r="T1065" s="59">
        <f t="shared" si="622"/>
        <v>0.5</v>
      </c>
      <c r="U1065" s="59">
        <f t="shared" si="623"/>
        <v>0.58672050041788637</v>
      </c>
      <c r="V1065" s="59">
        <f t="shared" si="624"/>
        <v>6.9378604793203735E-2</v>
      </c>
      <c r="W1065" s="59">
        <f t="shared" si="625"/>
        <v>1.6487000634115404E-2</v>
      </c>
      <c r="X1065" s="59">
        <f t="shared" si="626"/>
        <v>9.8944951620838582E-3</v>
      </c>
      <c r="Y1065" s="59">
        <f t="shared" si="627"/>
        <v>1.4990538324933458E-2</v>
      </c>
      <c r="Z1065" s="59">
        <f t="shared" si="628"/>
        <v>2.5464272067252584E-3</v>
      </c>
      <c r="AA1065" s="59">
        <f t="shared" si="601"/>
        <v>1.0119560300806489E-2</v>
      </c>
      <c r="AB1065" s="59">
        <f t="shared" si="629"/>
        <v>1.0912549649095892E-2</v>
      </c>
      <c r="AC1065" s="60">
        <f t="shared" si="602"/>
        <v>18955251.332933325</v>
      </c>
      <c r="AD1065" s="60">
        <f t="shared" si="619"/>
        <v>18955251.332933325</v>
      </c>
      <c r="AE1065" s="59">
        <f t="shared" si="615"/>
        <v>3.2000000000000473E-2</v>
      </c>
      <c r="AF1065" s="57">
        <f t="shared" si="617"/>
        <v>18955251.332933325</v>
      </c>
      <c r="AG1065" s="57">
        <v>1</v>
      </c>
      <c r="AH1065" s="57">
        <f t="shared" si="618"/>
        <v>18955251.332933325</v>
      </c>
      <c r="AI1065" s="60">
        <f t="shared" si="603"/>
        <v>96.521461655255436</v>
      </c>
      <c r="AJ1065" s="60">
        <f t="shared" si="604"/>
        <v>0</v>
      </c>
      <c r="AK1065" s="59">
        <f t="shared" si="616"/>
        <v>3.2000000000000473E-2</v>
      </c>
    </row>
    <row r="1066" spans="1:37" ht="12" customHeight="1" x14ac:dyDescent="0.25">
      <c r="A1066" s="133" t="s">
        <v>670</v>
      </c>
      <c r="B1066" s="133" t="s">
        <v>461</v>
      </c>
      <c r="C1066" s="133" t="s">
        <v>464</v>
      </c>
      <c r="D1066" s="124">
        <v>2030</v>
      </c>
      <c r="E1066" s="133" t="s">
        <v>676</v>
      </c>
      <c r="F1066" s="64">
        <f>SIM_Parametres!$C$36</f>
        <v>1737013983.2082016</v>
      </c>
      <c r="G1066" s="125">
        <f>SIM_Districts!D72*(1+SIM_Parametres!$B$6)^(2030-2023)</f>
        <v>119936.06948236789</v>
      </c>
      <c r="H1066" s="125">
        <f>MAX(0,MIN(100,SIM_Districts!F72+(2030-2022)*SIM_Parametres!$B$7))</f>
        <v>41.66</v>
      </c>
      <c r="I1066" s="125">
        <f>SIM_Districts!G72*(1+SIM_Parametres!$B$8)^(2030-2023)</f>
        <v>25.939103767705593</v>
      </c>
      <c r="J1066" s="125">
        <f>SIM_Districts!H72*(1+SIM_Parametres!$B$9)^(2030-2023)</f>
        <v>4.9264580700000016</v>
      </c>
      <c r="K1066" s="125">
        <f>MAX(0,MIN(100,SIM_Districts!I72+(2030-2023)*SIM_Parametres!$B$10))</f>
        <v>100</v>
      </c>
      <c r="L1066" s="125">
        <f>SIM_Districts!E72</f>
        <v>1893</v>
      </c>
      <c r="M1066" s="61">
        <f t="shared" si="600"/>
        <v>63.357670091055411</v>
      </c>
      <c r="N1066" s="125">
        <f>N995*(1+SIM_Parametres!$B$6)/(1+SIM_Parametres!$B$11)</f>
        <v>69419</v>
      </c>
      <c r="O1066" s="3"/>
      <c r="P1066" s="126">
        <f>SIM_Parametres!$D$36</f>
        <v>1</v>
      </c>
      <c r="Q1066" s="126">
        <f>SIM_Parametres!$B$12</f>
        <v>0.2</v>
      </c>
      <c r="R1066" s="66">
        <f t="shared" si="620"/>
        <v>5.3799466280871856E-3</v>
      </c>
      <c r="S1066" s="66">
        <f t="shared" si="621"/>
        <v>0.6914893617021276</v>
      </c>
      <c r="T1066" s="66">
        <f t="shared" si="622"/>
        <v>0.5</v>
      </c>
      <c r="U1066" s="66">
        <f t="shared" si="623"/>
        <v>0.56457363162952034</v>
      </c>
      <c r="V1066" s="66">
        <f t="shared" si="624"/>
        <v>6.9378604793203735E-2</v>
      </c>
      <c r="W1066" s="66">
        <f t="shared" si="625"/>
        <v>1.6487000634115404E-2</v>
      </c>
      <c r="X1066" s="66">
        <f t="shared" si="626"/>
        <v>9.8944951620838582E-3</v>
      </c>
      <c r="Y1066" s="66">
        <f t="shared" si="627"/>
        <v>1.4424692261752073E-2</v>
      </c>
      <c r="Z1066" s="66">
        <f t="shared" si="628"/>
        <v>2.5464272067252584E-3</v>
      </c>
      <c r="AA1066" s="66">
        <f t="shared" si="601"/>
        <v>8.0337483197060675E-3</v>
      </c>
      <c r="AB1066" s="66">
        <f t="shared" si="629"/>
        <v>9.2439000642155576E-3</v>
      </c>
      <c r="AC1066" s="67">
        <f t="shared" si="602"/>
        <v>16056783.67092162</v>
      </c>
      <c r="AD1066" s="67">
        <f t="shared" si="619"/>
        <v>16056783.67092162</v>
      </c>
      <c r="AE1066" s="66">
        <f t="shared" si="615"/>
        <v>3.200000000000025E-2</v>
      </c>
      <c r="AF1066" s="64">
        <f t="shared" si="617"/>
        <v>16056783.67092162</v>
      </c>
      <c r="AG1066" s="64">
        <v>1</v>
      </c>
      <c r="AH1066" s="64">
        <f t="shared" si="618"/>
        <v>16056783.67092162</v>
      </c>
      <c r="AI1066" s="67">
        <f t="shared" si="603"/>
        <v>133.8778545955449</v>
      </c>
      <c r="AJ1066" s="67">
        <f t="shared" si="604"/>
        <v>0</v>
      </c>
      <c r="AK1066" s="66">
        <f t="shared" si="616"/>
        <v>3.200000000000025E-2</v>
      </c>
    </row>
    <row r="1067" spans="1:37" ht="12" customHeight="1" x14ac:dyDescent="0.25">
      <c r="A1067" s="134" t="s">
        <v>671</v>
      </c>
      <c r="B1067" s="134" t="s">
        <v>461</v>
      </c>
      <c r="C1067" s="134" t="s">
        <v>465</v>
      </c>
      <c r="D1067" s="128">
        <v>2030</v>
      </c>
      <c r="E1067" s="134" t="s">
        <v>676</v>
      </c>
      <c r="F1067" s="57">
        <f>SIM_Parametres!$C$36</f>
        <v>1737013983.2082016</v>
      </c>
      <c r="G1067" s="129">
        <f>SIM_Districts!D73*(1+SIM_Parametres!$B$6)^(2030-2023)</f>
        <v>72221.882999344642</v>
      </c>
      <c r="H1067" s="129">
        <f>MAX(0,MIN(100,SIM_Districts!F73+(2030-2022)*SIM_Parametres!$B$7))</f>
        <v>41.66</v>
      </c>
      <c r="I1067" s="129">
        <f>SIM_Districts!G73*(1+SIM_Parametres!$B$8)^(2030-2023)</f>
        <v>25.939103767705593</v>
      </c>
      <c r="J1067" s="129">
        <f>SIM_Districts!H73*(1+SIM_Parametres!$B$9)^(2030-2023)</f>
        <v>4.9264580700000016</v>
      </c>
      <c r="K1067" s="129">
        <f>MAX(0,MIN(100,SIM_Districts!I73+(2030-2023)*SIM_Parametres!$B$10))</f>
        <v>100</v>
      </c>
      <c r="L1067" s="129">
        <f>SIM_Districts!E73</f>
        <v>877</v>
      </c>
      <c r="M1067" s="68">
        <f t="shared" si="600"/>
        <v>82.351063853300616</v>
      </c>
      <c r="N1067" s="129">
        <f>N996*(1+SIM_Parametres!$B$6)/(1+SIM_Parametres!$B$11)</f>
        <v>69419</v>
      </c>
      <c r="O1067" s="135"/>
      <c r="P1067" s="130">
        <f>SIM_Parametres!$D$36</f>
        <v>1</v>
      </c>
      <c r="Q1067" s="130">
        <f>SIM_Parametres!$B$12</f>
        <v>0.2</v>
      </c>
      <c r="R1067" s="59">
        <f t="shared" si="620"/>
        <v>3.239641565655552E-3</v>
      </c>
      <c r="S1067" s="59">
        <f t="shared" si="621"/>
        <v>0.6914893617021276</v>
      </c>
      <c r="T1067" s="59">
        <f t="shared" si="622"/>
        <v>0.5</v>
      </c>
      <c r="U1067" s="59">
        <f t="shared" si="623"/>
        <v>0.52916053895252124</v>
      </c>
      <c r="V1067" s="59">
        <f t="shared" si="624"/>
        <v>6.9378604793203735E-2</v>
      </c>
      <c r="W1067" s="59">
        <f t="shared" si="625"/>
        <v>1.6487000634115404E-2</v>
      </c>
      <c r="X1067" s="59">
        <f t="shared" si="626"/>
        <v>9.8944951620838582E-3</v>
      </c>
      <c r="Y1067" s="59">
        <f t="shared" si="627"/>
        <v>1.3519898032471053E-2</v>
      </c>
      <c r="Z1067" s="59">
        <f t="shared" si="628"/>
        <v>2.5464272067252584E-3</v>
      </c>
      <c r="AA1067" s="59">
        <f t="shared" si="601"/>
        <v>6.7043255707830368E-3</v>
      </c>
      <c r="AB1067" s="59">
        <f t="shared" si="629"/>
        <v>8.180361865077132E-3</v>
      </c>
      <c r="AC1067" s="60">
        <f t="shared" si="602"/>
        <v>14209402.947342105</v>
      </c>
      <c r="AD1067" s="60">
        <f t="shared" si="619"/>
        <v>14209402.947342105</v>
      </c>
      <c r="AE1067" s="59">
        <f t="shared" si="615"/>
        <v>3.200000000000025E-2</v>
      </c>
      <c r="AF1067" s="57">
        <f t="shared" si="617"/>
        <v>14209402.947342105</v>
      </c>
      <c r="AG1067" s="57">
        <v>1</v>
      </c>
      <c r="AH1067" s="57">
        <f t="shared" si="618"/>
        <v>14209402.947342105</v>
      </c>
      <c r="AI1067" s="60">
        <f t="shared" si="603"/>
        <v>196.746503375868</v>
      </c>
      <c r="AJ1067" s="60">
        <f t="shared" si="604"/>
        <v>0</v>
      </c>
      <c r="AK1067" s="59">
        <f t="shared" si="616"/>
        <v>3.200000000000025E-2</v>
      </c>
    </row>
    <row r="1068" spans="1:37" ht="12" customHeight="1" x14ac:dyDescent="0.25">
      <c r="A1068" s="133" t="s">
        <v>672</v>
      </c>
      <c r="B1068" s="133" t="s">
        <v>461</v>
      </c>
      <c r="C1068" s="133" t="s">
        <v>461</v>
      </c>
      <c r="D1068" s="124">
        <v>2030</v>
      </c>
      <c r="E1068" s="133" t="s">
        <v>676</v>
      </c>
      <c r="F1068" s="64">
        <f>SIM_Parametres!$C$36</f>
        <v>1737013983.2082016</v>
      </c>
      <c r="G1068" s="125">
        <f>SIM_Districts!D74*(1+SIM_Parametres!$B$6)^(2030-2023)</f>
        <v>370987.76188381575</v>
      </c>
      <c r="H1068" s="125">
        <f>MAX(0,MIN(100,SIM_Districts!F74+(2030-2022)*SIM_Parametres!$B$7))</f>
        <v>41.66</v>
      </c>
      <c r="I1068" s="125">
        <f>SIM_Districts!G74*(1+SIM_Parametres!$B$8)^(2030-2023)</f>
        <v>25.939103767705593</v>
      </c>
      <c r="J1068" s="125">
        <f>SIM_Districts!H74*(1+SIM_Parametres!$B$9)^(2030-2023)</f>
        <v>4.9264580700000016</v>
      </c>
      <c r="K1068" s="125">
        <f>MAX(0,MIN(100,SIM_Districts!I74+(2030-2023)*SIM_Parametres!$B$10))</f>
        <v>100</v>
      </c>
      <c r="L1068" s="125">
        <f>SIM_Districts!E74</f>
        <v>1136</v>
      </c>
      <c r="M1068" s="61">
        <f t="shared" si="600"/>
        <v>326.57373405265469</v>
      </c>
      <c r="N1068" s="125">
        <f>N997*(1+SIM_Parametres!$B$6)/(1+SIM_Parametres!$B$11)</f>
        <v>69419</v>
      </c>
      <c r="O1068" s="3"/>
      <c r="P1068" s="126">
        <f>SIM_Parametres!$D$36</f>
        <v>1</v>
      </c>
      <c r="Q1068" s="126">
        <f>SIM_Parametres!$B$12</f>
        <v>0.2</v>
      </c>
      <c r="R1068" s="66">
        <f t="shared" si="620"/>
        <v>1.6641318722737265E-2</v>
      </c>
      <c r="S1068" s="66">
        <f t="shared" si="621"/>
        <v>0.6914893617021276</v>
      </c>
      <c r="T1068" s="66">
        <f t="shared" si="622"/>
        <v>0.5</v>
      </c>
      <c r="U1068" s="66">
        <f t="shared" si="623"/>
        <v>0.53532398626606015</v>
      </c>
      <c r="V1068" s="66">
        <f t="shared" si="624"/>
        <v>6.9378604793203735E-2</v>
      </c>
      <c r="W1068" s="66">
        <f t="shared" si="625"/>
        <v>1.6487000634115404E-2</v>
      </c>
      <c r="X1068" s="66">
        <f t="shared" si="626"/>
        <v>9.8944951620838582E-3</v>
      </c>
      <c r="Y1068" s="66">
        <f t="shared" si="627"/>
        <v>1.3677372320656836E-2</v>
      </c>
      <c r="Z1068" s="66">
        <f t="shared" si="628"/>
        <v>2.5464272067252584E-3</v>
      </c>
      <c r="AA1068" s="66">
        <f t="shared" si="601"/>
        <v>1.4753205579441353E-2</v>
      </c>
      <c r="AB1068" s="66">
        <f t="shared" si="629"/>
        <v>1.4619465872003782E-2</v>
      </c>
      <c r="AC1068" s="67">
        <f t="shared" si="602"/>
        <v>25394216.646705661</v>
      </c>
      <c r="AD1068" s="67">
        <f t="shared" si="619"/>
        <v>25394216.646705661</v>
      </c>
      <c r="AE1068" s="66">
        <f t="shared" si="615"/>
        <v>3.200000000000025E-2</v>
      </c>
      <c r="AF1068" s="64">
        <f t="shared" si="617"/>
        <v>25394216.646705661</v>
      </c>
      <c r="AG1068" s="64">
        <v>1</v>
      </c>
      <c r="AH1068" s="64">
        <f t="shared" si="618"/>
        <v>25394216.646705661</v>
      </c>
      <c r="AI1068" s="67">
        <f t="shared" si="603"/>
        <v>68.450281264691711</v>
      </c>
      <c r="AJ1068" s="67">
        <f t="shared" si="604"/>
        <v>0</v>
      </c>
      <c r="AK1068" s="66">
        <f t="shared" si="616"/>
        <v>3.200000000000025E-2</v>
      </c>
    </row>
  </sheetData>
  <mergeCells count="2">
    <mergeCell ref="A1:D1"/>
    <mergeCell ref="E1:L1"/>
  </mergeCells>
  <conditionalFormatting sqref="AE4:AE855">
    <cfRule type="colorScale" priority="2">
      <colorScale>
        <cfvo type="min"/>
        <cfvo type="percentile" val="50"/>
        <cfvo type="max"/>
        <color rgb="FFF8696B"/>
        <color rgb="FFFFEB84"/>
        <color rgb="FF63BE7B"/>
      </colorScale>
    </cfRule>
  </conditionalFormatting>
  <hyperlinks>
    <hyperlink ref="A1" location="'SIM_Accueil'!A1" display="⌂  BACK TO HOME" xr:uid="{00000000-0004-0000-0900-000000000000}"/>
  </hyperlinks>
  <pageMargins left="0.7" right="0.7" top="0.75" bottom="0.75" header="0.511811023622047" footer="0.511811023622047"/>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BF8F00"/>
  </sheetPr>
  <dimension ref="A1:L50"/>
  <sheetViews>
    <sheetView showGridLines="0" zoomScaleNormal="100" workbookViewId="0"/>
  </sheetViews>
  <sheetFormatPr baseColWidth="10" defaultColWidth="8.6328125" defaultRowHeight="12.5" x14ac:dyDescent="0.25"/>
  <cols>
    <col min="1" max="1" width="13" customWidth="1"/>
    <col min="2" max="2" width="17.90625" customWidth="1"/>
    <col min="3" max="3" width="20.54296875" customWidth="1"/>
    <col min="4" max="4" width="19.7265625" customWidth="1"/>
    <col min="5" max="7" width="18" customWidth="1"/>
    <col min="9" max="12" width="13" customWidth="1"/>
  </cols>
  <sheetData>
    <row r="1" spans="1:12" ht="27.75" customHeight="1" x14ac:dyDescent="0.25">
      <c r="A1" s="205" t="s">
        <v>32</v>
      </c>
      <c r="B1" s="205"/>
      <c r="C1" s="205"/>
      <c r="D1" s="205"/>
      <c r="E1" s="206" t="s">
        <v>677</v>
      </c>
      <c r="F1" s="206"/>
      <c r="G1" s="206"/>
      <c r="H1" s="206"/>
      <c r="I1" s="206"/>
      <c r="J1" s="206"/>
      <c r="K1" s="206"/>
      <c r="L1" s="206"/>
    </row>
    <row r="2" spans="1:12" ht="12.75" customHeight="1" x14ac:dyDescent="0.25">
      <c r="A2" s="16"/>
      <c r="B2" s="16"/>
      <c r="C2" s="16"/>
      <c r="D2" s="16"/>
      <c r="E2" s="16"/>
      <c r="F2" s="16"/>
      <c r="G2" s="16"/>
      <c r="H2" s="16"/>
      <c r="I2" s="16"/>
      <c r="J2" s="16"/>
      <c r="K2" s="16"/>
      <c r="L2" s="16"/>
    </row>
    <row r="3" spans="1:12" ht="12.75" customHeight="1" x14ac:dyDescent="0.25">
      <c r="A3" s="136" t="s">
        <v>678</v>
      </c>
      <c r="B3" s="136" t="s">
        <v>66</v>
      </c>
      <c r="C3" s="16"/>
      <c r="D3" s="136" t="s">
        <v>679</v>
      </c>
      <c r="E3" s="136" t="s">
        <v>66</v>
      </c>
      <c r="F3" s="16"/>
      <c r="G3" s="16"/>
      <c r="H3" s="16"/>
      <c r="I3" s="16"/>
      <c r="J3" s="16"/>
      <c r="K3" s="16"/>
      <c r="L3" s="16"/>
    </row>
    <row r="4" spans="1:12" ht="12.75" customHeight="1" x14ac:dyDescent="0.25">
      <c r="A4" s="52" t="s">
        <v>469</v>
      </c>
      <c r="B4" s="137">
        <v>2030</v>
      </c>
      <c r="C4" s="53"/>
      <c r="D4" s="52" t="s">
        <v>52</v>
      </c>
      <c r="E4" s="138">
        <f>SUMIFS(SIM_Modele!$F:$F,SIM_Modele!$D:$D,$B$4)/71</f>
        <v>1737013983.2082028</v>
      </c>
      <c r="F4" s="53"/>
      <c r="G4" s="53"/>
      <c r="H4" s="53"/>
      <c r="I4" s="53"/>
      <c r="J4" s="53"/>
      <c r="K4" s="53"/>
      <c r="L4" s="53"/>
    </row>
    <row r="5" spans="1:12" ht="25.5" customHeight="1" x14ac:dyDescent="0.25">
      <c r="A5" s="52" t="s">
        <v>51</v>
      </c>
      <c r="B5" s="139" t="str">
        <f>SIM_Parametres!B4</f>
        <v>2050 Transformation</v>
      </c>
      <c r="C5" s="53"/>
      <c r="D5" s="52" t="s">
        <v>238</v>
      </c>
      <c r="E5" s="138">
        <f>SUMIFS(SIM_Modele!$AH:$AH,SIM_Modele!$D:$D,$B$4)</f>
        <v>1737013983.2082019</v>
      </c>
      <c r="F5" s="53"/>
      <c r="G5" s="53"/>
      <c r="H5" s="53"/>
      <c r="I5" s="53"/>
      <c r="J5" s="53"/>
      <c r="K5" s="53"/>
      <c r="L5" s="53"/>
    </row>
    <row r="6" spans="1:12" ht="12.75" customHeight="1" x14ac:dyDescent="0.25">
      <c r="A6" s="16"/>
      <c r="B6" s="16"/>
      <c r="C6" s="16"/>
      <c r="D6" s="40" t="s">
        <v>680</v>
      </c>
      <c r="E6" s="117">
        <f>E5-E4</f>
        <v>0</v>
      </c>
      <c r="F6" s="16"/>
      <c r="G6" s="16"/>
      <c r="H6" s="16"/>
      <c r="I6" s="16"/>
      <c r="J6" s="16"/>
      <c r="K6" s="16"/>
      <c r="L6" s="16"/>
    </row>
    <row r="7" spans="1:12" ht="12.75" customHeight="1" x14ac:dyDescent="0.25">
      <c r="A7" s="16"/>
      <c r="B7" s="16"/>
      <c r="C7" s="16"/>
      <c r="D7" s="40" t="s">
        <v>53</v>
      </c>
      <c r="E7" s="140">
        <f>SUMIFS(SIM_Modele!$G:$G,SIM_Modele!$D:$D,$B$4)</f>
        <v>22293170.875750974</v>
      </c>
      <c r="F7" s="16"/>
      <c r="G7" s="16"/>
      <c r="H7" s="16"/>
      <c r="I7" s="16"/>
      <c r="J7" s="16"/>
      <c r="K7" s="16"/>
      <c r="L7" s="16"/>
    </row>
    <row r="8" spans="1:12" ht="12.75" customHeight="1" x14ac:dyDescent="0.25">
      <c r="A8" s="16"/>
      <c r="B8" s="16"/>
      <c r="C8" s="16"/>
      <c r="D8" s="40" t="s">
        <v>245</v>
      </c>
      <c r="E8" s="117">
        <f>E5/E7</f>
        <v>77.916864895052228</v>
      </c>
      <c r="F8" s="16"/>
      <c r="G8" s="16"/>
      <c r="H8" s="16"/>
      <c r="I8" s="16"/>
      <c r="J8" s="16"/>
      <c r="K8" s="16"/>
      <c r="L8" s="16"/>
    </row>
    <row r="9" spans="1:12" ht="12.75" customHeight="1" x14ac:dyDescent="0.25">
      <c r="A9" s="16"/>
      <c r="B9" s="16"/>
      <c r="C9" s="16"/>
      <c r="D9" s="16"/>
      <c r="E9" s="16"/>
      <c r="F9" s="16"/>
      <c r="G9" s="16"/>
      <c r="H9" s="16"/>
      <c r="I9" s="16"/>
      <c r="J9" s="16"/>
      <c r="K9" s="16"/>
      <c r="L9" s="16"/>
    </row>
    <row r="10" spans="1:12" ht="12.75" customHeight="1" x14ac:dyDescent="0.25">
      <c r="A10" s="16"/>
      <c r="B10" s="16"/>
      <c r="C10" s="16"/>
      <c r="D10" s="16"/>
      <c r="E10" s="16"/>
      <c r="F10" s="16"/>
      <c r="G10" s="16"/>
      <c r="H10" s="16"/>
      <c r="I10" s="16"/>
      <c r="J10" s="16"/>
      <c r="K10" s="16"/>
      <c r="L10" s="16"/>
    </row>
    <row r="11" spans="1:12" ht="12.75" customHeight="1" x14ac:dyDescent="0.25">
      <c r="A11" s="75" t="s">
        <v>469</v>
      </c>
      <c r="B11" s="75" t="s">
        <v>322</v>
      </c>
      <c r="C11" s="75" t="s">
        <v>52</v>
      </c>
      <c r="D11" s="75" t="s">
        <v>49</v>
      </c>
      <c r="E11" s="75" t="s">
        <v>681</v>
      </c>
      <c r="F11" s="75" t="s">
        <v>53</v>
      </c>
      <c r="G11" s="75" t="s">
        <v>245</v>
      </c>
      <c r="H11" s="75"/>
      <c r="I11" s="75"/>
      <c r="J11" s="75"/>
      <c r="K11" s="75"/>
      <c r="L11" s="75"/>
    </row>
    <row r="12" spans="1:12" ht="12.75" customHeight="1" x14ac:dyDescent="0.25">
      <c r="A12" s="141">
        <v>2016</v>
      </c>
      <c r="B12" s="62" t="s">
        <v>573</v>
      </c>
      <c r="C12" s="64">
        <f>SUMIFS(SIM_Modele!$F:$F,SIM_Modele!$D:$D,A12)/71</f>
        <v>1295854000</v>
      </c>
      <c r="D12" s="64">
        <f>SUMIFS(SIM_Modele!$AH:$AH,SIM_Modele!$D:$D,A12)</f>
        <v>1295854000</v>
      </c>
      <c r="E12" s="67">
        <f t="shared" ref="E12:E26" si="0">D12-C12</f>
        <v>0</v>
      </c>
      <c r="F12" s="125">
        <f>SUMIFS(SIM_Modele!$G:$G,SIM_Modele!$D:$D,A12)</f>
        <v>14738412.214116031</v>
      </c>
      <c r="G12" s="67">
        <f t="shared" ref="G12:G23" si="1">D12/F12</f>
        <v>87.923582348909193</v>
      </c>
      <c r="H12" s="16"/>
      <c r="I12" s="16"/>
      <c r="J12" s="16"/>
      <c r="K12" s="16"/>
      <c r="L12" s="16"/>
    </row>
    <row r="13" spans="1:12" ht="12.75" customHeight="1" x14ac:dyDescent="0.25">
      <c r="A13" s="141">
        <v>2017</v>
      </c>
      <c r="B13" s="62" t="s">
        <v>573</v>
      </c>
      <c r="C13" s="64">
        <f>SUMIFS(SIM_Modele!$F:$F,SIM_Modele!$D:$D,A13)/71</f>
        <v>1269170000</v>
      </c>
      <c r="D13" s="64">
        <f>SUMIFS(SIM_Modele!$AH:$AH,SIM_Modele!$D:$D,A13)</f>
        <v>1269170000</v>
      </c>
      <c r="E13" s="67">
        <f t="shared" si="0"/>
        <v>0</v>
      </c>
      <c r="F13" s="125">
        <f>SUMIFS(SIM_Modele!$G:$G,SIM_Modele!$D:$D,A13)</f>
        <v>15180564.580539512</v>
      </c>
      <c r="G13" s="67">
        <f t="shared" si="1"/>
        <v>83.604927423252278</v>
      </c>
      <c r="H13" s="16"/>
      <c r="I13" s="16"/>
      <c r="J13" s="16"/>
      <c r="K13" s="16"/>
      <c r="L13" s="16"/>
    </row>
    <row r="14" spans="1:12" ht="12.75" customHeight="1" x14ac:dyDescent="0.25">
      <c r="A14" s="141">
        <v>2018</v>
      </c>
      <c r="B14" s="62" t="s">
        <v>573</v>
      </c>
      <c r="C14" s="64">
        <f>SUMIFS(SIM_Modele!$F:$F,SIM_Modele!$D:$D,A14)/71</f>
        <v>1190274000</v>
      </c>
      <c r="D14" s="64">
        <f>SUMIFS(SIM_Modele!$AH:$AH,SIM_Modele!$D:$D,A14)</f>
        <v>1190274000</v>
      </c>
      <c r="E14" s="67">
        <f t="shared" si="0"/>
        <v>0</v>
      </c>
      <c r="F14" s="125">
        <f>SUMIFS(SIM_Modele!$G:$G,SIM_Modele!$D:$D,A14)</f>
        <v>15635981.517955707</v>
      </c>
      <c r="G14" s="67">
        <f t="shared" si="1"/>
        <v>76.124034722933075</v>
      </c>
      <c r="H14" s="16"/>
      <c r="I14" s="16"/>
      <c r="J14" s="16"/>
      <c r="K14" s="16"/>
      <c r="L14" s="16"/>
    </row>
    <row r="15" spans="1:12" ht="12.75" customHeight="1" x14ac:dyDescent="0.25">
      <c r="A15" s="141">
        <v>2019</v>
      </c>
      <c r="B15" s="62" t="s">
        <v>574</v>
      </c>
      <c r="C15" s="64">
        <f>SUMIFS(SIM_Modele!$F:$F,SIM_Modele!$D:$D,A15)/71</f>
        <v>1228362768</v>
      </c>
      <c r="D15" s="64">
        <f>SUMIFS(SIM_Modele!$AH:$AH,SIM_Modele!$D:$D,A15)</f>
        <v>1228362768</v>
      </c>
      <c r="E15" s="67">
        <f t="shared" si="0"/>
        <v>0</v>
      </c>
      <c r="F15" s="125">
        <f>SUMIFS(SIM_Modele!$G:$G,SIM_Modele!$D:$D,A15)</f>
        <v>16105060.963494368</v>
      </c>
      <c r="G15" s="67">
        <f t="shared" si="1"/>
        <v>76.271848382589297</v>
      </c>
      <c r="H15" s="16"/>
      <c r="I15" s="16"/>
      <c r="J15" s="16"/>
      <c r="K15" s="16"/>
      <c r="L15" s="16"/>
    </row>
    <row r="16" spans="1:12" ht="12.75" customHeight="1" x14ac:dyDescent="0.25">
      <c r="A16" s="141">
        <v>2020</v>
      </c>
      <c r="B16" s="62" t="s">
        <v>574</v>
      </c>
      <c r="C16" s="64">
        <f>SUMIFS(SIM_Modele!$F:$F,SIM_Modele!$D:$D,A16)/71</f>
        <v>1267670376.5759995</v>
      </c>
      <c r="D16" s="64">
        <f>SUMIFS(SIM_Modele!$AH:$AH,SIM_Modele!$D:$D,A16)</f>
        <v>1267670376.5760007</v>
      </c>
      <c r="E16" s="67">
        <f t="shared" si="0"/>
        <v>0</v>
      </c>
      <c r="F16" s="125">
        <f>SUMIFS(SIM_Modele!$G:$G,SIM_Modele!$D:$D,A16)</f>
        <v>16588212.792399202</v>
      </c>
      <c r="G16" s="67">
        <f t="shared" si="1"/>
        <v>76.419949059060372</v>
      </c>
      <c r="H16" s="16"/>
      <c r="I16" s="16"/>
      <c r="J16" s="16"/>
      <c r="K16" s="16"/>
      <c r="L16" s="16"/>
    </row>
    <row r="17" spans="1:12" ht="12.75" customHeight="1" x14ac:dyDescent="0.25">
      <c r="A17" s="141">
        <v>2021</v>
      </c>
      <c r="B17" s="62" t="s">
        <v>574</v>
      </c>
      <c r="C17" s="64">
        <f>SUMIFS(SIM_Modele!$F:$F,SIM_Modele!$D:$D,A17)/71</f>
        <v>1308235828.6264331</v>
      </c>
      <c r="D17" s="64">
        <f>SUMIFS(SIM_Modele!$AH:$AH,SIM_Modele!$D:$D,A17)</f>
        <v>1308235828.6264322</v>
      </c>
      <c r="E17" s="67">
        <f t="shared" si="0"/>
        <v>0</v>
      </c>
      <c r="F17" s="125">
        <f>SUMIFS(SIM_Modele!$G:$G,SIM_Modele!$D:$D,A17)</f>
        <v>17085859.176171176</v>
      </c>
      <c r="G17" s="67">
        <f t="shared" si="1"/>
        <v>76.568337309660464</v>
      </c>
      <c r="H17" s="16"/>
      <c r="I17" s="16"/>
      <c r="J17" s="16"/>
      <c r="K17" s="16"/>
      <c r="L17" s="16"/>
    </row>
    <row r="18" spans="1:12" ht="12.75" customHeight="1" x14ac:dyDescent="0.25">
      <c r="A18" s="141">
        <v>2022</v>
      </c>
      <c r="B18" s="62" t="s">
        <v>574</v>
      </c>
      <c r="C18" s="64">
        <f>SUMIFS(SIM_Modele!$F:$F,SIM_Modele!$D:$D,A18)/71</f>
        <v>1350099375.1424766</v>
      </c>
      <c r="D18" s="64">
        <f>SUMIFS(SIM_Modele!$AH:$AH,SIM_Modele!$D:$D,A18)</f>
        <v>1350099375.142478</v>
      </c>
      <c r="E18" s="67">
        <f t="shared" si="0"/>
        <v>0</v>
      </c>
      <c r="F18" s="125">
        <f>SUMIFS(SIM_Modele!$G:$G,SIM_Modele!$D:$D,A18)</f>
        <v>17598434.951456308</v>
      </c>
      <c r="G18" s="67">
        <f t="shared" si="1"/>
        <v>76.71701369278604</v>
      </c>
      <c r="H18" s="16"/>
      <c r="I18" s="16"/>
      <c r="J18" s="16"/>
      <c r="K18" s="16"/>
      <c r="L18" s="16"/>
    </row>
    <row r="19" spans="1:12" ht="12.75" customHeight="1" x14ac:dyDescent="0.25">
      <c r="A19" s="141">
        <v>2023</v>
      </c>
      <c r="B19" s="62" t="s">
        <v>574</v>
      </c>
      <c r="C19" s="64">
        <f>SUMIFS(SIM_Modele!$F:$F,SIM_Modele!$D:$D,A19)/71</f>
        <v>1393302555.1470349</v>
      </c>
      <c r="D19" s="64">
        <f>SUMIFS(SIM_Modele!$AH:$AH,SIM_Modele!$D:$D,A19)</f>
        <v>1393302555.1470366</v>
      </c>
      <c r="E19" s="67">
        <f t="shared" si="0"/>
        <v>0</v>
      </c>
      <c r="F19" s="125">
        <f>SUMIFS(SIM_Modele!$G:$G,SIM_Modele!$D:$D,A19)</f>
        <v>18126388</v>
      </c>
      <c r="G19" s="67">
        <f t="shared" si="1"/>
        <v>76.865978767917611</v>
      </c>
      <c r="H19" s="16"/>
      <c r="I19" s="16"/>
      <c r="J19" s="16"/>
      <c r="K19" s="16"/>
      <c r="L19" s="16"/>
    </row>
    <row r="20" spans="1:12" ht="12.75" customHeight="1" x14ac:dyDescent="0.25">
      <c r="A20" s="141">
        <v>2024</v>
      </c>
      <c r="B20" s="62" t="s">
        <v>574</v>
      </c>
      <c r="C20" s="64">
        <f>SUMIFS(SIM_Modele!$F:$F,SIM_Modele!$D:$D,A20)/71</f>
        <v>1437888236.9117429</v>
      </c>
      <c r="D20" s="64">
        <f>SUMIFS(SIM_Modele!$AH:$AH,SIM_Modele!$D:$D,A20)</f>
        <v>1437888236.911742</v>
      </c>
      <c r="E20" s="67">
        <f t="shared" si="0"/>
        <v>0</v>
      </c>
      <c r="F20" s="125">
        <f>SUMIFS(SIM_Modele!$G:$G,SIM_Modele!$D:$D,A20)</f>
        <v>18670179.639999997</v>
      </c>
      <c r="G20" s="67">
        <f t="shared" si="1"/>
        <v>77.015233095622335</v>
      </c>
      <c r="H20" s="16"/>
      <c r="I20" s="16"/>
      <c r="J20" s="16"/>
      <c r="K20" s="16"/>
      <c r="L20" s="16"/>
    </row>
    <row r="21" spans="1:12" ht="12.75" customHeight="1" x14ac:dyDescent="0.25">
      <c r="A21" s="141">
        <v>2025</v>
      </c>
      <c r="B21" s="62" t="s">
        <v>574</v>
      </c>
      <c r="C21" s="64">
        <f>SUMIFS(SIM_Modele!$F:$F,SIM_Modele!$D:$D,A21)/71</f>
        <v>1483900660.4929194</v>
      </c>
      <c r="D21" s="64">
        <f>SUMIFS(SIM_Modele!$AH:$AH,SIM_Modele!$D:$D,A21)</f>
        <v>1483900660.492918</v>
      </c>
      <c r="E21" s="67">
        <f t="shared" si="0"/>
        <v>0</v>
      </c>
      <c r="F21" s="125">
        <f>SUMIFS(SIM_Modele!$G:$G,SIM_Modele!$D:$D,A21)</f>
        <v>19230285.029199999</v>
      </c>
      <c r="G21" s="67">
        <f t="shared" si="1"/>
        <v>77.164777237555583</v>
      </c>
      <c r="H21" s="16"/>
      <c r="I21" s="16"/>
      <c r="J21" s="16"/>
      <c r="K21" s="16"/>
      <c r="L21" s="16"/>
    </row>
    <row r="22" spans="1:12" ht="12.75" customHeight="1" x14ac:dyDescent="0.25">
      <c r="A22" s="141">
        <v>2026</v>
      </c>
      <c r="B22" s="62" t="s">
        <v>574</v>
      </c>
      <c r="C22" s="64">
        <f>SUMIFS(SIM_Modele!$F:$F,SIM_Modele!$D:$D,A22)/71</f>
        <v>1531385481.6286922</v>
      </c>
      <c r="D22" s="64">
        <f>SUMIFS(SIM_Modele!$AH:$AH,SIM_Modele!$D:$D,A22)</f>
        <v>1531385481.6286922</v>
      </c>
      <c r="E22" s="67">
        <f t="shared" si="0"/>
        <v>0</v>
      </c>
      <c r="F22" s="125">
        <f>SUMIFS(SIM_Modele!$G:$G,SIM_Modele!$D:$D,A22)</f>
        <v>19807193.580076005</v>
      </c>
      <c r="G22" s="67">
        <f t="shared" si="1"/>
        <v>77.314611756463478</v>
      </c>
      <c r="H22" s="16"/>
      <c r="I22" s="16"/>
      <c r="J22" s="16"/>
      <c r="K22" s="16"/>
      <c r="L22" s="16"/>
    </row>
    <row r="23" spans="1:12" ht="12.75" customHeight="1" x14ac:dyDescent="0.25">
      <c r="A23" s="141">
        <v>2027</v>
      </c>
      <c r="B23" s="62" t="s">
        <v>574</v>
      </c>
      <c r="C23" s="64">
        <f>SUMIFS(SIM_Modele!$F:$F,SIM_Modele!$D:$D,A23)/71</f>
        <v>1580389817.0408068</v>
      </c>
      <c r="D23" s="64">
        <f>SUMIFS(SIM_Modele!$AH:$AH,SIM_Modele!$D:$D,A23)</f>
        <v>1580389817.0408099</v>
      </c>
      <c r="E23" s="67">
        <f t="shared" si="0"/>
        <v>3.0994415283203125E-6</v>
      </c>
      <c r="F23" s="125">
        <f>SUMIFS(SIM_Modele!$G:$G,SIM_Modele!$D:$D,A23)</f>
        <v>20401409.387478277</v>
      </c>
      <c r="G23" s="67">
        <f t="shared" si="1"/>
        <v>77.464737216184773</v>
      </c>
      <c r="H23" s="16"/>
      <c r="I23" s="16"/>
      <c r="J23" s="16"/>
      <c r="K23" s="16"/>
      <c r="L23" s="16"/>
    </row>
    <row r="24" spans="1:12" ht="12" customHeight="1" x14ac:dyDescent="0.25">
      <c r="A24" s="142">
        <v>2028</v>
      </c>
      <c r="B24" s="133" t="s">
        <v>574</v>
      </c>
      <c r="C24" s="64">
        <f>SUMIFS(SIM_Modele!$F:$F,SIM_Modele!$D:$D,A24)/71</f>
        <v>1630962291.1861148</v>
      </c>
      <c r="D24" s="64">
        <f>SUMIFS(SIM_Modele!$AH:$AH,SIM_Modele!$D:$D,A24)</f>
        <v>1630962291.186116</v>
      </c>
      <c r="E24" s="67">
        <f t="shared" si="0"/>
        <v>0</v>
      </c>
      <c r="F24" s="125">
        <f>SUMIFS(SIM_Modele!$G:$G,SIM_Modele!$D:$D,A24)</f>
        <v>21013451.66910262</v>
      </c>
      <c r="G24" s="67">
        <f>IFERROR(D24/F24,0)</f>
        <v>77.615154181653125</v>
      </c>
      <c r="H24" s="3"/>
      <c r="I24" s="3"/>
      <c r="J24" s="3"/>
      <c r="K24" s="3"/>
      <c r="L24" s="3"/>
    </row>
    <row r="25" spans="1:12" ht="12" customHeight="1" x14ac:dyDescent="0.25">
      <c r="A25" s="142">
        <v>2029</v>
      </c>
      <c r="B25" s="133" t="s">
        <v>574</v>
      </c>
      <c r="C25" s="64">
        <f>SUMIFS(SIM_Modele!$F:$F,SIM_Modele!$D:$D,A25)/71</f>
        <v>1683153084.5040729</v>
      </c>
      <c r="D25" s="64">
        <f>SUMIFS(SIM_Modele!$AH:$AH,SIM_Modele!$D:$D,A25)</f>
        <v>1683153084.5040712</v>
      </c>
      <c r="E25" s="67">
        <f t="shared" si="0"/>
        <v>0</v>
      </c>
      <c r="F25" s="125">
        <f>SUMIFS(SIM_Modele!$G:$G,SIM_Modele!$D:$D,A25)</f>
        <v>21643855.219175711</v>
      </c>
      <c r="G25" s="67">
        <f>IFERROR(D25/F25,0)</f>
        <v>77.765863218898986</v>
      </c>
      <c r="H25" s="3"/>
      <c r="I25" s="3"/>
      <c r="J25" s="3"/>
      <c r="K25" s="3"/>
      <c r="L25" s="3"/>
    </row>
    <row r="26" spans="1:12" ht="12" customHeight="1" x14ac:dyDescent="0.25">
      <c r="A26" s="142">
        <v>2030</v>
      </c>
      <c r="B26" s="133" t="s">
        <v>574</v>
      </c>
      <c r="C26" s="64">
        <f>SUMIFS(SIM_Modele!$F:$F,SIM_Modele!$D:$D,A26)/71</f>
        <v>1737013983.2082028</v>
      </c>
      <c r="D26" s="64">
        <f>SUMIFS(SIM_Modele!$AH:$AH,SIM_Modele!$D:$D,A26)</f>
        <v>1737013983.2082019</v>
      </c>
      <c r="E26" s="67">
        <f t="shared" si="0"/>
        <v>0</v>
      </c>
      <c r="F26" s="125">
        <f>SUMIFS(SIM_Modele!$G:$G,SIM_Modele!$D:$D,A26)</f>
        <v>22293170.875750974</v>
      </c>
      <c r="G26" s="67">
        <f>IFERROR(D26/F26,0)</f>
        <v>77.916864895052228</v>
      </c>
      <c r="H26" s="3"/>
      <c r="I26" s="3"/>
      <c r="J26" s="3"/>
      <c r="K26" s="3"/>
      <c r="L26" s="3"/>
    </row>
    <row r="27" spans="1:12" ht="12" customHeight="1" x14ac:dyDescent="0.25"/>
    <row r="28" spans="1:12" ht="12" customHeight="1" x14ac:dyDescent="0.25"/>
    <row r="29" spans="1:12" ht="12" customHeight="1" x14ac:dyDescent="0.25"/>
    <row r="30" spans="1:12" ht="12" customHeight="1" x14ac:dyDescent="0.25"/>
    <row r="31" spans="1:12" ht="12" customHeight="1" x14ac:dyDescent="0.25"/>
    <row r="32" spans="1:12" ht="12" customHeight="1" x14ac:dyDescent="0.25"/>
    <row r="33" ht="12" customHeight="1" x14ac:dyDescent="0.25"/>
    <row r="34" ht="12" customHeight="1" x14ac:dyDescent="0.25"/>
    <row r="35" ht="12" customHeight="1" x14ac:dyDescent="0.25"/>
    <row r="36" ht="12" customHeight="1" x14ac:dyDescent="0.25"/>
    <row r="37" ht="12" customHeight="1" x14ac:dyDescent="0.25"/>
    <row r="38" ht="12" customHeight="1" x14ac:dyDescent="0.25"/>
    <row r="39" ht="12" customHeight="1" x14ac:dyDescent="0.25"/>
    <row r="40" ht="12" customHeight="1" x14ac:dyDescent="0.25"/>
    <row r="41" ht="12" customHeight="1" x14ac:dyDescent="0.25"/>
    <row r="42" ht="12" customHeight="1" x14ac:dyDescent="0.25"/>
    <row r="43" ht="12" customHeight="1" x14ac:dyDescent="0.25"/>
    <row r="44" ht="12" customHeight="1" x14ac:dyDescent="0.25"/>
    <row r="45" ht="12" customHeight="1" x14ac:dyDescent="0.25"/>
    <row r="46" ht="12" customHeight="1" x14ac:dyDescent="0.25"/>
    <row r="47" ht="12" customHeight="1" x14ac:dyDescent="0.25"/>
    <row r="48" ht="12" customHeight="1" x14ac:dyDescent="0.25"/>
    <row r="49" ht="12" customHeight="1" x14ac:dyDescent="0.25"/>
    <row r="50" ht="12" customHeight="1" x14ac:dyDescent="0.25"/>
  </sheetData>
  <mergeCells count="2">
    <mergeCell ref="A1:D1"/>
    <mergeCell ref="E1:L1"/>
  </mergeCells>
  <dataValidations count="1">
    <dataValidation type="list" sqref="B4" xr:uid="{00000000-0002-0000-0A00-000000000000}">
      <formula1>"2016,2017,2018,2019,2020,2021,2022,2023,2024,2025,2026,2027"</formula1>
      <formula2>0</formula2>
    </dataValidation>
  </dataValidations>
  <hyperlinks>
    <hyperlink ref="A1" location="'SIM_Accueil'!A1" display="⌂  BACK TO HOME" xr:uid="{00000000-0004-0000-0A00-000000000000}"/>
  </hyperlinks>
  <pageMargins left="0.7" right="0.7" top="0.75" bottom="0.75" header="0.511811023622047" footer="0.511811023622047"/>
  <pageSetup paperSize="9" orientation="portrait" horizontalDpi="300" verticalDpi="30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BF8F00"/>
  </sheetPr>
  <dimension ref="A1:L46"/>
  <sheetViews>
    <sheetView showGridLines="0" zoomScaleNormal="100" workbookViewId="0"/>
  </sheetViews>
  <sheetFormatPr baseColWidth="10" defaultColWidth="8.6328125" defaultRowHeight="12.5" x14ac:dyDescent="0.25"/>
  <cols>
    <col min="1" max="3" width="18" customWidth="1"/>
    <col min="4" max="6" width="24" customWidth="1"/>
    <col min="7" max="8" width="18" customWidth="1"/>
    <col min="9" max="9" width="24" customWidth="1"/>
    <col min="10" max="12" width="13" customWidth="1"/>
  </cols>
  <sheetData>
    <row r="1" spans="1:12" ht="27.75" customHeight="1" x14ac:dyDescent="0.25">
      <c r="A1" s="205" t="s">
        <v>32</v>
      </c>
      <c r="B1" s="205"/>
      <c r="C1" s="205"/>
      <c r="D1" s="205"/>
      <c r="E1" s="206" t="s">
        <v>682</v>
      </c>
      <c r="F1" s="206"/>
      <c r="G1" s="206"/>
      <c r="H1" s="206"/>
      <c r="I1" s="206"/>
      <c r="J1" s="206"/>
      <c r="K1" s="206"/>
      <c r="L1" s="206"/>
    </row>
    <row r="2" spans="1:12" ht="12.75" customHeight="1" x14ac:dyDescent="0.3">
      <c r="A2" s="16"/>
      <c r="B2" s="16"/>
      <c r="C2" s="16"/>
      <c r="D2" s="16"/>
      <c r="E2" s="16"/>
      <c r="F2" s="16"/>
      <c r="G2" s="16"/>
      <c r="H2" s="16"/>
      <c r="I2" s="16"/>
      <c r="J2" s="13"/>
      <c r="K2" s="13"/>
      <c r="L2" s="13"/>
    </row>
    <row r="3" spans="1:12" ht="12.75" customHeight="1" x14ac:dyDescent="0.3">
      <c r="A3" s="40" t="s">
        <v>48</v>
      </c>
      <c r="B3" s="143" t="s">
        <v>379</v>
      </c>
      <c r="C3" s="16"/>
      <c r="D3" s="16"/>
      <c r="E3" s="16"/>
      <c r="F3" s="16"/>
      <c r="G3" s="16"/>
      <c r="H3" s="16"/>
      <c r="I3" s="16"/>
      <c r="J3" s="13"/>
      <c r="K3" s="13"/>
      <c r="L3" s="13"/>
    </row>
    <row r="4" spans="1:12" ht="12.75" customHeight="1" x14ac:dyDescent="0.3">
      <c r="A4" s="40" t="s">
        <v>51</v>
      </c>
      <c r="B4" s="144" t="str">
        <f>SIM_Parametres!B4</f>
        <v>2050 Transformation</v>
      </c>
      <c r="C4" s="16"/>
      <c r="D4" s="16"/>
      <c r="E4" s="16"/>
      <c r="F4" s="16"/>
      <c r="G4" s="16"/>
      <c r="H4" s="16"/>
      <c r="I4" s="16"/>
      <c r="J4" s="13"/>
      <c r="K4" s="13"/>
      <c r="L4" s="13"/>
    </row>
    <row r="5" spans="1:12" ht="12.75" customHeight="1" x14ac:dyDescent="0.3">
      <c r="A5" s="16"/>
      <c r="B5" s="16"/>
      <c r="C5" s="16"/>
      <c r="D5" s="16"/>
      <c r="E5" s="16"/>
      <c r="F5" s="16"/>
      <c r="G5" s="16"/>
      <c r="H5" s="16"/>
      <c r="I5" s="16"/>
      <c r="J5" s="13"/>
      <c r="K5" s="13"/>
      <c r="L5" s="13"/>
    </row>
    <row r="6" spans="1:12" ht="12.75" customHeight="1" x14ac:dyDescent="0.3">
      <c r="A6" s="16"/>
      <c r="B6" s="16"/>
      <c r="C6" s="16"/>
      <c r="D6" s="16"/>
      <c r="E6" s="16"/>
      <c r="F6" s="16"/>
      <c r="G6" s="16"/>
      <c r="H6" s="16"/>
      <c r="I6" s="16"/>
      <c r="J6" s="13"/>
      <c r="K6" s="13"/>
      <c r="L6" s="13"/>
    </row>
    <row r="7" spans="1:12" ht="33.75" customHeight="1" x14ac:dyDescent="0.25">
      <c r="A7" s="75" t="s">
        <v>469</v>
      </c>
      <c r="B7" s="75" t="s">
        <v>322</v>
      </c>
      <c r="C7" s="75" t="s">
        <v>53</v>
      </c>
      <c r="D7" s="75" t="s">
        <v>573</v>
      </c>
      <c r="E7" s="75" t="s">
        <v>49</v>
      </c>
      <c r="F7" s="75" t="s">
        <v>245</v>
      </c>
      <c r="G7" s="75" t="s">
        <v>190</v>
      </c>
      <c r="H7" s="75" t="s">
        <v>196</v>
      </c>
      <c r="I7" s="75" t="s">
        <v>252</v>
      </c>
      <c r="J7" s="76"/>
      <c r="K7" s="76"/>
      <c r="L7" s="76"/>
    </row>
    <row r="8" spans="1:12" ht="12.75" customHeight="1" x14ac:dyDescent="0.3">
      <c r="A8" s="124">
        <v>2016</v>
      </c>
      <c r="B8" s="62" t="s">
        <v>573</v>
      </c>
      <c r="C8" s="125">
        <f>SUMIFS(SIM_Modele!$G:$G,SIM_Modele!$C:$C,$B$3,SIM_Modele!$D:$D,$A8)</f>
        <v>369113.46176396293</v>
      </c>
      <c r="D8" s="64">
        <f>SUMIFS(SIM_Modele!$O:$O,SIM_Modele!$C:$C,$B$3,SIM_Modele!$D:$D,$A8)</f>
        <v>20800000</v>
      </c>
      <c r="E8" s="64">
        <f>SUMIFS(SIM_Modele!$AH:$AH,SIM_Modele!$C:$C,$B$3,SIM_Modele!$D:$D,$A8)</f>
        <v>20800000</v>
      </c>
      <c r="F8" s="64">
        <f>SUMIFS(SIM_Modele!$AI:$AI,SIM_Modele!$C:$C,$B$3,SIM_Modele!$D:$D,$A8)</f>
        <v>56.351236556365372</v>
      </c>
      <c r="G8" s="126">
        <f>SUMIFS(SIM_Modele!$AA:$AA,SIM_Modele!$C:$C,$B$3,SIM_Modele!$D:$D,$A8)</f>
        <v>1.6702360782389195E-2</v>
      </c>
      <c r="H8" s="126">
        <f>SUMIFS(SIM_Modele!$AB:$AB,SIM_Modele!$C:$C,$B$3,SIM_Modele!$D:$D,$A8)</f>
        <v>1.605119095206713E-2</v>
      </c>
      <c r="I8" s="64">
        <f>SUMIFS(SIM_Modele!$AJ:$AJ,SIM_Modele!$C:$C,$B$3,SIM_Modele!$D:$D,$A8)</f>
        <v>0</v>
      </c>
      <c r="J8" s="13"/>
      <c r="K8" s="13"/>
      <c r="L8" s="13"/>
    </row>
    <row r="9" spans="1:12" ht="12.75" customHeight="1" x14ac:dyDescent="0.3">
      <c r="A9" s="128">
        <v>2017</v>
      </c>
      <c r="B9" s="55" t="s">
        <v>573</v>
      </c>
      <c r="C9" s="129">
        <f>SUMIFS(SIM_Modele!$G:$G,SIM_Modele!$C:$C,$B$3,SIM_Modele!$D:$D,$A9)</f>
        <v>380186.86561688181</v>
      </c>
      <c r="D9" s="57">
        <f>SUMIFS(SIM_Modele!$O:$O,SIM_Modele!$C:$C,$B$3,SIM_Modele!$D:$D,$A9)</f>
        <v>19480000</v>
      </c>
      <c r="E9" s="57">
        <f>SUMIFS(SIM_Modele!$AH:$AH,SIM_Modele!$C:$C,$B$3,SIM_Modele!$D:$D,$A9)</f>
        <v>19480000</v>
      </c>
      <c r="F9" s="57">
        <f>SUMIFS(SIM_Modele!$AI:$AI,SIM_Modele!$C:$C,$B$3,SIM_Modele!$D:$D,$A9)</f>
        <v>51.237961543969263</v>
      </c>
      <c r="G9" s="130">
        <f>SUMIFS(SIM_Modele!$AA:$AA,SIM_Modele!$C:$C,$B$3,SIM_Modele!$D:$D,$A9)</f>
        <v>1.6702360782389195E-2</v>
      </c>
      <c r="H9" s="130">
        <f>SUMIFS(SIM_Modele!$AB:$AB,SIM_Modele!$C:$C,$B$3,SIM_Modele!$D:$D,$A9)</f>
        <v>1.5348613660896491E-2</v>
      </c>
      <c r="I9" s="57">
        <f>SUMIFS(SIM_Modele!$AJ:$AJ,SIM_Modele!$C:$C,$B$3,SIM_Modele!$D:$D,$A9)</f>
        <v>0</v>
      </c>
      <c r="J9" s="13"/>
      <c r="K9" s="13"/>
      <c r="L9" s="13"/>
    </row>
    <row r="10" spans="1:12" ht="12.75" customHeight="1" x14ac:dyDescent="0.3">
      <c r="A10" s="124">
        <v>2018</v>
      </c>
      <c r="B10" s="62" t="s">
        <v>573</v>
      </c>
      <c r="C10" s="125">
        <f>SUMIFS(SIM_Modele!$G:$G,SIM_Modele!$C:$C,$B$3,SIM_Modele!$D:$D,$A10)</f>
        <v>391592.4715853883</v>
      </c>
      <c r="D10" s="64">
        <f>SUMIFS(SIM_Modele!$O:$O,SIM_Modele!$C:$C,$B$3,SIM_Modele!$D:$D,$A10)</f>
        <v>18468000</v>
      </c>
      <c r="E10" s="64">
        <f>SUMIFS(SIM_Modele!$AH:$AH,SIM_Modele!$C:$C,$B$3,SIM_Modele!$D:$D,$A10)</f>
        <v>18468000</v>
      </c>
      <c r="F10" s="64">
        <f>SUMIFS(SIM_Modele!$AI:$AI,SIM_Modele!$C:$C,$B$3,SIM_Modele!$D:$D,$A10)</f>
        <v>47.161274386177723</v>
      </c>
      <c r="G10" s="126">
        <f>SUMIFS(SIM_Modele!$AA:$AA,SIM_Modele!$C:$C,$B$3,SIM_Modele!$D:$D,$A10)</f>
        <v>1.6702360782389184E-2</v>
      </c>
      <c r="H10" s="126">
        <f>SUMIFS(SIM_Modele!$AB:$AB,SIM_Modele!$C:$C,$B$3,SIM_Modele!$D:$D,$A10)</f>
        <v>1.5515755195862466E-2</v>
      </c>
      <c r="I10" s="64">
        <f>SUMIFS(SIM_Modele!$AJ:$AJ,SIM_Modele!$C:$C,$B$3,SIM_Modele!$D:$D,$A10)</f>
        <v>0</v>
      </c>
      <c r="J10" s="13"/>
      <c r="K10" s="13"/>
      <c r="L10" s="13"/>
    </row>
    <row r="11" spans="1:12" ht="12.75" customHeight="1" x14ac:dyDescent="0.3">
      <c r="A11" s="128">
        <v>2019</v>
      </c>
      <c r="B11" s="55" t="s">
        <v>574</v>
      </c>
      <c r="C11" s="129">
        <f>SUMIFS(SIM_Modele!$G:$G,SIM_Modele!$C:$C,$B$3,SIM_Modele!$D:$D,$A11)</f>
        <v>403340.24573294993</v>
      </c>
      <c r="D11" s="57">
        <f>SUMIFS(SIM_Modele!$O:$O,SIM_Modele!$C:$C,$B$3,SIM_Modele!$D:$D,$A11)</f>
        <v>0</v>
      </c>
      <c r="E11" s="57">
        <f>SUMIFS(SIM_Modele!$AH:$AH,SIM_Modele!$C:$C,$B$3,SIM_Modele!$D:$D,$A11)</f>
        <v>19058976</v>
      </c>
      <c r="F11" s="57">
        <f>SUMIFS(SIM_Modele!$AI:$AI,SIM_Modele!$C:$C,$B$3,SIM_Modele!$D:$D,$A11)</f>
        <v>47.252849676247969</v>
      </c>
      <c r="G11" s="130">
        <f>SUMIFS(SIM_Modele!$AA:$AA,SIM_Modele!$C:$C,$B$3,SIM_Modele!$D:$D,$A11)</f>
        <v>1.6702360782389195E-2</v>
      </c>
      <c r="H11" s="130">
        <f>SUMIFS(SIM_Modele!$AB:$AB,SIM_Modele!$C:$C,$B$3,SIM_Modele!$D:$D,$A11)</f>
        <v>1.5515755195862466E-2</v>
      </c>
      <c r="I11" s="57">
        <f>SUMIFS(SIM_Modele!$AJ:$AJ,SIM_Modele!$C:$C,$B$3,SIM_Modele!$D:$D,$A11)</f>
        <v>0</v>
      </c>
      <c r="J11" s="13"/>
      <c r="K11" s="13"/>
      <c r="L11" s="13"/>
    </row>
    <row r="12" spans="1:12" ht="12.75" customHeight="1" x14ac:dyDescent="0.3">
      <c r="A12" s="124">
        <v>2020</v>
      </c>
      <c r="B12" s="62" t="s">
        <v>574</v>
      </c>
      <c r="C12" s="125">
        <f>SUMIFS(SIM_Modele!$G:$G,SIM_Modele!$C:$C,$B$3,SIM_Modele!$D:$D,$A12)</f>
        <v>415440.45310493838</v>
      </c>
      <c r="D12" s="64">
        <f>SUMIFS(SIM_Modele!$O:$O,SIM_Modele!$C:$C,$B$3,SIM_Modele!$D:$D,$A12)</f>
        <v>0</v>
      </c>
      <c r="E12" s="64">
        <f>SUMIFS(SIM_Modele!$AH:$AH,SIM_Modele!$C:$C,$B$3,SIM_Modele!$D:$D,$A12)</f>
        <v>19668863.232000008</v>
      </c>
      <c r="F12" s="64">
        <f>SUMIFS(SIM_Modele!$AI:$AI,SIM_Modele!$C:$C,$B$3,SIM_Modele!$D:$D,$A12)</f>
        <v>47.344602782415464</v>
      </c>
      <c r="G12" s="126">
        <f>SUMIFS(SIM_Modele!$AA:$AA,SIM_Modele!$C:$C,$B$3,SIM_Modele!$D:$D,$A12)</f>
        <v>1.6702360782389188E-2</v>
      </c>
      <c r="H12" s="126">
        <f>SUMIFS(SIM_Modele!$AB:$AB,SIM_Modele!$C:$C,$B$3,SIM_Modele!$D:$D,$A12)</f>
        <v>1.5515755195862466E-2</v>
      </c>
      <c r="I12" s="64">
        <f>SUMIFS(SIM_Modele!$AJ:$AJ,SIM_Modele!$C:$C,$B$3,SIM_Modele!$D:$D,$A12)</f>
        <v>0</v>
      </c>
      <c r="J12" s="13"/>
      <c r="K12" s="13"/>
      <c r="L12" s="13"/>
    </row>
    <row r="13" spans="1:12" ht="12.75" customHeight="1" x14ac:dyDescent="0.3">
      <c r="A13" s="128">
        <v>2021</v>
      </c>
      <c r="B13" s="55" t="s">
        <v>574</v>
      </c>
      <c r="C13" s="129">
        <f>SUMIFS(SIM_Modele!$G:$G,SIM_Modele!$C:$C,$B$3,SIM_Modele!$D:$D,$A13)</f>
        <v>427903.66669808654</v>
      </c>
      <c r="D13" s="57">
        <f>SUMIFS(SIM_Modele!$O:$O,SIM_Modele!$C:$C,$B$3,SIM_Modele!$D:$D,$A13)</f>
        <v>0</v>
      </c>
      <c r="E13" s="57">
        <f>SUMIFS(SIM_Modele!$AH:$AH,SIM_Modele!$C:$C,$B$3,SIM_Modele!$D:$D,$A13)</f>
        <v>20298266.855424002</v>
      </c>
      <c r="F13" s="57">
        <f>SUMIFS(SIM_Modele!$AI:$AI,SIM_Modele!$C:$C,$B$3,SIM_Modele!$D:$D,$A13)</f>
        <v>47.436534049954119</v>
      </c>
      <c r="G13" s="130">
        <f>SUMIFS(SIM_Modele!$AA:$AA,SIM_Modele!$C:$C,$B$3,SIM_Modele!$D:$D,$A13)</f>
        <v>1.6702360782389191E-2</v>
      </c>
      <c r="H13" s="130">
        <f>SUMIFS(SIM_Modele!$AB:$AB,SIM_Modele!$C:$C,$B$3,SIM_Modele!$D:$D,$A13)</f>
        <v>1.5515755195862463E-2</v>
      </c>
      <c r="I13" s="57">
        <f>SUMIFS(SIM_Modele!$AJ:$AJ,SIM_Modele!$C:$C,$B$3,SIM_Modele!$D:$D,$A13)</f>
        <v>0</v>
      </c>
      <c r="J13" s="13"/>
      <c r="K13" s="13"/>
      <c r="L13" s="13"/>
    </row>
    <row r="14" spans="1:12" ht="12.75" customHeight="1" x14ac:dyDescent="0.3">
      <c r="A14" s="124">
        <v>2022</v>
      </c>
      <c r="B14" s="62" t="s">
        <v>574</v>
      </c>
      <c r="C14" s="125">
        <f>SUMIFS(SIM_Modele!$G:$G,SIM_Modele!$C:$C,$B$3,SIM_Modele!$D:$D,$A14)</f>
        <v>440740.77669902914</v>
      </c>
      <c r="D14" s="64">
        <f>SUMIFS(SIM_Modele!$O:$O,SIM_Modele!$C:$C,$B$3,SIM_Modele!$D:$D,$A14)</f>
        <v>0</v>
      </c>
      <c r="E14" s="64">
        <f>SUMIFS(SIM_Modele!$AH:$AH,SIM_Modele!$C:$C,$B$3,SIM_Modele!$D:$D,$A14)</f>
        <v>20947811.39479756</v>
      </c>
      <c r="F14" s="64">
        <f>SUMIFS(SIM_Modele!$AI:$AI,SIM_Modele!$C:$C,$B$3,SIM_Modele!$D:$D,$A14)</f>
        <v>47.528643824808377</v>
      </c>
      <c r="G14" s="126">
        <f>SUMIFS(SIM_Modele!$AA:$AA,SIM_Modele!$C:$C,$B$3,SIM_Modele!$D:$D,$A14)</f>
        <v>1.6702360782389195E-2</v>
      </c>
      <c r="H14" s="126">
        <f>SUMIFS(SIM_Modele!$AB:$AB,SIM_Modele!$C:$C,$B$3,SIM_Modele!$D:$D,$A14)</f>
        <v>1.5515755195862464E-2</v>
      </c>
      <c r="I14" s="64">
        <f>SUMIFS(SIM_Modele!$AJ:$AJ,SIM_Modele!$C:$C,$B$3,SIM_Modele!$D:$D,$A14)</f>
        <v>0</v>
      </c>
      <c r="J14" s="13"/>
      <c r="K14" s="13"/>
      <c r="L14" s="13"/>
    </row>
    <row r="15" spans="1:12" ht="12.75" customHeight="1" x14ac:dyDescent="0.3">
      <c r="A15" s="128">
        <v>2023</v>
      </c>
      <c r="B15" s="55" t="s">
        <v>574</v>
      </c>
      <c r="C15" s="129">
        <f>SUMIFS(SIM_Modele!$G:$G,SIM_Modele!$C:$C,$B$3,SIM_Modele!$D:$D,$A15)</f>
        <v>453963</v>
      </c>
      <c r="D15" s="57">
        <f>SUMIFS(SIM_Modele!$O:$O,SIM_Modele!$C:$C,$B$3,SIM_Modele!$D:$D,$A15)</f>
        <v>0</v>
      </c>
      <c r="E15" s="57">
        <f>SUMIFS(SIM_Modele!$AH:$AH,SIM_Modele!$C:$C,$B$3,SIM_Modele!$D:$D,$A15)</f>
        <v>21618141.359431088</v>
      </c>
      <c r="F15" s="57">
        <f>SUMIFS(SIM_Modele!$AI:$AI,SIM_Modele!$C:$C,$B$3,SIM_Modele!$D:$D,$A15)</f>
        <v>47.620932453594428</v>
      </c>
      <c r="G15" s="130">
        <f>SUMIFS(SIM_Modele!$AA:$AA,SIM_Modele!$C:$C,$B$3,SIM_Modele!$D:$D,$A15)</f>
        <v>1.6702360782389191E-2</v>
      </c>
      <c r="H15" s="130">
        <f>SUMIFS(SIM_Modele!$AB:$AB,SIM_Modele!$C:$C,$B$3,SIM_Modele!$D:$D,$A15)</f>
        <v>1.5515755195862457E-2</v>
      </c>
      <c r="I15" s="57">
        <f>SUMIFS(SIM_Modele!$AJ:$AJ,SIM_Modele!$C:$C,$B$3,SIM_Modele!$D:$D,$A15)</f>
        <v>0</v>
      </c>
      <c r="J15" s="13"/>
      <c r="K15" s="13"/>
      <c r="L15" s="13"/>
    </row>
    <row r="16" spans="1:12" ht="12.75" customHeight="1" x14ac:dyDescent="0.3">
      <c r="A16" s="124">
        <v>2024</v>
      </c>
      <c r="B16" s="62" t="s">
        <v>574</v>
      </c>
      <c r="C16" s="125">
        <f>SUMIFS(SIM_Modele!$G:$G,SIM_Modele!$C:$C,$B$3,SIM_Modele!$D:$D,$A16)</f>
        <v>467581.89</v>
      </c>
      <c r="D16" s="64">
        <f>SUMIFS(SIM_Modele!$O:$O,SIM_Modele!$C:$C,$B$3,SIM_Modele!$D:$D,$A16)</f>
        <v>0</v>
      </c>
      <c r="E16" s="64">
        <f>SUMIFS(SIM_Modele!$AH:$AH,SIM_Modele!$C:$C,$B$3,SIM_Modele!$D:$D,$A16)</f>
        <v>22309921.882932883</v>
      </c>
      <c r="F16" s="64">
        <f>SUMIFS(SIM_Modele!$AI:$AI,SIM_Modele!$C:$C,$B$3,SIM_Modele!$D:$D,$A16)</f>
        <v>47.713400283601409</v>
      </c>
      <c r="G16" s="126">
        <f>SUMIFS(SIM_Modele!$AA:$AA,SIM_Modele!$C:$C,$B$3,SIM_Modele!$D:$D,$A16)</f>
        <v>1.6702360782389195E-2</v>
      </c>
      <c r="H16" s="126">
        <f>SUMIFS(SIM_Modele!$AB:$AB,SIM_Modele!$C:$C,$B$3,SIM_Modele!$D:$D,$A16)</f>
        <v>1.5515755195862469E-2</v>
      </c>
      <c r="I16" s="64">
        <f>SUMIFS(SIM_Modele!$AJ:$AJ,SIM_Modele!$C:$C,$B$3,SIM_Modele!$D:$D,$A16)</f>
        <v>0</v>
      </c>
      <c r="J16" s="13"/>
      <c r="K16" s="13"/>
      <c r="L16" s="13"/>
    </row>
    <row r="17" spans="1:12" ht="12.75" customHeight="1" x14ac:dyDescent="0.3">
      <c r="A17" s="128">
        <v>2025</v>
      </c>
      <c r="B17" s="55" t="s">
        <v>574</v>
      </c>
      <c r="C17" s="129">
        <f>SUMIFS(SIM_Modele!$G:$G,SIM_Modele!$C:$C,$B$3,SIM_Modele!$D:$D,$A17)</f>
        <v>481609.34669999999</v>
      </c>
      <c r="D17" s="57">
        <f>SUMIFS(SIM_Modele!$O:$O,SIM_Modele!$C:$C,$B$3,SIM_Modele!$D:$D,$A17)</f>
        <v>0</v>
      </c>
      <c r="E17" s="57">
        <f>SUMIFS(SIM_Modele!$AH:$AH,SIM_Modele!$C:$C,$B$3,SIM_Modele!$D:$D,$A17)</f>
        <v>23023839.383186743</v>
      </c>
      <c r="F17" s="57">
        <f>SUMIFS(SIM_Modele!$AI:$AI,SIM_Modele!$C:$C,$B$3,SIM_Modele!$D:$D,$A17)</f>
        <v>47.806047662792885</v>
      </c>
      <c r="G17" s="130">
        <f>SUMIFS(SIM_Modele!$AA:$AA,SIM_Modele!$C:$C,$B$3,SIM_Modele!$D:$D,$A17)</f>
        <v>1.6702360782389195E-2</v>
      </c>
      <c r="H17" s="130">
        <f>SUMIFS(SIM_Modele!$AB:$AB,SIM_Modele!$C:$C,$B$3,SIM_Modele!$D:$D,$A17)</f>
        <v>1.5515755195862468E-2</v>
      </c>
      <c r="I17" s="57">
        <f>SUMIFS(SIM_Modele!$AJ:$AJ,SIM_Modele!$C:$C,$B$3,SIM_Modele!$D:$D,$A17)</f>
        <v>0</v>
      </c>
      <c r="J17" s="13"/>
      <c r="K17" s="13"/>
      <c r="L17" s="13"/>
    </row>
    <row r="18" spans="1:12" ht="12.75" customHeight="1" x14ac:dyDescent="0.3">
      <c r="A18" s="124">
        <v>2026</v>
      </c>
      <c r="B18" s="62" t="s">
        <v>574</v>
      </c>
      <c r="C18" s="125">
        <f>SUMIFS(SIM_Modele!$G:$G,SIM_Modele!$C:$C,$B$3,SIM_Modele!$D:$D,$A18)</f>
        <v>496057.62710099999</v>
      </c>
      <c r="D18" s="64">
        <f>SUMIFS(SIM_Modele!$O:$O,SIM_Modele!$C:$C,$B$3,SIM_Modele!$D:$D,$A18)</f>
        <v>0</v>
      </c>
      <c r="E18" s="64">
        <f>SUMIFS(SIM_Modele!$AH:$AH,SIM_Modele!$C:$C,$B$3,SIM_Modele!$D:$D,$A18)</f>
        <v>24423390.401803035</v>
      </c>
      <c r="F18" s="64">
        <f>SUMIFS(SIM_Modele!$AI:$AI,SIM_Modele!$C:$C,$B$3,SIM_Modele!$D:$D,$A18)</f>
        <v>49.234986153796811</v>
      </c>
      <c r="G18" s="126">
        <f>SUMIFS(SIM_Modele!$AA:$AA,SIM_Modele!$C:$C,$B$3,SIM_Modele!$D:$D,$A18)</f>
        <v>1.6702360782389188E-2</v>
      </c>
      <c r="H18" s="126">
        <f>SUMIFS(SIM_Modele!$AB:$AB,SIM_Modele!$C:$C,$B$3,SIM_Modele!$D:$D,$A18)</f>
        <v>1.5515755195862469E-2</v>
      </c>
      <c r="I18" s="64">
        <f>SUMIFS(SIM_Modele!$AJ:$AJ,SIM_Modele!$C:$C,$B$3,SIM_Modele!$D:$D,$A18)</f>
        <v>662788.15835431591</v>
      </c>
      <c r="J18" s="13"/>
      <c r="K18" s="13"/>
      <c r="L18" s="13"/>
    </row>
    <row r="19" spans="1:12" ht="12.75" customHeight="1" x14ac:dyDescent="0.3">
      <c r="A19" s="128">
        <v>2027</v>
      </c>
      <c r="B19" s="55" t="s">
        <v>574</v>
      </c>
      <c r="C19" s="129">
        <f>SUMIFS(SIM_Modele!$G:$G,SIM_Modele!$C:$C,$B$3,SIM_Modele!$D:$D,$A19)</f>
        <v>510939.35591402993</v>
      </c>
      <c r="D19" s="57">
        <f>SUMIFS(SIM_Modele!$O:$O,SIM_Modele!$C:$C,$B$3,SIM_Modele!$D:$D,$A19)</f>
        <v>0</v>
      </c>
      <c r="E19" s="57">
        <f>SUMIFS(SIM_Modele!$AH:$AH,SIM_Modele!$C:$C,$B$3,SIM_Modele!$D:$D,$A19)</f>
        <v>25645545.78398129</v>
      </c>
      <c r="F19" s="57">
        <f>SUMIFS(SIM_Modele!$AI:$AI,SIM_Modele!$C:$C,$B$3,SIM_Modele!$D:$D,$A19)</f>
        <v>50.192934811418951</v>
      </c>
      <c r="G19" s="130">
        <f>SUMIFS(SIM_Modele!$AA:$AA,SIM_Modele!$C:$C,$B$3,SIM_Modele!$D:$D,$A19)</f>
        <v>1.6702360782389191E-2</v>
      </c>
      <c r="H19" s="130">
        <f>SUMIFS(SIM_Modele!$AB:$AB,SIM_Modele!$C:$C,$B$3,SIM_Modele!$D:$D,$A19)</f>
        <v>1.5948558148682294E-2</v>
      </c>
      <c r="I19" s="57">
        <f>SUMIFS(SIM_Modele!$AJ:$AJ,SIM_Modele!$C:$C,$B$3,SIM_Modele!$D:$D,$A19)</f>
        <v>440606.88932056725</v>
      </c>
      <c r="J19" s="13"/>
      <c r="K19" s="13"/>
      <c r="L19" s="13"/>
    </row>
    <row r="20" spans="1:12" ht="12" customHeight="1" x14ac:dyDescent="0.25">
      <c r="A20" s="124">
        <v>2028</v>
      </c>
      <c r="B20" s="133" t="s">
        <v>574</v>
      </c>
      <c r="C20" s="125">
        <f>SUMIFS(SIM_Modele!$G:$G,SIM_Modele!$C:$C,$B$3,SIM_Modele!$D:$D,$A20)</f>
        <v>526267.5365914508</v>
      </c>
      <c r="D20" s="64">
        <f>SUMIFS(SIM_Modele!$O:$O,SIM_Modele!$C:$C,$B$3,SIM_Modele!$D:$D,$A20)</f>
        <v>0</v>
      </c>
      <c r="E20" s="64">
        <f>SUMIFS(SIM_Modele!$AH:$AH,SIM_Modele!$C:$C,$B$3,SIM_Modele!$D:$D,$A20)</f>
        <v>26386996.463062238</v>
      </c>
      <c r="F20" s="64">
        <f>SUMIFS(SIM_Modele!$AI:$AI,SIM_Modele!$C:$C,$B$3,SIM_Modele!$D:$D,$A20)</f>
        <v>50.139890128824057</v>
      </c>
      <c r="G20" s="126">
        <f>SUMIFS(SIM_Modele!$AA:$AA,SIM_Modele!$C:$C,$B$3,SIM_Modele!$D:$D,$A20)</f>
        <v>1.6702360782389195E-2</v>
      </c>
      <c r="H20" s="126">
        <f>SUMIFS(SIM_Modele!$AB:$AB,SIM_Modele!$C:$C,$B$3,SIM_Modele!$D:$D,$A20)</f>
        <v>1.6227354483972261E-2</v>
      </c>
      <c r="I20" s="64">
        <f>SUMIFS(SIM_Modele!$AJ:$AJ,SIM_Modele!$C:$C,$B$3,SIM_Modele!$D:$D,$A20)</f>
        <v>-79206.786006446928</v>
      </c>
    </row>
    <row r="21" spans="1:12" ht="12" customHeight="1" x14ac:dyDescent="0.25">
      <c r="A21" s="128">
        <v>2029</v>
      </c>
      <c r="B21" s="134" t="s">
        <v>574</v>
      </c>
      <c r="C21" s="129">
        <f>SUMIFS(SIM_Modele!$G:$G,SIM_Modele!$C:$C,$B$3,SIM_Modele!$D:$D,$A21)</f>
        <v>542055.56268919434</v>
      </c>
      <c r="D21" s="57">
        <f>SUMIFS(SIM_Modele!$O:$O,SIM_Modele!$C:$C,$B$3,SIM_Modele!$D:$D,$A21)</f>
        <v>0</v>
      </c>
      <c r="E21" s="57">
        <f>SUMIFS(SIM_Modele!$AH:$AH,SIM_Modele!$C:$C,$B$3,SIM_Modele!$D:$D,$A21)</f>
        <v>27231380.349880226</v>
      </c>
      <c r="F21" s="57">
        <f>SUMIFS(SIM_Modele!$AI:$AI,SIM_Modele!$C:$C,$B$3,SIM_Modele!$D:$D,$A21)</f>
        <v>50.237249138782929</v>
      </c>
      <c r="G21" s="130">
        <f>SUMIFS(SIM_Modele!$AA:$AA,SIM_Modele!$C:$C,$B$3,SIM_Modele!$D:$D,$A21)</f>
        <v>1.6702360782389188E-2</v>
      </c>
      <c r="H21" s="130">
        <f>SUMIFS(SIM_Modele!$AB:$AB,SIM_Modele!$C:$C,$B$3,SIM_Modele!$D:$D,$A21)</f>
        <v>1.6178790034362057E-2</v>
      </c>
      <c r="I21" s="57">
        <f>SUMIFS(SIM_Modele!$AJ:$AJ,SIM_Modele!$C:$C,$B$3,SIM_Modele!$D:$D,$A21)</f>
        <v>0</v>
      </c>
    </row>
    <row r="22" spans="1:12" ht="12" customHeight="1" x14ac:dyDescent="0.25">
      <c r="A22" s="124">
        <v>2030</v>
      </c>
      <c r="B22" s="133" t="s">
        <v>574</v>
      </c>
      <c r="C22" s="125">
        <f>SUMIFS(SIM_Modele!$G:$G,SIM_Modele!$C:$C,$B$3,SIM_Modele!$D:$D,$A22)</f>
        <v>558317.22956987028</v>
      </c>
      <c r="D22" s="64">
        <f>SUMIFS(SIM_Modele!$O:$O,SIM_Modele!$C:$C,$B$3,SIM_Modele!$D:$D,$A22)</f>
        <v>0</v>
      </c>
      <c r="E22" s="64">
        <f>SUMIFS(SIM_Modele!$AH:$AH,SIM_Modele!$C:$C,$B$3,SIM_Modele!$D:$D,$A22)</f>
        <v>28102784.5210764</v>
      </c>
      <c r="F22" s="64">
        <f>SUMIFS(SIM_Modele!$AI:$AI,SIM_Modele!$C:$C,$B$3,SIM_Modele!$D:$D,$A22)</f>
        <v>50.334797195363095</v>
      </c>
      <c r="G22" s="126">
        <f>SUMIFS(SIM_Modele!$AA:$AA,SIM_Modele!$C:$C,$B$3,SIM_Modele!$D:$D,$A22)</f>
        <v>1.6702360782389195E-2</v>
      </c>
      <c r="H22" s="126">
        <f>SUMIFS(SIM_Modele!$AB:$AB,SIM_Modele!$C:$C,$B$3,SIM_Modele!$D:$D,$A22)</f>
        <v>1.6178790034362057E-2</v>
      </c>
      <c r="I22" s="64">
        <f>SUMIFS(SIM_Modele!$AJ:$AJ,SIM_Modele!$C:$C,$B$3,SIM_Modele!$D:$D,$A22)</f>
        <v>0</v>
      </c>
    </row>
    <row r="23" spans="1:12" ht="12" customHeight="1" x14ac:dyDescent="0.25"/>
    <row r="24" spans="1:12" ht="12" customHeight="1" x14ac:dyDescent="0.25"/>
    <row r="25" spans="1:12" ht="12" customHeight="1" x14ac:dyDescent="0.25"/>
    <row r="26" spans="1:12" ht="12" customHeight="1" x14ac:dyDescent="0.25"/>
    <row r="27" spans="1:12" ht="12" customHeight="1" x14ac:dyDescent="0.25"/>
    <row r="28" spans="1:12" ht="12" customHeight="1" x14ac:dyDescent="0.25"/>
    <row r="29" spans="1:12" ht="12" customHeight="1" x14ac:dyDescent="0.25"/>
    <row r="30" spans="1:12" ht="12" customHeight="1" x14ac:dyDescent="0.25"/>
    <row r="31" spans="1:12" ht="12" customHeight="1" x14ac:dyDescent="0.25"/>
    <row r="32" spans="1:12" ht="12" customHeight="1" x14ac:dyDescent="0.25"/>
    <row r="33" ht="12" customHeight="1" x14ac:dyDescent="0.25"/>
    <row r="34" ht="12" customHeight="1" x14ac:dyDescent="0.25"/>
    <row r="35" ht="12" customHeight="1" x14ac:dyDescent="0.25"/>
    <row r="36" ht="12" customHeight="1" x14ac:dyDescent="0.25"/>
    <row r="37" ht="12" customHeight="1" x14ac:dyDescent="0.25"/>
    <row r="38" ht="12" customHeight="1" x14ac:dyDescent="0.25"/>
    <row r="39" ht="12" customHeight="1" x14ac:dyDescent="0.25"/>
    <row r="40" ht="12" customHeight="1" x14ac:dyDescent="0.25"/>
    <row r="41" ht="12" customHeight="1" x14ac:dyDescent="0.25"/>
    <row r="42" ht="12" customHeight="1" x14ac:dyDescent="0.25"/>
    <row r="43" ht="12" customHeight="1" x14ac:dyDescent="0.25"/>
    <row r="44" ht="12" customHeight="1" x14ac:dyDescent="0.25"/>
    <row r="45" ht="12" customHeight="1" x14ac:dyDescent="0.25"/>
    <row r="46" ht="12" customHeight="1" x14ac:dyDescent="0.25"/>
  </sheetData>
  <mergeCells count="2">
    <mergeCell ref="A1:D1"/>
    <mergeCell ref="E1:L1"/>
  </mergeCells>
  <hyperlinks>
    <hyperlink ref="A1" location="'SIM_Accueil'!A1" display="⌂  BACK TO HOME" xr:uid="{00000000-0004-0000-0B00-000000000000}"/>
  </hyperlinks>
  <pageMargins left="0.7" right="0.7" top="0.75" bottom="0.75" header="0.511811023622047" footer="0.511811023622047"/>
  <pageSetup paperSize="9" orientation="portrait" horizontalDpi="300" verticalDpi="30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C00000"/>
  </sheetPr>
  <dimension ref="A1:L16"/>
  <sheetViews>
    <sheetView showGridLines="0" zoomScaleNormal="100" workbookViewId="0"/>
  </sheetViews>
  <sheetFormatPr baseColWidth="10" defaultColWidth="8.6328125" defaultRowHeight="12.5" x14ac:dyDescent="0.25"/>
  <cols>
    <col min="1" max="1" width="32" customWidth="1"/>
    <col min="2" max="3" width="18" customWidth="1"/>
    <col min="4" max="4" width="11" customWidth="1"/>
    <col min="5" max="5" width="24" customWidth="1"/>
    <col min="6" max="6" width="42" customWidth="1"/>
    <col min="9" max="12" width="13" customWidth="1"/>
  </cols>
  <sheetData>
    <row r="1" spans="1:12" ht="27.75" customHeight="1" x14ac:dyDescent="0.25">
      <c r="A1" s="205" t="s">
        <v>32</v>
      </c>
      <c r="B1" s="205"/>
      <c r="C1" s="205"/>
      <c r="D1" s="205"/>
      <c r="E1" s="206" t="s">
        <v>683</v>
      </c>
      <c r="F1" s="206"/>
      <c r="G1" s="206"/>
      <c r="H1" s="206"/>
      <c r="I1" s="206"/>
      <c r="J1" s="206"/>
      <c r="K1" s="206"/>
      <c r="L1" s="206"/>
    </row>
    <row r="2" spans="1:12" ht="12.75" customHeight="1" x14ac:dyDescent="0.3">
      <c r="A2" s="16"/>
      <c r="B2" s="16"/>
      <c r="C2" s="16"/>
      <c r="D2" s="16"/>
      <c r="E2" s="16"/>
      <c r="F2" s="16"/>
      <c r="G2" s="13"/>
      <c r="H2" s="13"/>
      <c r="I2" s="13"/>
      <c r="J2" s="13"/>
      <c r="K2" s="13"/>
      <c r="L2" s="13"/>
    </row>
    <row r="3" spans="1:12" ht="33.75" customHeight="1" x14ac:dyDescent="0.25">
      <c r="A3" s="75" t="s">
        <v>474</v>
      </c>
      <c r="B3" s="75" t="s">
        <v>66</v>
      </c>
      <c r="C3" s="75" t="s">
        <v>684</v>
      </c>
      <c r="D3" s="75" t="s">
        <v>685</v>
      </c>
      <c r="E3" s="75" t="s">
        <v>322</v>
      </c>
      <c r="F3" s="75" t="s">
        <v>481</v>
      </c>
      <c r="G3" s="76"/>
      <c r="H3" s="76"/>
      <c r="I3" s="76"/>
      <c r="J3" s="76"/>
      <c r="K3" s="76"/>
      <c r="L3" s="76"/>
    </row>
    <row r="4" spans="1:12" ht="12.75" customHeight="1" x14ac:dyDescent="0.3">
      <c r="A4" s="62" t="s">
        <v>342</v>
      </c>
      <c r="B4" s="125">
        <f>COUNTA(SIM_Districts!A4:A74)</f>
        <v>71</v>
      </c>
      <c r="C4" s="120">
        <v>71</v>
      </c>
      <c r="D4" s="120">
        <v>0</v>
      </c>
      <c r="E4" s="61" t="str">
        <f>IF(ABS(B4-C4)&lt;=D4,"OK","ALERT")</f>
        <v>OK</v>
      </c>
      <c r="F4" s="62" t="s">
        <v>686</v>
      </c>
      <c r="G4" s="13"/>
      <c r="H4" s="13"/>
      <c r="I4" s="13"/>
      <c r="J4" s="13"/>
      <c r="K4" s="13"/>
      <c r="L4" s="13"/>
    </row>
    <row r="5" spans="1:12" ht="12.75" customHeight="1" x14ac:dyDescent="0.3">
      <c r="A5" s="55" t="s">
        <v>687</v>
      </c>
      <c r="B5" s="129">
        <f>COUNTA(SIM_Modele!A4:A1068)</f>
        <v>1065</v>
      </c>
      <c r="C5" s="122">
        <v>1065</v>
      </c>
      <c r="D5" s="122">
        <v>0</v>
      </c>
      <c r="E5" s="68" t="str">
        <f>IF(B5=C5,"OK","ALERT")</f>
        <v>OK</v>
      </c>
      <c r="F5" s="55" t="s">
        <v>688</v>
      </c>
      <c r="G5" s="13"/>
      <c r="H5" s="13"/>
      <c r="I5" s="13"/>
      <c r="J5" s="13"/>
      <c r="K5" s="13"/>
      <c r="L5" s="13"/>
    </row>
    <row r="6" spans="1:12" ht="12.75" customHeight="1" x14ac:dyDescent="0.3">
      <c r="A6" s="62" t="s">
        <v>573</v>
      </c>
      <c r="B6" s="125">
        <f>COUNTIF(SIM_Modele!E:E,"BOOST observed")</f>
        <v>213</v>
      </c>
      <c r="C6" s="120">
        <v>213</v>
      </c>
      <c r="D6" s="120">
        <v>0</v>
      </c>
      <c r="E6" s="61" t="str">
        <f>IF(B6=C6,"OK","ALERT")</f>
        <v>OK</v>
      </c>
      <c r="F6" s="62" t="s">
        <v>347</v>
      </c>
      <c r="G6" s="13"/>
      <c r="H6" s="13"/>
      <c r="I6" s="13"/>
      <c r="J6" s="13"/>
      <c r="K6" s="13"/>
      <c r="L6" s="13"/>
    </row>
    <row r="7" spans="1:12" ht="12.75" customHeight="1" x14ac:dyDescent="0.3">
      <c r="A7" s="55" t="s">
        <v>689</v>
      </c>
      <c r="B7" s="129">
        <f>COUNTIF(SIM_Modele!E:E,"Scenario projection")</f>
        <v>852</v>
      </c>
      <c r="C7" s="122">
        <v>852</v>
      </c>
      <c r="D7" s="122">
        <v>0</v>
      </c>
      <c r="E7" s="68" t="str">
        <f>IF(B7=C7,"OK","ALERT")</f>
        <v>OK</v>
      </c>
      <c r="F7" s="55" t="s">
        <v>349</v>
      </c>
      <c r="G7" s="13"/>
      <c r="H7" s="13"/>
      <c r="I7" s="13"/>
      <c r="J7" s="13"/>
      <c r="K7" s="13"/>
      <c r="L7" s="13"/>
    </row>
    <row r="8" spans="1:12" ht="12.75" customHeight="1" x14ac:dyDescent="0.3">
      <c r="A8" s="62" t="s">
        <v>690</v>
      </c>
      <c r="B8" s="64">
        <f>SUMIFS(SIM_Modele!AH:AH,SIM_Modele!D:D,2030)</f>
        <v>1737013983.2082019</v>
      </c>
      <c r="C8" s="64">
        <f>SUMIFS(SIM_Modele!F:F,SIM_Modele!D:D,2030)/71</f>
        <v>1737013983.2082028</v>
      </c>
      <c r="D8" s="63">
        <v>1</v>
      </c>
      <c r="E8" s="61" t="str">
        <f>IF(ABS(B8-C8)&lt;=D8,"OK","ALERT")</f>
        <v>OK</v>
      </c>
      <c r="F8" s="62" t="s">
        <v>691</v>
      </c>
      <c r="G8" s="13"/>
      <c r="H8" s="13"/>
      <c r="I8" s="13"/>
      <c r="J8" s="13"/>
      <c r="K8" s="13"/>
      <c r="L8" s="13"/>
    </row>
    <row r="9" spans="1:12" ht="12.75" customHeight="1" x14ac:dyDescent="0.3">
      <c r="A9" s="55" t="s">
        <v>692</v>
      </c>
      <c r="B9" s="130">
        <f>SUMIFS(SIM_Modele!AA:AA,SIM_Modele!D:D,2030)</f>
        <v>1.0000000000000002</v>
      </c>
      <c r="C9" s="145">
        <v>1</v>
      </c>
      <c r="D9" s="145">
        <v>9.9999999999999995E-7</v>
      </c>
      <c r="E9" s="68" t="str">
        <f>IF(ABS(B9-C9)&lt;=D9,"OK","ALERT")</f>
        <v>OK</v>
      </c>
      <c r="F9" s="55" t="s">
        <v>693</v>
      </c>
      <c r="G9" s="13"/>
      <c r="H9" s="13"/>
      <c r="I9" s="13"/>
      <c r="J9" s="13"/>
      <c r="K9" s="13"/>
      <c r="L9" s="13"/>
    </row>
    <row r="10" spans="1:12" ht="12.75" customHeight="1" x14ac:dyDescent="0.3">
      <c r="A10" s="62" t="s">
        <v>694</v>
      </c>
      <c r="B10" s="125">
        <f>COUNTIF(SIM_Modele!AH:AH,"&lt;0")</f>
        <v>0</v>
      </c>
      <c r="C10" s="120">
        <v>0</v>
      </c>
      <c r="D10" s="120">
        <v>0</v>
      </c>
      <c r="E10" s="61" t="str">
        <f>IF(B10=0,"OK","ALERT")</f>
        <v>OK</v>
      </c>
      <c r="F10" s="62" t="s">
        <v>695</v>
      </c>
      <c r="G10" s="13"/>
      <c r="H10" s="13"/>
      <c r="I10" s="13"/>
      <c r="J10" s="13"/>
      <c r="K10" s="13"/>
      <c r="L10" s="13"/>
    </row>
    <row r="11" spans="1:12" ht="25.5" customHeight="1" x14ac:dyDescent="0.3">
      <c r="A11" s="83" t="s">
        <v>696</v>
      </c>
      <c r="B11" s="146">
        <f>SUMIFS(SIM_Modele!$G$4:$G$855,SIM_Modele!$D$4:$D$855,2023)</f>
        <v>18126388</v>
      </c>
      <c r="C11" s="147">
        <f>SUM(Donnees_RGPH_2023!B7:B20)</f>
        <v>18126388</v>
      </c>
      <c r="D11" s="80">
        <v>0</v>
      </c>
      <c r="E11" s="147" t="str">
        <f>IF(ABS(B11-C11)&lt;=D11,"OK","À vérifier")</f>
        <v>OK</v>
      </c>
      <c r="F11" s="83" t="s">
        <v>697</v>
      </c>
      <c r="G11" s="13"/>
      <c r="H11" s="13"/>
      <c r="I11" s="13"/>
      <c r="J11" s="13"/>
      <c r="K11" s="13"/>
      <c r="L11" s="13"/>
    </row>
    <row r="12" spans="1:12" ht="12.75" customHeight="1" x14ac:dyDescent="0.3">
      <c r="A12" s="84" t="s">
        <v>698</v>
      </c>
      <c r="B12" s="148">
        <f>B11-Donnees_RGPH_2023!B21</f>
        <v>-2</v>
      </c>
      <c r="C12" s="148">
        <f>Donnees_RGPH_2023!G21</f>
        <v>-2</v>
      </c>
      <c r="D12" s="78">
        <v>0</v>
      </c>
      <c r="E12" s="148" t="str">
        <f>IF(ABS(B12-C12)&lt;=D12,"OK","À vérifier")</f>
        <v>OK</v>
      </c>
      <c r="F12" s="84" t="s">
        <v>699</v>
      </c>
      <c r="G12" s="13"/>
      <c r="H12" s="13"/>
      <c r="I12" s="13"/>
      <c r="J12" s="13"/>
      <c r="K12" s="13"/>
      <c r="L12" s="13"/>
    </row>
    <row r="13" spans="1:12" ht="12.75" customHeight="1" x14ac:dyDescent="0.3">
      <c r="A13" s="149" t="s">
        <v>700</v>
      </c>
      <c r="B13" s="130">
        <f>MIN(SIM_Modele!$AK$714:$AK$784)</f>
        <v>-3.5957634973610819E-2</v>
      </c>
      <c r="C13" s="145">
        <v>-0.05</v>
      </c>
      <c r="D13" s="145">
        <v>9.9999999999999995E-7</v>
      </c>
      <c r="E13" s="150" t="str">
        <f>IF(B13&gt;=C13-D13,"OK","ALERT")</f>
        <v>OK</v>
      </c>
      <c r="F13" s="55" t="s">
        <v>701</v>
      </c>
      <c r="G13" s="13"/>
      <c r="H13" s="13"/>
      <c r="I13" s="13"/>
      <c r="J13" s="13"/>
      <c r="K13" s="13"/>
      <c r="L13" s="13"/>
    </row>
    <row r="14" spans="1:12" ht="12.75" customHeight="1" x14ac:dyDescent="0.3">
      <c r="A14" s="151" t="s">
        <v>702</v>
      </c>
      <c r="B14" s="126">
        <f>MAX(SIM_Modele!$AK$714:$AK$784)</f>
        <v>0.14999999999999991</v>
      </c>
      <c r="C14" s="127">
        <v>0.15</v>
      </c>
      <c r="D14" s="127">
        <v>9.9999999999999995E-7</v>
      </c>
      <c r="E14" s="150" t="str">
        <f>IF(B14&lt;=C14+D14,"OK","ALERT")</f>
        <v>OK</v>
      </c>
      <c r="F14" s="62" t="s">
        <v>703</v>
      </c>
      <c r="G14" s="13"/>
      <c r="H14" s="13"/>
      <c r="I14" s="13"/>
      <c r="J14" s="13"/>
      <c r="K14" s="13"/>
      <c r="L14" s="13"/>
    </row>
    <row r="15" spans="1:12" ht="12.75" customHeight="1" x14ac:dyDescent="0.3">
      <c r="A15" s="149" t="s">
        <v>704</v>
      </c>
      <c r="B15" s="130">
        <f>MIN(SIM_Modele!$AK$785:$AK$855)</f>
        <v>-3.7143700710117522E-2</v>
      </c>
      <c r="C15" s="145">
        <v>-0.05</v>
      </c>
      <c r="D15" s="145">
        <v>9.9999999999999995E-7</v>
      </c>
      <c r="E15" s="150" t="str">
        <f>IF(B15&gt;=C15-D15,"OK","ALERT")</f>
        <v>OK</v>
      </c>
      <c r="F15" s="55" t="s">
        <v>701</v>
      </c>
      <c r="G15" s="13"/>
      <c r="H15" s="13"/>
      <c r="I15" s="13"/>
      <c r="J15" s="13"/>
      <c r="K15" s="13"/>
      <c r="L15" s="13"/>
    </row>
    <row r="16" spans="1:12" ht="12.75" customHeight="1" x14ac:dyDescent="0.3">
      <c r="A16" s="151" t="s">
        <v>705</v>
      </c>
      <c r="B16" s="126">
        <f>MAX(SIM_Modele!$AK$785:$AK$855)</f>
        <v>0.14999999999999991</v>
      </c>
      <c r="C16" s="127">
        <v>0.15</v>
      </c>
      <c r="D16" s="127">
        <v>9.9999999999999995E-7</v>
      </c>
      <c r="E16" s="150" t="str">
        <f>IF(B16&lt;=C16+D16,"OK","ALERT")</f>
        <v>OK</v>
      </c>
      <c r="F16" s="62" t="s">
        <v>703</v>
      </c>
      <c r="G16" s="13"/>
      <c r="H16" s="13"/>
      <c r="I16" s="13"/>
      <c r="J16" s="13"/>
      <c r="K16" s="13"/>
      <c r="L16" s="13"/>
    </row>
  </sheetData>
  <mergeCells count="2">
    <mergeCell ref="A1:D1"/>
    <mergeCell ref="E1:L1"/>
  </mergeCells>
  <hyperlinks>
    <hyperlink ref="A1" location="'SIM_Accueil'!A1" display="⌂  BACK TO HOME" xr:uid="{00000000-0004-0000-0C00-000000000000}"/>
  </hyperlinks>
  <pageMargins left="0.7" right="0.7" top="0.75" bottom="0.75"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595959"/>
  </sheetPr>
  <dimension ref="A1:L35"/>
  <sheetViews>
    <sheetView showGridLines="0" zoomScaleNormal="100" workbookViewId="0"/>
  </sheetViews>
  <sheetFormatPr baseColWidth="10" defaultColWidth="8.6328125" defaultRowHeight="12.5" x14ac:dyDescent="0.25"/>
  <cols>
    <col min="1" max="1" width="24" customWidth="1"/>
    <col min="2" max="2" width="42" customWidth="1"/>
    <col min="3" max="3" width="22" customWidth="1"/>
    <col min="4" max="4" width="42" customWidth="1"/>
    <col min="5" max="5" width="29" customWidth="1"/>
    <col min="9" max="12" width="13" customWidth="1"/>
  </cols>
  <sheetData>
    <row r="1" spans="1:12" ht="27.75" customHeight="1" x14ac:dyDescent="0.25">
      <c r="A1" s="205" t="s">
        <v>32</v>
      </c>
      <c r="B1" s="205"/>
      <c r="C1" s="205"/>
      <c r="D1" s="205"/>
      <c r="E1" s="206" t="s">
        <v>706</v>
      </c>
      <c r="F1" s="206"/>
      <c r="G1" s="206"/>
      <c r="H1" s="206"/>
      <c r="I1" s="206"/>
      <c r="J1" s="206"/>
      <c r="K1" s="206"/>
      <c r="L1" s="206"/>
    </row>
    <row r="2" spans="1:12" ht="30" customHeight="1" x14ac:dyDescent="0.3">
      <c r="A2" s="16"/>
      <c r="B2" s="16"/>
      <c r="C2" s="16"/>
      <c r="D2" s="16"/>
      <c r="E2" s="16"/>
      <c r="F2" s="13"/>
      <c r="G2" s="13"/>
      <c r="H2" s="13"/>
      <c r="I2" s="13"/>
      <c r="J2" s="13"/>
      <c r="K2" s="13"/>
      <c r="L2" s="13"/>
    </row>
    <row r="3" spans="1:12" ht="33.75" customHeight="1" x14ac:dyDescent="0.25">
      <c r="A3" s="75" t="s">
        <v>707</v>
      </c>
      <c r="B3" s="75" t="s">
        <v>708</v>
      </c>
      <c r="C3" s="75" t="s">
        <v>77</v>
      </c>
      <c r="D3" s="75" t="s">
        <v>709</v>
      </c>
      <c r="E3" s="75"/>
      <c r="F3" s="76"/>
      <c r="G3" s="76"/>
      <c r="H3" s="76"/>
      <c r="I3" s="76"/>
      <c r="J3" s="76"/>
      <c r="K3" s="76"/>
      <c r="L3" s="76"/>
    </row>
    <row r="4" spans="1:12" ht="78" customHeight="1" x14ac:dyDescent="0.3">
      <c r="A4" s="152" t="s">
        <v>52</v>
      </c>
      <c r="B4" s="84" t="s">
        <v>710</v>
      </c>
      <c r="C4" s="84" t="s">
        <v>113</v>
      </c>
      <c r="D4" s="84" t="s">
        <v>711</v>
      </c>
      <c r="E4" s="16"/>
      <c r="F4" s="13"/>
      <c r="G4" s="13"/>
      <c r="H4" s="13"/>
      <c r="I4" s="13"/>
      <c r="J4" s="13"/>
      <c r="K4" s="13"/>
      <c r="L4" s="13"/>
    </row>
    <row r="5" spans="1:12" ht="117" customHeight="1" x14ac:dyDescent="0.3">
      <c r="A5" s="153" t="s">
        <v>53</v>
      </c>
      <c r="B5" s="83" t="s">
        <v>489</v>
      </c>
      <c r="C5" s="83" t="s">
        <v>278</v>
      </c>
      <c r="D5" s="83" t="s">
        <v>712</v>
      </c>
      <c r="E5" s="23"/>
      <c r="F5" s="13"/>
      <c r="G5" s="13"/>
      <c r="H5" s="13"/>
      <c r="I5" s="13"/>
      <c r="J5" s="13"/>
      <c r="K5" s="13"/>
      <c r="L5" s="13"/>
    </row>
    <row r="6" spans="1:12" ht="103.5" customHeight="1" x14ac:dyDescent="0.3">
      <c r="A6" s="152" t="s">
        <v>284</v>
      </c>
      <c r="B6" s="84" t="s">
        <v>713</v>
      </c>
      <c r="C6" s="84" t="s">
        <v>218</v>
      </c>
      <c r="D6" s="84" t="s">
        <v>714</v>
      </c>
      <c r="E6" s="16"/>
      <c r="F6" s="13"/>
      <c r="G6" s="13"/>
      <c r="H6" s="13"/>
      <c r="I6" s="13"/>
      <c r="J6" s="13"/>
      <c r="K6" s="13"/>
      <c r="L6" s="13"/>
    </row>
    <row r="7" spans="1:12" ht="103.5" customHeight="1" x14ac:dyDescent="0.3">
      <c r="A7" s="153" t="s">
        <v>55</v>
      </c>
      <c r="B7" s="83" t="s">
        <v>55</v>
      </c>
      <c r="C7" s="83" t="s">
        <v>294</v>
      </c>
      <c r="D7" s="83" t="s">
        <v>715</v>
      </c>
      <c r="E7" s="23"/>
      <c r="F7" s="13"/>
      <c r="G7" s="13"/>
      <c r="H7" s="13"/>
      <c r="I7" s="13"/>
      <c r="J7" s="13"/>
      <c r="K7" s="13"/>
      <c r="L7" s="13"/>
    </row>
    <row r="8" spans="1:12" ht="78" customHeight="1" x14ac:dyDescent="0.3">
      <c r="A8" s="152" t="s">
        <v>56</v>
      </c>
      <c r="B8" s="84" t="s">
        <v>716</v>
      </c>
      <c r="C8" s="84" t="s">
        <v>218</v>
      </c>
      <c r="D8" s="84" t="s">
        <v>717</v>
      </c>
      <c r="E8" s="16"/>
      <c r="F8" s="13"/>
      <c r="G8" s="13"/>
      <c r="H8" s="13"/>
      <c r="I8" s="13"/>
      <c r="J8" s="13"/>
      <c r="K8" s="13"/>
      <c r="L8" s="13"/>
    </row>
    <row r="9" spans="1:12" ht="142.5" customHeight="1" x14ac:dyDescent="0.3">
      <c r="A9" s="153" t="s">
        <v>331</v>
      </c>
      <c r="B9" s="83" t="s">
        <v>718</v>
      </c>
      <c r="C9" s="83" t="s">
        <v>218</v>
      </c>
      <c r="D9" s="83" t="s">
        <v>719</v>
      </c>
      <c r="E9" s="23"/>
      <c r="F9" s="13"/>
      <c r="G9" s="13"/>
      <c r="H9" s="13"/>
      <c r="I9" s="13"/>
      <c r="J9" s="13"/>
      <c r="K9" s="13"/>
      <c r="L9" s="13"/>
    </row>
    <row r="10" spans="1:12" ht="64.5" customHeight="1" x14ac:dyDescent="0.3">
      <c r="A10" s="152" t="s">
        <v>83</v>
      </c>
      <c r="B10" s="84" t="s">
        <v>720</v>
      </c>
      <c r="C10" s="84" t="s">
        <v>86</v>
      </c>
      <c r="D10" s="84" t="s">
        <v>721</v>
      </c>
      <c r="E10" s="16"/>
      <c r="F10" s="13"/>
      <c r="G10" s="13"/>
      <c r="H10" s="13"/>
      <c r="I10" s="13"/>
      <c r="J10" s="13"/>
      <c r="K10" s="13"/>
      <c r="L10" s="13"/>
    </row>
    <row r="11" spans="1:12" ht="78" customHeight="1" x14ac:dyDescent="0.3">
      <c r="A11" s="153" t="s">
        <v>92</v>
      </c>
      <c r="B11" s="83" t="s">
        <v>722</v>
      </c>
      <c r="C11" s="83" t="s">
        <v>95</v>
      </c>
      <c r="D11" s="83" t="s">
        <v>723</v>
      </c>
      <c r="E11" s="23"/>
      <c r="F11" s="13"/>
      <c r="G11" s="13"/>
      <c r="H11" s="13"/>
      <c r="I11" s="13"/>
      <c r="J11" s="13"/>
      <c r="K11" s="13"/>
      <c r="L11" s="13"/>
    </row>
    <row r="12" spans="1:12" ht="78" customHeight="1" x14ac:dyDescent="0.3">
      <c r="A12" s="152" t="s">
        <v>101</v>
      </c>
      <c r="B12" s="84" t="s">
        <v>724</v>
      </c>
      <c r="C12" s="84" t="s">
        <v>104</v>
      </c>
      <c r="D12" s="84" t="s">
        <v>725</v>
      </c>
      <c r="E12" s="16"/>
      <c r="F12" s="13"/>
      <c r="G12" s="13"/>
      <c r="H12" s="13"/>
      <c r="I12" s="13"/>
      <c r="J12" s="13"/>
      <c r="K12" s="13"/>
      <c r="L12" s="13"/>
    </row>
    <row r="13" spans="1:12" ht="51.75" customHeight="1" x14ac:dyDescent="0.3">
      <c r="A13" s="153" t="s">
        <v>110</v>
      </c>
      <c r="B13" s="83" t="s">
        <v>726</v>
      </c>
      <c r="C13" s="83" t="s">
        <v>113</v>
      </c>
      <c r="D13" s="83" t="s">
        <v>727</v>
      </c>
      <c r="E13" s="23"/>
      <c r="F13" s="13"/>
      <c r="G13" s="13"/>
      <c r="H13" s="13"/>
      <c r="I13" s="13"/>
      <c r="J13" s="13"/>
      <c r="K13" s="13"/>
      <c r="L13" s="13"/>
    </row>
    <row r="14" spans="1:12" ht="64.5" customHeight="1" x14ac:dyDescent="0.3">
      <c r="A14" s="152" t="s">
        <v>119</v>
      </c>
      <c r="B14" s="84" t="s">
        <v>728</v>
      </c>
      <c r="C14" s="84" t="s">
        <v>122</v>
      </c>
      <c r="D14" s="84" t="s">
        <v>729</v>
      </c>
      <c r="E14" s="16"/>
      <c r="F14" s="13"/>
      <c r="G14" s="13"/>
      <c r="H14" s="13"/>
      <c r="I14" s="13"/>
      <c r="J14" s="13"/>
      <c r="K14" s="13"/>
      <c r="L14" s="13"/>
    </row>
    <row r="15" spans="1:12" ht="78" customHeight="1" x14ac:dyDescent="0.3">
      <c r="A15" s="153" t="s">
        <v>128</v>
      </c>
      <c r="B15" s="83" t="s">
        <v>730</v>
      </c>
      <c r="C15" s="83" t="s">
        <v>122</v>
      </c>
      <c r="D15" s="83" t="s">
        <v>731</v>
      </c>
      <c r="E15" s="23"/>
      <c r="F15" s="13"/>
      <c r="G15" s="13"/>
      <c r="H15" s="13"/>
      <c r="I15" s="13"/>
      <c r="J15" s="13"/>
      <c r="K15" s="13"/>
      <c r="L15" s="13"/>
    </row>
    <row r="16" spans="1:12" ht="64.5" customHeight="1" x14ac:dyDescent="0.3">
      <c r="A16" s="152" t="s">
        <v>134</v>
      </c>
      <c r="B16" s="84" t="s">
        <v>732</v>
      </c>
      <c r="C16" s="84" t="s">
        <v>122</v>
      </c>
      <c r="D16" s="84" t="s">
        <v>137</v>
      </c>
      <c r="E16" s="16"/>
      <c r="F16" s="13"/>
      <c r="G16" s="13"/>
      <c r="H16" s="13"/>
      <c r="I16" s="13"/>
      <c r="J16" s="13"/>
      <c r="K16" s="13"/>
      <c r="L16" s="13"/>
    </row>
    <row r="17" spans="1:12" ht="51.75" customHeight="1" x14ac:dyDescent="0.3">
      <c r="A17" s="153" t="s">
        <v>140</v>
      </c>
      <c r="B17" s="83" t="s">
        <v>733</v>
      </c>
      <c r="C17" s="83" t="s">
        <v>143</v>
      </c>
      <c r="D17" s="83" t="s">
        <v>144</v>
      </c>
      <c r="E17" s="23"/>
      <c r="F17" s="13"/>
      <c r="G17" s="13"/>
      <c r="H17" s="13"/>
      <c r="I17" s="13"/>
      <c r="J17" s="13"/>
      <c r="K17" s="13"/>
      <c r="L17" s="13"/>
    </row>
    <row r="18" spans="1:12" ht="78" customHeight="1" x14ac:dyDescent="0.3">
      <c r="A18" s="152" t="s">
        <v>148</v>
      </c>
      <c r="B18" s="84" t="s">
        <v>734</v>
      </c>
      <c r="C18" s="84" t="s">
        <v>143</v>
      </c>
      <c r="D18" s="84" t="s">
        <v>151</v>
      </c>
      <c r="E18" s="16"/>
      <c r="F18" s="13"/>
      <c r="G18" s="13"/>
      <c r="H18" s="13"/>
      <c r="I18" s="13"/>
      <c r="J18" s="13"/>
      <c r="K18" s="13"/>
      <c r="L18" s="13"/>
    </row>
    <row r="19" spans="1:12" ht="78" customHeight="1" x14ac:dyDescent="0.3">
      <c r="A19" s="153" t="s">
        <v>155</v>
      </c>
      <c r="B19" s="83" t="s">
        <v>735</v>
      </c>
      <c r="C19" s="83" t="s">
        <v>143</v>
      </c>
      <c r="D19" s="83" t="s">
        <v>158</v>
      </c>
      <c r="E19" s="23"/>
      <c r="F19" s="13"/>
      <c r="G19" s="13"/>
      <c r="H19" s="13"/>
      <c r="I19" s="13"/>
      <c r="J19" s="13"/>
      <c r="K19" s="13"/>
      <c r="L19" s="13"/>
    </row>
    <row r="20" spans="1:12" ht="64.5" customHeight="1" x14ac:dyDescent="0.3">
      <c r="A20" s="152" t="s">
        <v>162</v>
      </c>
      <c r="B20" s="84" t="s">
        <v>736</v>
      </c>
      <c r="C20" s="84" t="s">
        <v>143</v>
      </c>
      <c r="D20" s="84" t="s">
        <v>737</v>
      </c>
      <c r="E20" s="16"/>
      <c r="F20" s="13"/>
      <c r="G20" s="13"/>
      <c r="H20" s="13"/>
      <c r="I20" s="13"/>
      <c r="J20" s="13"/>
      <c r="K20" s="13"/>
      <c r="L20" s="13"/>
    </row>
    <row r="21" spans="1:12" ht="64.5" customHeight="1" x14ac:dyDescent="0.3">
      <c r="A21" s="153" t="s">
        <v>168</v>
      </c>
      <c r="B21" s="83" t="s">
        <v>738</v>
      </c>
      <c r="C21" s="83" t="s">
        <v>122</v>
      </c>
      <c r="D21" s="83" t="s">
        <v>739</v>
      </c>
      <c r="E21" s="23"/>
      <c r="F21" s="13"/>
      <c r="G21" s="13"/>
      <c r="H21" s="13"/>
      <c r="I21" s="13"/>
      <c r="J21" s="13"/>
      <c r="K21" s="13"/>
      <c r="L21" s="13"/>
    </row>
    <row r="22" spans="1:12" ht="51.75" customHeight="1" x14ac:dyDescent="0.3">
      <c r="A22" s="152" t="s">
        <v>174</v>
      </c>
      <c r="B22" s="84" t="s">
        <v>740</v>
      </c>
      <c r="C22" s="84" t="s">
        <v>122</v>
      </c>
      <c r="D22" s="84" t="s">
        <v>741</v>
      </c>
      <c r="E22" s="16"/>
      <c r="F22" s="13"/>
      <c r="G22" s="13"/>
      <c r="H22" s="13"/>
      <c r="I22" s="13"/>
      <c r="J22" s="13"/>
      <c r="K22" s="13"/>
      <c r="L22" s="13"/>
    </row>
    <row r="23" spans="1:12" ht="78" customHeight="1" x14ac:dyDescent="0.3">
      <c r="A23" s="153" t="s">
        <v>179</v>
      </c>
      <c r="B23" s="83" t="s">
        <v>742</v>
      </c>
      <c r="C23" s="83" t="s">
        <v>122</v>
      </c>
      <c r="D23" s="83" t="s">
        <v>743</v>
      </c>
      <c r="E23" s="23"/>
      <c r="F23" s="13"/>
      <c r="G23" s="13"/>
      <c r="H23" s="13"/>
      <c r="I23" s="13"/>
      <c r="J23" s="13"/>
      <c r="K23" s="13"/>
      <c r="L23" s="13"/>
    </row>
    <row r="24" spans="1:12" ht="51.75" customHeight="1" x14ac:dyDescent="0.3">
      <c r="A24" s="152" t="s">
        <v>185</v>
      </c>
      <c r="B24" s="84" t="s">
        <v>744</v>
      </c>
      <c r="C24" s="84" t="s">
        <v>122</v>
      </c>
      <c r="D24" s="84" t="s">
        <v>745</v>
      </c>
      <c r="E24" s="16"/>
      <c r="F24" s="13"/>
      <c r="G24" s="13"/>
      <c r="H24" s="13"/>
      <c r="I24" s="13"/>
      <c r="J24" s="13"/>
      <c r="K24" s="13"/>
      <c r="L24" s="13"/>
    </row>
    <row r="25" spans="1:12" ht="117" customHeight="1" x14ac:dyDescent="0.3">
      <c r="A25" s="153" t="s">
        <v>190</v>
      </c>
      <c r="B25" s="83" t="s">
        <v>746</v>
      </c>
      <c r="C25" s="83" t="s">
        <v>122</v>
      </c>
      <c r="D25" s="83" t="s">
        <v>747</v>
      </c>
      <c r="E25" s="23"/>
      <c r="F25" s="13"/>
      <c r="G25" s="13"/>
      <c r="H25" s="13"/>
      <c r="I25" s="13"/>
      <c r="J25" s="13"/>
      <c r="K25" s="13"/>
      <c r="L25" s="13"/>
    </row>
    <row r="26" spans="1:12" ht="64.5" customHeight="1" x14ac:dyDescent="0.3">
      <c r="A26" s="152" t="s">
        <v>196</v>
      </c>
      <c r="B26" s="84" t="s">
        <v>748</v>
      </c>
      <c r="C26" s="84" t="s">
        <v>122</v>
      </c>
      <c r="D26" s="84" t="s">
        <v>749</v>
      </c>
      <c r="E26" s="16"/>
      <c r="F26" s="13"/>
      <c r="G26" s="13"/>
      <c r="H26" s="13"/>
      <c r="I26" s="13"/>
      <c r="J26" s="13"/>
      <c r="K26" s="13"/>
      <c r="L26" s="13"/>
    </row>
    <row r="27" spans="1:12" ht="64.5" customHeight="1" x14ac:dyDescent="0.3">
      <c r="A27" s="153" t="s">
        <v>202</v>
      </c>
      <c r="B27" s="83" t="s">
        <v>750</v>
      </c>
      <c r="C27" s="83" t="s">
        <v>113</v>
      </c>
      <c r="D27" s="83" t="s">
        <v>751</v>
      </c>
      <c r="E27" s="23"/>
      <c r="F27" s="13"/>
      <c r="G27" s="13"/>
      <c r="H27" s="13"/>
      <c r="I27" s="13"/>
      <c r="J27" s="13"/>
      <c r="K27" s="13"/>
      <c r="L27" s="13"/>
    </row>
    <row r="28" spans="1:12" ht="64.5" customHeight="1" x14ac:dyDescent="0.3">
      <c r="A28" s="152" t="s">
        <v>208</v>
      </c>
      <c r="B28" s="84" t="s">
        <v>752</v>
      </c>
      <c r="C28" s="84" t="s">
        <v>113</v>
      </c>
      <c r="D28" s="84" t="s">
        <v>753</v>
      </c>
      <c r="E28" s="16"/>
      <c r="F28" s="13"/>
      <c r="G28" s="13"/>
      <c r="H28" s="13"/>
      <c r="I28" s="13"/>
      <c r="J28" s="13"/>
      <c r="K28" s="13"/>
      <c r="L28" s="13"/>
    </row>
    <row r="29" spans="1:12" ht="78" customHeight="1" x14ac:dyDescent="0.3">
      <c r="A29" s="153" t="s">
        <v>215</v>
      </c>
      <c r="B29" s="83" t="s">
        <v>754</v>
      </c>
      <c r="C29" s="83" t="s">
        <v>218</v>
      </c>
      <c r="D29" s="83" t="s">
        <v>755</v>
      </c>
      <c r="E29" s="23"/>
      <c r="F29" s="13"/>
      <c r="G29" s="13"/>
      <c r="H29" s="13"/>
      <c r="I29" s="13"/>
      <c r="J29" s="13"/>
      <c r="K29" s="13"/>
      <c r="L29" s="13"/>
    </row>
    <row r="30" spans="1:12" ht="64.5" customHeight="1" x14ac:dyDescent="0.3">
      <c r="A30" s="152" t="s">
        <v>223</v>
      </c>
      <c r="B30" s="84" t="s">
        <v>756</v>
      </c>
      <c r="C30" s="84" t="s">
        <v>113</v>
      </c>
      <c r="D30" s="84" t="s">
        <v>757</v>
      </c>
      <c r="E30" s="16"/>
      <c r="F30" s="13"/>
      <c r="G30" s="13"/>
      <c r="H30" s="13"/>
      <c r="I30" s="13"/>
      <c r="J30" s="13"/>
      <c r="K30" s="13"/>
      <c r="L30" s="13"/>
    </row>
    <row r="31" spans="1:12" ht="78" customHeight="1" x14ac:dyDescent="0.3">
      <c r="A31" s="153" t="s">
        <v>231</v>
      </c>
      <c r="B31" s="83" t="s">
        <v>758</v>
      </c>
      <c r="C31" s="83" t="s">
        <v>234</v>
      </c>
      <c r="D31" s="83" t="s">
        <v>759</v>
      </c>
      <c r="E31" s="23"/>
      <c r="F31" s="13"/>
      <c r="G31" s="13"/>
      <c r="H31" s="13"/>
      <c r="I31" s="13"/>
      <c r="J31" s="13"/>
      <c r="K31" s="13"/>
      <c r="L31" s="13"/>
    </row>
    <row r="32" spans="1:12" ht="117" customHeight="1" x14ac:dyDescent="0.3">
      <c r="A32" s="152" t="s">
        <v>238</v>
      </c>
      <c r="B32" s="84" t="s">
        <v>760</v>
      </c>
      <c r="C32" s="84" t="s">
        <v>113</v>
      </c>
      <c r="D32" s="84" t="s">
        <v>761</v>
      </c>
      <c r="E32" s="16"/>
      <c r="F32" s="13"/>
      <c r="G32" s="13"/>
      <c r="H32" s="13"/>
      <c r="I32" s="13"/>
      <c r="J32" s="13"/>
      <c r="K32" s="13"/>
      <c r="L32" s="13"/>
    </row>
    <row r="33" spans="1:12" ht="39" customHeight="1" x14ac:dyDescent="0.3">
      <c r="A33" s="153" t="s">
        <v>245</v>
      </c>
      <c r="B33" s="83" t="s">
        <v>762</v>
      </c>
      <c r="C33" s="83" t="s">
        <v>248</v>
      </c>
      <c r="D33" s="83" t="s">
        <v>763</v>
      </c>
      <c r="E33" s="23"/>
      <c r="F33" s="13"/>
      <c r="G33" s="13"/>
      <c r="H33" s="13"/>
      <c r="I33" s="13"/>
      <c r="J33" s="13"/>
      <c r="K33" s="13"/>
      <c r="L33" s="13"/>
    </row>
    <row r="34" spans="1:12" ht="51.75" customHeight="1" x14ac:dyDescent="0.3">
      <c r="A34" s="152" t="s">
        <v>252</v>
      </c>
      <c r="B34" s="84" t="s">
        <v>764</v>
      </c>
      <c r="C34" s="84" t="s">
        <v>113</v>
      </c>
      <c r="D34" s="84" t="s">
        <v>765</v>
      </c>
      <c r="E34" s="16"/>
      <c r="F34" s="13"/>
      <c r="G34" s="13"/>
      <c r="H34" s="13"/>
      <c r="I34" s="13"/>
      <c r="J34" s="13"/>
      <c r="K34" s="13"/>
      <c r="L34" s="13"/>
    </row>
    <row r="35" spans="1:12" ht="64.5" customHeight="1" x14ac:dyDescent="0.3">
      <c r="A35" s="153" t="s">
        <v>322</v>
      </c>
      <c r="B35" s="83" t="s">
        <v>766</v>
      </c>
      <c r="C35" s="83" t="s">
        <v>325</v>
      </c>
      <c r="D35" s="83" t="s">
        <v>767</v>
      </c>
      <c r="E35" s="23"/>
      <c r="F35" s="13"/>
      <c r="G35" s="13"/>
      <c r="H35" s="13"/>
      <c r="I35" s="13"/>
      <c r="J35" s="13"/>
      <c r="K35" s="13"/>
      <c r="L35" s="13"/>
    </row>
  </sheetData>
  <mergeCells count="2">
    <mergeCell ref="A1:D1"/>
    <mergeCell ref="E1:L1"/>
  </mergeCells>
  <hyperlinks>
    <hyperlink ref="A1" location="'SIM_Accueil'!A1" display="⌂  BACK TO HOME" xr:uid="{00000000-0004-0000-0D00-000000000000}"/>
  </hyperlinks>
  <pageMargins left="0.7" right="0.7" top="0.75" bottom="0.75"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595959"/>
  </sheetPr>
  <dimension ref="A1:L13"/>
  <sheetViews>
    <sheetView showGridLines="0" zoomScaleNormal="100" workbookViewId="0"/>
  </sheetViews>
  <sheetFormatPr baseColWidth="10" defaultColWidth="8.6328125" defaultRowHeight="12.5" x14ac:dyDescent="0.25"/>
  <cols>
    <col min="1" max="1" width="42" customWidth="1"/>
    <col min="2" max="2" width="13" customWidth="1"/>
    <col min="3" max="3" width="38" customWidth="1"/>
    <col min="4" max="6" width="42" customWidth="1"/>
    <col min="9" max="12" width="13" customWidth="1"/>
  </cols>
  <sheetData>
    <row r="1" spans="1:12" ht="27.75" customHeight="1" x14ac:dyDescent="0.25">
      <c r="A1" s="205" t="s">
        <v>32</v>
      </c>
      <c r="B1" s="205"/>
      <c r="C1" s="205"/>
      <c r="D1" s="205"/>
      <c r="E1" s="206" t="s">
        <v>768</v>
      </c>
      <c r="F1" s="206"/>
      <c r="G1" s="206"/>
      <c r="H1" s="206"/>
      <c r="I1" s="206"/>
      <c r="J1" s="206"/>
      <c r="K1" s="206"/>
      <c r="L1" s="206"/>
    </row>
    <row r="2" spans="1:12" ht="12.75" customHeight="1" x14ac:dyDescent="0.3">
      <c r="A2" s="16"/>
      <c r="B2" s="16"/>
      <c r="C2" s="16"/>
      <c r="D2" s="16"/>
      <c r="E2" s="16"/>
      <c r="F2" s="16"/>
      <c r="G2" s="13"/>
      <c r="H2" s="13"/>
      <c r="I2" s="13"/>
      <c r="J2" s="13"/>
      <c r="K2" s="13"/>
      <c r="L2" s="13"/>
    </row>
    <row r="3" spans="1:12" ht="33.75" customHeight="1" x14ac:dyDescent="0.25">
      <c r="A3" s="75" t="s">
        <v>486</v>
      </c>
      <c r="B3" s="75" t="s">
        <v>769</v>
      </c>
      <c r="C3" s="75" t="s">
        <v>556</v>
      </c>
      <c r="D3" s="75" t="s">
        <v>770</v>
      </c>
      <c r="E3" s="75" t="s">
        <v>771</v>
      </c>
      <c r="F3" s="75" t="s">
        <v>772</v>
      </c>
      <c r="G3" s="76"/>
      <c r="H3" s="76"/>
      <c r="I3" s="76"/>
      <c r="J3" s="76"/>
      <c r="K3" s="76"/>
      <c r="L3" s="76"/>
    </row>
    <row r="4" spans="1:12" ht="39" customHeight="1" x14ac:dyDescent="0.3">
      <c r="A4" s="84" t="s">
        <v>773</v>
      </c>
      <c r="B4" s="84" t="s">
        <v>362</v>
      </c>
      <c r="C4" s="84" t="s">
        <v>774</v>
      </c>
      <c r="D4" s="84" t="s">
        <v>775</v>
      </c>
      <c r="E4" s="84" t="s">
        <v>776</v>
      </c>
      <c r="F4" s="84" t="s">
        <v>777</v>
      </c>
      <c r="G4" s="13"/>
      <c r="H4" s="13"/>
      <c r="I4" s="13"/>
      <c r="J4" s="13"/>
      <c r="K4" s="13"/>
      <c r="L4" s="13"/>
    </row>
    <row r="5" spans="1:12" ht="51.75" customHeight="1" x14ac:dyDescent="0.3">
      <c r="A5" s="83" t="s">
        <v>778</v>
      </c>
      <c r="B5" s="83" t="s">
        <v>366</v>
      </c>
      <c r="C5" s="83" t="s">
        <v>779</v>
      </c>
      <c r="D5" s="83" t="s">
        <v>780</v>
      </c>
      <c r="E5" s="83" t="s">
        <v>781</v>
      </c>
      <c r="F5" s="83" t="s">
        <v>782</v>
      </c>
      <c r="G5" s="13"/>
      <c r="H5" s="13"/>
      <c r="I5" s="13"/>
      <c r="J5" s="13"/>
      <c r="K5" s="13"/>
      <c r="L5" s="13"/>
    </row>
    <row r="6" spans="1:12" ht="39" customHeight="1" x14ac:dyDescent="0.3">
      <c r="A6" s="84" t="s">
        <v>783</v>
      </c>
      <c r="B6" s="84" t="s">
        <v>784</v>
      </c>
      <c r="C6" s="84" t="s">
        <v>785</v>
      </c>
      <c r="D6" s="84" t="s">
        <v>786</v>
      </c>
      <c r="E6" s="84" t="s">
        <v>787</v>
      </c>
      <c r="F6" s="84" t="s">
        <v>788</v>
      </c>
      <c r="G6" s="13"/>
      <c r="H6" s="13"/>
      <c r="I6" s="13"/>
      <c r="J6" s="13"/>
      <c r="K6" s="13"/>
      <c r="L6" s="13"/>
    </row>
    <row r="7" spans="1:12" ht="39" customHeight="1" x14ac:dyDescent="0.3">
      <c r="A7" s="83" t="s">
        <v>789</v>
      </c>
      <c r="B7" s="83" t="s">
        <v>366</v>
      </c>
      <c r="C7" s="83" t="s">
        <v>790</v>
      </c>
      <c r="D7" s="83" t="s">
        <v>791</v>
      </c>
      <c r="E7" s="83" t="s">
        <v>792</v>
      </c>
      <c r="F7" s="83" t="s">
        <v>793</v>
      </c>
      <c r="G7" s="13"/>
      <c r="H7" s="13"/>
      <c r="I7" s="13"/>
      <c r="J7" s="13"/>
      <c r="K7" s="13"/>
      <c r="L7" s="13"/>
    </row>
    <row r="8" spans="1:12" ht="220.5" customHeight="1" x14ac:dyDescent="0.3">
      <c r="A8" s="84" t="s">
        <v>794</v>
      </c>
      <c r="B8" s="84" t="s">
        <v>361</v>
      </c>
      <c r="C8" s="84" t="s">
        <v>795</v>
      </c>
      <c r="D8" s="84" t="s">
        <v>530</v>
      </c>
      <c r="E8" s="84" t="s">
        <v>796</v>
      </c>
      <c r="F8" s="84" t="s">
        <v>797</v>
      </c>
      <c r="G8" s="13"/>
      <c r="H8" s="13"/>
      <c r="I8" s="13"/>
      <c r="J8" s="13"/>
      <c r="K8" s="13"/>
      <c r="L8" s="13"/>
    </row>
    <row r="9" spans="1:12" ht="25.5" customHeight="1" x14ac:dyDescent="0.3">
      <c r="A9" s="83" t="s">
        <v>798</v>
      </c>
      <c r="B9" s="83" t="s">
        <v>349</v>
      </c>
      <c r="C9" s="83" t="s">
        <v>799</v>
      </c>
      <c r="D9" s="83" t="s">
        <v>125</v>
      </c>
      <c r="E9" s="83" t="s">
        <v>574</v>
      </c>
      <c r="F9" s="83" t="s">
        <v>800</v>
      </c>
      <c r="G9" s="13"/>
      <c r="H9" s="13"/>
      <c r="I9" s="13"/>
      <c r="J9" s="13"/>
      <c r="K9" s="13"/>
      <c r="L9" s="13"/>
    </row>
    <row r="10" spans="1:12" ht="51.75" customHeight="1" x14ac:dyDescent="0.3">
      <c r="A10" s="84" t="s">
        <v>801</v>
      </c>
      <c r="B10" s="84" t="s">
        <v>802</v>
      </c>
      <c r="C10" s="84" t="s">
        <v>803</v>
      </c>
      <c r="D10" s="84" t="s">
        <v>804</v>
      </c>
      <c r="E10" s="84" t="s">
        <v>805</v>
      </c>
      <c r="F10" s="84" t="s">
        <v>806</v>
      </c>
      <c r="G10" s="13"/>
      <c r="H10" s="13"/>
      <c r="I10" s="13"/>
      <c r="J10" s="13"/>
      <c r="K10" s="13"/>
      <c r="L10" s="13"/>
    </row>
    <row r="11" spans="1:12" ht="39" customHeight="1" x14ac:dyDescent="0.3">
      <c r="A11" s="83" t="s">
        <v>807</v>
      </c>
      <c r="B11" s="83" t="s">
        <v>808</v>
      </c>
      <c r="C11" s="83" t="s">
        <v>809</v>
      </c>
      <c r="D11" s="83" t="s">
        <v>810</v>
      </c>
      <c r="E11" s="83" t="s">
        <v>811</v>
      </c>
      <c r="F11" s="83" t="s">
        <v>812</v>
      </c>
      <c r="G11" s="13"/>
      <c r="H11" s="13"/>
      <c r="I11" s="13"/>
      <c r="J11" s="13"/>
      <c r="K11" s="13"/>
      <c r="L11" s="13"/>
    </row>
    <row r="12" spans="1:12" ht="12.75" customHeight="1" x14ac:dyDescent="0.3">
      <c r="A12" s="62" t="s">
        <v>813</v>
      </c>
      <c r="B12" s="62" t="s">
        <v>814</v>
      </c>
      <c r="C12" s="62" t="s">
        <v>815</v>
      </c>
      <c r="D12" s="62" t="s">
        <v>816</v>
      </c>
      <c r="E12" s="62" t="s">
        <v>817</v>
      </c>
      <c r="F12" s="62" t="s">
        <v>818</v>
      </c>
      <c r="G12" s="13"/>
      <c r="H12" s="13"/>
      <c r="I12" s="13"/>
      <c r="J12" s="13"/>
      <c r="K12" s="13"/>
      <c r="L12" s="13"/>
    </row>
    <row r="13" spans="1:12" ht="12" customHeight="1" x14ac:dyDescent="0.25">
      <c r="A13" t="s">
        <v>819</v>
      </c>
      <c r="B13" t="s">
        <v>820</v>
      </c>
      <c r="C13" t="s">
        <v>821</v>
      </c>
      <c r="D13" t="s">
        <v>822</v>
      </c>
      <c r="E13" t="s">
        <v>823</v>
      </c>
      <c r="F13" t="s">
        <v>824</v>
      </c>
    </row>
  </sheetData>
  <mergeCells count="2">
    <mergeCell ref="A1:D1"/>
    <mergeCell ref="E1:L1"/>
  </mergeCells>
  <hyperlinks>
    <hyperlink ref="A1" location="'SIM_Accueil'!A1" display="⌂  BACK TO HOME" xr:uid="{00000000-0004-0000-0E00-000000000000}"/>
  </hyperlinks>
  <pageMargins left="0.7" right="0.7" top="0.75" bottom="0.75"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7F7F7F"/>
  </sheetPr>
  <dimension ref="A1:L50"/>
  <sheetViews>
    <sheetView showGridLines="0" zoomScaleNormal="100" workbookViewId="0"/>
  </sheetViews>
  <sheetFormatPr baseColWidth="10" defaultColWidth="8.6328125" defaultRowHeight="12.5" x14ac:dyDescent="0.25"/>
  <cols>
    <col min="1" max="1" width="18" customWidth="1"/>
    <col min="2" max="2" width="23" style="12" customWidth="1"/>
    <col min="3" max="3" width="31" customWidth="1"/>
    <col min="4" max="4" width="36" style="12" customWidth="1"/>
    <col min="5" max="5" width="42" customWidth="1"/>
    <col min="6" max="6" width="21" customWidth="1"/>
    <col min="7" max="12" width="10" customWidth="1"/>
  </cols>
  <sheetData>
    <row r="1" spans="1:12" ht="27.75" customHeight="1" x14ac:dyDescent="0.25">
      <c r="A1" s="205" t="s">
        <v>32</v>
      </c>
      <c r="B1" s="205"/>
      <c r="C1" s="205"/>
      <c r="D1" s="205"/>
      <c r="E1" s="206" t="s">
        <v>825</v>
      </c>
      <c r="F1" s="206"/>
      <c r="G1" s="206"/>
      <c r="H1" s="206"/>
      <c r="I1" s="206"/>
      <c r="J1" s="206"/>
      <c r="K1" s="206"/>
      <c r="L1" s="206"/>
    </row>
    <row r="2" spans="1:12" ht="7.5" customHeight="1" x14ac:dyDescent="0.3">
      <c r="A2" s="16"/>
      <c r="B2" s="15"/>
      <c r="C2" s="15"/>
      <c r="D2" s="15"/>
      <c r="E2" s="16"/>
      <c r="F2" s="16"/>
      <c r="G2" s="16"/>
      <c r="H2" s="16"/>
      <c r="I2" s="16"/>
      <c r="J2" s="16"/>
      <c r="K2" s="13"/>
      <c r="L2" s="13"/>
    </row>
    <row r="3" spans="1:12" ht="26.25" customHeight="1" x14ac:dyDescent="0.25">
      <c r="A3" s="154" t="s">
        <v>357</v>
      </c>
      <c r="B3" s="155" t="s">
        <v>826</v>
      </c>
      <c r="C3" s="155" t="s">
        <v>827</v>
      </c>
      <c r="D3" s="155" t="s">
        <v>828</v>
      </c>
      <c r="E3" s="156" t="s">
        <v>556</v>
      </c>
      <c r="F3" s="157" t="s">
        <v>829</v>
      </c>
      <c r="G3" s="158"/>
      <c r="H3" s="158"/>
      <c r="I3" s="158"/>
      <c r="J3" s="158"/>
      <c r="K3" s="76"/>
      <c r="L3" s="76"/>
    </row>
    <row r="4" spans="1:12" ht="26.25" customHeight="1" x14ac:dyDescent="0.25">
      <c r="A4" s="154" t="s">
        <v>376</v>
      </c>
      <c r="B4" s="159">
        <v>40</v>
      </c>
      <c r="C4" s="159">
        <v>10.4</v>
      </c>
      <c r="D4" s="159">
        <v>98.9</v>
      </c>
      <c r="E4" s="156" t="s">
        <v>830</v>
      </c>
      <c r="F4" s="157" t="s">
        <v>357</v>
      </c>
      <c r="G4" s="158"/>
      <c r="H4" s="158"/>
      <c r="I4" s="158"/>
      <c r="J4" s="158"/>
      <c r="K4" s="76"/>
      <c r="L4" s="76"/>
    </row>
    <row r="5" spans="1:12" ht="26.25" customHeight="1" x14ac:dyDescent="0.25">
      <c r="A5" s="154" t="s">
        <v>461</v>
      </c>
      <c r="B5" s="159">
        <v>40</v>
      </c>
      <c r="C5" s="159">
        <v>10.3</v>
      </c>
      <c r="D5" s="159">
        <v>96.3</v>
      </c>
      <c r="E5" s="156" t="s">
        <v>830</v>
      </c>
      <c r="F5" s="157" t="s">
        <v>357</v>
      </c>
      <c r="G5" s="158"/>
      <c r="H5" s="158"/>
      <c r="I5" s="158"/>
      <c r="J5" s="158"/>
      <c r="K5" s="76"/>
      <c r="L5" s="76"/>
    </row>
    <row r="6" spans="1:12" ht="26.25" customHeight="1" x14ac:dyDescent="0.25">
      <c r="A6" s="154" t="s">
        <v>390</v>
      </c>
      <c r="B6" s="155" t="s">
        <v>831</v>
      </c>
      <c r="C6" s="155" t="s">
        <v>832</v>
      </c>
      <c r="D6" s="155" t="s">
        <v>833</v>
      </c>
      <c r="E6" s="156" t="s">
        <v>830</v>
      </c>
      <c r="F6" s="157" t="s">
        <v>357</v>
      </c>
      <c r="G6" s="160" t="s">
        <v>834</v>
      </c>
      <c r="H6" s="160" t="s">
        <v>835</v>
      </c>
      <c r="I6" s="160" t="s">
        <v>836</v>
      </c>
      <c r="J6" s="160" t="s">
        <v>837</v>
      </c>
      <c r="K6" s="76"/>
      <c r="L6" s="76"/>
    </row>
    <row r="7" spans="1:12" ht="26.25" customHeight="1" x14ac:dyDescent="0.25">
      <c r="A7" s="154" t="s">
        <v>435</v>
      </c>
      <c r="B7" s="159">
        <v>40</v>
      </c>
      <c r="C7" s="159">
        <v>22.9</v>
      </c>
      <c r="D7" s="159">
        <v>85.9</v>
      </c>
      <c r="E7" s="156" t="s">
        <v>830</v>
      </c>
      <c r="F7" s="157" t="s">
        <v>357</v>
      </c>
      <c r="G7" s="158"/>
      <c r="H7" s="158"/>
      <c r="I7" s="158"/>
      <c r="J7" s="158"/>
      <c r="K7" s="76"/>
      <c r="L7" s="76"/>
    </row>
    <row r="8" spans="1:12" ht="26.25" customHeight="1" x14ac:dyDescent="0.25">
      <c r="A8" s="154" t="s">
        <v>444</v>
      </c>
      <c r="B8" s="155" t="s">
        <v>831</v>
      </c>
      <c r="C8" s="155" t="s">
        <v>838</v>
      </c>
      <c r="D8" s="155" t="s">
        <v>839</v>
      </c>
      <c r="E8" s="156" t="s">
        <v>830</v>
      </c>
      <c r="F8" s="157" t="s">
        <v>357</v>
      </c>
      <c r="G8" s="160" t="s">
        <v>834</v>
      </c>
      <c r="H8" s="158"/>
      <c r="I8" s="158"/>
      <c r="J8" s="158"/>
      <c r="K8" s="76"/>
      <c r="L8" s="76"/>
    </row>
    <row r="9" spans="1:12" ht="26.25" customHeight="1" x14ac:dyDescent="0.25">
      <c r="A9" s="154" t="s">
        <v>407</v>
      </c>
      <c r="B9" s="159">
        <v>40</v>
      </c>
      <c r="C9" s="159">
        <v>14.6</v>
      </c>
      <c r="D9" s="159">
        <v>93.1</v>
      </c>
      <c r="E9" s="156" t="s">
        <v>830</v>
      </c>
      <c r="F9" s="157" t="s">
        <v>357</v>
      </c>
      <c r="G9" s="158"/>
      <c r="H9" s="158"/>
      <c r="I9" s="158"/>
      <c r="J9" s="158"/>
      <c r="K9" s="76"/>
      <c r="L9" s="76"/>
    </row>
    <row r="10" spans="1:12" ht="26.25" customHeight="1" x14ac:dyDescent="0.25">
      <c r="A10" s="154" t="s">
        <v>452</v>
      </c>
      <c r="B10" s="159">
        <v>40</v>
      </c>
      <c r="C10" s="159">
        <v>15.9</v>
      </c>
      <c r="D10" s="159">
        <v>97.3</v>
      </c>
      <c r="E10" s="156" t="s">
        <v>830</v>
      </c>
      <c r="F10" s="157" t="s">
        <v>357</v>
      </c>
      <c r="G10" s="158"/>
      <c r="H10" s="158"/>
      <c r="I10" s="158"/>
      <c r="J10" s="158"/>
      <c r="K10" s="76"/>
      <c r="L10" s="76"/>
    </row>
    <row r="11" spans="1:12" ht="26.25" customHeight="1" x14ac:dyDescent="0.25">
      <c r="A11" s="154" t="s">
        <v>421</v>
      </c>
      <c r="B11" s="159">
        <v>40</v>
      </c>
      <c r="C11" s="159">
        <v>18</v>
      </c>
      <c r="D11" s="159">
        <v>93.8</v>
      </c>
      <c r="E11" s="156" t="s">
        <v>830</v>
      </c>
      <c r="F11" s="157" t="s">
        <v>357</v>
      </c>
      <c r="G11" s="158"/>
      <c r="H11" s="158"/>
      <c r="I11" s="158"/>
      <c r="J11" s="158"/>
      <c r="K11" s="76"/>
      <c r="L11" s="76"/>
    </row>
    <row r="12" spans="1:12" ht="26.25" customHeight="1" x14ac:dyDescent="0.25">
      <c r="A12" s="154" t="s">
        <v>394</v>
      </c>
      <c r="B12" s="159">
        <v>40</v>
      </c>
      <c r="C12" s="159">
        <v>15.9</v>
      </c>
      <c r="D12" s="159">
        <v>91.5</v>
      </c>
      <c r="E12" s="156" t="s">
        <v>830</v>
      </c>
      <c r="F12" s="157" t="s">
        <v>357</v>
      </c>
      <c r="G12" s="158"/>
      <c r="H12" s="158"/>
      <c r="I12" s="158"/>
      <c r="J12" s="158"/>
      <c r="K12" s="76"/>
      <c r="L12" s="76"/>
    </row>
    <row r="13" spans="1:12" ht="26.25" customHeight="1" x14ac:dyDescent="0.3">
      <c r="A13" s="159" t="s">
        <v>417</v>
      </c>
      <c r="B13" s="159">
        <v>40</v>
      </c>
      <c r="C13" s="159">
        <v>17.899999999999999</v>
      </c>
      <c r="D13" s="159">
        <v>88.5</v>
      </c>
      <c r="E13" s="156" t="s">
        <v>830</v>
      </c>
      <c r="F13" s="156" t="s">
        <v>357</v>
      </c>
      <c r="G13" s="107"/>
      <c r="H13" s="107"/>
      <c r="I13" s="107"/>
      <c r="J13" s="107"/>
      <c r="K13" s="13"/>
      <c r="L13" s="13"/>
    </row>
    <row r="14" spans="1:12" ht="26.25" customHeight="1" x14ac:dyDescent="0.3">
      <c r="A14" s="159" t="s">
        <v>430</v>
      </c>
      <c r="B14" s="159">
        <v>40</v>
      </c>
      <c r="C14" s="159">
        <v>25.3</v>
      </c>
      <c r="D14" s="159">
        <v>81.7</v>
      </c>
      <c r="E14" s="156" t="s">
        <v>830</v>
      </c>
      <c r="F14" s="156" t="s">
        <v>357</v>
      </c>
      <c r="G14" s="23"/>
      <c r="H14" s="23"/>
      <c r="I14" s="23"/>
      <c r="J14" s="23"/>
      <c r="K14" s="13"/>
      <c r="L14" s="13"/>
    </row>
    <row r="15" spans="1:12" ht="26.25" customHeight="1" x14ac:dyDescent="0.3">
      <c r="A15" s="159" t="s">
        <v>402</v>
      </c>
      <c r="B15" s="159">
        <v>40</v>
      </c>
      <c r="C15" s="159">
        <v>28.4</v>
      </c>
      <c r="D15" s="159">
        <v>85.4</v>
      </c>
      <c r="E15" s="156" t="s">
        <v>830</v>
      </c>
      <c r="F15" s="156" t="s">
        <v>357</v>
      </c>
      <c r="G15" s="107"/>
      <c r="H15" s="107"/>
      <c r="I15" s="107"/>
      <c r="J15" s="107"/>
      <c r="K15" s="13"/>
      <c r="L15" s="13"/>
    </row>
    <row r="16" spans="1:12" ht="12.75" customHeight="1" x14ac:dyDescent="0.3">
      <c r="A16" s="159" t="s">
        <v>413</v>
      </c>
      <c r="B16" s="159">
        <v>40</v>
      </c>
      <c r="C16" s="159">
        <v>21.3</v>
      </c>
      <c r="D16" s="159">
        <v>87.6</v>
      </c>
      <c r="E16" s="156" t="s">
        <v>830</v>
      </c>
      <c r="F16" s="156" t="s">
        <v>357</v>
      </c>
      <c r="G16" s="23"/>
      <c r="H16" s="23"/>
      <c r="I16" s="23"/>
      <c r="J16" s="23"/>
      <c r="K16" s="13"/>
      <c r="L16" s="13"/>
    </row>
    <row r="17" spans="1:12" ht="12.75" customHeight="1" x14ac:dyDescent="0.3">
      <c r="A17" s="159" t="s">
        <v>441</v>
      </c>
      <c r="B17" s="159">
        <v>40</v>
      </c>
      <c r="C17" s="159">
        <v>24.5</v>
      </c>
      <c r="D17" s="159">
        <v>81.599999999999994</v>
      </c>
      <c r="E17" s="156" t="s">
        <v>830</v>
      </c>
      <c r="F17" s="156" t="s">
        <v>357</v>
      </c>
      <c r="G17" s="107"/>
      <c r="H17" s="107"/>
      <c r="I17" s="107"/>
      <c r="J17" s="107"/>
      <c r="K17" s="13"/>
      <c r="L17" s="13"/>
    </row>
    <row r="18" spans="1:12" ht="12.75" customHeight="1" x14ac:dyDescent="0.3">
      <c r="A18" s="16"/>
      <c r="B18" s="15"/>
      <c r="C18" s="15"/>
      <c r="D18" s="15"/>
      <c r="E18" s="16"/>
      <c r="F18" s="16"/>
      <c r="G18" s="107"/>
      <c r="H18" s="107"/>
      <c r="I18" s="107"/>
      <c r="J18" s="107"/>
      <c r="K18" s="13"/>
      <c r="L18" s="13"/>
    </row>
    <row r="19" spans="1:12" ht="12.75" customHeight="1" x14ac:dyDescent="0.3">
      <c r="A19" s="16"/>
      <c r="B19" s="15"/>
      <c r="C19" s="15"/>
      <c r="D19" s="15"/>
      <c r="E19" s="16"/>
      <c r="F19" s="16"/>
      <c r="G19" s="107"/>
      <c r="H19" s="107"/>
      <c r="I19" s="107"/>
      <c r="J19" s="107"/>
      <c r="K19" s="13"/>
      <c r="L19" s="13"/>
    </row>
    <row r="20" spans="1:12" ht="12.75" customHeight="1" x14ac:dyDescent="0.3">
      <c r="A20" s="16"/>
      <c r="B20" s="15"/>
      <c r="C20" s="15"/>
      <c r="D20" s="15"/>
      <c r="E20" s="16"/>
      <c r="F20" s="16"/>
      <c r="G20" s="107"/>
      <c r="H20" s="107"/>
      <c r="I20" s="107"/>
      <c r="J20" s="107"/>
      <c r="K20" s="13"/>
      <c r="L20" s="13"/>
    </row>
    <row r="21" spans="1:12" ht="12.75" customHeight="1" x14ac:dyDescent="0.3">
      <c r="A21" s="16"/>
      <c r="B21" s="15"/>
      <c r="C21" s="15"/>
      <c r="D21" s="15"/>
      <c r="E21" s="16"/>
      <c r="F21" s="16"/>
      <c r="G21" s="107"/>
      <c r="H21" s="107"/>
      <c r="I21" s="107"/>
      <c r="J21" s="107"/>
      <c r="K21" s="13"/>
      <c r="L21" s="13"/>
    </row>
    <row r="22" spans="1:12" ht="12.75" customHeight="1" x14ac:dyDescent="0.3">
      <c r="A22" s="16"/>
      <c r="B22" s="15"/>
      <c r="C22" s="15"/>
      <c r="D22" s="15"/>
      <c r="E22" s="16"/>
      <c r="F22" s="16"/>
      <c r="G22" s="107"/>
      <c r="H22" s="107"/>
      <c r="I22" s="107"/>
      <c r="J22" s="107"/>
      <c r="K22" s="13"/>
      <c r="L22" s="13"/>
    </row>
    <row r="23" spans="1:12" ht="12.75" customHeight="1" x14ac:dyDescent="0.3">
      <c r="A23" s="16"/>
      <c r="B23" s="15"/>
      <c r="C23" s="15"/>
      <c r="D23" s="15"/>
      <c r="E23" s="16"/>
      <c r="F23" s="16"/>
      <c r="G23" s="107"/>
      <c r="H23" s="107"/>
      <c r="I23" s="107"/>
      <c r="J23" s="107"/>
      <c r="K23" s="13"/>
      <c r="L23" s="13"/>
    </row>
    <row r="24" spans="1:12" ht="12.75" customHeight="1" x14ac:dyDescent="0.3">
      <c r="A24" s="16"/>
      <c r="B24" s="15"/>
      <c r="C24" s="15"/>
      <c r="D24" s="15"/>
      <c r="E24" s="16"/>
      <c r="F24" s="16"/>
      <c r="G24" s="107"/>
      <c r="H24" s="107"/>
      <c r="I24" s="107"/>
      <c r="J24" s="107"/>
      <c r="K24" s="13"/>
      <c r="L24" s="13"/>
    </row>
    <row r="25" spans="1:12" ht="12.75" customHeight="1" x14ac:dyDescent="0.3">
      <c r="A25" s="16"/>
      <c r="B25" s="15"/>
      <c r="C25" s="15"/>
      <c r="D25" s="15"/>
      <c r="E25" s="16"/>
      <c r="F25" s="16"/>
      <c r="G25" s="107"/>
      <c r="H25" s="107"/>
      <c r="I25" s="107"/>
      <c r="J25" s="107"/>
      <c r="K25" s="13"/>
      <c r="L25" s="13"/>
    </row>
    <row r="26" spans="1:12" ht="12.75" customHeight="1" x14ac:dyDescent="0.3">
      <c r="A26" s="16"/>
      <c r="B26" s="15"/>
      <c r="C26" s="15"/>
      <c r="D26" s="15"/>
      <c r="E26" s="16"/>
      <c r="F26" s="16"/>
      <c r="G26" s="107"/>
      <c r="H26" s="107"/>
      <c r="I26" s="107"/>
      <c r="J26" s="107"/>
      <c r="K26" s="13"/>
      <c r="L26" s="13"/>
    </row>
    <row r="27" spans="1:12" ht="12.75" customHeight="1" x14ac:dyDescent="0.3">
      <c r="A27" s="16"/>
      <c r="B27" s="15"/>
      <c r="C27" s="15"/>
      <c r="D27" s="15"/>
      <c r="E27" s="16"/>
      <c r="F27" s="16"/>
      <c r="G27" s="107"/>
      <c r="H27" s="107"/>
      <c r="I27" s="107"/>
      <c r="J27" s="107"/>
      <c r="K27" s="13"/>
      <c r="L27" s="13"/>
    </row>
    <row r="28" spans="1:12" ht="12.75" customHeight="1" x14ac:dyDescent="0.3">
      <c r="A28" s="16"/>
      <c r="B28" s="15"/>
      <c r="C28" s="15"/>
      <c r="D28" s="15"/>
      <c r="E28" s="16"/>
      <c r="F28" s="16"/>
      <c r="G28" s="107"/>
      <c r="H28" s="107"/>
      <c r="I28" s="107"/>
      <c r="J28" s="107"/>
      <c r="K28" s="13"/>
      <c r="L28" s="13"/>
    </row>
    <row r="29" spans="1:12" ht="12.75" customHeight="1" x14ac:dyDescent="0.3">
      <c r="A29" s="16"/>
      <c r="B29" s="15"/>
      <c r="C29" s="15"/>
      <c r="D29" s="15"/>
      <c r="E29" s="16"/>
      <c r="F29" s="16"/>
      <c r="G29" s="107"/>
      <c r="H29" s="107"/>
      <c r="I29" s="107"/>
      <c r="J29" s="107"/>
      <c r="K29" s="13"/>
      <c r="L29" s="13"/>
    </row>
    <row r="30" spans="1:12" ht="12.75" customHeight="1" x14ac:dyDescent="0.3">
      <c r="A30" s="16"/>
      <c r="B30" s="15"/>
      <c r="C30" s="15"/>
      <c r="D30" s="15"/>
      <c r="E30" s="16"/>
      <c r="F30" s="16"/>
      <c r="G30" s="107"/>
      <c r="H30" s="107"/>
      <c r="I30" s="107"/>
      <c r="J30" s="107"/>
      <c r="K30" s="13"/>
      <c r="L30" s="13"/>
    </row>
    <row r="31" spans="1:12" ht="12.75" customHeight="1" x14ac:dyDescent="0.3">
      <c r="A31" s="16"/>
      <c r="B31" s="15"/>
      <c r="C31" s="15"/>
      <c r="D31" s="15"/>
      <c r="E31" s="16"/>
      <c r="F31" s="16"/>
      <c r="G31" s="107"/>
      <c r="H31" s="107"/>
      <c r="I31" s="107"/>
      <c r="J31" s="107"/>
      <c r="K31" s="13"/>
      <c r="L31" s="13"/>
    </row>
    <row r="32" spans="1:12" ht="12.75" customHeight="1" x14ac:dyDescent="0.3">
      <c r="A32" s="16"/>
      <c r="B32" s="15"/>
      <c r="C32" s="15"/>
      <c r="D32" s="15"/>
      <c r="E32" s="16"/>
      <c r="F32" s="16"/>
      <c r="G32" s="107"/>
      <c r="H32" s="107"/>
      <c r="I32" s="107"/>
      <c r="J32" s="107"/>
      <c r="K32" s="13"/>
      <c r="L32" s="13"/>
    </row>
    <row r="33" spans="1:12" ht="12.75" customHeight="1" x14ac:dyDescent="0.3">
      <c r="A33" s="16"/>
      <c r="B33" s="15"/>
      <c r="C33" s="15"/>
      <c r="D33" s="15"/>
      <c r="E33" s="16"/>
      <c r="F33" s="16"/>
      <c r="G33" s="107"/>
      <c r="H33" s="107"/>
      <c r="I33" s="107"/>
      <c r="J33" s="107"/>
      <c r="K33" s="13"/>
      <c r="L33" s="13"/>
    </row>
    <row r="34" spans="1:12" ht="12.75" customHeight="1" x14ac:dyDescent="0.3">
      <c r="A34" s="16"/>
      <c r="B34" s="15"/>
      <c r="C34" s="15"/>
      <c r="D34" s="15"/>
      <c r="E34" s="16"/>
      <c r="F34" s="16"/>
      <c r="G34" s="107"/>
      <c r="H34" s="107"/>
      <c r="I34" s="107"/>
      <c r="J34" s="107"/>
      <c r="K34" s="13"/>
      <c r="L34" s="13"/>
    </row>
    <row r="35" spans="1:12" ht="12.75" customHeight="1" x14ac:dyDescent="0.3">
      <c r="A35" s="16"/>
      <c r="B35" s="15"/>
      <c r="C35" s="15"/>
      <c r="D35" s="15"/>
      <c r="E35" s="16"/>
      <c r="F35" s="16"/>
      <c r="G35" s="107"/>
      <c r="H35" s="107"/>
      <c r="I35" s="107"/>
      <c r="J35" s="107"/>
      <c r="K35" s="13"/>
      <c r="L35" s="13"/>
    </row>
    <row r="36" spans="1:12" ht="12.75" customHeight="1" x14ac:dyDescent="0.3">
      <c r="A36" s="16"/>
      <c r="B36" s="15"/>
      <c r="C36" s="15"/>
      <c r="D36" s="15"/>
      <c r="E36" s="16"/>
      <c r="F36" s="16"/>
      <c r="G36" s="107"/>
      <c r="H36" s="107"/>
      <c r="I36" s="107"/>
      <c r="J36" s="107"/>
      <c r="K36" s="13"/>
      <c r="L36" s="13"/>
    </row>
    <row r="37" spans="1:12" ht="12.75" customHeight="1" x14ac:dyDescent="0.3">
      <c r="A37" s="16"/>
      <c r="B37" s="15"/>
      <c r="C37" s="15"/>
      <c r="D37" s="15"/>
      <c r="E37" s="16"/>
      <c r="F37" s="16"/>
      <c r="G37" s="107"/>
      <c r="H37" s="107"/>
      <c r="I37" s="107"/>
      <c r="J37" s="107"/>
      <c r="K37" s="13"/>
      <c r="L37" s="13"/>
    </row>
    <row r="38" spans="1:12" ht="12.75" customHeight="1" x14ac:dyDescent="0.3">
      <c r="A38" s="16"/>
      <c r="B38" s="15"/>
      <c r="C38" s="15"/>
      <c r="D38" s="15"/>
      <c r="E38" s="16"/>
      <c r="F38" s="16"/>
      <c r="G38" s="107"/>
      <c r="H38" s="107"/>
      <c r="I38" s="107"/>
      <c r="J38" s="107"/>
      <c r="K38" s="13"/>
      <c r="L38" s="13"/>
    </row>
    <row r="39" spans="1:12" ht="12.75" customHeight="1" x14ac:dyDescent="0.3">
      <c r="A39" s="16"/>
      <c r="B39" s="15"/>
      <c r="C39" s="15"/>
      <c r="D39" s="15"/>
      <c r="E39" s="16"/>
      <c r="F39" s="16"/>
      <c r="G39" s="107"/>
      <c r="H39" s="107"/>
      <c r="I39" s="107"/>
      <c r="J39" s="107"/>
      <c r="K39" s="13"/>
      <c r="L39" s="13"/>
    </row>
    <row r="40" spans="1:12" ht="12.75" customHeight="1" x14ac:dyDescent="0.3">
      <c r="A40" s="16"/>
      <c r="B40" s="15"/>
      <c r="C40" s="15"/>
      <c r="D40" s="15"/>
      <c r="E40" s="16"/>
      <c r="F40" s="16"/>
      <c r="G40" s="107"/>
      <c r="H40" s="107"/>
      <c r="I40" s="107"/>
      <c r="J40" s="107"/>
      <c r="K40" s="13"/>
      <c r="L40" s="13"/>
    </row>
    <row r="41" spans="1:12" ht="12.75" customHeight="1" x14ac:dyDescent="0.3">
      <c r="A41" s="16"/>
      <c r="B41" s="15"/>
      <c r="C41" s="15"/>
      <c r="D41" s="15"/>
      <c r="E41" s="16"/>
      <c r="F41" s="16"/>
      <c r="G41" s="107"/>
      <c r="H41" s="107"/>
      <c r="I41" s="107"/>
      <c r="J41" s="107"/>
      <c r="K41" s="13"/>
      <c r="L41" s="13"/>
    </row>
    <row r="42" spans="1:12" ht="12.75" customHeight="1" x14ac:dyDescent="0.3">
      <c r="A42" s="16"/>
      <c r="B42" s="15"/>
      <c r="C42" s="15"/>
      <c r="D42" s="15"/>
      <c r="E42" s="16"/>
      <c r="F42" s="16"/>
      <c r="G42" s="107"/>
      <c r="H42" s="107"/>
      <c r="I42" s="107"/>
      <c r="J42" s="107"/>
      <c r="K42" s="13"/>
      <c r="L42" s="13"/>
    </row>
    <row r="43" spans="1:12" ht="12.75" customHeight="1" x14ac:dyDescent="0.3">
      <c r="A43" s="16"/>
      <c r="B43" s="15"/>
      <c r="C43" s="15"/>
      <c r="D43" s="15"/>
      <c r="E43" s="16"/>
      <c r="F43" s="16"/>
      <c r="G43" s="107"/>
      <c r="H43" s="107"/>
      <c r="I43" s="107"/>
      <c r="J43" s="107"/>
      <c r="K43" s="13"/>
      <c r="L43" s="13"/>
    </row>
    <row r="44" spans="1:12" ht="12.75" customHeight="1" x14ac:dyDescent="0.3">
      <c r="A44" s="16"/>
      <c r="B44" s="15"/>
      <c r="C44" s="15"/>
      <c r="D44" s="15"/>
      <c r="E44" s="16"/>
      <c r="F44" s="16"/>
      <c r="G44" s="107"/>
      <c r="H44" s="107"/>
      <c r="I44" s="107"/>
      <c r="J44" s="107"/>
      <c r="K44" s="13"/>
      <c r="L44" s="13"/>
    </row>
    <row r="45" spans="1:12" ht="12.75" customHeight="1" x14ac:dyDescent="0.3">
      <c r="A45" s="16"/>
      <c r="B45" s="15"/>
      <c r="C45" s="15"/>
      <c r="D45" s="15"/>
      <c r="E45" s="16"/>
      <c r="F45" s="16"/>
      <c r="G45" s="107"/>
      <c r="H45" s="107"/>
      <c r="I45" s="107"/>
      <c r="J45" s="107"/>
      <c r="K45" s="13"/>
      <c r="L45" s="13"/>
    </row>
    <row r="46" spans="1:12" ht="12.75" customHeight="1" x14ac:dyDescent="0.3">
      <c r="A46" s="16"/>
      <c r="B46" s="15"/>
      <c r="C46" s="15"/>
      <c r="D46" s="15"/>
      <c r="E46" s="16"/>
      <c r="F46" s="16"/>
      <c r="G46" s="107"/>
      <c r="H46" s="107"/>
      <c r="I46" s="107"/>
      <c r="J46" s="107"/>
      <c r="K46" s="13"/>
      <c r="L46" s="13"/>
    </row>
    <row r="47" spans="1:12" ht="12.75" customHeight="1" x14ac:dyDescent="0.3">
      <c r="A47" s="16"/>
      <c r="B47" s="15"/>
      <c r="C47" s="15"/>
      <c r="D47" s="15"/>
      <c r="E47" s="16"/>
      <c r="F47" s="16"/>
      <c r="G47" s="107"/>
      <c r="H47" s="107"/>
      <c r="I47" s="107"/>
      <c r="J47" s="107"/>
      <c r="K47" s="13"/>
      <c r="L47" s="13"/>
    </row>
    <row r="48" spans="1:12" ht="12.75" customHeight="1" x14ac:dyDescent="0.3">
      <c r="A48" s="16"/>
      <c r="B48" s="15"/>
      <c r="C48" s="15"/>
      <c r="D48" s="15"/>
      <c r="E48" s="16"/>
      <c r="F48" s="16"/>
      <c r="G48" s="107"/>
      <c r="H48" s="107"/>
      <c r="I48" s="107"/>
      <c r="J48" s="107"/>
      <c r="K48" s="13"/>
      <c r="L48" s="13"/>
    </row>
    <row r="49" spans="1:12" ht="12.75" customHeight="1" x14ac:dyDescent="0.3">
      <c r="A49" s="16"/>
      <c r="B49" s="15"/>
      <c r="C49" s="15"/>
      <c r="D49" s="15"/>
      <c r="E49" s="16"/>
      <c r="F49" s="16"/>
      <c r="G49" s="107"/>
      <c r="H49" s="107"/>
      <c r="I49" s="107"/>
      <c r="J49" s="107"/>
      <c r="K49" s="13"/>
      <c r="L49" s="13"/>
    </row>
    <row r="50" spans="1:12" ht="12.75" customHeight="1" x14ac:dyDescent="0.3">
      <c r="A50" s="16"/>
      <c r="B50" s="15"/>
      <c r="C50" s="15"/>
      <c r="D50" s="15"/>
      <c r="E50" s="16"/>
      <c r="F50" s="16"/>
      <c r="G50" s="107"/>
      <c r="H50" s="107"/>
      <c r="I50" s="107"/>
      <c r="J50" s="107"/>
      <c r="K50" s="13"/>
      <c r="L50" s="13"/>
    </row>
  </sheetData>
  <mergeCells count="2">
    <mergeCell ref="A1:D1"/>
    <mergeCell ref="E1:L1"/>
  </mergeCells>
  <hyperlinks>
    <hyperlink ref="A1" location="'SIM_Accueil'!A1" display="⌂  BACK TO HOME" xr:uid="{00000000-0004-0000-0F00-000000000000}"/>
  </hyperlinks>
  <pageMargins left="0.7" right="0.7" top="0.75" bottom="0.75"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7F7F7F"/>
  </sheetPr>
  <dimension ref="A1:L21"/>
  <sheetViews>
    <sheetView showGridLines="0" zoomScaleNormal="100" workbookViewId="0"/>
  </sheetViews>
  <sheetFormatPr baseColWidth="10" defaultColWidth="8.6328125" defaultRowHeight="12.5" x14ac:dyDescent="0.25"/>
  <cols>
    <col min="1" max="1" width="42" customWidth="1"/>
    <col min="2" max="2" width="33" customWidth="1"/>
    <col min="3" max="3" width="17" customWidth="1"/>
    <col min="4" max="4" width="37" customWidth="1"/>
    <col min="5" max="12" width="42" customWidth="1"/>
  </cols>
  <sheetData>
    <row r="1" spans="1:12" ht="27.75" customHeight="1" x14ac:dyDescent="0.25">
      <c r="A1" s="205" t="s">
        <v>32</v>
      </c>
      <c r="B1" s="205"/>
      <c r="C1" s="205"/>
      <c r="D1" s="205"/>
      <c r="E1" s="206" t="s">
        <v>840</v>
      </c>
      <c r="F1" s="206"/>
      <c r="G1" s="206"/>
      <c r="H1" s="206"/>
      <c r="I1" s="206"/>
      <c r="J1" s="206"/>
      <c r="K1" s="206"/>
      <c r="L1" s="206"/>
    </row>
    <row r="2" spans="1:12" ht="13.5" customHeight="1" x14ac:dyDescent="0.3">
      <c r="A2" s="207" t="s">
        <v>841</v>
      </c>
      <c r="B2" s="207"/>
      <c r="C2" s="207"/>
      <c r="D2" s="207"/>
      <c r="E2" s="207"/>
      <c r="F2" s="207"/>
      <c r="G2" s="207"/>
      <c r="H2" s="13"/>
      <c r="I2" s="13"/>
      <c r="J2" s="13"/>
      <c r="K2" s="13"/>
      <c r="L2" s="13"/>
    </row>
    <row r="3" spans="1:12" ht="12.75" customHeight="1" x14ac:dyDescent="0.3">
      <c r="A3" s="207"/>
      <c r="B3" s="207"/>
      <c r="C3" s="207"/>
      <c r="D3" s="207"/>
      <c r="E3" s="207"/>
      <c r="F3" s="207"/>
      <c r="G3" s="207"/>
      <c r="H3" s="13"/>
      <c r="I3" s="13"/>
      <c r="J3" s="13"/>
      <c r="K3" s="13"/>
      <c r="L3" s="13"/>
    </row>
    <row r="4" spans="1:12" ht="12.75" customHeight="1" x14ac:dyDescent="0.3">
      <c r="A4" s="207"/>
      <c r="B4" s="207"/>
      <c r="C4" s="207"/>
      <c r="D4" s="207"/>
      <c r="E4" s="207"/>
      <c r="F4" s="207"/>
      <c r="G4" s="207"/>
      <c r="H4" s="13"/>
      <c r="I4" s="13"/>
      <c r="J4" s="13"/>
      <c r="K4" s="13"/>
      <c r="L4" s="13"/>
    </row>
    <row r="5" spans="1:12" ht="12.75" customHeight="1" x14ac:dyDescent="0.3">
      <c r="A5" s="16"/>
      <c r="B5" s="16"/>
      <c r="C5" s="16"/>
      <c r="D5" s="16"/>
      <c r="E5" s="16"/>
      <c r="F5" s="16"/>
      <c r="G5" s="16"/>
      <c r="H5" s="13"/>
      <c r="I5" s="13"/>
      <c r="J5" s="13"/>
      <c r="K5" s="13"/>
      <c r="L5" s="13"/>
    </row>
    <row r="6" spans="1:12" ht="33.75" customHeight="1" x14ac:dyDescent="0.25">
      <c r="A6" s="75" t="s">
        <v>357</v>
      </c>
      <c r="B6" s="75" t="s">
        <v>842</v>
      </c>
      <c r="C6" s="75" t="s">
        <v>843</v>
      </c>
      <c r="D6" s="75" t="s">
        <v>844</v>
      </c>
      <c r="E6" s="75" t="s">
        <v>845</v>
      </c>
      <c r="F6" s="75" t="s">
        <v>846</v>
      </c>
      <c r="G6" s="75" t="s">
        <v>557</v>
      </c>
      <c r="H6" s="76"/>
      <c r="I6" s="76"/>
      <c r="J6" s="76"/>
      <c r="K6" s="76"/>
      <c r="L6" s="76"/>
    </row>
    <row r="7" spans="1:12" ht="64.5" customHeight="1" x14ac:dyDescent="0.3">
      <c r="A7" s="84" t="s">
        <v>376</v>
      </c>
      <c r="B7" s="161">
        <v>9.3000000000000007</v>
      </c>
      <c r="C7" s="78">
        <v>2022</v>
      </c>
      <c r="D7" s="84" t="s">
        <v>847</v>
      </c>
      <c r="E7" s="84" t="s">
        <v>848</v>
      </c>
      <c r="F7" s="84" t="s">
        <v>289</v>
      </c>
      <c r="G7" s="84" t="s">
        <v>849</v>
      </c>
      <c r="H7" s="13"/>
      <c r="I7" s="13"/>
      <c r="J7" s="13"/>
      <c r="K7" s="13"/>
      <c r="L7" s="13"/>
    </row>
    <row r="8" spans="1:12" ht="64.5" customHeight="1" x14ac:dyDescent="0.3">
      <c r="A8" s="83" t="s">
        <v>461</v>
      </c>
      <c r="B8" s="162">
        <v>48.3</v>
      </c>
      <c r="C8" s="80">
        <v>2022</v>
      </c>
      <c r="D8" s="83" t="s">
        <v>847</v>
      </c>
      <c r="E8" s="83" t="s">
        <v>848</v>
      </c>
      <c r="F8" s="83" t="s">
        <v>289</v>
      </c>
      <c r="G8" s="83" t="s">
        <v>849</v>
      </c>
      <c r="H8" s="13"/>
      <c r="I8" s="13"/>
      <c r="J8" s="13"/>
      <c r="K8" s="13"/>
      <c r="L8" s="13"/>
    </row>
    <row r="9" spans="1:12" ht="64.5" customHeight="1" x14ac:dyDescent="0.3">
      <c r="A9" s="84" t="s">
        <v>390</v>
      </c>
      <c r="B9" s="161">
        <v>37.4</v>
      </c>
      <c r="C9" s="78">
        <v>2022</v>
      </c>
      <c r="D9" s="84" t="s">
        <v>847</v>
      </c>
      <c r="E9" s="84" t="s">
        <v>848</v>
      </c>
      <c r="F9" s="84" t="s">
        <v>289</v>
      </c>
      <c r="G9" s="84" t="s">
        <v>849</v>
      </c>
      <c r="H9" s="13"/>
      <c r="I9" s="13"/>
      <c r="J9" s="13"/>
      <c r="K9" s="13"/>
      <c r="L9" s="13"/>
    </row>
    <row r="10" spans="1:12" ht="64.5" customHeight="1" x14ac:dyDescent="0.3">
      <c r="A10" s="83" t="s">
        <v>435</v>
      </c>
      <c r="B10" s="162">
        <v>37.299999999999997</v>
      </c>
      <c r="C10" s="80">
        <v>2022</v>
      </c>
      <c r="D10" s="83" t="s">
        <v>847</v>
      </c>
      <c r="E10" s="83" t="s">
        <v>848</v>
      </c>
      <c r="F10" s="83" t="s">
        <v>289</v>
      </c>
      <c r="G10" s="83" t="s">
        <v>849</v>
      </c>
      <c r="H10" s="13"/>
      <c r="I10" s="13"/>
      <c r="J10" s="13"/>
      <c r="K10" s="13"/>
      <c r="L10" s="13"/>
    </row>
    <row r="11" spans="1:12" ht="64.5" customHeight="1" x14ac:dyDescent="0.3">
      <c r="A11" s="84" t="s">
        <v>444</v>
      </c>
      <c r="B11" s="161">
        <v>62.8</v>
      </c>
      <c r="C11" s="78">
        <v>2022</v>
      </c>
      <c r="D11" s="84" t="s">
        <v>847</v>
      </c>
      <c r="E11" s="84" t="s">
        <v>848</v>
      </c>
      <c r="F11" s="84" t="s">
        <v>289</v>
      </c>
      <c r="G11" s="84" t="s">
        <v>849</v>
      </c>
      <c r="H11" s="13"/>
      <c r="I11" s="13"/>
      <c r="J11" s="13"/>
      <c r="K11" s="13"/>
      <c r="L11" s="13"/>
    </row>
    <row r="12" spans="1:12" ht="64.5" customHeight="1" x14ac:dyDescent="0.3">
      <c r="A12" s="83" t="s">
        <v>407</v>
      </c>
      <c r="B12" s="162">
        <v>49.6</v>
      </c>
      <c r="C12" s="80">
        <v>2022</v>
      </c>
      <c r="D12" s="83" t="s">
        <v>847</v>
      </c>
      <c r="E12" s="83" t="s">
        <v>848</v>
      </c>
      <c r="F12" s="83" t="s">
        <v>289</v>
      </c>
      <c r="G12" s="83" t="s">
        <v>849</v>
      </c>
      <c r="H12" s="13"/>
      <c r="I12" s="13"/>
      <c r="J12" s="13"/>
      <c r="K12" s="13"/>
      <c r="L12" s="13"/>
    </row>
    <row r="13" spans="1:12" ht="64.5" customHeight="1" x14ac:dyDescent="0.3">
      <c r="A13" s="84" t="s">
        <v>452</v>
      </c>
      <c r="B13" s="161">
        <v>29.9</v>
      </c>
      <c r="C13" s="78">
        <v>2022</v>
      </c>
      <c r="D13" s="84" t="s">
        <v>847</v>
      </c>
      <c r="E13" s="84" t="s">
        <v>848</v>
      </c>
      <c r="F13" s="84" t="s">
        <v>289</v>
      </c>
      <c r="G13" s="84" t="s">
        <v>849</v>
      </c>
      <c r="H13" s="13"/>
      <c r="I13" s="13"/>
      <c r="J13" s="13"/>
      <c r="K13" s="13"/>
      <c r="L13" s="13"/>
    </row>
    <row r="14" spans="1:12" ht="64.5" customHeight="1" x14ac:dyDescent="0.3">
      <c r="A14" s="83" t="s">
        <v>421</v>
      </c>
      <c r="B14" s="162">
        <v>47</v>
      </c>
      <c r="C14" s="80">
        <v>2022</v>
      </c>
      <c r="D14" s="83" t="s">
        <v>847</v>
      </c>
      <c r="E14" s="83" t="s">
        <v>848</v>
      </c>
      <c r="F14" s="83" t="s">
        <v>289</v>
      </c>
      <c r="G14" s="83" t="s">
        <v>849</v>
      </c>
      <c r="H14" s="13"/>
      <c r="I14" s="13"/>
      <c r="J14" s="13"/>
      <c r="K14" s="13"/>
      <c r="L14" s="13"/>
    </row>
    <row r="15" spans="1:12" ht="64.5" customHeight="1" x14ac:dyDescent="0.3">
      <c r="A15" s="84" t="s">
        <v>394</v>
      </c>
      <c r="B15" s="161">
        <v>46.5</v>
      </c>
      <c r="C15" s="78">
        <v>2022</v>
      </c>
      <c r="D15" s="84" t="s">
        <v>847</v>
      </c>
      <c r="E15" s="84" t="s">
        <v>848</v>
      </c>
      <c r="F15" s="84" t="s">
        <v>289</v>
      </c>
      <c r="G15" s="84" t="s">
        <v>849</v>
      </c>
      <c r="H15" s="13"/>
      <c r="I15" s="13"/>
      <c r="J15" s="13"/>
      <c r="K15" s="13"/>
      <c r="L15" s="13"/>
    </row>
    <row r="16" spans="1:12" ht="64.5" customHeight="1" x14ac:dyDescent="0.3">
      <c r="A16" s="83" t="s">
        <v>417</v>
      </c>
      <c r="B16" s="162">
        <v>62.5</v>
      </c>
      <c r="C16" s="80">
        <v>2022</v>
      </c>
      <c r="D16" s="83" t="s">
        <v>847</v>
      </c>
      <c r="E16" s="83" t="s">
        <v>848</v>
      </c>
      <c r="F16" s="83" t="s">
        <v>289</v>
      </c>
      <c r="G16" s="83" t="s">
        <v>849</v>
      </c>
      <c r="H16" s="13"/>
      <c r="I16" s="13"/>
      <c r="J16" s="13"/>
      <c r="K16" s="13"/>
      <c r="L16" s="13"/>
    </row>
    <row r="17" spans="1:12" ht="64.5" customHeight="1" x14ac:dyDescent="0.3">
      <c r="A17" s="84" t="s">
        <v>430</v>
      </c>
      <c r="B17" s="161">
        <v>44.7</v>
      </c>
      <c r="C17" s="78">
        <v>2022</v>
      </c>
      <c r="D17" s="84" t="s">
        <v>847</v>
      </c>
      <c r="E17" s="84" t="s">
        <v>848</v>
      </c>
      <c r="F17" s="84" t="s">
        <v>289</v>
      </c>
      <c r="G17" s="84" t="s">
        <v>849</v>
      </c>
      <c r="H17" s="13"/>
      <c r="I17" s="13"/>
      <c r="J17" s="13"/>
      <c r="K17" s="13"/>
      <c r="L17" s="13"/>
    </row>
    <row r="18" spans="1:12" ht="64.5" customHeight="1" x14ac:dyDescent="0.3">
      <c r="A18" s="83" t="s">
        <v>402</v>
      </c>
      <c r="B18" s="162">
        <v>58.2</v>
      </c>
      <c r="C18" s="80">
        <v>2022</v>
      </c>
      <c r="D18" s="83" t="s">
        <v>847</v>
      </c>
      <c r="E18" s="83" t="s">
        <v>848</v>
      </c>
      <c r="F18" s="83" t="s">
        <v>289</v>
      </c>
      <c r="G18" s="83" t="s">
        <v>849</v>
      </c>
      <c r="H18" s="13"/>
      <c r="I18" s="13"/>
      <c r="J18" s="13"/>
      <c r="K18" s="13"/>
      <c r="L18" s="13"/>
    </row>
    <row r="19" spans="1:12" ht="64.5" customHeight="1" x14ac:dyDescent="0.3">
      <c r="A19" s="84" t="s">
        <v>413</v>
      </c>
      <c r="B19" s="161">
        <v>65.7</v>
      </c>
      <c r="C19" s="78">
        <v>2022</v>
      </c>
      <c r="D19" s="84" t="s">
        <v>847</v>
      </c>
      <c r="E19" s="84" t="s">
        <v>848</v>
      </c>
      <c r="F19" s="84" t="s">
        <v>289</v>
      </c>
      <c r="G19" s="84" t="s">
        <v>849</v>
      </c>
      <c r="H19" s="13"/>
      <c r="I19" s="13"/>
      <c r="J19" s="13"/>
      <c r="K19" s="13"/>
      <c r="L19" s="13"/>
    </row>
    <row r="20" spans="1:12" ht="64.5" customHeight="1" x14ac:dyDescent="0.3">
      <c r="A20" s="83" t="s">
        <v>441</v>
      </c>
      <c r="B20" s="162">
        <v>64.400000000000006</v>
      </c>
      <c r="C20" s="80">
        <v>2022</v>
      </c>
      <c r="D20" s="83" t="s">
        <v>847</v>
      </c>
      <c r="E20" s="83" t="s">
        <v>848</v>
      </c>
      <c r="F20" s="83" t="s">
        <v>289</v>
      </c>
      <c r="G20" s="83" t="s">
        <v>849</v>
      </c>
      <c r="H20" s="13"/>
      <c r="I20" s="13"/>
      <c r="J20" s="13"/>
      <c r="K20" s="13"/>
      <c r="L20" s="13"/>
    </row>
    <row r="21" spans="1:12" ht="51.75" customHeight="1" x14ac:dyDescent="0.3">
      <c r="A21" s="84" t="s">
        <v>850</v>
      </c>
      <c r="B21" s="161">
        <v>37.5</v>
      </c>
      <c r="C21" s="78">
        <v>2022</v>
      </c>
      <c r="D21" s="84" t="s">
        <v>851</v>
      </c>
      <c r="E21" s="84" t="s">
        <v>852</v>
      </c>
      <c r="F21" s="84" t="s">
        <v>853</v>
      </c>
      <c r="G21" s="84" t="s">
        <v>854</v>
      </c>
      <c r="H21" s="13"/>
      <c r="I21" s="13"/>
      <c r="J21" s="13"/>
      <c r="K21" s="13"/>
      <c r="L21" s="13"/>
    </row>
  </sheetData>
  <mergeCells count="3">
    <mergeCell ref="A1:D1"/>
    <mergeCell ref="E1:L1"/>
    <mergeCell ref="A2:G4"/>
  </mergeCells>
  <hyperlinks>
    <hyperlink ref="A1" location="'SIM_Accueil'!A1" display="⌂  BACK TO HOME" xr:uid="{00000000-0004-0000-1000-000000000000}"/>
  </hyperlinks>
  <pageMargins left="0.7" right="0.7" top="0.75" bottom="0.75" header="0.511811023622047" footer="0.511811023622047"/>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7F7F7F"/>
  </sheetPr>
  <dimension ref="A1:L95"/>
  <sheetViews>
    <sheetView showGridLines="0" zoomScaleNormal="100" workbookViewId="0"/>
  </sheetViews>
  <sheetFormatPr baseColWidth="10" defaultColWidth="8.6328125" defaultRowHeight="12.5" x14ac:dyDescent="0.25"/>
  <cols>
    <col min="1" max="1" width="42" customWidth="1"/>
    <col min="2" max="2" width="24" customWidth="1"/>
    <col min="3" max="4" width="29" customWidth="1"/>
    <col min="5" max="5" width="42" customWidth="1"/>
    <col min="6" max="6" width="25" customWidth="1"/>
    <col min="7" max="7" width="19" customWidth="1"/>
    <col min="8" max="12" width="42" customWidth="1"/>
  </cols>
  <sheetData>
    <row r="1" spans="1:12" ht="27.75" customHeight="1" x14ac:dyDescent="0.25">
      <c r="A1" s="205" t="s">
        <v>32</v>
      </c>
      <c r="B1" s="205"/>
      <c r="C1" s="205"/>
      <c r="D1" s="205"/>
      <c r="E1" s="206" t="s">
        <v>855</v>
      </c>
      <c r="F1" s="206"/>
      <c r="G1" s="206"/>
      <c r="H1" s="206"/>
      <c r="I1" s="206"/>
      <c r="J1" s="206"/>
      <c r="K1" s="206"/>
      <c r="L1" s="206"/>
    </row>
    <row r="2" spans="1:12" ht="13.5" customHeight="1" x14ac:dyDescent="0.3">
      <c r="A2" s="207" t="s">
        <v>856</v>
      </c>
      <c r="B2" s="207"/>
      <c r="C2" s="207"/>
      <c r="D2" s="207"/>
      <c r="E2" s="207"/>
      <c r="F2" s="207"/>
      <c r="G2" s="207"/>
      <c r="H2" s="207"/>
      <c r="I2" s="207"/>
      <c r="J2" s="13"/>
      <c r="K2" s="13"/>
      <c r="L2" s="13"/>
    </row>
    <row r="3" spans="1:12" ht="12.75" customHeight="1" x14ac:dyDescent="0.3">
      <c r="A3" s="207"/>
      <c r="B3" s="207"/>
      <c r="C3" s="207"/>
      <c r="D3" s="207"/>
      <c r="E3" s="207"/>
      <c r="F3" s="207"/>
      <c r="G3" s="207"/>
      <c r="H3" s="207"/>
      <c r="I3" s="207"/>
      <c r="J3" s="13"/>
      <c r="K3" s="13"/>
      <c r="L3" s="13"/>
    </row>
    <row r="4" spans="1:12" ht="12.75" customHeight="1" x14ac:dyDescent="0.3">
      <c r="A4" s="207"/>
      <c r="B4" s="207"/>
      <c r="C4" s="207"/>
      <c r="D4" s="207"/>
      <c r="E4" s="207"/>
      <c r="F4" s="207"/>
      <c r="G4" s="207"/>
      <c r="H4" s="207"/>
      <c r="I4" s="207"/>
      <c r="J4" s="13"/>
      <c r="K4" s="13"/>
      <c r="L4" s="13"/>
    </row>
    <row r="5" spans="1:12" ht="12.75" customHeight="1" x14ac:dyDescent="0.3">
      <c r="A5" s="16"/>
      <c r="B5" s="16"/>
      <c r="C5" s="16"/>
      <c r="D5" s="16"/>
      <c r="E5" s="16"/>
      <c r="F5" s="16"/>
      <c r="G5" s="16"/>
      <c r="H5" s="16"/>
      <c r="I5" s="16"/>
      <c r="J5" s="13"/>
      <c r="K5" s="13"/>
      <c r="L5" s="13"/>
    </row>
    <row r="6" spans="1:12" ht="33.75" customHeight="1" x14ac:dyDescent="0.25">
      <c r="A6" s="75" t="s">
        <v>357</v>
      </c>
      <c r="B6" s="75" t="s">
        <v>857</v>
      </c>
      <c r="C6" s="75" t="s">
        <v>858</v>
      </c>
      <c r="D6" s="75" t="s">
        <v>859</v>
      </c>
      <c r="E6" s="75" t="s">
        <v>860</v>
      </c>
      <c r="F6" s="75" t="s">
        <v>861</v>
      </c>
      <c r="G6" s="75" t="s">
        <v>862</v>
      </c>
      <c r="H6" s="75" t="s">
        <v>556</v>
      </c>
      <c r="I6" s="75"/>
      <c r="J6" s="76"/>
      <c r="K6" s="76"/>
      <c r="L6" s="76"/>
    </row>
    <row r="7" spans="1:12" ht="25.5" customHeight="1" x14ac:dyDescent="0.3">
      <c r="A7" s="84" t="s">
        <v>376</v>
      </c>
      <c r="B7" s="78">
        <v>4004426</v>
      </c>
      <c r="C7" s="78">
        <v>3323281</v>
      </c>
      <c r="D7" s="163">
        <v>1.2049616027052801</v>
      </c>
      <c r="E7" s="78">
        <v>10</v>
      </c>
      <c r="F7" s="78">
        <v>4004426</v>
      </c>
      <c r="G7" s="78">
        <v>0</v>
      </c>
      <c r="H7" s="84" t="s">
        <v>863</v>
      </c>
      <c r="I7" s="16"/>
      <c r="J7" s="13"/>
      <c r="K7" s="13"/>
      <c r="L7" s="13"/>
    </row>
    <row r="8" spans="1:12" ht="25.5" customHeight="1" x14ac:dyDescent="0.3">
      <c r="A8" s="83" t="s">
        <v>461</v>
      </c>
      <c r="B8" s="80">
        <v>617567</v>
      </c>
      <c r="C8" s="80">
        <v>593522</v>
      </c>
      <c r="D8" s="164">
        <v>1.04051239886643</v>
      </c>
      <c r="E8" s="80">
        <v>4</v>
      </c>
      <c r="F8" s="80">
        <v>617567</v>
      </c>
      <c r="G8" s="80">
        <v>0</v>
      </c>
      <c r="H8" s="83" t="s">
        <v>863</v>
      </c>
      <c r="I8" s="23"/>
      <c r="J8" s="13"/>
      <c r="K8" s="13"/>
      <c r="L8" s="13"/>
    </row>
    <row r="9" spans="1:12" ht="25.5" customHeight="1" x14ac:dyDescent="0.3">
      <c r="A9" s="84" t="s">
        <v>390</v>
      </c>
      <c r="B9" s="78">
        <v>2080333</v>
      </c>
      <c r="C9" s="78">
        <v>837078</v>
      </c>
      <c r="D9" s="163">
        <v>2.4852319616570999</v>
      </c>
      <c r="E9" s="78">
        <v>3</v>
      </c>
      <c r="F9" s="78">
        <v>2080333</v>
      </c>
      <c r="G9" s="78">
        <v>0</v>
      </c>
      <c r="H9" s="84" t="s">
        <v>863</v>
      </c>
      <c r="I9" s="16"/>
      <c r="J9" s="13"/>
      <c r="K9" s="13"/>
      <c r="L9" s="13"/>
    </row>
    <row r="10" spans="1:12" ht="25.5" customHeight="1" x14ac:dyDescent="0.3">
      <c r="A10" s="83" t="s">
        <v>435</v>
      </c>
      <c r="B10" s="80">
        <v>1202441</v>
      </c>
      <c r="C10" s="80">
        <v>1036011</v>
      </c>
      <c r="D10" s="164">
        <v>1.16064501245643</v>
      </c>
      <c r="E10" s="80">
        <v>5</v>
      </c>
      <c r="F10" s="80">
        <v>1202441</v>
      </c>
      <c r="G10" s="80">
        <v>0</v>
      </c>
      <c r="H10" s="83" t="s">
        <v>863</v>
      </c>
      <c r="I10" s="23"/>
      <c r="J10" s="13"/>
      <c r="K10" s="13"/>
      <c r="L10" s="13"/>
    </row>
    <row r="11" spans="1:12" ht="25.5" customHeight="1" x14ac:dyDescent="0.3">
      <c r="A11" s="84" t="s">
        <v>444</v>
      </c>
      <c r="B11" s="78">
        <v>987152</v>
      </c>
      <c r="C11" s="78">
        <v>658990</v>
      </c>
      <c r="D11" s="163">
        <v>1.4979772075448801</v>
      </c>
      <c r="E11" s="78">
        <v>6</v>
      </c>
      <c r="F11" s="78">
        <v>987152</v>
      </c>
      <c r="G11" s="78">
        <v>0</v>
      </c>
      <c r="H11" s="84" t="s">
        <v>863</v>
      </c>
      <c r="I11" s="16"/>
      <c r="J11" s="13"/>
      <c r="K11" s="13"/>
      <c r="L11" s="13"/>
    </row>
    <row r="12" spans="1:12" ht="25.5" customHeight="1" x14ac:dyDescent="0.3">
      <c r="A12" s="83" t="s">
        <v>407</v>
      </c>
      <c r="B12" s="80">
        <v>1336720</v>
      </c>
      <c r="C12" s="80">
        <v>1120400</v>
      </c>
      <c r="D12" s="164">
        <v>1.1930739021777901</v>
      </c>
      <c r="E12" s="80">
        <v>4</v>
      </c>
      <c r="F12" s="80">
        <v>1336720</v>
      </c>
      <c r="G12" s="80">
        <v>0</v>
      </c>
      <c r="H12" s="83" t="s">
        <v>863</v>
      </c>
      <c r="I12" s="23"/>
      <c r="J12" s="13"/>
      <c r="K12" s="13"/>
      <c r="L12" s="13"/>
    </row>
    <row r="13" spans="1:12" ht="25.5" customHeight="1" x14ac:dyDescent="0.3">
      <c r="A13" s="84" t="s">
        <v>452</v>
      </c>
      <c r="B13" s="78">
        <v>2463677</v>
      </c>
      <c r="C13" s="78">
        <v>1859004</v>
      </c>
      <c r="D13" s="163">
        <v>1.3252671860845899</v>
      </c>
      <c r="E13" s="78">
        <v>8</v>
      </c>
      <c r="F13" s="78">
        <v>2463677</v>
      </c>
      <c r="G13" s="78">
        <v>0</v>
      </c>
      <c r="H13" s="84" t="s">
        <v>863</v>
      </c>
      <c r="I13" s="16"/>
      <c r="J13" s="13"/>
      <c r="K13" s="13"/>
      <c r="L13" s="13"/>
    </row>
    <row r="14" spans="1:12" ht="25.5" customHeight="1" x14ac:dyDescent="0.3">
      <c r="A14" s="83" t="s">
        <v>421</v>
      </c>
      <c r="B14" s="80">
        <v>1125908</v>
      </c>
      <c r="C14" s="80">
        <v>1004401</v>
      </c>
      <c r="D14" s="164">
        <v>1.12097459082578</v>
      </c>
      <c r="E14" s="80">
        <v>8</v>
      </c>
      <c r="F14" s="80">
        <v>1125908</v>
      </c>
      <c r="G14" s="80">
        <v>0</v>
      </c>
      <c r="H14" s="83" t="s">
        <v>863</v>
      </c>
      <c r="I14" s="23"/>
      <c r="J14" s="13"/>
      <c r="K14" s="13"/>
      <c r="L14" s="13"/>
    </row>
    <row r="15" spans="1:12" ht="25.5" customHeight="1" x14ac:dyDescent="0.3">
      <c r="A15" s="84" t="s">
        <v>394</v>
      </c>
      <c r="B15" s="78">
        <v>906918</v>
      </c>
      <c r="C15" s="78">
        <v>841295</v>
      </c>
      <c r="D15" s="163">
        <v>1.0780023654009601</v>
      </c>
      <c r="E15" s="78">
        <v>7</v>
      </c>
      <c r="F15" s="78">
        <v>906918</v>
      </c>
      <c r="G15" s="78">
        <v>0</v>
      </c>
      <c r="H15" s="84" t="s">
        <v>863</v>
      </c>
      <c r="I15" s="16"/>
      <c r="J15" s="13"/>
      <c r="K15" s="13"/>
      <c r="L15" s="13"/>
    </row>
    <row r="16" spans="1:12" ht="25.5" customHeight="1" x14ac:dyDescent="0.3">
      <c r="A16" s="83" t="s">
        <v>417</v>
      </c>
      <c r="B16" s="80">
        <v>914798</v>
      </c>
      <c r="C16" s="80">
        <v>772073</v>
      </c>
      <c r="D16" s="164">
        <v>1.1848594627710101</v>
      </c>
      <c r="E16" s="80">
        <v>3</v>
      </c>
      <c r="F16" s="80">
        <v>914798</v>
      </c>
      <c r="G16" s="80">
        <v>0</v>
      </c>
      <c r="H16" s="83" t="s">
        <v>863</v>
      </c>
      <c r="I16" s="23"/>
      <c r="J16" s="13"/>
      <c r="K16" s="13"/>
      <c r="L16" s="13"/>
    </row>
    <row r="17" spans="1:12" ht="25.5" customHeight="1" x14ac:dyDescent="0.3">
      <c r="A17" s="84" t="s">
        <v>430</v>
      </c>
      <c r="B17" s="78">
        <v>831630</v>
      </c>
      <c r="C17" s="78">
        <v>680084</v>
      </c>
      <c r="D17" s="163">
        <v>1.22283423812353</v>
      </c>
      <c r="E17" s="78">
        <v>4</v>
      </c>
      <c r="F17" s="78">
        <v>831630</v>
      </c>
      <c r="G17" s="78">
        <v>0</v>
      </c>
      <c r="H17" s="84" t="s">
        <v>863</v>
      </c>
      <c r="I17" s="16"/>
      <c r="J17" s="13"/>
      <c r="K17" s="13"/>
      <c r="L17" s="13"/>
    </row>
    <row r="18" spans="1:12" ht="25.5" customHeight="1" x14ac:dyDescent="0.3">
      <c r="A18" s="83" t="s">
        <v>402</v>
      </c>
      <c r="B18" s="80">
        <v>820405</v>
      </c>
      <c r="C18" s="80">
        <v>678954</v>
      </c>
      <c r="D18" s="164">
        <v>1.2083366472544499</v>
      </c>
      <c r="E18" s="80">
        <v>4</v>
      </c>
      <c r="F18" s="80">
        <v>820405</v>
      </c>
      <c r="G18" s="80">
        <v>0</v>
      </c>
      <c r="H18" s="83" t="s">
        <v>863</v>
      </c>
      <c r="I18" s="23"/>
      <c r="J18" s="13"/>
      <c r="K18" s="13"/>
      <c r="L18" s="13"/>
    </row>
    <row r="19" spans="1:12" ht="25.5" customHeight="1" x14ac:dyDescent="0.3">
      <c r="A19" s="84" t="s">
        <v>413</v>
      </c>
      <c r="B19" s="78">
        <v>245147</v>
      </c>
      <c r="C19" s="78">
        <v>178268</v>
      </c>
      <c r="D19" s="163">
        <v>1.37515987165391</v>
      </c>
      <c r="E19" s="78">
        <v>3</v>
      </c>
      <c r="F19" s="78">
        <v>245147</v>
      </c>
      <c r="G19" s="78">
        <v>0</v>
      </c>
      <c r="H19" s="84" t="s">
        <v>863</v>
      </c>
      <c r="I19" s="16"/>
      <c r="J19" s="13"/>
      <c r="K19" s="13"/>
      <c r="L19" s="13"/>
    </row>
    <row r="20" spans="1:12" ht="25.5" customHeight="1" x14ac:dyDescent="0.3">
      <c r="A20" s="83" t="s">
        <v>441</v>
      </c>
      <c r="B20" s="80">
        <v>589266</v>
      </c>
      <c r="C20" s="80">
        <v>350417</v>
      </c>
      <c r="D20" s="164">
        <v>1.6816136203437599</v>
      </c>
      <c r="E20" s="80">
        <v>2</v>
      </c>
      <c r="F20" s="80">
        <v>589266</v>
      </c>
      <c r="G20" s="80">
        <v>0</v>
      </c>
      <c r="H20" s="83" t="s">
        <v>863</v>
      </c>
      <c r="I20" s="23"/>
      <c r="J20" s="13"/>
      <c r="K20" s="13"/>
      <c r="L20" s="13"/>
    </row>
    <row r="21" spans="1:12" ht="78" customHeight="1" x14ac:dyDescent="0.3">
      <c r="A21" s="84" t="s">
        <v>864</v>
      </c>
      <c r="B21" s="78">
        <v>18126390</v>
      </c>
      <c r="C21" s="78">
        <v>13933778</v>
      </c>
      <c r="D21" s="165"/>
      <c r="E21" s="78">
        <v>71</v>
      </c>
      <c r="F21" s="78">
        <v>18126388</v>
      </c>
      <c r="G21" s="78">
        <v>-2</v>
      </c>
      <c r="H21" s="84" t="s">
        <v>865</v>
      </c>
      <c r="I21" s="16"/>
      <c r="J21" s="13"/>
      <c r="K21" s="13"/>
      <c r="L21" s="13"/>
    </row>
    <row r="22" spans="1:12" ht="12.75" customHeight="1" x14ac:dyDescent="0.3">
      <c r="A22" s="23"/>
      <c r="B22" s="23"/>
      <c r="C22" s="23"/>
      <c r="D22" s="23"/>
      <c r="E22" s="23"/>
      <c r="F22" s="23"/>
      <c r="G22" s="23"/>
      <c r="H22" s="23"/>
      <c r="I22" s="23"/>
      <c r="J22" s="13"/>
      <c r="K22" s="13"/>
      <c r="L22" s="13"/>
    </row>
    <row r="23" spans="1:12" ht="12.75" customHeight="1" x14ac:dyDescent="0.3">
      <c r="A23" s="16"/>
      <c r="B23" s="16"/>
      <c r="C23" s="16"/>
      <c r="D23" s="16"/>
      <c r="E23" s="16"/>
      <c r="F23" s="16"/>
      <c r="G23" s="16"/>
      <c r="H23" s="16"/>
      <c r="I23" s="16"/>
      <c r="J23" s="13"/>
      <c r="K23" s="13"/>
      <c r="L23" s="13"/>
    </row>
    <row r="24" spans="1:12" ht="37.5" customHeight="1" x14ac:dyDescent="0.3">
      <c r="A24" s="136" t="s">
        <v>576</v>
      </c>
      <c r="B24" s="136" t="s">
        <v>357</v>
      </c>
      <c r="C24" s="136" t="s">
        <v>48</v>
      </c>
      <c r="D24" s="136" t="s">
        <v>858</v>
      </c>
      <c r="E24" s="136" t="s">
        <v>866</v>
      </c>
      <c r="F24" s="136" t="s">
        <v>577</v>
      </c>
      <c r="G24" s="136" t="s">
        <v>578</v>
      </c>
      <c r="H24" s="136" t="s">
        <v>867</v>
      </c>
      <c r="I24" s="136" t="s">
        <v>868</v>
      </c>
      <c r="J24" s="13"/>
      <c r="K24" s="13"/>
      <c r="L24" s="13"/>
    </row>
    <row r="25" spans="1:12" ht="90.75" customHeight="1" x14ac:dyDescent="0.3">
      <c r="A25" s="84" t="s">
        <v>587</v>
      </c>
      <c r="B25" s="84" t="s">
        <v>376</v>
      </c>
      <c r="C25" s="84" t="s">
        <v>379</v>
      </c>
      <c r="D25" s="78">
        <v>376745</v>
      </c>
      <c r="E25" s="166">
        <v>0.11336537596429599</v>
      </c>
      <c r="F25" s="161">
        <v>453963</v>
      </c>
      <c r="G25" s="161">
        <v>13</v>
      </c>
      <c r="H25" s="161">
        <v>34920.230769230802</v>
      </c>
      <c r="I25" s="84" t="s">
        <v>869</v>
      </c>
      <c r="J25" s="13"/>
      <c r="K25" s="13"/>
      <c r="L25" s="13"/>
    </row>
    <row r="26" spans="1:12" ht="90.75" customHeight="1" x14ac:dyDescent="0.3">
      <c r="A26" s="83" t="s">
        <v>590</v>
      </c>
      <c r="B26" s="83" t="s">
        <v>376</v>
      </c>
      <c r="C26" s="83" t="s">
        <v>381</v>
      </c>
      <c r="D26" s="80">
        <v>197467</v>
      </c>
      <c r="E26" s="167">
        <v>5.9419290755130298E-2</v>
      </c>
      <c r="F26" s="162">
        <v>237940</v>
      </c>
      <c r="G26" s="162">
        <v>10</v>
      </c>
      <c r="H26" s="162">
        <v>23794</v>
      </c>
      <c r="I26" s="83" t="s">
        <v>869</v>
      </c>
      <c r="J26" s="13"/>
      <c r="K26" s="13"/>
      <c r="L26" s="13"/>
    </row>
    <row r="27" spans="1:12" ht="90.75" customHeight="1" x14ac:dyDescent="0.3">
      <c r="A27" s="84" t="s">
        <v>591</v>
      </c>
      <c r="B27" s="84" t="s">
        <v>376</v>
      </c>
      <c r="C27" s="84" t="s">
        <v>382</v>
      </c>
      <c r="D27" s="78">
        <v>150499</v>
      </c>
      <c r="E27" s="166">
        <v>4.52862698038475E-2</v>
      </c>
      <c r="F27" s="161">
        <v>181346</v>
      </c>
      <c r="G27" s="161">
        <v>169</v>
      </c>
      <c r="H27" s="161">
        <v>1073.05325443787</v>
      </c>
      <c r="I27" s="84" t="s">
        <v>869</v>
      </c>
      <c r="J27" s="13"/>
      <c r="K27" s="13"/>
      <c r="L27" s="13"/>
    </row>
    <row r="28" spans="1:12" ht="90.75" customHeight="1" x14ac:dyDescent="0.3">
      <c r="A28" s="83" t="s">
        <v>592</v>
      </c>
      <c r="B28" s="83" t="s">
        <v>376</v>
      </c>
      <c r="C28" s="83" t="s">
        <v>383</v>
      </c>
      <c r="D28" s="80">
        <v>381476</v>
      </c>
      <c r="E28" s="167">
        <v>0.114788969094097</v>
      </c>
      <c r="F28" s="162">
        <v>459664</v>
      </c>
      <c r="G28" s="162">
        <v>13</v>
      </c>
      <c r="H28" s="162">
        <v>35358.769230769198</v>
      </c>
      <c r="I28" s="83" t="s">
        <v>869</v>
      </c>
      <c r="J28" s="13"/>
      <c r="K28" s="13"/>
      <c r="L28" s="13"/>
    </row>
    <row r="29" spans="1:12" ht="90.75" customHeight="1" x14ac:dyDescent="0.3">
      <c r="A29" s="84" t="s">
        <v>593</v>
      </c>
      <c r="B29" s="84" t="s">
        <v>376</v>
      </c>
      <c r="C29" s="84" t="s">
        <v>384</v>
      </c>
      <c r="D29" s="78">
        <v>270530</v>
      </c>
      <c r="E29" s="166">
        <v>8.1404491525092201E-2</v>
      </c>
      <c r="F29" s="161">
        <v>325978</v>
      </c>
      <c r="G29" s="161">
        <v>34</v>
      </c>
      <c r="H29" s="161">
        <v>9587.5882352941208</v>
      </c>
      <c r="I29" s="84" t="s">
        <v>869</v>
      </c>
      <c r="J29" s="13"/>
      <c r="K29" s="13"/>
      <c r="L29" s="13"/>
    </row>
    <row r="30" spans="1:12" ht="90.75" customHeight="1" x14ac:dyDescent="0.3">
      <c r="A30" s="83" t="s">
        <v>594</v>
      </c>
      <c r="B30" s="83" t="s">
        <v>376</v>
      </c>
      <c r="C30" s="83" t="s">
        <v>385</v>
      </c>
      <c r="D30" s="80">
        <v>396915</v>
      </c>
      <c r="E30" s="167">
        <v>0.119434679161949</v>
      </c>
      <c r="F30" s="162">
        <v>478267</v>
      </c>
      <c r="G30" s="162">
        <v>28</v>
      </c>
      <c r="H30" s="162">
        <v>17080.964285714301</v>
      </c>
      <c r="I30" s="83" t="s">
        <v>869</v>
      </c>
      <c r="J30" s="13"/>
      <c r="K30" s="13"/>
      <c r="L30" s="13"/>
    </row>
    <row r="31" spans="1:12" ht="90.75" customHeight="1" x14ac:dyDescent="0.3">
      <c r="A31" s="84" t="s">
        <v>595</v>
      </c>
      <c r="B31" s="84" t="s">
        <v>376</v>
      </c>
      <c r="C31" s="84" t="s">
        <v>386</v>
      </c>
      <c r="D31" s="78">
        <v>507458</v>
      </c>
      <c r="E31" s="166">
        <v>0.15269789102997899</v>
      </c>
      <c r="F31" s="161">
        <v>611468</v>
      </c>
      <c r="G31" s="161">
        <v>22</v>
      </c>
      <c r="H31" s="161">
        <v>27794</v>
      </c>
      <c r="I31" s="84" t="s">
        <v>869</v>
      </c>
      <c r="J31" s="13"/>
      <c r="K31" s="13"/>
      <c r="L31" s="13"/>
    </row>
    <row r="32" spans="1:12" ht="90.75" customHeight="1" x14ac:dyDescent="0.3">
      <c r="A32" s="83" t="s">
        <v>596</v>
      </c>
      <c r="B32" s="83" t="s">
        <v>376</v>
      </c>
      <c r="C32" s="83" t="s">
        <v>387</v>
      </c>
      <c r="D32" s="80">
        <v>244531</v>
      </c>
      <c r="E32" s="167">
        <v>7.3581198821285401E-2</v>
      </c>
      <c r="F32" s="162">
        <v>294651</v>
      </c>
      <c r="G32" s="162">
        <v>34</v>
      </c>
      <c r="H32" s="162">
        <v>8666.2058823529405</v>
      </c>
      <c r="I32" s="83" t="s">
        <v>869</v>
      </c>
      <c r="J32" s="13"/>
      <c r="K32" s="13"/>
      <c r="L32" s="13"/>
    </row>
    <row r="33" spans="1:12" ht="90.75" customHeight="1" x14ac:dyDescent="0.3">
      <c r="A33" s="84" t="s">
        <v>597</v>
      </c>
      <c r="B33" s="84" t="s">
        <v>376</v>
      </c>
      <c r="C33" s="84" t="s">
        <v>388</v>
      </c>
      <c r="D33" s="78">
        <v>380336</v>
      </c>
      <c r="E33" s="166">
        <v>0.114445934604988</v>
      </c>
      <c r="F33" s="161">
        <v>458290</v>
      </c>
      <c r="G33" s="161">
        <v>18</v>
      </c>
      <c r="H33" s="161">
        <v>25460.555555555598</v>
      </c>
      <c r="I33" s="84" t="s">
        <v>869</v>
      </c>
      <c r="J33" s="13"/>
      <c r="K33" s="13"/>
      <c r="L33" s="13"/>
    </row>
    <row r="34" spans="1:12" ht="90.75" customHeight="1" x14ac:dyDescent="0.3">
      <c r="A34" s="83" t="s">
        <v>598</v>
      </c>
      <c r="B34" s="83" t="s">
        <v>376</v>
      </c>
      <c r="C34" s="83" t="s">
        <v>389</v>
      </c>
      <c r="D34" s="80">
        <v>417324</v>
      </c>
      <c r="E34" s="167">
        <v>0.12557589923933599</v>
      </c>
      <c r="F34" s="162">
        <v>502859</v>
      </c>
      <c r="G34" s="162">
        <v>203</v>
      </c>
      <c r="H34" s="162">
        <v>2477.1379310344801</v>
      </c>
      <c r="I34" s="83" t="s">
        <v>869</v>
      </c>
      <c r="J34" s="13"/>
      <c r="K34" s="13"/>
      <c r="L34" s="13"/>
    </row>
    <row r="35" spans="1:12" ht="90.75" customHeight="1" x14ac:dyDescent="0.3">
      <c r="A35" s="84" t="s">
        <v>599</v>
      </c>
      <c r="B35" s="84" t="s">
        <v>390</v>
      </c>
      <c r="C35" s="84" t="s">
        <v>392</v>
      </c>
      <c r="D35" s="78">
        <v>349283</v>
      </c>
      <c r="E35" s="166">
        <v>0.41726457988383397</v>
      </c>
      <c r="F35" s="161">
        <v>868049</v>
      </c>
      <c r="G35" s="161">
        <v>1335</v>
      </c>
      <c r="H35" s="161">
        <v>650.223970037453</v>
      </c>
      <c r="I35" s="84" t="s">
        <v>869</v>
      </c>
      <c r="J35" s="13"/>
      <c r="K35" s="13"/>
      <c r="L35" s="13"/>
    </row>
    <row r="36" spans="1:12" ht="90.75" customHeight="1" x14ac:dyDescent="0.3">
      <c r="A36" s="83" t="s">
        <v>601</v>
      </c>
      <c r="B36" s="83" t="s">
        <v>390</v>
      </c>
      <c r="C36" s="83" t="s">
        <v>390</v>
      </c>
      <c r="D36" s="80">
        <v>312822</v>
      </c>
      <c r="E36" s="167">
        <v>0.37370710973171001</v>
      </c>
      <c r="F36" s="162">
        <v>777435</v>
      </c>
      <c r="G36" s="162">
        <v>1292</v>
      </c>
      <c r="H36" s="162">
        <v>601.72987616099101</v>
      </c>
      <c r="I36" s="83" t="s">
        <v>869</v>
      </c>
      <c r="J36" s="13"/>
      <c r="K36" s="13"/>
      <c r="L36" s="13"/>
    </row>
    <row r="37" spans="1:12" ht="90.75" customHeight="1" x14ac:dyDescent="0.3">
      <c r="A37" s="84" t="s">
        <v>602</v>
      </c>
      <c r="B37" s="84" t="s">
        <v>390</v>
      </c>
      <c r="C37" s="84" t="s">
        <v>393</v>
      </c>
      <c r="D37" s="78">
        <v>174973</v>
      </c>
      <c r="E37" s="166">
        <v>0.20902831038445599</v>
      </c>
      <c r="F37" s="161">
        <v>434849</v>
      </c>
      <c r="G37" s="161">
        <v>1729</v>
      </c>
      <c r="H37" s="161">
        <v>251.503181029497</v>
      </c>
      <c r="I37" s="84" t="s">
        <v>869</v>
      </c>
      <c r="J37" s="13"/>
      <c r="K37" s="13"/>
      <c r="L37" s="13"/>
    </row>
    <row r="38" spans="1:12" ht="90.75" customHeight="1" x14ac:dyDescent="0.3">
      <c r="A38" s="83" t="s">
        <v>603</v>
      </c>
      <c r="B38" s="83" t="s">
        <v>394</v>
      </c>
      <c r="C38" s="83" t="s">
        <v>396</v>
      </c>
      <c r="D38" s="80">
        <v>89389</v>
      </c>
      <c r="E38" s="167">
        <v>0.1062516715302</v>
      </c>
      <c r="F38" s="162">
        <v>96362</v>
      </c>
      <c r="G38" s="162">
        <v>978</v>
      </c>
      <c r="H38" s="162">
        <v>98.529652351738207</v>
      </c>
      <c r="I38" s="83" t="s">
        <v>869</v>
      </c>
      <c r="J38" s="13"/>
      <c r="K38" s="13"/>
      <c r="L38" s="13"/>
    </row>
    <row r="39" spans="1:12" ht="90.75" customHeight="1" x14ac:dyDescent="0.3">
      <c r="A39" s="84" t="s">
        <v>605</v>
      </c>
      <c r="B39" s="84" t="s">
        <v>394</v>
      </c>
      <c r="C39" s="84" t="s">
        <v>394</v>
      </c>
      <c r="D39" s="78">
        <v>218510</v>
      </c>
      <c r="E39" s="166">
        <v>0.25973053447363897</v>
      </c>
      <c r="F39" s="161">
        <v>235554</v>
      </c>
      <c r="G39" s="161">
        <v>1155</v>
      </c>
      <c r="H39" s="161">
        <v>203.94285714285701</v>
      </c>
      <c r="I39" s="84" t="s">
        <v>869</v>
      </c>
      <c r="J39" s="13"/>
      <c r="K39" s="13"/>
      <c r="L39" s="13"/>
    </row>
    <row r="40" spans="1:12" ht="90.75" customHeight="1" x14ac:dyDescent="0.3">
      <c r="A40" s="83" t="s">
        <v>606</v>
      </c>
      <c r="B40" s="83" t="s">
        <v>394</v>
      </c>
      <c r="C40" s="83" t="s">
        <v>397</v>
      </c>
      <c r="D40" s="80">
        <v>59702</v>
      </c>
      <c r="E40" s="167">
        <v>7.0964406064460195E-2</v>
      </c>
      <c r="F40" s="162">
        <v>64359</v>
      </c>
      <c r="G40" s="162">
        <v>733</v>
      </c>
      <c r="H40" s="162">
        <v>87.802182810368393</v>
      </c>
      <c r="I40" s="83" t="s">
        <v>869</v>
      </c>
      <c r="J40" s="13"/>
      <c r="K40" s="13"/>
      <c r="L40" s="13"/>
    </row>
    <row r="41" spans="1:12" ht="90.75" customHeight="1" x14ac:dyDescent="0.3">
      <c r="A41" s="84" t="s">
        <v>607</v>
      </c>
      <c r="B41" s="84" t="s">
        <v>394</v>
      </c>
      <c r="C41" s="84" t="s">
        <v>398</v>
      </c>
      <c r="D41" s="78">
        <v>112719</v>
      </c>
      <c r="E41" s="166">
        <v>0.13398272900706601</v>
      </c>
      <c r="F41" s="161">
        <v>121511</v>
      </c>
      <c r="G41" s="161">
        <v>1476</v>
      </c>
      <c r="H41" s="161">
        <v>82.324525745257503</v>
      </c>
      <c r="I41" s="84" t="s">
        <v>869</v>
      </c>
      <c r="J41" s="13"/>
      <c r="K41" s="13"/>
      <c r="L41" s="13"/>
    </row>
    <row r="42" spans="1:12" ht="90.75" customHeight="1" x14ac:dyDescent="0.3">
      <c r="A42" s="83" t="s">
        <v>608</v>
      </c>
      <c r="B42" s="83" t="s">
        <v>394</v>
      </c>
      <c r="C42" s="83" t="s">
        <v>399</v>
      </c>
      <c r="D42" s="80">
        <v>91600</v>
      </c>
      <c r="E42" s="167">
        <v>0.108879762746718</v>
      </c>
      <c r="F42" s="162">
        <v>98745</v>
      </c>
      <c r="G42" s="162">
        <v>406</v>
      </c>
      <c r="H42" s="162">
        <v>243.21428571428601</v>
      </c>
      <c r="I42" s="83" t="s">
        <v>869</v>
      </c>
      <c r="J42" s="13"/>
      <c r="K42" s="13"/>
      <c r="L42" s="13"/>
    </row>
    <row r="43" spans="1:12" ht="90.75" customHeight="1" x14ac:dyDescent="0.3">
      <c r="A43" s="84" t="s">
        <v>609</v>
      </c>
      <c r="B43" s="84" t="s">
        <v>394</v>
      </c>
      <c r="C43" s="84" t="s">
        <v>400</v>
      </c>
      <c r="D43" s="78">
        <v>96262</v>
      </c>
      <c r="E43" s="166">
        <v>0.114421219667299</v>
      </c>
      <c r="F43" s="161">
        <v>103771</v>
      </c>
      <c r="G43" s="161">
        <v>866</v>
      </c>
      <c r="H43" s="161">
        <v>119.827944572748</v>
      </c>
      <c r="I43" s="84" t="s">
        <v>869</v>
      </c>
      <c r="J43" s="13"/>
      <c r="K43" s="13"/>
      <c r="L43" s="13"/>
    </row>
    <row r="44" spans="1:12" ht="90.75" customHeight="1" x14ac:dyDescent="0.3">
      <c r="A44" s="83" t="s">
        <v>610</v>
      </c>
      <c r="B44" s="83" t="s">
        <v>394</v>
      </c>
      <c r="C44" s="83" t="s">
        <v>401</v>
      </c>
      <c r="D44" s="80">
        <v>173113</v>
      </c>
      <c r="E44" s="167">
        <v>0.205769676510618</v>
      </c>
      <c r="F44" s="162">
        <v>186616</v>
      </c>
      <c r="G44" s="162">
        <v>1459</v>
      </c>
      <c r="H44" s="162">
        <v>127.90678546949999</v>
      </c>
      <c r="I44" s="83" t="s">
        <v>869</v>
      </c>
      <c r="J44" s="13"/>
      <c r="K44" s="13"/>
      <c r="L44" s="13"/>
    </row>
    <row r="45" spans="1:12" ht="90.75" customHeight="1" x14ac:dyDescent="0.3">
      <c r="A45" s="84" t="s">
        <v>611</v>
      </c>
      <c r="B45" s="84" t="s">
        <v>402</v>
      </c>
      <c r="C45" s="84" t="s">
        <v>404</v>
      </c>
      <c r="D45" s="78">
        <v>121201</v>
      </c>
      <c r="E45" s="166">
        <v>0.17851135717589101</v>
      </c>
      <c r="F45" s="161">
        <v>146452</v>
      </c>
      <c r="G45" s="161">
        <v>1150</v>
      </c>
      <c r="H45" s="161">
        <v>127.349565217391</v>
      </c>
      <c r="I45" s="84" t="s">
        <v>869</v>
      </c>
      <c r="J45" s="13"/>
      <c r="K45" s="13"/>
      <c r="L45" s="13"/>
    </row>
    <row r="46" spans="1:12" ht="90.75" customHeight="1" x14ac:dyDescent="0.3">
      <c r="A46" s="83" t="s">
        <v>613</v>
      </c>
      <c r="B46" s="83" t="s">
        <v>402</v>
      </c>
      <c r="C46" s="83" t="s">
        <v>402</v>
      </c>
      <c r="D46" s="80">
        <v>248686</v>
      </c>
      <c r="E46" s="167">
        <v>0.36627812782603802</v>
      </c>
      <c r="F46" s="162">
        <v>300496</v>
      </c>
      <c r="G46" s="162">
        <v>2609</v>
      </c>
      <c r="H46" s="162">
        <v>115.176696052127</v>
      </c>
      <c r="I46" s="83" t="s">
        <v>869</v>
      </c>
      <c r="J46" s="13"/>
      <c r="K46" s="13"/>
      <c r="L46" s="13"/>
    </row>
    <row r="47" spans="1:12" ht="90.75" customHeight="1" x14ac:dyDescent="0.3">
      <c r="A47" s="84" t="s">
        <v>614</v>
      </c>
      <c r="B47" s="84" t="s">
        <v>402</v>
      </c>
      <c r="C47" s="84" t="s">
        <v>405</v>
      </c>
      <c r="D47" s="78">
        <v>195710</v>
      </c>
      <c r="E47" s="166">
        <v>0.28825222327285799</v>
      </c>
      <c r="F47" s="161">
        <v>236484</v>
      </c>
      <c r="G47" s="161">
        <v>4537</v>
      </c>
      <c r="H47" s="161">
        <v>52.123429579016999</v>
      </c>
      <c r="I47" s="84" t="s">
        <v>869</v>
      </c>
      <c r="J47" s="13"/>
      <c r="K47" s="13"/>
      <c r="L47" s="13"/>
    </row>
    <row r="48" spans="1:12" ht="90.75" customHeight="1" x14ac:dyDescent="0.3">
      <c r="A48" s="83" t="s">
        <v>615</v>
      </c>
      <c r="B48" s="83" t="s">
        <v>402</v>
      </c>
      <c r="C48" s="83" t="s">
        <v>406</v>
      </c>
      <c r="D48" s="80">
        <v>113357</v>
      </c>
      <c r="E48" s="167">
        <v>0.16695829172521301</v>
      </c>
      <c r="F48" s="162">
        <v>136973</v>
      </c>
      <c r="G48" s="162">
        <v>2765</v>
      </c>
      <c r="H48" s="162">
        <v>49.538155515370697</v>
      </c>
      <c r="I48" s="83" t="s">
        <v>869</v>
      </c>
      <c r="J48" s="13"/>
      <c r="K48" s="13"/>
      <c r="L48" s="13"/>
    </row>
    <row r="49" spans="1:12" ht="90.75" customHeight="1" x14ac:dyDescent="0.3">
      <c r="A49" s="84" t="s">
        <v>616</v>
      </c>
      <c r="B49" s="84" t="s">
        <v>407</v>
      </c>
      <c r="C49" s="84" t="s">
        <v>409</v>
      </c>
      <c r="D49" s="78">
        <v>134306</v>
      </c>
      <c r="E49" s="166">
        <v>0.119873259550161</v>
      </c>
      <c r="F49" s="161">
        <v>160237</v>
      </c>
      <c r="G49" s="161">
        <v>1066</v>
      </c>
      <c r="H49" s="161">
        <v>150.316135084428</v>
      </c>
      <c r="I49" s="84" t="s">
        <v>869</v>
      </c>
      <c r="J49" s="13"/>
      <c r="K49" s="13"/>
      <c r="L49" s="13"/>
    </row>
    <row r="50" spans="1:12" ht="90.75" customHeight="1" x14ac:dyDescent="0.3">
      <c r="A50" s="83" t="s">
        <v>618</v>
      </c>
      <c r="B50" s="83" t="s">
        <v>407</v>
      </c>
      <c r="C50" s="83" t="s">
        <v>410</v>
      </c>
      <c r="D50" s="80">
        <v>365096</v>
      </c>
      <c r="E50" s="167">
        <v>0.32586219207425898</v>
      </c>
      <c r="F50" s="162">
        <v>435586</v>
      </c>
      <c r="G50" s="162">
        <v>535</v>
      </c>
      <c r="H50" s="162">
        <v>814.17943925233703</v>
      </c>
      <c r="I50" s="83" t="s">
        <v>869</v>
      </c>
      <c r="J50" s="13"/>
      <c r="K50" s="13"/>
      <c r="L50" s="13"/>
    </row>
    <row r="51" spans="1:12" ht="90.75" customHeight="1" x14ac:dyDescent="0.3">
      <c r="A51" s="84" t="s">
        <v>619</v>
      </c>
      <c r="B51" s="84" t="s">
        <v>407</v>
      </c>
      <c r="C51" s="84" t="s">
        <v>411</v>
      </c>
      <c r="D51" s="78">
        <v>204812</v>
      </c>
      <c r="E51" s="166">
        <v>0.182802570510532</v>
      </c>
      <c r="F51" s="161">
        <v>244356</v>
      </c>
      <c r="G51" s="161">
        <v>1359</v>
      </c>
      <c r="H51" s="161">
        <v>179.805739514349</v>
      </c>
      <c r="I51" s="84" t="s">
        <v>869</v>
      </c>
      <c r="J51" s="13"/>
      <c r="K51" s="13"/>
      <c r="L51" s="13"/>
    </row>
    <row r="52" spans="1:12" ht="90.75" customHeight="1" x14ac:dyDescent="0.3">
      <c r="A52" s="83" t="s">
        <v>620</v>
      </c>
      <c r="B52" s="83" t="s">
        <v>407</v>
      </c>
      <c r="C52" s="83" t="s">
        <v>412</v>
      </c>
      <c r="D52" s="80">
        <v>416186</v>
      </c>
      <c r="E52" s="167">
        <v>0.37146197786504798</v>
      </c>
      <c r="F52" s="162">
        <v>496541</v>
      </c>
      <c r="G52" s="162">
        <v>2302</v>
      </c>
      <c r="H52" s="162">
        <v>215.69982623805399</v>
      </c>
      <c r="I52" s="83" t="s">
        <v>869</v>
      </c>
      <c r="J52" s="13"/>
      <c r="K52" s="13"/>
      <c r="L52" s="13"/>
    </row>
    <row r="53" spans="1:12" ht="90.75" customHeight="1" x14ac:dyDescent="0.3">
      <c r="A53" s="84" t="s">
        <v>621</v>
      </c>
      <c r="B53" s="84" t="s">
        <v>413</v>
      </c>
      <c r="C53" s="84" t="s">
        <v>413</v>
      </c>
      <c r="D53" s="78">
        <v>92483</v>
      </c>
      <c r="E53" s="166">
        <v>0.51878632171786299</v>
      </c>
      <c r="F53" s="161">
        <v>127179</v>
      </c>
      <c r="G53" s="161">
        <v>7061</v>
      </c>
      <c r="H53" s="161">
        <v>18.011471462965599</v>
      </c>
      <c r="I53" s="84" t="s">
        <v>869</v>
      </c>
      <c r="J53" s="13"/>
      <c r="K53" s="13"/>
      <c r="L53" s="13"/>
    </row>
    <row r="54" spans="1:12" ht="90.75" customHeight="1" x14ac:dyDescent="0.3">
      <c r="A54" s="83" t="s">
        <v>623</v>
      </c>
      <c r="B54" s="83" t="s">
        <v>413</v>
      </c>
      <c r="C54" s="83" t="s">
        <v>415</v>
      </c>
      <c r="D54" s="80">
        <v>26042</v>
      </c>
      <c r="E54" s="167">
        <v>0.14608342495568499</v>
      </c>
      <c r="F54" s="162">
        <v>35812</v>
      </c>
      <c r="G54" s="162">
        <v>1931</v>
      </c>
      <c r="H54" s="162">
        <v>18.5458311755567</v>
      </c>
      <c r="I54" s="83" t="s">
        <v>869</v>
      </c>
      <c r="J54" s="13"/>
      <c r="K54" s="13"/>
      <c r="L54" s="13"/>
    </row>
    <row r="55" spans="1:12" ht="90.75" customHeight="1" x14ac:dyDescent="0.3">
      <c r="A55" s="84" t="s">
        <v>624</v>
      </c>
      <c r="B55" s="84" t="s">
        <v>413</v>
      </c>
      <c r="C55" s="84" t="s">
        <v>416</v>
      </c>
      <c r="D55" s="78">
        <v>59743</v>
      </c>
      <c r="E55" s="166">
        <v>0.33513025332645202</v>
      </c>
      <c r="F55" s="161">
        <v>82156</v>
      </c>
      <c r="G55" s="161">
        <v>7918</v>
      </c>
      <c r="H55" s="161">
        <v>10.375852488002</v>
      </c>
      <c r="I55" s="84" t="s">
        <v>869</v>
      </c>
      <c r="J55" s="13"/>
      <c r="K55" s="13"/>
      <c r="L55" s="13"/>
    </row>
    <row r="56" spans="1:12" ht="90.75" customHeight="1" x14ac:dyDescent="0.3">
      <c r="A56" s="83" t="s">
        <v>625</v>
      </c>
      <c r="B56" s="83" t="s">
        <v>417</v>
      </c>
      <c r="C56" s="83" t="s">
        <v>417</v>
      </c>
      <c r="D56" s="80">
        <v>286693</v>
      </c>
      <c r="E56" s="167">
        <v>0.37132887693262201</v>
      </c>
      <c r="F56" s="162">
        <v>339691</v>
      </c>
      <c r="G56" s="162">
        <v>3571</v>
      </c>
      <c r="H56" s="162">
        <v>95.124894987398505</v>
      </c>
      <c r="I56" s="83" t="s">
        <v>869</v>
      </c>
      <c r="J56" s="13"/>
      <c r="K56" s="13"/>
      <c r="L56" s="13"/>
    </row>
    <row r="57" spans="1:12" ht="90.75" customHeight="1" x14ac:dyDescent="0.3">
      <c r="A57" s="84" t="s">
        <v>627</v>
      </c>
      <c r="B57" s="84" t="s">
        <v>417</v>
      </c>
      <c r="C57" s="84" t="s">
        <v>419</v>
      </c>
      <c r="D57" s="78">
        <v>160934</v>
      </c>
      <c r="E57" s="166">
        <v>0.20844402018980099</v>
      </c>
      <c r="F57" s="161">
        <v>190684</v>
      </c>
      <c r="G57" s="161">
        <v>4702</v>
      </c>
      <c r="H57" s="161">
        <v>40.553806890684797</v>
      </c>
      <c r="I57" s="84" t="s">
        <v>869</v>
      </c>
      <c r="J57" s="13"/>
      <c r="K57" s="13"/>
      <c r="L57" s="13"/>
    </row>
    <row r="58" spans="1:12" ht="90.75" customHeight="1" x14ac:dyDescent="0.3">
      <c r="A58" s="83" t="s">
        <v>628</v>
      </c>
      <c r="B58" s="83" t="s">
        <v>417</v>
      </c>
      <c r="C58" s="83" t="s">
        <v>420</v>
      </c>
      <c r="D58" s="80">
        <v>324446</v>
      </c>
      <c r="E58" s="167">
        <v>0.42022710287757797</v>
      </c>
      <c r="F58" s="162">
        <v>384423</v>
      </c>
      <c r="G58" s="162">
        <v>5498</v>
      </c>
      <c r="H58" s="162">
        <v>69.920516551473298</v>
      </c>
      <c r="I58" s="83" t="s">
        <v>869</v>
      </c>
      <c r="J58" s="13"/>
      <c r="K58" s="13"/>
      <c r="L58" s="13"/>
    </row>
    <row r="59" spans="1:12" ht="90.75" customHeight="1" x14ac:dyDescent="0.3">
      <c r="A59" s="84" t="s">
        <v>629</v>
      </c>
      <c r="B59" s="84" t="s">
        <v>421</v>
      </c>
      <c r="C59" s="84" t="s">
        <v>423</v>
      </c>
      <c r="D59" s="78">
        <v>72895</v>
      </c>
      <c r="E59" s="166">
        <v>7.2575594807253299E-2</v>
      </c>
      <c r="F59" s="161">
        <v>81713</v>
      </c>
      <c r="G59" s="161">
        <v>822</v>
      </c>
      <c r="H59" s="161">
        <v>99.407542579075397</v>
      </c>
      <c r="I59" s="84" t="s">
        <v>869</v>
      </c>
      <c r="J59" s="13"/>
      <c r="K59" s="13"/>
      <c r="L59" s="13"/>
    </row>
    <row r="60" spans="1:12" ht="90.75" customHeight="1" x14ac:dyDescent="0.3">
      <c r="A60" s="83" t="s">
        <v>631</v>
      </c>
      <c r="B60" s="83" t="s">
        <v>421</v>
      </c>
      <c r="C60" s="83" t="s">
        <v>424</v>
      </c>
      <c r="D60" s="80">
        <v>151447</v>
      </c>
      <c r="E60" s="167">
        <v>0.15078340224671199</v>
      </c>
      <c r="F60" s="162">
        <v>169768</v>
      </c>
      <c r="G60" s="162">
        <v>6832</v>
      </c>
      <c r="H60" s="162">
        <v>24.848946135831401</v>
      </c>
      <c r="I60" s="83" t="s">
        <v>869</v>
      </c>
      <c r="J60" s="13"/>
      <c r="K60" s="13"/>
      <c r="L60" s="13"/>
    </row>
    <row r="61" spans="1:12" ht="90.75" customHeight="1" x14ac:dyDescent="0.3">
      <c r="A61" s="84" t="s">
        <v>632</v>
      </c>
      <c r="B61" s="84" t="s">
        <v>421</v>
      </c>
      <c r="C61" s="84" t="s">
        <v>425</v>
      </c>
      <c r="D61" s="78">
        <v>95219</v>
      </c>
      <c r="E61" s="166">
        <v>9.4801777377760493E-2</v>
      </c>
      <c r="F61" s="161">
        <v>106738</v>
      </c>
      <c r="G61" s="161">
        <v>1601</v>
      </c>
      <c r="H61" s="161">
        <v>66.669581511555293</v>
      </c>
      <c r="I61" s="84" t="s">
        <v>869</v>
      </c>
      <c r="J61" s="13"/>
      <c r="K61" s="13"/>
      <c r="L61" s="13"/>
    </row>
    <row r="62" spans="1:12" ht="90.75" customHeight="1" x14ac:dyDescent="0.3">
      <c r="A62" s="83" t="s">
        <v>633</v>
      </c>
      <c r="B62" s="83" t="s">
        <v>421</v>
      </c>
      <c r="C62" s="83" t="s">
        <v>426</v>
      </c>
      <c r="D62" s="80">
        <v>202455</v>
      </c>
      <c r="E62" s="167">
        <v>0.201567899673537</v>
      </c>
      <c r="F62" s="162">
        <v>226947</v>
      </c>
      <c r="G62" s="162">
        <v>2260</v>
      </c>
      <c r="H62" s="162">
        <v>100.419026548673</v>
      </c>
      <c r="I62" s="83" t="s">
        <v>869</v>
      </c>
      <c r="J62" s="13"/>
      <c r="K62" s="13"/>
      <c r="L62" s="13"/>
    </row>
    <row r="63" spans="1:12" ht="90.75" customHeight="1" x14ac:dyDescent="0.3">
      <c r="A63" s="84" t="s">
        <v>634</v>
      </c>
      <c r="B63" s="84" t="s">
        <v>421</v>
      </c>
      <c r="C63" s="84" t="s">
        <v>427</v>
      </c>
      <c r="D63" s="78">
        <v>86921</v>
      </c>
      <c r="E63" s="166">
        <v>8.6540136857689298E-2</v>
      </c>
      <c r="F63" s="161">
        <v>97436</v>
      </c>
      <c r="G63" s="161">
        <v>2889</v>
      </c>
      <c r="H63" s="161">
        <v>33.726548978885397</v>
      </c>
      <c r="I63" s="84" t="s">
        <v>869</v>
      </c>
      <c r="J63" s="13"/>
      <c r="K63" s="13"/>
      <c r="L63" s="13"/>
    </row>
    <row r="64" spans="1:12" ht="90.75" customHeight="1" x14ac:dyDescent="0.3">
      <c r="A64" s="83" t="s">
        <v>635</v>
      </c>
      <c r="B64" s="83" t="s">
        <v>421</v>
      </c>
      <c r="C64" s="83" t="s">
        <v>428</v>
      </c>
      <c r="D64" s="80">
        <v>126481</v>
      </c>
      <c r="E64" s="167">
        <v>0.125926796170056</v>
      </c>
      <c r="F64" s="162">
        <v>141782</v>
      </c>
      <c r="G64" s="162">
        <v>8907</v>
      </c>
      <c r="H64" s="162">
        <v>15.9180419894465</v>
      </c>
      <c r="I64" s="83" t="s">
        <v>869</v>
      </c>
      <c r="J64" s="13"/>
      <c r="K64" s="13"/>
      <c r="L64" s="13"/>
    </row>
    <row r="65" spans="1:12" ht="90.75" customHeight="1" x14ac:dyDescent="0.3">
      <c r="A65" s="84" t="s">
        <v>636</v>
      </c>
      <c r="B65" s="84" t="s">
        <v>421</v>
      </c>
      <c r="C65" s="84" t="s">
        <v>421</v>
      </c>
      <c r="D65" s="78">
        <v>186605</v>
      </c>
      <c r="E65" s="166">
        <v>0.185787349873208</v>
      </c>
      <c r="F65" s="161">
        <v>209180</v>
      </c>
      <c r="G65" s="161">
        <v>759</v>
      </c>
      <c r="H65" s="161">
        <v>275.59947299077697</v>
      </c>
      <c r="I65" s="84" t="s">
        <v>869</v>
      </c>
      <c r="J65" s="13"/>
      <c r="K65" s="13"/>
      <c r="L65" s="13"/>
    </row>
    <row r="66" spans="1:12" ht="90.75" customHeight="1" x14ac:dyDescent="0.3">
      <c r="A66" s="83" t="s">
        <v>637</v>
      </c>
      <c r="B66" s="83" t="s">
        <v>421</v>
      </c>
      <c r="C66" s="83" t="s">
        <v>429</v>
      </c>
      <c r="D66" s="80">
        <v>82378</v>
      </c>
      <c r="E66" s="167">
        <v>8.20170429937844E-2</v>
      </c>
      <c r="F66" s="162">
        <v>92344</v>
      </c>
      <c r="G66" s="162">
        <v>1185</v>
      </c>
      <c r="H66" s="162">
        <v>77.927426160337603</v>
      </c>
      <c r="I66" s="83" t="s">
        <v>869</v>
      </c>
      <c r="J66" s="13"/>
      <c r="K66" s="13"/>
      <c r="L66" s="13"/>
    </row>
    <row r="67" spans="1:12" ht="90.75" customHeight="1" x14ac:dyDescent="0.3">
      <c r="A67" s="84" t="s">
        <v>638</v>
      </c>
      <c r="B67" s="84" t="s">
        <v>430</v>
      </c>
      <c r="C67" s="84" t="s">
        <v>432</v>
      </c>
      <c r="D67" s="78">
        <v>288463</v>
      </c>
      <c r="E67" s="166">
        <v>0.42415789814199401</v>
      </c>
      <c r="F67" s="161">
        <v>352743</v>
      </c>
      <c r="G67" s="161">
        <v>8704</v>
      </c>
      <c r="H67" s="161">
        <v>40.526539522058798</v>
      </c>
      <c r="I67" s="84" t="s">
        <v>869</v>
      </c>
      <c r="J67" s="13"/>
      <c r="K67" s="13"/>
      <c r="L67" s="13"/>
    </row>
    <row r="68" spans="1:12" ht="90.75" customHeight="1" x14ac:dyDescent="0.3">
      <c r="A68" s="83" t="s">
        <v>640</v>
      </c>
      <c r="B68" s="83" t="s">
        <v>430</v>
      </c>
      <c r="C68" s="83" t="s">
        <v>430</v>
      </c>
      <c r="D68" s="80">
        <v>234009</v>
      </c>
      <c r="E68" s="167">
        <v>0.34408837731809599</v>
      </c>
      <c r="F68" s="162">
        <v>286154</v>
      </c>
      <c r="G68" s="162">
        <v>3957</v>
      </c>
      <c r="H68" s="162">
        <v>72.315895880717704</v>
      </c>
      <c r="I68" s="83" t="s">
        <v>869</v>
      </c>
      <c r="J68" s="13"/>
      <c r="K68" s="13"/>
      <c r="L68" s="13"/>
    </row>
    <row r="69" spans="1:12" ht="90.75" customHeight="1" x14ac:dyDescent="0.3">
      <c r="A69" s="84" t="s">
        <v>641</v>
      </c>
      <c r="B69" s="84" t="s">
        <v>430</v>
      </c>
      <c r="C69" s="84" t="s">
        <v>433</v>
      </c>
      <c r="D69" s="78">
        <v>62034</v>
      </c>
      <c r="E69" s="166">
        <v>9.1215202827886005E-2</v>
      </c>
      <c r="F69" s="161">
        <v>75857</v>
      </c>
      <c r="G69" s="161">
        <v>14444</v>
      </c>
      <c r="H69" s="161">
        <v>5.2518000553863198</v>
      </c>
      <c r="I69" s="84" t="s">
        <v>869</v>
      </c>
      <c r="J69" s="13"/>
      <c r="K69" s="13"/>
      <c r="L69" s="13"/>
    </row>
    <row r="70" spans="1:12" ht="90.75" customHeight="1" x14ac:dyDescent="0.3">
      <c r="A70" s="83" t="s">
        <v>642</v>
      </c>
      <c r="B70" s="83" t="s">
        <v>430</v>
      </c>
      <c r="C70" s="83" t="s">
        <v>434</v>
      </c>
      <c r="D70" s="80">
        <v>95578</v>
      </c>
      <c r="E70" s="167">
        <v>0.14053852171202399</v>
      </c>
      <c r="F70" s="162">
        <v>116876</v>
      </c>
      <c r="G70" s="162">
        <v>1898</v>
      </c>
      <c r="H70" s="162">
        <v>61.578503688092702</v>
      </c>
      <c r="I70" s="83" t="s">
        <v>869</v>
      </c>
      <c r="J70" s="13"/>
      <c r="K70" s="13"/>
      <c r="L70" s="13"/>
    </row>
    <row r="71" spans="1:12" ht="90.75" customHeight="1" x14ac:dyDescent="0.3">
      <c r="A71" s="84" t="s">
        <v>643</v>
      </c>
      <c r="B71" s="84" t="s">
        <v>435</v>
      </c>
      <c r="C71" s="84" t="s">
        <v>437</v>
      </c>
      <c r="D71" s="78">
        <v>84737</v>
      </c>
      <c r="E71" s="166">
        <v>8.17916025988141E-2</v>
      </c>
      <c r="F71" s="161">
        <v>98350</v>
      </c>
      <c r="G71" s="161">
        <v>2448</v>
      </c>
      <c r="H71" s="161">
        <v>40.175653594771198</v>
      </c>
      <c r="I71" s="84" t="s">
        <v>869</v>
      </c>
      <c r="J71" s="13"/>
      <c r="K71" s="13"/>
      <c r="L71" s="13"/>
    </row>
    <row r="72" spans="1:12" ht="90.75" customHeight="1" x14ac:dyDescent="0.3">
      <c r="A72" s="83" t="s">
        <v>645</v>
      </c>
      <c r="B72" s="83" t="s">
        <v>435</v>
      </c>
      <c r="C72" s="83" t="s">
        <v>438</v>
      </c>
      <c r="D72" s="80">
        <v>159804</v>
      </c>
      <c r="E72" s="167">
        <v>0.15424932746853101</v>
      </c>
      <c r="F72" s="162">
        <v>185476</v>
      </c>
      <c r="G72" s="162">
        <v>6989</v>
      </c>
      <c r="H72" s="162">
        <v>26.5382744312491</v>
      </c>
      <c r="I72" s="83" t="s">
        <v>869</v>
      </c>
      <c r="J72" s="13"/>
      <c r="K72" s="13"/>
      <c r="L72" s="13"/>
    </row>
    <row r="73" spans="1:12" ht="90.75" customHeight="1" x14ac:dyDescent="0.3">
      <c r="A73" s="84" t="s">
        <v>646</v>
      </c>
      <c r="B73" s="84" t="s">
        <v>435</v>
      </c>
      <c r="C73" s="84" t="s">
        <v>439</v>
      </c>
      <c r="D73" s="78">
        <v>262777</v>
      </c>
      <c r="E73" s="166">
        <v>0.253643059774462</v>
      </c>
      <c r="F73" s="161">
        <v>304991</v>
      </c>
      <c r="G73" s="161">
        <v>5859</v>
      </c>
      <c r="H73" s="161">
        <v>52.055128861580499</v>
      </c>
      <c r="I73" s="84" t="s">
        <v>869</v>
      </c>
      <c r="J73" s="13"/>
      <c r="K73" s="13"/>
      <c r="L73" s="13"/>
    </row>
    <row r="74" spans="1:12" ht="90.75" customHeight="1" x14ac:dyDescent="0.3">
      <c r="A74" s="83" t="s">
        <v>647</v>
      </c>
      <c r="B74" s="83" t="s">
        <v>435</v>
      </c>
      <c r="C74" s="83" t="s">
        <v>440</v>
      </c>
      <c r="D74" s="80">
        <v>190747</v>
      </c>
      <c r="E74" s="167">
        <v>0.18411677096092599</v>
      </c>
      <c r="F74" s="162">
        <v>221389</v>
      </c>
      <c r="G74" s="162">
        <v>3143</v>
      </c>
      <c r="H74" s="162">
        <v>70.438752783964404</v>
      </c>
      <c r="I74" s="83" t="s">
        <v>869</v>
      </c>
      <c r="J74" s="13"/>
      <c r="K74" s="13"/>
      <c r="L74" s="13"/>
    </row>
    <row r="75" spans="1:12" ht="90.75" customHeight="1" x14ac:dyDescent="0.3">
      <c r="A75" s="84" t="s">
        <v>648</v>
      </c>
      <c r="B75" s="84" t="s">
        <v>435</v>
      </c>
      <c r="C75" s="84" t="s">
        <v>435</v>
      </c>
      <c r="D75" s="78">
        <v>337946</v>
      </c>
      <c r="E75" s="166">
        <v>0.32619923919726701</v>
      </c>
      <c r="F75" s="161">
        <v>392235</v>
      </c>
      <c r="G75" s="161">
        <v>802</v>
      </c>
      <c r="H75" s="161">
        <v>489.07107231920202</v>
      </c>
      <c r="I75" s="84" t="s">
        <v>869</v>
      </c>
      <c r="J75" s="13"/>
      <c r="K75" s="13"/>
      <c r="L75" s="13"/>
    </row>
    <row r="76" spans="1:12" ht="90.75" customHeight="1" x14ac:dyDescent="0.3">
      <c r="A76" s="83" t="s">
        <v>649</v>
      </c>
      <c r="B76" s="83" t="s">
        <v>441</v>
      </c>
      <c r="C76" s="83" t="s">
        <v>443</v>
      </c>
      <c r="D76" s="80">
        <v>171810</v>
      </c>
      <c r="E76" s="167">
        <v>0.49030155500446598</v>
      </c>
      <c r="F76" s="162">
        <v>288918</v>
      </c>
      <c r="G76" s="162">
        <v>2865</v>
      </c>
      <c r="H76" s="162">
        <v>100.84397905759199</v>
      </c>
      <c r="I76" s="83" t="s">
        <v>869</v>
      </c>
      <c r="J76" s="13"/>
      <c r="K76" s="13"/>
      <c r="L76" s="13"/>
    </row>
    <row r="77" spans="1:12" ht="90.75" customHeight="1" x14ac:dyDescent="0.3">
      <c r="A77" s="84" t="s">
        <v>651</v>
      </c>
      <c r="B77" s="84" t="s">
        <v>441</v>
      </c>
      <c r="C77" s="84" t="s">
        <v>441</v>
      </c>
      <c r="D77" s="78">
        <v>178607</v>
      </c>
      <c r="E77" s="166">
        <v>0.50969844499553396</v>
      </c>
      <c r="F77" s="161">
        <v>300348</v>
      </c>
      <c r="G77" s="161">
        <v>2749</v>
      </c>
      <c r="H77" s="161">
        <v>109.257184430702</v>
      </c>
      <c r="I77" s="84" t="s">
        <v>869</v>
      </c>
      <c r="J77" s="13"/>
      <c r="K77" s="13"/>
      <c r="L77" s="13"/>
    </row>
    <row r="78" spans="1:12" ht="90.75" customHeight="1" x14ac:dyDescent="0.3">
      <c r="A78" s="83" t="s">
        <v>652</v>
      </c>
      <c r="B78" s="83" t="s">
        <v>444</v>
      </c>
      <c r="C78" s="83" t="s">
        <v>446</v>
      </c>
      <c r="D78" s="80">
        <v>101081</v>
      </c>
      <c r="E78" s="167">
        <v>0.15338776005705701</v>
      </c>
      <c r="F78" s="162">
        <v>151417</v>
      </c>
      <c r="G78" s="162">
        <v>1360</v>
      </c>
      <c r="H78" s="162">
        <v>111.336029411765</v>
      </c>
      <c r="I78" s="83" t="s">
        <v>869</v>
      </c>
      <c r="J78" s="13"/>
      <c r="K78" s="13"/>
      <c r="L78" s="13"/>
    </row>
    <row r="79" spans="1:12" ht="90.75" customHeight="1" x14ac:dyDescent="0.3">
      <c r="A79" s="84" t="s">
        <v>654</v>
      </c>
      <c r="B79" s="84" t="s">
        <v>444</v>
      </c>
      <c r="C79" s="84" t="s">
        <v>447</v>
      </c>
      <c r="D79" s="78">
        <v>49569</v>
      </c>
      <c r="E79" s="166">
        <v>7.5219654319488904E-2</v>
      </c>
      <c r="F79" s="161">
        <v>74253</v>
      </c>
      <c r="G79" s="161">
        <v>6089</v>
      </c>
      <c r="H79" s="161">
        <v>12.194613236984701</v>
      </c>
      <c r="I79" s="84" t="s">
        <v>869</v>
      </c>
      <c r="J79" s="13"/>
      <c r="K79" s="13"/>
      <c r="L79" s="13"/>
    </row>
    <row r="80" spans="1:12" ht="90.75" customHeight="1" x14ac:dyDescent="0.3">
      <c r="A80" s="83" t="s">
        <v>655</v>
      </c>
      <c r="B80" s="83" t="s">
        <v>444</v>
      </c>
      <c r="C80" s="83" t="s">
        <v>448</v>
      </c>
      <c r="D80" s="80">
        <v>87321</v>
      </c>
      <c r="E80" s="167">
        <v>0.13250732181065</v>
      </c>
      <c r="F80" s="162">
        <v>130805</v>
      </c>
      <c r="G80" s="162">
        <v>9596</v>
      </c>
      <c r="H80" s="162">
        <v>13.631200500208401</v>
      </c>
      <c r="I80" s="83" t="s">
        <v>869</v>
      </c>
      <c r="J80" s="13"/>
      <c r="K80" s="13"/>
      <c r="L80" s="13"/>
    </row>
    <row r="81" spans="1:12" ht="90.75" customHeight="1" x14ac:dyDescent="0.3">
      <c r="A81" s="84" t="s">
        <v>656</v>
      </c>
      <c r="B81" s="84" t="s">
        <v>444</v>
      </c>
      <c r="C81" s="84" t="s">
        <v>449</v>
      </c>
      <c r="D81" s="78">
        <v>64440</v>
      </c>
      <c r="E81" s="166">
        <v>9.7786005857448496E-2</v>
      </c>
      <c r="F81" s="161">
        <v>96530</v>
      </c>
      <c r="G81" s="161">
        <v>5363</v>
      </c>
      <c r="H81" s="161">
        <v>17.999254148797299</v>
      </c>
      <c r="I81" s="84" t="s">
        <v>869</v>
      </c>
      <c r="J81" s="13"/>
      <c r="K81" s="13"/>
      <c r="L81" s="13"/>
    </row>
    <row r="82" spans="1:12" ht="90.75" customHeight="1" x14ac:dyDescent="0.3">
      <c r="A82" s="83" t="s">
        <v>657</v>
      </c>
      <c r="B82" s="83" t="s">
        <v>444</v>
      </c>
      <c r="C82" s="83" t="s">
        <v>450</v>
      </c>
      <c r="D82" s="80">
        <v>81884</v>
      </c>
      <c r="E82" s="167">
        <v>0.124256817250641</v>
      </c>
      <c r="F82" s="162">
        <v>122660</v>
      </c>
      <c r="G82" s="162">
        <v>2477</v>
      </c>
      <c r="H82" s="162">
        <v>49.5195801372628</v>
      </c>
      <c r="I82" s="83" t="s">
        <v>869</v>
      </c>
      <c r="J82" s="13"/>
      <c r="K82" s="13"/>
      <c r="L82" s="13"/>
    </row>
    <row r="83" spans="1:12" ht="90.75" customHeight="1" x14ac:dyDescent="0.3">
      <c r="A83" s="84" t="s">
        <v>658</v>
      </c>
      <c r="B83" s="84" t="s">
        <v>444</v>
      </c>
      <c r="C83" s="84" t="s">
        <v>451</v>
      </c>
      <c r="D83" s="78">
        <v>274695</v>
      </c>
      <c r="E83" s="166">
        <v>0.41684244070471499</v>
      </c>
      <c r="F83" s="161">
        <v>411487</v>
      </c>
      <c r="G83" s="161">
        <v>11599</v>
      </c>
      <c r="H83" s="161">
        <v>35.476075523752002</v>
      </c>
      <c r="I83" s="84" t="s">
        <v>869</v>
      </c>
      <c r="J83" s="13"/>
      <c r="K83" s="13"/>
      <c r="L83" s="13"/>
    </row>
    <row r="84" spans="1:12" ht="90.75" customHeight="1" x14ac:dyDescent="0.3">
      <c r="A84" s="83" t="s">
        <v>659</v>
      </c>
      <c r="B84" s="83" t="s">
        <v>452</v>
      </c>
      <c r="C84" s="83" t="s">
        <v>454</v>
      </c>
      <c r="D84" s="80">
        <v>92108</v>
      </c>
      <c r="E84" s="167">
        <v>4.9546961706376097E-2</v>
      </c>
      <c r="F84" s="162">
        <v>122068</v>
      </c>
      <c r="G84" s="162">
        <v>393</v>
      </c>
      <c r="H84" s="162">
        <v>310.60559796437701</v>
      </c>
      <c r="I84" s="83" t="s">
        <v>869</v>
      </c>
      <c r="J84" s="13"/>
      <c r="K84" s="13"/>
      <c r="L84" s="13"/>
    </row>
    <row r="85" spans="1:12" ht="90.75" customHeight="1" x14ac:dyDescent="0.3">
      <c r="A85" s="84" t="s">
        <v>661</v>
      </c>
      <c r="B85" s="84" t="s">
        <v>452</v>
      </c>
      <c r="C85" s="84" t="s">
        <v>455</v>
      </c>
      <c r="D85" s="78">
        <v>159642</v>
      </c>
      <c r="E85" s="166">
        <v>8.5875016944557403E-2</v>
      </c>
      <c r="F85" s="161">
        <v>211568</v>
      </c>
      <c r="G85" s="161">
        <v>537</v>
      </c>
      <c r="H85" s="161">
        <v>393.98137802607101</v>
      </c>
      <c r="I85" s="84" t="s">
        <v>869</v>
      </c>
      <c r="J85" s="13"/>
      <c r="K85" s="13"/>
      <c r="L85" s="13"/>
    </row>
    <row r="86" spans="1:12" ht="90.75" customHeight="1" x14ac:dyDescent="0.3">
      <c r="A86" s="83" t="s">
        <v>662</v>
      </c>
      <c r="B86" s="83" t="s">
        <v>452</v>
      </c>
      <c r="C86" s="83" t="s">
        <v>456</v>
      </c>
      <c r="D86" s="80">
        <v>415667</v>
      </c>
      <c r="E86" s="167">
        <v>0.22359661410088399</v>
      </c>
      <c r="F86" s="162">
        <v>550870</v>
      </c>
      <c r="G86" s="162">
        <v>487</v>
      </c>
      <c r="H86" s="162">
        <v>1131.1498973306</v>
      </c>
      <c r="I86" s="83" t="s">
        <v>869</v>
      </c>
      <c r="J86" s="13"/>
      <c r="K86" s="13"/>
      <c r="L86" s="13"/>
    </row>
    <row r="87" spans="1:12" ht="90.75" customHeight="1" x14ac:dyDescent="0.3">
      <c r="A87" s="84" t="s">
        <v>663</v>
      </c>
      <c r="B87" s="84" t="s">
        <v>452</v>
      </c>
      <c r="C87" s="84" t="s">
        <v>457</v>
      </c>
      <c r="D87" s="78">
        <v>83315</v>
      </c>
      <c r="E87" s="166">
        <v>4.4817009538440998E-2</v>
      </c>
      <c r="F87" s="161">
        <v>110415</v>
      </c>
      <c r="G87" s="161">
        <v>230</v>
      </c>
      <c r="H87" s="161">
        <v>480.06521739130397</v>
      </c>
      <c r="I87" s="84" t="s">
        <v>869</v>
      </c>
      <c r="J87" s="13"/>
      <c r="K87" s="13"/>
      <c r="L87" s="13"/>
    </row>
    <row r="88" spans="1:12" ht="90.75" customHeight="1" x14ac:dyDescent="0.3">
      <c r="A88" s="83" t="s">
        <v>664</v>
      </c>
      <c r="B88" s="83" t="s">
        <v>452</v>
      </c>
      <c r="C88" s="83" t="s">
        <v>458</v>
      </c>
      <c r="D88" s="80">
        <v>138046</v>
      </c>
      <c r="E88" s="167">
        <v>7.4258043554505507E-2</v>
      </c>
      <c r="F88" s="162">
        <v>182948</v>
      </c>
      <c r="G88" s="162">
        <v>557</v>
      </c>
      <c r="H88" s="162">
        <v>328.452423698384</v>
      </c>
      <c r="I88" s="83" t="s">
        <v>869</v>
      </c>
      <c r="J88" s="13"/>
      <c r="K88" s="13"/>
      <c r="L88" s="13"/>
    </row>
    <row r="89" spans="1:12" ht="90.75" customHeight="1" x14ac:dyDescent="0.3">
      <c r="A89" s="84" t="s">
        <v>665</v>
      </c>
      <c r="B89" s="84" t="s">
        <v>452</v>
      </c>
      <c r="C89" s="84" t="s">
        <v>459</v>
      </c>
      <c r="D89" s="78">
        <v>175346</v>
      </c>
      <c r="E89" s="166">
        <v>9.4322551215597197E-2</v>
      </c>
      <c r="F89" s="161">
        <v>232380</v>
      </c>
      <c r="G89" s="161">
        <v>793</v>
      </c>
      <c r="H89" s="161">
        <v>293.03909205548598</v>
      </c>
      <c r="I89" s="84" t="s">
        <v>869</v>
      </c>
      <c r="J89" s="13"/>
      <c r="K89" s="13"/>
      <c r="L89" s="13"/>
    </row>
    <row r="90" spans="1:12" ht="90.75" customHeight="1" x14ac:dyDescent="0.3">
      <c r="A90" s="83" t="s">
        <v>666</v>
      </c>
      <c r="B90" s="83" t="s">
        <v>452</v>
      </c>
      <c r="C90" s="83" t="s">
        <v>452</v>
      </c>
      <c r="D90" s="80">
        <v>467523</v>
      </c>
      <c r="E90" s="167">
        <v>0.25149112105191801</v>
      </c>
      <c r="F90" s="162">
        <v>619593</v>
      </c>
      <c r="G90" s="162">
        <v>503</v>
      </c>
      <c r="H90" s="162">
        <v>1231.79522862823</v>
      </c>
      <c r="I90" s="83" t="s">
        <v>869</v>
      </c>
      <c r="J90" s="13"/>
      <c r="K90" s="13"/>
      <c r="L90" s="13"/>
    </row>
    <row r="91" spans="1:12" ht="90.75" customHeight="1" x14ac:dyDescent="0.3">
      <c r="A91" s="84" t="s">
        <v>667</v>
      </c>
      <c r="B91" s="84" t="s">
        <v>452</v>
      </c>
      <c r="C91" s="84" t="s">
        <v>460</v>
      </c>
      <c r="D91" s="78">
        <v>327357</v>
      </c>
      <c r="E91" s="166">
        <v>0.17609268188772101</v>
      </c>
      <c r="F91" s="161">
        <v>433835</v>
      </c>
      <c r="G91" s="161">
        <v>1739</v>
      </c>
      <c r="H91" s="161">
        <v>249.473835537665</v>
      </c>
      <c r="I91" s="84" t="s">
        <v>869</v>
      </c>
      <c r="J91" s="13"/>
      <c r="K91" s="13"/>
      <c r="L91" s="13"/>
    </row>
    <row r="92" spans="1:12" ht="90.75" customHeight="1" x14ac:dyDescent="0.3">
      <c r="A92" s="83" t="s">
        <v>668</v>
      </c>
      <c r="B92" s="83" t="s">
        <v>461</v>
      </c>
      <c r="C92" s="83" t="s">
        <v>463</v>
      </c>
      <c r="D92" s="80">
        <v>153461</v>
      </c>
      <c r="E92" s="167">
        <v>0.25855991858768501</v>
      </c>
      <c r="F92" s="162">
        <v>159678</v>
      </c>
      <c r="G92" s="162">
        <v>2537</v>
      </c>
      <c r="H92" s="162">
        <v>62.939692550256197</v>
      </c>
      <c r="I92" s="83" t="s">
        <v>869</v>
      </c>
      <c r="J92" s="13"/>
      <c r="K92" s="13"/>
      <c r="L92" s="13"/>
    </row>
    <row r="93" spans="1:12" ht="90.75" customHeight="1" x14ac:dyDescent="0.3">
      <c r="A93" s="84" t="s">
        <v>670</v>
      </c>
      <c r="B93" s="84" t="s">
        <v>461</v>
      </c>
      <c r="C93" s="84" t="s">
        <v>464</v>
      </c>
      <c r="D93" s="78">
        <v>93722</v>
      </c>
      <c r="E93" s="166">
        <v>0.15790821570219801</v>
      </c>
      <c r="F93" s="161">
        <v>97519</v>
      </c>
      <c r="G93" s="161">
        <v>1893</v>
      </c>
      <c r="H93" s="161">
        <v>51.515583729529801</v>
      </c>
      <c r="I93" s="84" t="s">
        <v>869</v>
      </c>
      <c r="J93" s="13"/>
      <c r="K93" s="13"/>
      <c r="L93" s="13"/>
    </row>
    <row r="94" spans="1:12" ht="90.75" customHeight="1" x14ac:dyDescent="0.3">
      <c r="A94" s="83" t="s">
        <v>671</v>
      </c>
      <c r="B94" s="83" t="s">
        <v>461</v>
      </c>
      <c r="C94" s="83" t="s">
        <v>465</v>
      </c>
      <c r="D94" s="80">
        <v>56437</v>
      </c>
      <c r="E94" s="167">
        <v>9.5088303382183006E-2</v>
      </c>
      <c r="F94" s="162">
        <v>58723</v>
      </c>
      <c r="G94" s="162">
        <v>877</v>
      </c>
      <c r="H94" s="162">
        <v>66.958950969213205</v>
      </c>
      <c r="I94" s="83" t="s">
        <v>869</v>
      </c>
      <c r="J94" s="13"/>
      <c r="K94" s="13"/>
      <c r="L94" s="13"/>
    </row>
    <row r="95" spans="1:12" ht="90.75" customHeight="1" x14ac:dyDescent="0.3">
      <c r="A95" s="84" t="s">
        <v>672</v>
      </c>
      <c r="B95" s="84" t="s">
        <v>461</v>
      </c>
      <c r="C95" s="84" t="s">
        <v>461</v>
      </c>
      <c r="D95" s="78">
        <v>289902</v>
      </c>
      <c r="E95" s="166">
        <v>0.48844356232793401</v>
      </c>
      <c r="F95" s="161">
        <v>301647</v>
      </c>
      <c r="G95" s="161">
        <v>1136</v>
      </c>
      <c r="H95" s="161">
        <v>265.53433098591597</v>
      </c>
      <c r="I95" s="84" t="s">
        <v>869</v>
      </c>
      <c r="J95" s="13"/>
      <c r="K95" s="13"/>
      <c r="L95" s="13"/>
    </row>
  </sheetData>
  <mergeCells count="3">
    <mergeCell ref="A1:D1"/>
    <mergeCell ref="E1:L1"/>
    <mergeCell ref="A2:I4"/>
  </mergeCells>
  <hyperlinks>
    <hyperlink ref="A1" location="'SIM_Accueil'!A1" display="⌂  BACK TO HOME" xr:uid="{00000000-0004-0000-1100-000000000000}"/>
  </hyperlinks>
  <pageMargins left="0.7" right="0.7" top="0.75" bottom="0.75" header="0.511811023622047" footer="0.511811023622047"/>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595959"/>
  </sheetPr>
  <dimension ref="A1:I47"/>
  <sheetViews>
    <sheetView showGridLines="0" zoomScaleNormal="100" workbookViewId="0"/>
  </sheetViews>
  <sheetFormatPr baseColWidth="10" defaultColWidth="8.7265625" defaultRowHeight="12.5" x14ac:dyDescent="0.25"/>
  <cols>
    <col min="1" max="1" width="24" customWidth="1"/>
    <col min="2" max="3" width="58" customWidth="1"/>
    <col min="4" max="9" width="2.453125" customWidth="1"/>
  </cols>
  <sheetData>
    <row r="1" spans="1:9" ht="27.75" customHeight="1" x14ac:dyDescent="0.25">
      <c r="A1" s="218" t="s">
        <v>32</v>
      </c>
      <c r="B1" s="218"/>
      <c r="C1" s="219" t="s">
        <v>870</v>
      </c>
      <c r="D1" s="219"/>
      <c r="E1" s="219"/>
      <c r="F1" s="219"/>
      <c r="G1" s="219"/>
      <c r="H1" s="219"/>
      <c r="I1" s="219"/>
    </row>
    <row r="2" spans="1:9" ht="12.75" customHeight="1" x14ac:dyDescent="0.25">
      <c r="A2" s="74"/>
      <c r="B2" s="74"/>
      <c r="C2" s="74"/>
      <c r="D2" s="74"/>
      <c r="E2" s="74"/>
      <c r="F2" s="74"/>
      <c r="G2" s="74"/>
      <c r="H2" s="74"/>
      <c r="I2" s="74"/>
    </row>
    <row r="3" spans="1:9" ht="36" customHeight="1" x14ac:dyDescent="0.25">
      <c r="A3" s="207" t="s">
        <v>871</v>
      </c>
      <c r="B3" s="207"/>
      <c r="C3" s="207"/>
      <c r="D3" s="207"/>
      <c r="E3" s="207"/>
      <c r="F3" s="207"/>
      <c r="G3" s="207"/>
      <c r="H3" s="207"/>
      <c r="I3" s="207"/>
    </row>
    <row r="4" spans="1:9" ht="12.75" customHeight="1" x14ac:dyDescent="0.25">
      <c r="A4" s="74"/>
      <c r="B4" s="74"/>
      <c r="C4" s="74"/>
      <c r="D4" s="74"/>
      <c r="E4" s="74"/>
      <c r="F4" s="74"/>
      <c r="G4" s="74"/>
      <c r="H4" s="74"/>
      <c r="I4" s="74"/>
    </row>
    <row r="5" spans="1:9" ht="14.25" customHeight="1" x14ac:dyDescent="0.25">
      <c r="A5" s="220" t="s">
        <v>872</v>
      </c>
      <c r="B5" s="220"/>
      <c r="C5" s="220"/>
      <c r="D5" s="220"/>
      <c r="E5" s="220"/>
      <c r="F5" s="220"/>
      <c r="G5" s="220"/>
      <c r="H5" s="220"/>
      <c r="I5" s="220"/>
    </row>
    <row r="6" spans="1:9" ht="48" customHeight="1" x14ac:dyDescent="0.25">
      <c r="A6" s="221" t="s">
        <v>873</v>
      </c>
      <c r="B6" s="221"/>
      <c r="C6" s="221"/>
      <c r="D6" s="221"/>
      <c r="E6" s="221"/>
      <c r="F6" s="221"/>
      <c r="G6" s="221"/>
      <c r="H6" s="221"/>
      <c r="I6" s="221"/>
    </row>
    <row r="7" spans="1:9" ht="12.75" customHeight="1" x14ac:dyDescent="0.25">
      <c r="A7" s="74"/>
      <c r="B7" s="74"/>
      <c r="C7" s="74"/>
      <c r="D7" s="74"/>
      <c r="E7" s="74"/>
      <c r="F7" s="74"/>
      <c r="G7" s="74"/>
      <c r="H7" s="74"/>
      <c r="I7" s="74"/>
    </row>
    <row r="8" spans="1:9" ht="14.25" customHeight="1" x14ac:dyDescent="0.25">
      <c r="A8" s="75" t="s">
        <v>874</v>
      </c>
      <c r="B8" s="75" t="s">
        <v>875</v>
      </c>
      <c r="C8" s="217" t="s">
        <v>876</v>
      </c>
      <c r="D8" s="217"/>
      <c r="E8" s="217"/>
      <c r="F8" s="217"/>
      <c r="G8" s="217"/>
      <c r="H8" s="217"/>
      <c r="I8" s="217"/>
    </row>
    <row r="9" spans="1:9" ht="27.75" customHeight="1" x14ac:dyDescent="0.25">
      <c r="A9" s="84" t="s">
        <v>877</v>
      </c>
      <c r="B9" s="84" t="s">
        <v>878</v>
      </c>
      <c r="C9" s="213" t="s">
        <v>879</v>
      </c>
      <c r="D9" s="213"/>
      <c r="E9" s="213"/>
      <c r="F9" s="213"/>
      <c r="G9" s="213"/>
      <c r="H9" s="213"/>
      <c r="I9" s="213"/>
    </row>
    <row r="10" spans="1:9" ht="41.25" customHeight="1" x14ac:dyDescent="0.25">
      <c r="A10" s="84" t="s">
        <v>880</v>
      </c>
      <c r="B10" s="84" t="s">
        <v>881</v>
      </c>
      <c r="C10" s="213" t="s">
        <v>882</v>
      </c>
      <c r="D10" s="213"/>
      <c r="E10" s="213"/>
      <c r="F10" s="213"/>
      <c r="G10" s="213"/>
      <c r="H10" s="213"/>
      <c r="I10" s="213"/>
    </row>
    <row r="11" spans="1:9" ht="12.75" customHeight="1" x14ac:dyDescent="0.25">
      <c r="A11" s="74"/>
      <c r="B11" s="74"/>
      <c r="C11" s="74"/>
      <c r="D11" s="74"/>
      <c r="E11" s="74"/>
      <c r="F11" s="74"/>
      <c r="G11" s="74"/>
      <c r="H11" s="74"/>
      <c r="I11" s="74"/>
    </row>
    <row r="12" spans="1:9" ht="14.25" customHeight="1" x14ac:dyDescent="0.25">
      <c r="A12" s="214" t="s">
        <v>883</v>
      </c>
      <c r="B12" s="214"/>
      <c r="C12" s="214"/>
      <c r="D12" s="214"/>
      <c r="E12" s="214"/>
      <c r="F12" s="214"/>
      <c r="G12" s="214"/>
      <c r="H12" s="214"/>
      <c r="I12" s="214"/>
    </row>
    <row r="13" spans="1:9" ht="14.25" customHeight="1" x14ac:dyDescent="0.25">
      <c r="A13" s="168" t="s">
        <v>884</v>
      </c>
      <c r="B13" s="168" t="s">
        <v>885</v>
      </c>
      <c r="C13" s="215" t="s">
        <v>886</v>
      </c>
      <c r="D13" s="215"/>
      <c r="E13" s="215"/>
      <c r="F13" s="215"/>
      <c r="G13" s="215"/>
      <c r="H13" s="215"/>
      <c r="I13" s="215"/>
    </row>
    <row r="14" spans="1:9" ht="14.25" customHeight="1" x14ac:dyDescent="0.25">
      <c r="A14" s="84" t="s">
        <v>887</v>
      </c>
      <c r="B14" s="84" t="s">
        <v>888</v>
      </c>
      <c r="C14" s="213" t="s">
        <v>889</v>
      </c>
      <c r="D14" s="213"/>
      <c r="E14" s="213"/>
      <c r="F14" s="213"/>
      <c r="G14" s="213"/>
      <c r="H14" s="213"/>
      <c r="I14" s="213"/>
    </row>
    <row r="15" spans="1:9" ht="14.25" customHeight="1" x14ac:dyDescent="0.25">
      <c r="A15" s="84" t="s">
        <v>890</v>
      </c>
      <c r="B15" s="84" t="s">
        <v>891</v>
      </c>
      <c r="C15" s="213" t="s">
        <v>892</v>
      </c>
      <c r="D15" s="213"/>
      <c r="E15" s="213"/>
      <c r="F15" s="213"/>
      <c r="G15" s="213"/>
      <c r="H15" s="213"/>
      <c r="I15" s="213"/>
    </row>
    <row r="16" spans="1:9" ht="14.25" customHeight="1" x14ac:dyDescent="0.25">
      <c r="A16" s="84" t="s">
        <v>893</v>
      </c>
      <c r="B16" s="84" t="s">
        <v>894</v>
      </c>
      <c r="C16" s="213" t="s">
        <v>895</v>
      </c>
      <c r="D16" s="213"/>
      <c r="E16" s="213"/>
      <c r="F16" s="213"/>
      <c r="G16" s="213"/>
      <c r="H16" s="213"/>
      <c r="I16" s="213"/>
    </row>
    <row r="17" spans="1:9" ht="14.25" customHeight="1" x14ac:dyDescent="0.25">
      <c r="A17" s="84" t="s">
        <v>896</v>
      </c>
      <c r="B17" s="84" t="s">
        <v>897</v>
      </c>
      <c r="C17" s="213" t="s">
        <v>898</v>
      </c>
      <c r="D17" s="213"/>
      <c r="E17" s="213"/>
      <c r="F17" s="213"/>
      <c r="G17" s="213"/>
      <c r="H17" s="213"/>
      <c r="I17" s="213"/>
    </row>
    <row r="18" spans="1:9" ht="14.25" customHeight="1" x14ac:dyDescent="0.25">
      <c r="A18" s="84" t="s">
        <v>899</v>
      </c>
      <c r="B18" s="84" t="s">
        <v>900</v>
      </c>
      <c r="C18" s="213" t="s">
        <v>901</v>
      </c>
      <c r="D18" s="213"/>
      <c r="E18" s="213"/>
      <c r="F18" s="213"/>
      <c r="G18" s="213"/>
      <c r="H18" s="213"/>
      <c r="I18" s="213"/>
    </row>
    <row r="19" spans="1:9" ht="14.25" customHeight="1" x14ac:dyDescent="0.25">
      <c r="A19" s="84" t="s">
        <v>902</v>
      </c>
      <c r="B19" s="84" t="s">
        <v>903</v>
      </c>
      <c r="C19" s="213" t="s">
        <v>904</v>
      </c>
      <c r="D19" s="213"/>
      <c r="E19" s="213"/>
      <c r="F19" s="213"/>
      <c r="G19" s="213"/>
      <c r="H19" s="213"/>
      <c r="I19" s="213"/>
    </row>
    <row r="20" spans="1:9" ht="14.25" customHeight="1" x14ac:dyDescent="0.25">
      <c r="A20" s="84" t="s">
        <v>905</v>
      </c>
      <c r="B20" s="84" t="s">
        <v>906</v>
      </c>
      <c r="C20" s="213" t="s">
        <v>907</v>
      </c>
      <c r="D20" s="213"/>
      <c r="E20" s="213"/>
      <c r="F20" s="213"/>
      <c r="G20" s="213"/>
      <c r="H20" s="213"/>
      <c r="I20" s="213"/>
    </row>
    <row r="21" spans="1:9" ht="45" customHeight="1" x14ac:dyDescent="0.25">
      <c r="A21" s="216" t="s">
        <v>908</v>
      </c>
      <c r="B21" s="216"/>
      <c r="C21" s="216"/>
      <c r="D21" s="216"/>
      <c r="E21" s="216"/>
      <c r="F21" s="216"/>
      <c r="G21" s="216"/>
      <c r="H21" s="216"/>
      <c r="I21" s="216"/>
    </row>
    <row r="22" spans="1:9" ht="12.75" customHeight="1" x14ac:dyDescent="0.25">
      <c r="A22" s="74"/>
      <c r="B22" s="74"/>
      <c r="C22" s="74"/>
      <c r="D22" s="74"/>
      <c r="E22" s="74"/>
      <c r="F22" s="74"/>
      <c r="G22" s="74"/>
      <c r="H22" s="74"/>
      <c r="I22" s="74"/>
    </row>
    <row r="23" spans="1:9" ht="14.25" customHeight="1" x14ac:dyDescent="0.25">
      <c r="A23" s="214" t="s">
        <v>909</v>
      </c>
      <c r="B23" s="214"/>
      <c r="C23" s="214"/>
      <c r="D23" s="214"/>
      <c r="E23" s="214"/>
      <c r="F23" s="214"/>
      <c r="G23" s="214"/>
      <c r="H23" s="214"/>
      <c r="I23" s="214"/>
    </row>
    <row r="24" spans="1:9" ht="14.25" customHeight="1" x14ac:dyDescent="0.25">
      <c r="A24" s="168" t="s">
        <v>910</v>
      </c>
      <c r="B24" s="168" t="s">
        <v>911</v>
      </c>
      <c r="C24" s="215" t="s">
        <v>912</v>
      </c>
      <c r="D24" s="215"/>
      <c r="E24" s="215"/>
      <c r="F24" s="215"/>
      <c r="G24" s="215"/>
      <c r="H24" s="215"/>
      <c r="I24" s="215"/>
    </row>
    <row r="25" spans="1:9" ht="14.25" customHeight="1" x14ac:dyDescent="0.25">
      <c r="A25" s="84" t="s">
        <v>913</v>
      </c>
      <c r="B25" s="84" t="s">
        <v>914</v>
      </c>
      <c r="C25" s="213" t="s">
        <v>915</v>
      </c>
      <c r="D25" s="213"/>
      <c r="E25" s="213"/>
      <c r="F25" s="213"/>
      <c r="G25" s="213"/>
      <c r="H25" s="213"/>
      <c r="I25" s="213"/>
    </row>
    <row r="26" spans="1:9" ht="14.25" customHeight="1" x14ac:dyDescent="0.25">
      <c r="A26" s="84" t="s">
        <v>916</v>
      </c>
      <c r="B26" s="84" t="s">
        <v>917</v>
      </c>
      <c r="C26" s="213" t="s">
        <v>200</v>
      </c>
      <c r="D26" s="213"/>
      <c r="E26" s="213"/>
      <c r="F26" s="213"/>
      <c r="G26" s="213"/>
      <c r="H26" s="213"/>
      <c r="I26" s="213"/>
    </row>
    <row r="27" spans="1:9" ht="14.25" customHeight="1" x14ac:dyDescent="0.25">
      <c r="A27" s="84" t="s">
        <v>918</v>
      </c>
      <c r="B27" s="84" t="s">
        <v>919</v>
      </c>
      <c r="C27" s="213" t="s">
        <v>920</v>
      </c>
      <c r="D27" s="213"/>
      <c r="E27" s="213"/>
      <c r="F27" s="213"/>
      <c r="G27" s="213"/>
      <c r="H27" s="213"/>
      <c r="I27" s="213"/>
    </row>
    <row r="28" spans="1:9" ht="14.25" customHeight="1" x14ac:dyDescent="0.25">
      <c r="A28" s="84" t="s">
        <v>921</v>
      </c>
      <c r="B28" s="84" t="s">
        <v>922</v>
      </c>
      <c r="C28" s="213" t="s">
        <v>923</v>
      </c>
      <c r="D28" s="213"/>
      <c r="E28" s="213"/>
      <c r="F28" s="213"/>
      <c r="G28" s="213"/>
      <c r="H28" s="213"/>
      <c r="I28" s="213"/>
    </row>
    <row r="29" spans="1:9" ht="14.25" customHeight="1" x14ac:dyDescent="0.25">
      <c r="A29" s="84" t="s">
        <v>924</v>
      </c>
      <c r="B29" s="84" t="s">
        <v>925</v>
      </c>
      <c r="C29" s="213" t="s">
        <v>926</v>
      </c>
      <c r="D29" s="213"/>
      <c r="E29" s="213"/>
      <c r="F29" s="213"/>
      <c r="G29" s="213"/>
      <c r="H29" s="213"/>
      <c r="I29" s="213"/>
    </row>
    <row r="30" spans="1:9" ht="14.25" customHeight="1" x14ac:dyDescent="0.25">
      <c r="A30" s="84" t="s">
        <v>927</v>
      </c>
      <c r="B30" s="84" t="s">
        <v>130</v>
      </c>
      <c r="C30" s="213" t="s">
        <v>928</v>
      </c>
      <c r="D30" s="213"/>
      <c r="E30" s="213"/>
      <c r="F30" s="213"/>
      <c r="G30" s="213"/>
      <c r="H30" s="213"/>
      <c r="I30" s="213"/>
    </row>
    <row r="31" spans="1:9" ht="14.25" customHeight="1" x14ac:dyDescent="0.25">
      <c r="A31" s="84" t="s">
        <v>260</v>
      </c>
      <c r="B31" s="84" t="s">
        <v>929</v>
      </c>
      <c r="C31" s="213" t="s">
        <v>930</v>
      </c>
      <c r="D31" s="213"/>
      <c r="E31" s="213"/>
      <c r="F31" s="213"/>
      <c r="G31" s="213"/>
      <c r="H31" s="213"/>
      <c r="I31" s="213"/>
    </row>
    <row r="32" spans="1:9" ht="12.75" customHeight="1" x14ac:dyDescent="0.25">
      <c r="A32" s="74"/>
      <c r="B32" s="74"/>
      <c r="C32" s="74"/>
      <c r="D32" s="74"/>
      <c r="E32" s="74"/>
      <c r="F32" s="74"/>
      <c r="G32" s="74"/>
      <c r="H32" s="74"/>
      <c r="I32" s="74"/>
    </row>
    <row r="33" spans="1:9" ht="12.75" customHeight="1" x14ac:dyDescent="0.25">
      <c r="A33" s="74"/>
      <c r="B33" s="74"/>
      <c r="C33" s="74"/>
      <c r="D33" s="74"/>
      <c r="E33" s="74"/>
      <c r="F33" s="74"/>
      <c r="G33" s="74"/>
      <c r="H33" s="74"/>
      <c r="I33" s="74"/>
    </row>
    <row r="34" spans="1:9" ht="14.25" customHeight="1" x14ac:dyDescent="0.25">
      <c r="A34" s="214" t="s">
        <v>931</v>
      </c>
      <c r="B34" s="214"/>
      <c r="C34" s="214"/>
      <c r="D34" s="214"/>
      <c r="E34" s="214"/>
      <c r="F34" s="214"/>
      <c r="G34" s="214"/>
      <c r="H34" s="214"/>
      <c r="I34" s="214"/>
    </row>
    <row r="35" spans="1:9" ht="14.25" customHeight="1" x14ac:dyDescent="0.25">
      <c r="A35" s="168" t="s">
        <v>932</v>
      </c>
      <c r="B35" s="168" t="s">
        <v>933</v>
      </c>
      <c r="C35" s="215" t="s">
        <v>934</v>
      </c>
      <c r="D35" s="215"/>
      <c r="E35" s="215"/>
      <c r="F35" s="215"/>
      <c r="G35" s="215"/>
      <c r="H35" s="215"/>
      <c r="I35" s="215"/>
    </row>
    <row r="36" spans="1:9" ht="14.25" customHeight="1" x14ac:dyDescent="0.25">
      <c r="A36" s="84" t="s">
        <v>935</v>
      </c>
      <c r="B36" s="84" t="s">
        <v>936</v>
      </c>
      <c r="C36" s="213" t="s">
        <v>937</v>
      </c>
      <c r="D36" s="213"/>
      <c r="E36" s="213"/>
      <c r="F36" s="213"/>
      <c r="G36" s="213"/>
      <c r="H36" s="213"/>
      <c r="I36" s="213"/>
    </row>
    <row r="37" spans="1:9" ht="14.25" customHeight="1" x14ac:dyDescent="0.25">
      <c r="A37" s="84" t="s">
        <v>938</v>
      </c>
      <c r="B37" s="84" t="s">
        <v>939</v>
      </c>
      <c r="C37" s="213" t="s">
        <v>940</v>
      </c>
      <c r="D37" s="213"/>
      <c r="E37" s="213"/>
      <c r="F37" s="213"/>
      <c r="G37" s="213"/>
      <c r="H37" s="213"/>
      <c r="I37" s="213"/>
    </row>
    <row r="38" spans="1:9" ht="14.25" customHeight="1" x14ac:dyDescent="0.25">
      <c r="A38" s="84" t="s">
        <v>941</v>
      </c>
      <c r="B38" s="84" t="s">
        <v>942</v>
      </c>
      <c r="C38" s="213" t="s">
        <v>943</v>
      </c>
      <c r="D38" s="213"/>
      <c r="E38" s="213"/>
      <c r="F38" s="213"/>
      <c r="G38" s="213"/>
      <c r="H38" s="213"/>
      <c r="I38" s="213"/>
    </row>
    <row r="39" spans="1:9" ht="14.25" customHeight="1" x14ac:dyDescent="0.25">
      <c r="A39" s="84" t="s">
        <v>944</v>
      </c>
      <c r="B39" s="84" t="s">
        <v>945</v>
      </c>
      <c r="C39" s="213" t="s">
        <v>946</v>
      </c>
      <c r="D39" s="213"/>
      <c r="E39" s="213"/>
      <c r="F39" s="213"/>
      <c r="G39" s="213"/>
      <c r="H39" s="213"/>
      <c r="I39" s="213"/>
    </row>
    <row r="40" spans="1:9" ht="12.75" customHeight="1" x14ac:dyDescent="0.25">
      <c r="A40" s="74"/>
      <c r="B40" s="74"/>
      <c r="C40" s="74"/>
      <c r="D40" s="74"/>
      <c r="E40" s="74"/>
      <c r="F40" s="74"/>
      <c r="G40" s="74"/>
      <c r="H40" s="74"/>
      <c r="I40" s="74"/>
    </row>
    <row r="41" spans="1:9" ht="14.25" customHeight="1" x14ac:dyDescent="0.25">
      <c r="A41" s="214" t="s">
        <v>947</v>
      </c>
      <c r="B41" s="214"/>
      <c r="C41" s="214"/>
      <c r="D41" s="214"/>
      <c r="E41" s="214"/>
      <c r="F41" s="214"/>
      <c r="G41" s="214"/>
      <c r="H41" s="214"/>
      <c r="I41" s="214"/>
    </row>
    <row r="42" spans="1:9" ht="14.25" customHeight="1" x14ac:dyDescent="0.25">
      <c r="A42" s="168" t="s">
        <v>948</v>
      </c>
      <c r="B42" s="215" t="s">
        <v>949</v>
      </c>
      <c r="C42" s="215"/>
      <c r="D42" s="215"/>
      <c r="E42" s="215"/>
      <c r="F42" s="215"/>
      <c r="G42" s="215"/>
      <c r="H42" s="215"/>
      <c r="I42" s="215"/>
    </row>
    <row r="43" spans="1:9" ht="14.25" customHeight="1" x14ac:dyDescent="0.25">
      <c r="A43" s="84" t="s">
        <v>950</v>
      </c>
      <c r="B43" s="213" t="s">
        <v>951</v>
      </c>
      <c r="C43" s="213"/>
      <c r="D43" s="213"/>
      <c r="E43" s="213"/>
      <c r="F43" s="213"/>
      <c r="G43" s="213"/>
      <c r="H43" s="213"/>
      <c r="I43" s="213"/>
    </row>
    <row r="44" spans="1:9" ht="14.25" customHeight="1" x14ac:dyDescent="0.25">
      <c r="A44" s="84" t="s">
        <v>952</v>
      </c>
      <c r="B44" s="213" t="s">
        <v>953</v>
      </c>
      <c r="C44" s="213"/>
      <c r="D44" s="213"/>
      <c r="E44" s="213"/>
      <c r="F44" s="213"/>
      <c r="G44" s="213"/>
      <c r="H44" s="213"/>
      <c r="I44" s="213"/>
    </row>
    <row r="45" spans="1:9" ht="14.25" customHeight="1" x14ac:dyDescent="0.25">
      <c r="A45" s="84" t="s">
        <v>829</v>
      </c>
      <c r="B45" s="213" t="s">
        <v>954</v>
      </c>
      <c r="C45" s="213"/>
      <c r="D45" s="213"/>
      <c r="E45" s="213"/>
      <c r="F45" s="213"/>
      <c r="G45" s="213"/>
      <c r="H45" s="213"/>
      <c r="I45" s="213"/>
    </row>
    <row r="46" spans="1:9" ht="14.25" customHeight="1" x14ac:dyDescent="0.25">
      <c r="A46" s="84" t="s">
        <v>912</v>
      </c>
      <c r="B46" s="213" t="s">
        <v>955</v>
      </c>
      <c r="C46" s="213"/>
      <c r="D46" s="213"/>
      <c r="E46" s="213"/>
      <c r="F46" s="213"/>
      <c r="G46" s="213"/>
      <c r="H46" s="213"/>
      <c r="I46" s="213"/>
    </row>
    <row r="47" spans="1:9" ht="27.75" customHeight="1" x14ac:dyDescent="0.25">
      <c r="A47" s="84" t="s">
        <v>956</v>
      </c>
      <c r="B47" s="213" t="s">
        <v>957</v>
      </c>
      <c r="C47" s="213"/>
      <c r="D47" s="213"/>
      <c r="E47" s="213"/>
      <c r="F47" s="213"/>
      <c r="G47" s="213"/>
      <c r="H47" s="213"/>
      <c r="I47" s="213"/>
    </row>
  </sheetData>
  <mergeCells count="40">
    <mergeCell ref="A1:B1"/>
    <mergeCell ref="C1:I1"/>
    <mergeCell ref="A3:I3"/>
    <mergeCell ref="A5:I5"/>
    <mergeCell ref="A6:I6"/>
    <mergeCell ref="C8:I8"/>
    <mergeCell ref="C9:I9"/>
    <mergeCell ref="C10:I10"/>
    <mergeCell ref="A12:I12"/>
    <mergeCell ref="C13:I13"/>
    <mergeCell ref="C14:I14"/>
    <mergeCell ref="C15:I15"/>
    <mergeCell ref="C16:I16"/>
    <mergeCell ref="C17:I17"/>
    <mergeCell ref="C18:I18"/>
    <mergeCell ref="C19:I19"/>
    <mergeCell ref="C20:I20"/>
    <mergeCell ref="A21:I21"/>
    <mergeCell ref="A23:I23"/>
    <mergeCell ref="C24:I24"/>
    <mergeCell ref="C25:I25"/>
    <mergeCell ref="C26:I26"/>
    <mergeCell ref="C27:I27"/>
    <mergeCell ref="C28:I28"/>
    <mergeCell ref="C29:I29"/>
    <mergeCell ref="C30:I30"/>
    <mergeCell ref="C31:I31"/>
    <mergeCell ref="A34:I34"/>
    <mergeCell ref="C35:I35"/>
    <mergeCell ref="C36:I36"/>
    <mergeCell ref="C37:I37"/>
    <mergeCell ref="C38:I38"/>
    <mergeCell ref="C39:I39"/>
    <mergeCell ref="A41:I41"/>
    <mergeCell ref="B42:I42"/>
    <mergeCell ref="B43:I43"/>
    <mergeCell ref="B44:I44"/>
    <mergeCell ref="B45:I45"/>
    <mergeCell ref="B46:I46"/>
    <mergeCell ref="B47:I47"/>
  </mergeCells>
  <hyperlinks>
    <hyperlink ref="A1" location="'SIM_Accueil'!A1" display="⌂  BACK TO HOME" xr:uid="{00000000-0004-0000-1200-000000000000}"/>
  </hyperlink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Feuilles de calcul</vt:lpstr>
      </vt:variant>
      <vt:variant>
        <vt:i4>19</vt:i4>
      </vt:variant>
    </vt:vector>
  </HeadingPairs>
  <TitlesOfParts>
    <vt:vector size="19" baseType="lpstr">
      <vt:lpstr>SIM_Accueil</vt:lpstr>
      <vt:lpstr>Resume_Executif</vt:lpstr>
      <vt:lpstr>Guide_Parametres</vt:lpstr>
      <vt:lpstr>Synthese_Budgets_2016_2027</vt:lpstr>
      <vt:lpstr>Controle_panel</vt:lpstr>
      <vt:lpstr>Sources_criteres</vt:lpstr>
      <vt:lpstr>Donnees_offre_actives</vt:lpstr>
      <vt:lpstr>SIM_Parametres</vt:lpstr>
      <vt:lpstr>SIM_Districts</vt:lpstr>
      <vt:lpstr>SIM_Modele</vt:lpstr>
      <vt:lpstr>SIM_Tableau_Bord</vt:lpstr>
      <vt:lpstr>SIM_Resultats_DS</vt:lpstr>
      <vt:lpstr>SIM_Controles</vt:lpstr>
      <vt:lpstr>SIM_Dictionnaire</vt:lpstr>
      <vt:lpstr>SIM_Sources_Audit</vt:lpstr>
      <vt:lpstr>Donnees_EDS_2023</vt:lpstr>
      <vt:lpstr>Donnees_EHCVM_2021_2022</vt:lpstr>
      <vt:lpstr>Donnees_RGPH_2023</vt:lpstr>
      <vt:lpstr>Modelisation_Manuscrit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dc:description/>
  <cp:lastModifiedBy>Oumar Sagna</cp:lastModifiedBy>
  <cp:revision>2</cp:revision>
  <dcterms:created xsi:type="dcterms:W3CDTF">2026-09-03T13:23:18Z</dcterms:created>
  <dcterms:modified xsi:type="dcterms:W3CDTF">2026-09-12T21:43:06Z</dcterms:modified>
  <dc:language>en-US</dc:language>
</cp:coreProperties>
</file>