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lenovo\Desktop\WEEE和生活源废塑料\初稿\初稿\"/>
    </mc:Choice>
  </mc:AlternateContent>
  <xr:revisionPtr revIDLastSave="0" documentId="13_ncr:1_{50DA5B13-EF5B-41F5-ADA6-09078142466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Waste plastic data in 2019" sheetId="1" r:id="rId1"/>
    <sheet name="Parameters" sheetId="3" r:id="rId2"/>
    <sheet name="Base year analysis" sheetId="4" r:id="rId3"/>
    <sheet name="Sensitivty analysis-" sheetId="8" r:id="rId4"/>
    <sheet name="Forecast Output" sheetId="9" r:id="rId5"/>
    <sheet name="Scenario prediction" sheetId="6" r:id="rId6"/>
  </sheets>
  <definedNames>
    <definedName name="_Hlk79939650" localSheetId="1">Parameters!$B$17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4" i="6" l="1"/>
  <c r="E78" i="6"/>
  <c r="D79" i="6"/>
  <c r="D80" i="6"/>
  <c r="D81" i="6"/>
  <c r="D82" i="6"/>
  <c r="D83" i="6"/>
  <c r="D84" i="6"/>
  <c r="D85" i="6"/>
  <c r="D86" i="6"/>
  <c r="D87" i="6"/>
  <c r="D88" i="6"/>
  <c r="D89" i="6"/>
  <c r="D90" i="6"/>
  <c r="D91" i="6"/>
  <c r="D92" i="6"/>
  <c r="D93" i="6"/>
  <c r="D94" i="6"/>
  <c r="D78" i="6"/>
  <c r="C94" i="6"/>
  <c r="C79" i="6"/>
  <c r="C80" i="6"/>
  <c r="C81" i="6"/>
  <c r="C82" i="6"/>
  <c r="C83" i="6"/>
  <c r="C84" i="6"/>
  <c r="C85" i="6"/>
  <c r="C86" i="6"/>
  <c r="C87" i="6"/>
  <c r="C88" i="6"/>
  <c r="C89" i="6"/>
  <c r="C90" i="6"/>
  <c r="C91" i="6"/>
  <c r="C92" i="6"/>
  <c r="C93" i="6"/>
  <c r="C78" i="6"/>
  <c r="B89" i="6"/>
  <c r="M89" i="6" s="1"/>
  <c r="B90" i="6"/>
  <c r="M90" i="6" s="1"/>
  <c r="B91" i="6"/>
  <c r="B92" i="6"/>
  <c r="M92" i="6" s="1"/>
  <c r="B93" i="6"/>
  <c r="M93" i="6" s="1"/>
  <c r="B94" i="6"/>
  <c r="B78" i="6"/>
  <c r="E60" i="6"/>
  <c r="E61" i="6"/>
  <c r="E62" i="6"/>
  <c r="E63" i="6"/>
  <c r="E64" i="6"/>
  <c r="E65" i="6"/>
  <c r="E66" i="6"/>
  <c r="E67" i="6"/>
  <c r="E68" i="6"/>
  <c r="E69" i="6"/>
  <c r="E70" i="6"/>
  <c r="E71" i="6"/>
  <c r="E72" i="6"/>
  <c r="E73" i="6"/>
  <c r="E74" i="6"/>
  <c r="E75" i="6"/>
  <c r="E59" i="6"/>
  <c r="D60" i="6"/>
  <c r="D61" i="6"/>
  <c r="D62" i="6"/>
  <c r="D63" i="6"/>
  <c r="D64" i="6"/>
  <c r="D65" i="6"/>
  <c r="D66" i="6"/>
  <c r="D67" i="6"/>
  <c r="D68" i="6"/>
  <c r="D69" i="6"/>
  <c r="D70" i="6"/>
  <c r="D71" i="6"/>
  <c r="D72" i="6"/>
  <c r="D73" i="6"/>
  <c r="D74" i="6"/>
  <c r="D75" i="6"/>
  <c r="D59" i="6"/>
  <c r="C60" i="6"/>
  <c r="C61" i="6"/>
  <c r="C62" i="6"/>
  <c r="C63" i="6"/>
  <c r="C64" i="6"/>
  <c r="C65" i="6"/>
  <c r="C66" i="6"/>
  <c r="C67" i="6"/>
  <c r="C68" i="6"/>
  <c r="C69" i="6"/>
  <c r="C70" i="6"/>
  <c r="C71" i="6"/>
  <c r="C72" i="6"/>
  <c r="C73" i="6"/>
  <c r="C74" i="6"/>
  <c r="C75" i="6"/>
  <c r="C59" i="6"/>
  <c r="B60" i="6"/>
  <c r="M60" i="6" s="1"/>
  <c r="B61" i="6"/>
  <c r="M61" i="6" s="1"/>
  <c r="B62" i="6"/>
  <c r="B63" i="6"/>
  <c r="M63" i="6" s="1"/>
  <c r="B64" i="6"/>
  <c r="M64" i="6" s="1"/>
  <c r="B65" i="6"/>
  <c r="M65" i="6" s="1"/>
  <c r="B66" i="6"/>
  <c r="M66" i="6" s="1"/>
  <c r="B67" i="6"/>
  <c r="M67" i="6" s="1"/>
  <c r="B68" i="6"/>
  <c r="M68" i="6" s="1"/>
  <c r="B69" i="6"/>
  <c r="M69" i="6" s="1"/>
  <c r="B70" i="6"/>
  <c r="B71" i="6"/>
  <c r="M71" i="6" s="1"/>
  <c r="B72" i="6"/>
  <c r="M72" i="6" s="1"/>
  <c r="B73" i="6"/>
  <c r="F73" i="6" s="1"/>
  <c r="B74" i="6"/>
  <c r="M74" i="6" s="1"/>
  <c r="B75" i="6"/>
  <c r="M75" i="6" s="1"/>
  <c r="B59" i="6"/>
  <c r="E41" i="6"/>
  <c r="E42" i="6"/>
  <c r="E43" i="6"/>
  <c r="E44" i="6"/>
  <c r="E45" i="6"/>
  <c r="E46" i="6"/>
  <c r="E47" i="6"/>
  <c r="E48" i="6"/>
  <c r="E49" i="6"/>
  <c r="E50" i="6"/>
  <c r="E51" i="6"/>
  <c r="E52" i="6"/>
  <c r="E53" i="6"/>
  <c r="E54" i="6"/>
  <c r="E55" i="6"/>
  <c r="E56" i="6"/>
  <c r="E40" i="6"/>
  <c r="D41" i="6"/>
  <c r="D42" i="6"/>
  <c r="D43" i="6"/>
  <c r="D44" i="6"/>
  <c r="D45" i="6"/>
  <c r="D46" i="6"/>
  <c r="D47" i="6"/>
  <c r="D48" i="6"/>
  <c r="D49" i="6"/>
  <c r="D50" i="6"/>
  <c r="D51" i="6"/>
  <c r="D52" i="6"/>
  <c r="D53" i="6"/>
  <c r="D54" i="6"/>
  <c r="D55" i="6"/>
  <c r="D56" i="6"/>
  <c r="D40" i="6"/>
  <c r="C41" i="6"/>
  <c r="C42" i="6"/>
  <c r="C43" i="6"/>
  <c r="C44" i="6"/>
  <c r="C45" i="6"/>
  <c r="C46" i="6"/>
  <c r="C47" i="6"/>
  <c r="C48" i="6"/>
  <c r="C49" i="6"/>
  <c r="C50" i="6"/>
  <c r="C51" i="6"/>
  <c r="C52" i="6"/>
  <c r="C53" i="6"/>
  <c r="C54" i="6"/>
  <c r="C55" i="6"/>
  <c r="C56" i="6"/>
  <c r="C40" i="6"/>
  <c r="B41" i="6"/>
  <c r="M41" i="6" s="1"/>
  <c r="B42" i="6"/>
  <c r="M42" i="6" s="1"/>
  <c r="B43" i="6"/>
  <c r="M43" i="6" s="1"/>
  <c r="B44" i="6"/>
  <c r="M44" i="6" s="1"/>
  <c r="B45" i="6"/>
  <c r="M45" i="6" s="1"/>
  <c r="B46" i="6"/>
  <c r="M46" i="6" s="1"/>
  <c r="B47" i="6"/>
  <c r="M47" i="6" s="1"/>
  <c r="B48" i="6"/>
  <c r="M48" i="6" s="1"/>
  <c r="B49" i="6"/>
  <c r="M49" i="6" s="1"/>
  <c r="B50" i="6"/>
  <c r="M50" i="6" s="1"/>
  <c r="B51" i="6"/>
  <c r="M51" i="6" s="1"/>
  <c r="B52" i="6"/>
  <c r="M52" i="6" s="1"/>
  <c r="B53" i="6"/>
  <c r="M53" i="6" s="1"/>
  <c r="B54" i="6"/>
  <c r="M54" i="6" s="1"/>
  <c r="B55" i="6"/>
  <c r="M55" i="6" s="1"/>
  <c r="B56" i="6"/>
  <c r="M56" i="6" s="1"/>
  <c r="B40" i="6"/>
  <c r="L3" i="6"/>
  <c r="L4" i="6" s="1"/>
  <c r="L5" i="6" s="1"/>
  <c r="L6" i="6" s="1"/>
  <c r="L7" i="6" s="1"/>
  <c r="K3" i="6"/>
  <c r="K4" i="6" s="1"/>
  <c r="K5" i="6" s="1"/>
  <c r="K6" i="6" s="1"/>
  <c r="K7" i="6" s="1"/>
  <c r="K8" i="6" s="1"/>
  <c r="K9" i="6" s="1"/>
  <c r="K10" i="6" s="1"/>
  <c r="K11" i="6" s="1"/>
  <c r="K12" i="6" s="1"/>
  <c r="K13" i="6" s="1"/>
  <c r="K14" i="6" s="1"/>
  <c r="K15" i="6" s="1"/>
  <c r="K16" i="6" s="1"/>
  <c r="K17" i="6" s="1"/>
  <c r="M7" i="6"/>
  <c r="M3" i="6"/>
  <c r="M4" i="6" s="1"/>
  <c r="M5" i="6" s="1"/>
  <c r="M6" i="6" s="1"/>
  <c r="E37" i="6"/>
  <c r="E21" i="6"/>
  <c r="D22" i="6"/>
  <c r="D23" i="6"/>
  <c r="D24" i="6"/>
  <c r="D25" i="6"/>
  <c r="D26" i="6"/>
  <c r="D27" i="6"/>
  <c r="D28" i="6"/>
  <c r="D29" i="6"/>
  <c r="D30" i="6"/>
  <c r="D31" i="6"/>
  <c r="D32" i="6"/>
  <c r="D33" i="6"/>
  <c r="D34" i="6"/>
  <c r="D35" i="6"/>
  <c r="D36" i="6"/>
  <c r="D37" i="6"/>
  <c r="C22" i="6"/>
  <c r="C23" i="6"/>
  <c r="C24" i="6"/>
  <c r="C25" i="6"/>
  <c r="C26" i="6"/>
  <c r="C27" i="6"/>
  <c r="C28" i="6"/>
  <c r="C29" i="6"/>
  <c r="C30" i="6"/>
  <c r="C31" i="6"/>
  <c r="C32" i="6"/>
  <c r="C33" i="6"/>
  <c r="C34" i="6"/>
  <c r="C35" i="6"/>
  <c r="C36" i="6"/>
  <c r="C37" i="6"/>
  <c r="D21" i="6"/>
  <c r="C21" i="6"/>
  <c r="B32" i="6"/>
  <c r="B33" i="6"/>
  <c r="B34" i="6"/>
  <c r="M34" i="6" s="1"/>
  <c r="B35" i="6"/>
  <c r="B36" i="6"/>
  <c r="M36" i="6" s="1"/>
  <c r="B37" i="6"/>
  <c r="B21" i="6"/>
  <c r="N3" i="6"/>
  <c r="N4" i="6" s="1"/>
  <c r="N5" i="6" s="1"/>
  <c r="N6" i="6" s="1"/>
  <c r="N7" i="6" s="1"/>
  <c r="N8" i="6" s="1"/>
  <c r="N9" i="6" s="1"/>
  <c r="N10" i="6" s="1"/>
  <c r="N11" i="6" s="1"/>
  <c r="N12" i="6" s="1"/>
  <c r="N13" i="6" s="1"/>
  <c r="N14" i="6" s="1"/>
  <c r="N15" i="6" s="1"/>
  <c r="N16" i="6" s="1"/>
  <c r="N17" i="6" s="1"/>
  <c r="F3" i="6"/>
  <c r="E3" i="6"/>
  <c r="B22" i="6" s="1"/>
  <c r="M22" i="6" s="1"/>
  <c r="J3" i="6"/>
  <c r="J4" i="6" s="1"/>
  <c r="J5" i="6" s="1"/>
  <c r="J6" i="6" s="1"/>
  <c r="J7" i="6" s="1"/>
  <c r="J8" i="6" s="1"/>
  <c r="J9" i="6" s="1"/>
  <c r="J10" i="6" s="1"/>
  <c r="J11" i="6" s="1"/>
  <c r="J12" i="6" s="1"/>
  <c r="I3" i="6"/>
  <c r="I4" i="6" s="1"/>
  <c r="I5" i="6" s="1"/>
  <c r="I6" i="6" s="1"/>
  <c r="I7" i="6" s="1"/>
  <c r="I8" i="6" s="1"/>
  <c r="I9" i="6" s="1"/>
  <c r="I10" i="6" s="1"/>
  <c r="I11" i="6" s="1"/>
  <c r="I12" i="6" s="1"/>
  <c r="I13" i="6" s="1"/>
  <c r="I14" i="6" s="1"/>
  <c r="I15" i="6" s="1"/>
  <c r="I16" i="6" s="1"/>
  <c r="I17" i="6" s="1"/>
  <c r="E2" i="9"/>
  <c r="G2" i="9" s="1"/>
  <c r="D3" i="9"/>
  <c r="D2" i="9"/>
  <c r="B3" i="9"/>
  <c r="B4" i="9" s="1"/>
  <c r="C76" i="8"/>
  <c r="D76" i="8"/>
  <c r="E76" i="8"/>
  <c r="F76" i="8"/>
  <c r="N76" i="8"/>
  <c r="C77" i="8"/>
  <c r="D77" i="8"/>
  <c r="E77" i="8"/>
  <c r="F77" i="8"/>
  <c r="G77" i="8" s="1"/>
  <c r="N77" i="8"/>
  <c r="C78" i="8"/>
  <c r="N78" i="8" s="1"/>
  <c r="D78" i="8"/>
  <c r="E78" i="8"/>
  <c r="F78" i="8"/>
  <c r="G78" i="8" s="1"/>
  <c r="H78" i="8" s="1"/>
  <c r="O78" i="8" s="1"/>
  <c r="C79" i="8"/>
  <c r="D79" i="8"/>
  <c r="E79" i="8"/>
  <c r="F79" i="8"/>
  <c r="G79" i="8" s="1"/>
  <c r="N79" i="8"/>
  <c r="C80" i="8"/>
  <c r="N80" i="8" s="1"/>
  <c r="D80" i="8"/>
  <c r="E80" i="8"/>
  <c r="F80" i="8"/>
  <c r="G80" i="8"/>
  <c r="H80" i="8" s="1"/>
  <c r="O80" i="8" s="1"/>
  <c r="F75" i="8"/>
  <c r="E75" i="8"/>
  <c r="D75" i="8"/>
  <c r="C75" i="8"/>
  <c r="N75" i="8" s="1"/>
  <c r="B76" i="8"/>
  <c r="B77" i="8" s="1"/>
  <c r="B78" i="8" s="1"/>
  <c r="B79" i="8" s="1"/>
  <c r="B80" i="8" s="1"/>
  <c r="A76" i="8"/>
  <c r="A77" i="8" s="1"/>
  <c r="A78" i="8" s="1"/>
  <c r="A79" i="8" s="1"/>
  <c r="A80" i="8" s="1"/>
  <c r="C69" i="8"/>
  <c r="D69" i="8"/>
  <c r="E69" i="8"/>
  <c r="F69" i="8"/>
  <c r="G69" i="8" s="1"/>
  <c r="N69" i="8"/>
  <c r="C70" i="8"/>
  <c r="N70" i="8" s="1"/>
  <c r="D70" i="8"/>
  <c r="E70" i="8"/>
  <c r="F70" i="8"/>
  <c r="C71" i="8"/>
  <c r="D71" i="8"/>
  <c r="E71" i="8"/>
  <c r="F71" i="8"/>
  <c r="N71" i="8"/>
  <c r="C72" i="8"/>
  <c r="N72" i="8" s="1"/>
  <c r="D72" i="8"/>
  <c r="E72" i="8"/>
  <c r="F72" i="8"/>
  <c r="C73" i="8"/>
  <c r="N73" i="8" s="1"/>
  <c r="D73" i="8"/>
  <c r="E73" i="8"/>
  <c r="F73" i="8"/>
  <c r="F68" i="8"/>
  <c r="E68" i="8"/>
  <c r="D68" i="8"/>
  <c r="C68" i="8"/>
  <c r="N68" i="8" s="1"/>
  <c r="B69" i="8"/>
  <c r="B70" i="8" s="1"/>
  <c r="B71" i="8" s="1"/>
  <c r="B72" i="8" s="1"/>
  <c r="B73" i="8" s="1"/>
  <c r="A69" i="8"/>
  <c r="A70" i="8" s="1"/>
  <c r="A71" i="8" s="1"/>
  <c r="A72" i="8" s="1"/>
  <c r="A73" i="8" s="1"/>
  <c r="C59" i="8"/>
  <c r="D59" i="8"/>
  <c r="E59" i="8"/>
  <c r="F59" i="8"/>
  <c r="C60" i="8"/>
  <c r="N60" i="8" s="1"/>
  <c r="D60" i="8"/>
  <c r="E60" i="8"/>
  <c r="F60" i="8"/>
  <c r="C61" i="8"/>
  <c r="N61" i="8" s="1"/>
  <c r="D61" i="8"/>
  <c r="E61" i="8"/>
  <c r="F61" i="8"/>
  <c r="C62" i="8"/>
  <c r="N62" i="8" s="1"/>
  <c r="D62" i="8"/>
  <c r="E62" i="8"/>
  <c r="F62" i="8"/>
  <c r="C63" i="8"/>
  <c r="N63" i="8" s="1"/>
  <c r="D63" i="8"/>
  <c r="E63" i="8"/>
  <c r="F63" i="8"/>
  <c r="C64" i="8"/>
  <c r="N64" i="8" s="1"/>
  <c r="D64" i="8"/>
  <c r="E64" i="8"/>
  <c r="F64" i="8"/>
  <c r="C65" i="8"/>
  <c r="N65" i="8" s="1"/>
  <c r="D65" i="8"/>
  <c r="E65" i="8"/>
  <c r="F65" i="8"/>
  <c r="C66" i="8"/>
  <c r="N66" i="8" s="1"/>
  <c r="D66" i="8"/>
  <c r="E66" i="8"/>
  <c r="F66" i="8"/>
  <c r="F58" i="8"/>
  <c r="E58" i="8"/>
  <c r="D58" i="8"/>
  <c r="C58" i="8"/>
  <c r="N58" i="8" s="1"/>
  <c r="Z63" i="8"/>
  <c r="Z64" i="8" s="1"/>
  <c r="Z65" i="8" s="1"/>
  <c r="Z66" i="8" s="1"/>
  <c r="Y59" i="8"/>
  <c r="Y60" i="8" s="1"/>
  <c r="Y61" i="8" s="1"/>
  <c r="Y62" i="8" s="1"/>
  <c r="A59" i="8"/>
  <c r="A60" i="8" s="1"/>
  <c r="A61" i="8" s="1"/>
  <c r="A62" i="8" s="1"/>
  <c r="A63" i="8" s="1"/>
  <c r="A64" i="8" s="1"/>
  <c r="A65" i="8" s="1"/>
  <c r="A66" i="8" s="1"/>
  <c r="C52" i="8"/>
  <c r="D52" i="8"/>
  <c r="E52" i="8"/>
  <c r="F52" i="8"/>
  <c r="N52" i="8"/>
  <c r="C53" i="8"/>
  <c r="D53" i="8"/>
  <c r="E53" i="8"/>
  <c r="F53" i="8"/>
  <c r="N53" i="8"/>
  <c r="C54" i="8"/>
  <c r="N54" i="8" s="1"/>
  <c r="D54" i="8"/>
  <c r="E54" i="8"/>
  <c r="F54" i="8"/>
  <c r="C55" i="8"/>
  <c r="D55" i="8"/>
  <c r="E55" i="8"/>
  <c r="F55" i="8"/>
  <c r="N55" i="8"/>
  <c r="C56" i="8"/>
  <c r="N56" i="8" s="1"/>
  <c r="D56" i="8"/>
  <c r="E56" i="8"/>
  <c r="F56" i="8"/>
  <c r="F51" i="8"/>
  <c r="E51" i="8"/>
  <c r="D51" i="8"/>
  <c r="C51" i="8"/>
  <c r="N51" i="8" s="1"/>
  <c r="A52" i="8"/>
  <c r="A53" i="8" s="1"/>
  <c r="A54" i="8" s="1"/>
  <c r="A55" i="8" s="1"/>
  <c r="A56" i="8" s="1"/>
  <c r="C45" i="8"/>
  <c r="D45" i="8"/>
  <c r="E45" i="8"/>
  <c r="F45" i="8"/>
  <c r="N45" i="8"/>
  <c r="C46" i="8"/>
  <c r="D46" i="8"/>
  <c r="E46" i="8"/>
  <c r="F46" i="8"/>
  <c r="N46" i="8"/>
  <c r="C47" i="8"/>
  <c r="N47" i="8" s="1"/>
  <c r="D47" i="8"/>
  <c r="E47" i="8"/>
  <c r="F47" i="8"/>
  <c r="C48" i="8"/>
  <c r="N48" i="8" s="1"/>
  <c r="D48" i="8"/>
  <c r="E48" i="8"/>
  <c r="F48" i="8"/>
  <c r="C49" i="8"/>
  <c r="D49" i="8"/>
  <c r="E49" i="8"/>
  <c r="F49" i="8"/>
  <c r="N49" i="8"/>
  <c r="F44" i="8"/>
  <c r="E44" i="8"/>
  <c r="D44" i="8"/>
  <c r="C44" i="8"/>
  <c r="N44" i="8" s="1"/>
  <c r="A45" i="8"/>
  <c r="A46" i="8" s="1"/>
  <c r="A47" i="8" s="1"/>
  <c r="A48" i="8" s="1"/>
  <c r="A49" i="8" s="1"/>
  <c r="Z38" i="8"/>
  <c r="Z39" i="8" s="1"/>
  <c r="Z40" i="8" s="1"/>
  <c r="Z41" i="8" s="1"/>
  <c r="Z42" i="8" s="1"/>
  <c r="Y38" i="8"/>
  <c r="Y39" i="8" s="1"/>
  <c r="Y40" i="8" s="1"/>
  <c r="Y41" i="8" s="1"/>
  <c r="Y42" i="8" s="1"/>
  <c r="C38" i="8"/>
  <c r="N38" i="8" s="1"/>
  <c r="D38" i="8"/>
  <c r="E38" i="8"/>
  <c r="F38" i="8"/>
  <c r="C39" i="8"/>
  <c r="N39" i="8" s="1"/>
  <c r="D39" i="8"/>
  <c r="E39" i="8"/>
  <c r="F39" i="8"/>
  <c r="C40" i="8"/>
  <c r="N40" i="8" s="1"/>
  <c r="D40" i="8"/>
  <c r="E40" i="8"/>
  <c r="F40" i="8"/>
  <c r="C41" i="8"/>
  <c r="N41" i="8" s="1"/>
  <c r="D41" i="8"/>
  <c r="E41" i="8"/>
  <c r="F41" i="8"/>
  <c r="C42" i="8"/>
  <c r="N42" i="8" s="1"/>
  <c r="D42" i="8"/>
  <c r="E42" i="8"/>
  <c r="F42" i="8"/>
  <c r="F37" i="8"/>
  <c r="E37" i="8"/>
  <c r="D37" i="8"/>
  <c r="C37" i="8"/>
  <c r="N37" i="8" s="1"/>
  <c r="A38" i="8"/>
  <c r="A39" i="8" s="1"/>
  <c r="A40" i="8" s="1"/>
  <c r="A41" i="8" s="1"/>
  <c r="A42" i="8" s="1"/>
  <c r="C31" i="8"/>
  <c r="N31" i="8" s="1"/>
  <c r="D31" i="8"/>
  <c r="E31" i="8"/>
  <c r="F31" i="8"/>
  <c r="C32" i="8"/>
  <c r="N32" i="8" s="1"/>
  <c r="D32" i="8"/>
  <c r="E32" i="8"/>
  <c r="F32" i="8"/>
  <c r="C33" i="8"/>
  <c r="N33" i="8" s="1"/>
  <c r="D33" i="8"/>
  <c r="E33" i="8"/>
  <c r="F33" i="8"/>
  <c r="C34" i="8"/>
  <c r="N34" i="8" s="1"/>
  <c r="D34" i="8"/>
  <c r="E34" i="8"/>
  <c r="F34" i="8"/>
  <c r="C35" i="8"/>
  <c r="N35" i="8" s="1"/>
  <c r="D35" i="8"/>
  <c r="E35" i="8"/>
  <c r="F35" i="8"/>
  <c r="F30" i="8"/>
  <c r="E30" i="8"/>
  <c r="D30" i="8"/>
  <c r="C30" i="8"/>
  <c r="N30" i="8" s="1"/>
  <c r="A31" i="8"/>
  <c r="A32" i="8" s="1"/>
  <c r="A33" i="8" s="1"/>
  <c r="A34" i="8" s="1"/>
  <c r="A35" i="8" s="1"/>
  <c r="D24" i="8"/>
  <c r="E24" i="8"/>
  <c r="F24" i="8"/>
  <c r="D25" i="8"/>
  <c r="E25" i="8"/>
  <c r="F25" i="8"/>
  <c r="D26" i="8"/>
  <c r="E26" i="8"/>
  <c r="F26" i="8"/>
  <c r="D27" i="8"/>
  <c r="E27" i="8"/>
  <c r="F27" i="8"/>
  <c r="D28" i="8"/>
  <c r="E28" i="8"/>
  <c r="F28" i="8"/>
  <c r="C24" i="8"/>
  <c r="C25" i="8"/>
  <c r="C26" i="8"/>
  <c r="C27" i="8"/>
  <c r="C28" i="8"/>
  <c r="F23" i="8"/>
  <c r="A24" i="8"/>
  <c r="A25" i="8" s="1"/>
  <c r="A26" i="8" s="1"/>
  <c r="A27" i="8" s="1"/>
  <c r="E23" i="8"/>
  <c r="D23" i="8"/>
  <c r="C23" i="8"/>
  <c r="N23" i="8" s="1"/>
  <c r="E17" i="8"/>
  <c r="E18" i="8"/>
  <c r="E19" i="8"/>
  <c r="E20" i="8"/>
  <c r="E21" i="8"/>
  <c r="D17" i="8"/>
  <c r="D18" i="8"/>
  <c r="D19" i="8"/>
  <c r="D20" i="8"/>
  <c r="D21" i="8"/>
  <c r="C17" i="8"/>
  <c r="N17" i="8" s="1"/>
  <c r="C18" i="8"/>
  <c r="N18" i="8" s="1"/>
  <c r="C19" i="8"/>
  <c r="N19" i="8" s="1"/>
  <c r="C20" i="8"/>
  <c r="N20" i="8" s="1"/>
  <c r="C21" i="8"/>
  <c r="N21" i="8" s="1"/>
  <c r="F16" i="8"/>
  <c r="B17" i="8"/>
  <c r="A17" i="8"/>
  <c r="A18" i="8" s="1"/>
  <c r="A19" i="8" s="1"/>
  <c r="A20" i="8" s="1"/>
  <c r="A21" i="8" s="1"/>
  <c r="E16" i="8"/>
  <c r="D16" i="8"/>
  <c r="C16" i="8"/>
  <c r="N16" i="8" s="1"/>
  <c r="E10" i="8"/>
  <c r="E11" i="8"/>
  <c r="E12" i="8"/>
  <c r="E13" i="8"/>
  <c r="E14" i="8"/>
  <c r="D10" i="8"/>
  <c r="D11" i="8"/>
  <c r="D12" i="8"/>
  <c r="D13" i="8"/>
  <c r="D14" i="8"/>
  <c r="C10" i="8"/>
  <c r="N10" i="8" s="1"/>
  <c r="C11" i="8"/>
  <c r="N11" i="8" s="1"/>
  <c r="C12" i="8"/>
  <c r="N12" i="8" s="1"/>
  <c r="C13" i="8"/>
  <c r="N13" i="8" s="1"/>
  <c r="C14" i="8"/>
  <c r="N14" i="8" s="1"/>
  <c r="F9" i="8"/>
  <c r="B10" i="8"/>
  <c r="F10" i="8" s="1"/>
  <c r="A10" i="8"/>
  <c r="A11" i="8" s="1"/>
  <c r="A12" i="8" s="1"/>
  <c r="A13" i="8" s="1"/>
  <c r="A14" i="8" s="1"/>
  <c r="C9" i="8"/>
  <c r="N9" i="8" s="1"/>
  <c r="D9" i="8"/>
  <c r="E9" i="8"/>
  <c r="E2" i="8"/>
  <c r="D2" i="8"/>
  <c r="F2" i="8"/>
  <c r="C2" i="8"/>
  <c r="N2" i="8" s="1"/>
  <c r="E3" i="8"/>
  <c r="E4" i="8"/>
  <c r="E5" i="8"/>
  <c r="E6" i="8"/>
  <c r="E7" i="8"/>
  <c r="D3" i="8"/>
  <c r="D4" i="8"/>
  <c r="D5" i="8"/>
  <c r="D6" i="8"/>
  <c r="D7" i="8"/>
  <c r="B3" i="8"/>
  <c r="B4" i="8" s="1"/>
  <c r="A3" i="8"/>
  <c r="C6" i="4"/>
  <c r="D6" i="4"/>
  <c r="E6" i="4"/>
  <c r="F6" i="4" s="1"/>
  <c r="M6" i="4" s="1"/>
  <c r="E4" i="4"/>
  <c r="G4" i="4" s="1"/>
  <c r="H4" i="4" s="1"/>
  <c r="D4" i="4"/>
  <c r="D8" i="4"/>
  <c r="B8" i="4"/>
  <c r="A8" i="4"/>
  <c r="L8" i="4" s="1"/>
  <c r="C4" i="4"/>
  <c r="A2" i="4"/>
  <c r="D2" i="4"/>
  <c r="C2" i="4"/>
  <c r="B2" i="4"/>
  <c r="L2" i="4"/>
  <c r="T6" i="4" l="1"/>
  <c r="S6" i="4"/>
  <c r="O4" i="4"/>
  <c r="P4" i="4" s="1"/>
  <c r="I4" i="4"/>
  <c r="Q4" i="4" s="1"/>
  <c r="R4" i="4" s="1"/>
  <c r="U4" i="4"/>
  <c r="V4" i="4" s="1"/>
  <c r="J4" i="4"/>
  <c r="K4" i="4" s="1"/>
  <c r="E8" i="4"/>
  <c r="G6" i="4"/>
  <c r="H6" i="4" s="1"/>
  <c r="G76" i="8"/>
  <c r="H76" i="8" s="1"/>
  <c r="O76" i="8" s="1"/>
  <c r="E2" i="4"/>
  <c r="F4" i="4"/>
  <c r="F70" i="6"/>
  <c r="G70" i="6" s="1"/>
  <c r="N70" i="6" s="1"/>
  <c r="U70" i="6" s="1"/>
  <c r="F62" i="6"/>
  <c r="H62" i="6" s="1"/>
  <c r="I62" i="6" s="1"/>
  <c r="F40" i="6"/>
  <c r="G40" i="6" s="1"/>
  <c r="F41" i="6"/>
  <c r="F69" i="6"/>
  <c r="G69" i="6" s="1"/>
  <c r="N69" i="6" s="1"/>
  <c r="F78" i="6"/>
  <c r="H78" i="6" s="1"/>
  <c r="I78" i="6" s="1"/>
  <c r="L8" i="6"/>
  <c r="L9" i="6" s="1"/>
  <c r="L10" i="6" s="1"/>
  <c r="L11" i="6" s="1"/>
  <c r="E4" i="6"/>
  <c r="B79" i="6"/>
  <c r="M37" i="6"/>
  <c r="F37" i="6"/>
  <c r="M33" i="6"/>
  <c r="M32" i="6"/>
  <c r="F48" i="6"/>
  <c r="J13" i="6"/>
  <c r="E88" i="6"/>
  <c r="F4" i="6"/>
  <c r="E79" i="6"/>
  <c r="E31" i="6"/>
  <c r="E22" i="6"/>
  <c r="F44" i="6"/>
  <c r="H73" i="6"/>
  <c r="I73" i="6" s="1"/>
  <c r="G73" i="6"/>
  <c r="N73" i="6" s="1"/>
  <c r="F21" i="6"/>
  <c r="M21" i="6"/>
  <c r="F52" i="6"/>
  <c r="M35" i="6"/>
  <c r="F53" i="6"/>
  <c r="F49" i="6"/>
  <c r="F45" i="6"/>
  <c r="H41" i="6"/>
  <c r="I41" i="6" s="1"/>
  <c r="G41" i="6"/>
  <c r="N41" i="6" s="1"/>
  <c r="F56" i="6"/>
  <c r="F55" i="6"/>
  <c r="F51" i="6"/>
  <c r="F47" i="6"/>
  <c r="F43" i="6"/>
  <c r="F65" i="6"/>
  <c r="F54" i="6"/>
  <c r="F50" i="6"/>
  <c r="F46" i="6"/>
  <c r="F42" i="6"/>
  <c r="F61" i="6"/>
  <c r="M73" i="6"/>
  <c r="F59" i="6"/>
  <c r="F72" i="6"/>
  <c r="F68" i="6"/>
  <c r="F64" i="6"/>
  <c r="F60" i="6"/>
  <c r="M70" i="6"/>
  <c r="M62" i="6"/>
  <c r="F75" i="6"/>
  <c r="F71" i="6"/>
  <c r="F67" i="6"/>
  <c r="F63" i="6"/>
  <c r="M94" i="6"/>
  <c r="F94" i="6"/>
  <c r="F74" i="6"/>
  <c r="F66" i="6"/>
  <c r="M91" i="6"/>
  <c r="M78" i="6"/>
  <c r="M59" i="6"/>
  <c r="N40" i="6"/>
  <c r="M40" i="6"/>
  <c r="B5" i="9"/>
  <c r="D4" i="9"/>
  <c r="E4" i="9"/>
  <c r="E3" i="9"/>
  <c r="F2" i="9"/>
  <c r="I79" i="8"/>
  <c r="J79" i="8" s="1"/>
  <c r="H79" i="8"/>
  <c r="O79" i="8" s="1"/>
  <c r="V78" i="8"/>
  <c r="V80" i="8"/>
  <c r="I77" i="8"/>
  <c r="J77" i="8" s="1"/>
  <c r="H77" i="8"/>
  <c r="O77" i="8" s="1"/>
  <c r="I80" i="8"/>
  <c r="J80" i="8" s="1"/>
  <c r="I78" i="8"/>
  <c r="J78" i="8" s="1"/>
  <c r="G75" i="8"/>
  <c r="G49" i="8"/>
  <c r="G45" i="8"/>
  <c r="G70" i="8"/>
  <c r="H70" i="8" s="1"/>
  <c r="O70" i="8" s="1"/>
  <c r="V70" i="8" s="1"/>
  <c r="G9" i="8"/>
  <c r="H9" i="8" s="1"/>
  <c r="O9" i="8" s="1"/>
  <c r="G72" i="8"/>
  <c r="H72" i="8" s="1"/>
  <c r="O72" i="8" s="1"/>
  <c r="V72" i="8" s="1"/>
  <c r="G52" i="8"/>
  <c r="H52" i="8" s="1"/>
  <c r="O52" i="8" s="1"/>
  <c r="G42" i="8"/>
  <c r="H42" i="8" s="1"/>
  <c r="O42" i="8" s="1"/>
  <c r="G41" i="8"/>
  <c r="H41" i="8" s="1"/>
  <c r="O41" i="8" s="1"/>
  <c r="G40" i="8"/>
  <c r="H40" i="8" s="1"/>
  <c r="O40" i="8" s="1"/>
  <c r="G39" i="8"/>
  <c r="G38" i="8"/>
  <c r="I38" i="8" s="1"/>
  <c r="J38" i="8" s="1"/>
  <c r="G55" i="8"/>
  <c r="H55" i="8" s="1"/>
  <c r="O55" i="8" s="1"/>
  <c r="G73" i="8"/>
  <c r="H73" i="8" s="1"/>
  <c r="O73" i="8" s="1"/>
  <c r="V73" i="8" s="1"/>
  <c r="G56" i="8"/>
  <c r="G30" i="8"/>
  <c r="I30" i="8" s="1"/>
  <c r="G64" i="8"/>
  <c r="G62" i="8"/>
  <c r="G63" i="8"/>
  <c r="N59" i="8"/>
  <c r="G59" i="8"/>
  <c r="F17" i="8"/>
  <c r="G17" i="8" s="1"/>
  <c r="H17" i="8" s="1"/>
  <c r="O17" i="8" s="1"/>
  <c r="V17" i="8" s="1"/>
  <c r="B18" i="8"/>
  <c r="B19" i="8" s="1"/>
  <c r="G58" i="8"/>
  <c r="G68" i="8"/>
  <c r="G66" i="8"/>
  <c r="N25" i="8"/>
  <c r="G53" i="8"/>
  <c r="I53" i="8" s="1"/>
  <c r="J53" i="8" s="1"/>
  <c r="G65" i="8"/>
  <c r="G61" i="8"/>
  <c r="G23" i="8"/>
  <c r="G48" i="8"/>
  <c r="I48" i="8" s="1"/>
  <c r="J48" i="8" s="1"/>
  <c r="N24" i="8"/>
  <c r="G60" i="8"/>
  <c r="H69" i="8"/>
  <c r="O69" i="8" s="1"/>
  <c r="V69" i="8" s="1"/>
  <c r="I69" i="8"/>
  <c r="J69" i="8" s="1"/>
  <c r="I70" i="8"/>
  <c r="J70" i="8" s="1"/>
  <c r="G71" i="8"/>
  <c r="B20" i="8"/>
  <c r="F19" i="8"/>
  <c r="B5" i="8"/>
  <c r="B6" i="8" s="1"/>
  <c r="F4" i="8"/>
  <c r="G25" i="8"/>
  <c r="F18" i="8"/>
  <c r="G26" i="8"/>
  <c r="A28" i="8"/>
  <c r="N28" i="8" s="1"/>
  <c r="N27" i="8"/>
  <c r="G27" i="8"/>
  <c r="G34" i="8"/>
  <c r="G33" i="8"/>
  <c r="G32" i="8"/>
  <c r="G31" i="8"/>
  <c r="G24" i="8"/>
  <c r="G16" i="8"/>
  <c r="N26" i="8"/>
  <c r="G47" i="8"/>
  <c r="H47" i="8" s="1"/>
  <c r="O47" i="8" s="1"/>
  <c r="G46" i="8"/>
  <c r="H46" i="8" s="1"/>
  <c r="O46" i="8" s="1"/>
  <c r="G54" i="8"/>
  <c r="H54" i="8" s="1"/>
  <c r="O54" i="8" s="1"/>
  <c r="G35" i="8"/>
  <c r="H56" i="8"/>
  <c r="O56" i="8" s="1"/>
  <c r="I56" i="8"/>
  <c r="J56" i="8" s="1"/>
  <c r="I52" i="8"/>
  <c r="J52" i="8" s="1"/>
  <c r="G51" i="8"/>
  <c r="H48" i="8"/>
  <c r="O48" i="8" s="1"/>
  <c r="H45" i="8"/>
  <c r="O45" i="8" s="1"/>
  <c r="I45" i="8"/>
  <c r="J45" i="8" s="1"/>
  <c r="H49" i="8"/>
  <c r="O49" i="8" s="1"/>
  <c r="I49" i="8"/>
  <c r="J49" i="8" s="1"/>
  <c r="G44" i="8"/>
  <c r="I42" i="8"/>
  <c r="J42" i="8" s="1"/>
  <c r="I40" i="8"/>
  <c r="J40" i="8" s="1"/>
  <c r="H39" i="8"/>
  <c r="O39" i="8" s="1"/>
  <c r="I39" i="8"/>
  <c r="J39" i="8" s="1"/>
  <c r="H38" i="8"/>
  <c r="O38" i="8" s="1"/>
  <c r="G37" i="8"/>
  <c r="F3" i="8"/>
  <c r="G10" i="8"/>
  <c r="A4" i="8"/>
  <c r="C3" i="8"/>
  <c r="N3" i="8" s="1"/>
  <c r="B11" i="8"/>
  <c r="G2" i="8"/>
  <c r="H2" i="8" s="1"/>
  <c r="O2" i="8" s="1"/>
  <c r="F2" i="4"/>
  <c r="M2" i="4" s="1"/>
  <c r="T2" i="4" l="1"/>
  <c r="J6" i="4"/>
  <c r="K6" i="4" s="1"/>
  <c r="N6" i="4" s="1"/>
  <c r="O6" i="4"/>
  <c r="P6" i="4" s="1"/>
  <c r="U6" i="4"/>
  <c r="V6" i="4" s="1"/>
  <c r="I6" i="4"/>
  <c r="I76" i="8"/>
  <c r="J76" i="8" s="1"/>
  <c r="L76" i="8" s="1"/>
  <c r="M76" i="8" s="1"/>
  <c r="P76" i="8" s="1"/>
  <c r="G62" i="6"/>
  <c r="N62" i="6" s="1"/>
  <c r="U62" i="6" s="1"/>
  <c r="H70" i="6"/>
  <c r="I70" i="6" s="1"/>
  <c r="N4" i="4"/>
  <c r="M4" i="4"/>
  <c r="G8" i="4"/>
  <c r="H8" i="4" s="1"/>
  <c r="F8" i="4"/>
  <c r="G78" i="6"/>
  <c r="N78" i="6" s="1"/>
  <c r="H30" i="8"/>
  <c r="O30" i="8" s="1"/>
  <c r="H69" i="6"/>
  <c r="I69" i="6" s="1"/>
  <c r="K69" i="6" s="1"/>
  <c r="L69" i="6" s="1"/>
  <c r="O69" i="6" s="1"/>
  <c r="H40" i="6"/>
  <c r="I40" i="6" s="1"/>
  <c r="P40" i="6" s="1"/>
  <c r="Q40" i="6" s="1"/>
  <c r="P41" i="6"/>
  <c r="Q41" i="6" s="1"/>
  <c r="K41" i="6"/>
  <c r="L41" i="6" s="1"/>
  <c r="O41" i="6" s="1"/>
  <c r="J41" i="6"/>
  <c r="V41" i="6"/>
  <c r="W41" i="6" s="1"/>
  <c r="V62" i="6"/>
  <c r="W62" i="6" s="1"/>
  <c r="P62" i="6"/>
  <c r="Q62" i="6" s="1"/>
  <c r="K62" i="6"/>
  <c r="L62" i="6" s="1"/>
  <c r="O62" i="6" s="1"/>
  <c r="J62" i="6"/>
  <c r="H74" i="6"/>
  <c r="I74" i="6" s="1"/>
  <c r="G74" i="6"/>
  <c r="N74" i="6" s="1"/>
  <c r="H54" i="6"/>
  <c r="G54" i="6"/>
  <c r="N54" i="6" s="1"/>
  <c r="H45" i="6"/>
  <c r="I45" i="6" s="1"/>
  <c r="G45" i="6"/>
  <c r="N45" i="6" s="1"/>
  <c r="H48" i="6"/>
  <c r="I48" i="6" s="1"/>
  <c r="G48" i="6"/>
  <c r="N48" i="6" s="1"/>
  <c r="E5" i="6"/>
  <c r="B80" i="6"/>
  <c r="B23" i="6"/>
  <c r="G67" i="6"/>
  <c r="N67" i="6" s="1"/>
  <c r="H67" i="6"/>
  <c r="I67" i="6" s="1"/>
  <c r="H68" i="6"/>
  <c r="I68" i="6" s="1"/>
  <c r="G68" i="6"/>
  <c r="N68" i="6" s="1"/>
  <c r="H42" i="6"/>
  <c r="I42" i="6" s="1"/>
  <c r="G42" i="6"/>
  <c r="N42" i="6" s="1"/>
  <c r="H65" i="6"/>
  <c r="I65" i="6" s="1"/>
  <c r="G65" i="6"/>
  <c r="N65" i="6" s="1"/>
  <c r="H55" i="6"/>
  <c r="G55" i="6"/>
  <c r="N55" i="6" s="1"/>
  <c r="H56" i="6"/>
  <c r="I56" i="6" s="1"/>
  <c r="G56" i="6"/>
  <c r="N56" i="6" s="1"/>
  <c r="H49" i="6"/>
  <c r="I49" i="6" s="1"/>
  <c r="G49" i="6"/>
  <c r="N49" i="6" s="1"/>
  <c r="U73" i="6"/>
  <c r="T73" i="6"/>
  <c r="G37" i="6"/>
  <c r="N37" i="6" s="1"/>
  <c r="H37" i="6"/>
  <c r="I37" i="6" s="1"/>
  <c r="H52" i="6"/>
  <c r="G52" i="6"/>
  <c r="N52" i="6" s="1"/>
  <c r="H94" i="6"/>
  <c r="I94" i="6" s="1"/>
  <c r="G94" i="6"/>
  <c r="N94" i="6" s="1"/>
  <c r="V70" i="6"/>
  <c r="W70" i="6" s="1"/>
  <c r="P70" i="6"/>
  <c r="Q70" i="6" s="1"/>
  <c r="K70" i="6"/>
  <c r="L70" i="6" s="1"/>
  <c r="O70" i="6" s="1"/>
  <c r="J70" i="6"/>
  <c r="H72" i="6"/>
  <c r="I72" i="6" s="1"/>
  <c r="G72" i="6"/>
  <c r="N72" i="6" s="1"/>
  <c r="H61" i="6"/>
  <c r="I61" i="6" s="1"/>
  <c r="G61" i="6"/>
  <c r="N61" i="6" s="1"/>
  <c r="H46" i="6"/>
  <c r="I46" i="6" s="1"/>
  <c r="G46" i="6"/>
  <c r="N46" i="6" s="1"/>
  <c r="P69" i="6"/>
  <c r="Q69" i="6" s="1"/>
  <c r="H43" i="6"/>
  <c r="I43" i="6" s="1"/>
  <c r="G43" i="6"/>
  <c r="N43" i="6" s="1"/>
  <c r="U69" i="6"/>
  <c r="U41" i="6"/>
  <c r="T41" i="6"/>
  <c r="H53" i="6"/>
  <c r="G53" i="6"/>
  <c r="N53" i="6" s="1"/>
  <c r="T70" i="6"/>
  <c r="L12" i="6"/>
  <c r="G63" i="6"/>
  <c r="N63" i="6" s="1"/>
  <c r="H63" i="6"/>
  <c r="I63" i="6" s="1"/>
  <c r="H64" i="6"/>
  <c r="I64" i="6" s="1"/>
  <c r="G64" i="6"/>
  <c r="N64" i="6" s="1"/>
  <c r="H51" i="6"/>
  <c r="G51" i="6"/>
  <c r="N51" i="6" s="1"/>
  <c r="G21" i="6"/>
  <c r="N21" i="6" s="1"/>
  <c r="H21" i="6"/>
  <c r="I21" i="6" s="1"/>
  <c r="F5" i="6"/>
  <c r="E80" i="6"/>
  <c r="E23" i="6"/>
  <c r="G71" i="6"/>
  <c r="N71" i="6" s="1"/>
  <c r="H71" i="6"/>
  <c r="I71" i="6" s="1"/>
  <c r="H66" i="6"/>
  <c r="I66" i="6" s="1"/>
  <c r="G66" i="6"/>
  <c r="N66" i="6" s="1"/>
  <c r="G75" i="6"/>
  <c r="N75" i="6" s="1"/>
  <c r="H75" i="6"/>
  <c r="I75" i="6" s="1"/>
  <c r="H60" i="6"/>
  <c r="I60" i="6" s="1"/>
  <c r="G60" i="6"/>
  <c r="N60" i="6" s="1"/>
  <c r="H59" i="6"/>
  <c r="I59" i="6" s="1"/>
  <c r="P59" i="6" s="1"/>
  <c r="Q59" i="6" s="1"/>
  <c r="G59" i="6"/>
  <c r="N59" i="6" s="1"/>
  <c r="H50" i="6"/>
  <c r="G50" i="6"/>
  <c r="N50" i="6" s="1"/>
  <c r="V73" i="6"/>
  <c r="W73" i="6" s="1"/>
  <c r="K73" i="6"/>
  <c r="L73" i="6" s="1"/>
  <c r="O73" i="6" s="1"/>
  <c r="J73" i="6"/>
  <c r="R73" i="6" s="1"/>
  <c r="S73" i="6" s="1"/>
  <c r="P73" i="6"/>
  <c r="Q73" i="6" s="1"/>
  <c r="H47" i="6"/>
  <c r="I47" i="6" s="1"/>
  <c r="G47" i="6"/>
  <c r="N47" i="6" s="1"/>
  <c r="F22" i="6"/>
  <c r="H44" i="6"/>
  <c r="I44" i="6" s="1"/>
  <c r="G44" i="6"/>
  <c r="N44" i="6" s="1"/>
  <c r="J14" i="6"/>
  <c r="E89" i="6"/>
  <c r="E32" i="6"/>
  <c r="F79" i="6"/>
  <c r="M79" i="6"/>
  <c r="K78" i="6"/>
  <c r="L78" i="6" s="1"/>
  <c r="O78" i="6" s="1"/>
  <c r="P78" i="6"/>
  <c r="Q78" i="6" s="1"/>
  <c r="V78" i="6"/>
  <c r="W78" i="6" s="1"/>
  <c r="J78" i="6"/>
  <c r="U78" i="6"/>
  <c r="T78" i="6"/>
  <c r="K59" i="6"/>
  <c r="L59" i="6" s="1"/>
  <c r="O59" i="6" s="1"/>
  <c r="U59" i="6"/>
  <c r="K40" i="6"/>
  <c r="L40" i="6" s="1"/>
  <c r="O40" i="6" s="1"/>
  <c r="J40" i="6"/>
  <c r="T40" i="6"/>
  <c r="U40" i="6"/>
  <c r="G4" i="9"/>
  <c r="F4" i="9"/>
  <c r="G3" i="9"/>
  <c r="F3" i="9"/>
  <c r="B6" i="9"/>
  <c r="E5" i="9"/>
  <c r="D5" i="9"/>
  <c r="W78" i="8"/>
  <c r="X78" i="8" s="1"/>
  <c r="L78" i="8"/>
  <c r="M78" i="8" s="1"/>
  <c r="P78" i="8" s="1"/>
  <c r="Q78" i="8"/>
  <c r="R78" i="8" s="1"/>
  <c r="K78" i="8"/>
  <c r="S78" i="8" s="1"/>
  <c r="T78" i="8" s="1"/>
  <c r="U78" i="8"/>
  <c r="K80" i="8"/>
  <c r="L80" i="8"/>
  <c r="M80" i="8" s="1"/>
  <c r="P80" i="8" s="1"/>
  <c r="Q80" i="8"/>
  <c r="R80" i="8" s="1"/>
  <c r="W80" i="8"/>
  <c r="X80" i="8" s="1"/>
  <c r="U80" i="8"/>
  <c r="K76" i="8"/>
  <c r="W76" i="8"/>
  <c r="X76" i="8" s="1"/>
  <c r="Q77" i="8"/>
  <c r="R77" i="8" s="1"/>
  <c r="L77" i="8"/>
  <c r="M77" i="8" s="1"/>
  <c r="P77" i="8" s="1"/>
  <c r="K77" i="8"/>
  <c r="W77" i="8"/>
  <c r="X77" i="8" s="1"/>
  <c r="V76" i="8"/>
  <c r="U76" i="8"/>
  <c r="V79" i="8"/>
  <c r="U79" i="8"/>
  <c r="U77" i="8"/>
  <c r="V77" i="8"/>
  <c r="Q79" i="8"/>
  <c r="R79" i="8" s="1"/>
  <c r="K79" i="8"/>
  <c r="W79" i="8"/>
  <c r="X79" i="8" s="1"/>
  <c r="L79" i="8"/>
  <c r="M79" i="8" s="1"/>
  <c r="P79" i="8" s="1"/>
  <c r="I75" i="8"/>
  <c r="J75" i="8" s="1"/>
  <c r="H75" i="8"/>
  <c r="O75" i="8" s="1"/>
  <c r="I72" i="8"/>
  <c r="J72" i="8" s="1"/>
  <c r="W72" i="8" s="1"/>
  <c r="X72" i="8" s="1"/>
  <c r="U39" i="8"/>
  <c r="H53" i="8"/>
  <c r="O53" i="8" s="1"/>
  <c r="U40" i="8"/>
  <c r="U42" i="8"/>
  <c r="I17" i="8"/>
  <c r="J17" i="8" s="1"/>
  <c r="U17" i="8" s="1"/>
  <c r="I41" i="8"/>
  <c r="J41" i="8" s="1"/>
  <c r="Q41" i="8" s="1"/>
  <c r="R41" i="8" s="1"/>
  <c r="I55" i="8"/>
  <c r="J55" i="8" s="1"/>
  <c r="Q55" i="8" s="1"/>
  <c r="R55" i="8" s="1"/>
  <c r="I73" i="8"/>
  <c r="J73" i="8" s="1"/>
  <c r="Q73" i="8" s="1"/>
  <c r="R73" i="8" s="1"/>
  <c r="U38" i="8"/>
  <c r="G28" i="8"/>
  <c r="I28" i="8" s="1"/>
  <c r="J28" i="8" s="1"/>
  <c r="W69" i="8"/>
  <c r="X69" i="8" s="1"/>
  <c r="U69" i="8"/>
  <c r="Q69" i="8"/>
  <c r="R69" i="8" s="1"/>
  <c r="U72" i="8"/>
  <c r="U70" i="8"/>
  <c r="Q70" i="8"/>
  <c r="R70" i="8" s="1"/>
  <c r="W70" i="8"/>
  <c r="X70" i="8" s="1"/>
  <c r="W73" i="8"/>
  <c r="X73" i="8" s="1"/>
  <c r="U73" i="8"/>
  <c r="I66" i="8"/>
  <c r="J66" i="8" s="1"/>
  <c r="H66" i="8"/>
  <c r="O66" i="8" s="1"/>
  <c r="I54" i="8"/>
  <c r="J54" i="8" s="1"/>
  <c r="U54" i="8" s="1"/>
  <c r="I63" i="8"/>
  <c r="J63" i="8" s="1"/>
  <c r="H63" i="8"/>
  <c r="O63" i="8" s="1"/>
  <c r="I62" i="8"/>
  <c r="J62" i="8" s="1"/>
  <c r="H62" i="8"/>
  <c r="O62" i="8" s="1"/>
  <c r="I60" i="8"/>
  <c r="J60" i="8" s="1"/>
  <c r="H60" i="8"/>
  <c r="O60" i="8" s="1"/>
  <c r="I61" i="8"/>
  <c r="J61" i="8" s="1"/>
  <c r="H61" i="8"/>
  <c r="O61" i="8" s="1"/>
  <c r="I65" i="8"/>
  <c r="J65" i="8" s="1"/>
  <c r="H65" i="8"/>
  <c r="O65" i="8" s="1"/>
  <c r="I59" i="8"/>
  <c r="J59" i="8" s="1"/>
  <c r="H59" i="8"/>
  <c r="O59" i="8" s="1"/>
  <c r="I64" i="8"/>
  <c r="J64" i="8" s="1"/>
  <c r="H64" i="8"/>
  <c r="O64" i="8" s="1"/>
  <c r="K69" i="8"/>
  <c r="L69" i="8"/>
  <c r="M69" i="8" s="1"/>
  <c r="P69" i="8" s="1"/>
  <c r="I71" i="8"/>
  <c r="J71" i="8" s="1"/>
  <c r="H71" i="8"/>
  <c r="O71" i="8" s="1"/>
  <c r="V71" i="8" s="1"/>
  <c r="K70" i="8"/>
  <c r="L70" i="8"/>
  <c r="M70" i="8" s="1"/>
  <c r="P70" i="8" s="1"/>
  <c r="L72" i="8"/>
  <c r="M72" i="8" s="1"/>
  <c r="P72" i="8" s="1"/>
  <c r="K72" i="8"/>
  <c r="H68" i="8"/>
  <c r="O68" i="8" s="1"/>
  <c r="I68" i="8"/>
  <c r="J68" i="8" s="1"/>
  <c r="H58" i="8"/>
  <c r="O58" i="8" s="1"/>
  <c r="I58" i="8"/>
  <c r="L38" i="8"/>
  <c r="M38" i="8" s="1"/>
  <c r="P38" i="8" s="1"/>
  <c r="W38" i="8"/>
  <c r="X38" i="8" s="1"/>
  <c r="K38" i="8"/>
  <c r="Q38" i="8"/>
  <c r="R38" i="8" s="1"/>
  <c r="Q45" i="8"/>
  <c r="R45" i="8" s="1"/>
  <c r="W45" i="8"/>
  <c r="X45" i="8" s="1"/>
  <c r="W56" i="8"/>
  <c r="X56" i="8" s="1"/>
  <c r="Q56" i="8"/>
  <c r="R56" i="8" s="1"/>
  <c r="V46" i="8"/>
  <c r="L42" i="8"/>
  <c r="M42" i="8" s="1"/>
  <c r="P42" i="8" s="1"/>
  <c r="W42" i="8"/>
  <c r="X42" i="8" s="1"/>
  <c r="K42" i="8"/>
  <c r="Q42" i="8"/>
  <c r="R42" i="8" s="1"/>
  <c r="W55" i="8"/>
  <c r="X55" i="8" s="1"/>
  <c r="V47" i="8"/>
  <c r="Q40" i="8"/>
  <c r="R40" i="8" s="1"/>
  <c r="L40" i="8"/>
  <c r="M40" i="8" s="1"/>
  <c r="P40" i="8" s="1"/>
  <c r="W40" i="8"/>
  <c r="X40" i="8" s="1"/>
  <c r="K40" i="8"/>
  <c r="Q49" i="8"/>
  <c r="R49" i="8" s="1"/>
  <c r="W49" i="8"/>
  <c r="X49" i="8" s="1"/>
  <c r="H31" i="8"/>
  <c r="O31" i="8" s="1"/>
  <c r="I31" i="8"/>
  <c r="J31" i="8" s="1"/>
  <c r="H27" i="8"/>
  <c r="O27" i="8" s="1"/>
  <c r="I27" i="8"/>
  <c r="J27" i="8" s="1"/>
  <c r="I37" i="8"/>
  <c r="J37" i="8" s="1"/>
  <c r="H37" i="8"/>
  <c r="O37" i="8" s="1"/>
  <c r="U37" i="8" s="1"/>
  <c r="V40" i="8"/>
  <c r="U45" i="8"/>
  <c r="V45" i="8"/>
  <c r="V55" i="8"/>
  <c r="V54" i="8"/>
  <c r="F5" i="8"/>
  <c r="Q39" i="8"/>
  <c r="R39" i="8" s="1"/>
  <c r="L39" i="8"/>
  <c r="M39" i="8" s="1"/>
  <c r="P39" i="8" s="1"/>
  <c r="W39" i="8"/>
  <c r="X39" i="8" s="1"/>
  <c r="K39" i="8"/>
  <c r="I46" i="8"/>
  <c r="J46" i="8" s="1"/>
  <c r="U46" i="8" s="1"/>
  <c r="I47" i="8"/>
  <c r="J47" i="8" s="1"/>
  <c r="U47" i="8" s="1"/>
  <c r="Q48" i="8"/>
  <c r="R48" i="8" s="1"/>
  <c r="W48" i="8"/>
  <c r="X48" i="8" s="1"/>
  <c r="W52" i="8"/>
  <c r="X52" i="8" s="1"/>
  <c r="Q52" i="8"/>
  <c r="R52" i="8" s="1"/>
  <c r="W53" i="8"/>
  <c r="X53" i="8" s="1"/>
  <c r="Q53" i="8"/>
  <c r="R53" i="8" s="1"/>
  <c r="I32" i="8"/>
  <c r="J32" i="8" s="1"/>
  <c r="H32" i="8"/>
  <c r="O32" i="8" s="1"/>
  <c r="G18" i="8"/>
  <c r="G19" i="8"/>
  <c r="I24" i="8"/>
  <c r="J24" i="8" s="1"/>
  <c r="H24" i="8"/>
  <c r="O24" i="8" s="1"/>
  <c r="I33" i="8"/>
  <c r="J33" i="8" s="1"/>
  <c r="H33" i="8"/>
  <c r="O33" i="8" s="1"/>
  <c r="V38" i="8"/>
  <c r="V42" i="8"/>
  <c r="U49" i="8"/>
  <c r="V49" i="8"/>
  <c r="U56" i="8"/>
  <c r="V56" i="8"/>
  <c r="H34" i="8"/>
  <c r="O34" i="8" s="1"/>
  <c r="I34" i="8"/>
  <c r="J34" i="8" s="1"/>
  <c r="H26" i="8"/>
  <c r="O26" i="8" s="1"/>
  <c r="I26" i="8"/>
  <c r="J26" i="8" s="1"/>
  <c r="I2" i="8"/>
  <c r="J2" i="8" s="1"/>
  <c r="W2" i="8" s="1"/>
  <c r="X2" i="8" s="1"/>
  <c r="V39" i="8"/>
  <c r="V41" i="8"/>
  <c r="V48" i="8"/>
  <c r="U48" i="8"/>
  <c r="U52" i="8"/>
  <c r="V52" i="8"/>
  <c r="U53" i="8"/>
  <c r="V53" i="8"/>
  <c r="I35" i="8"/>
  <c r="J35" i="8" s="1"/>
  <c r="H35" i="8"/>
  <c r="O35" i="8" s="1"/>
  <c r="H25" i="8"/>
  <c r="O25" i="8" s="1"/>
  <c r="I25" i="8"/>
  <c r="J25" i="8" s="1"/>
  <c r="B21" i="8"/>
  <c r="F21" i="8" s="1"/>
  <c r="F20" i="8"/>
  <c r="K52" i="8"/>
  <c r="L52" i="8"/>
  <c r="M52" i="8" s="1"/>
  <c r="P52" i="8" s="1"/>
  <c r="K56" i="8"/>
  <c r="L56" i="8"/>
  <c r="M56" i="8" s="1"/>
  <c r="P56" i="8" s="1"/>
  <c r="K53" i="8"/>
  <c r="L53" i="8"/>
  <c r="M53" i="8" s="1"/>
  <c r="P53" i="8" s="1"/>
  <c r="H51" i="8"/>
  <c r="O51" i="8" s="1"/>
  <c r="I51" i="8"/>
  <c r="J51" i="8" s="1"/>
  <c r="Q51" i="8" s="1"/>
  <c r="K49" i="8"/>
  <c r="L49" i="8"/>
  <c r="M49" i="8" s="1"/>
  <c r="P49" i="8" s="1"/>
  <c r="K48" i="8"/>
  <c r="L48" i="8"/>
  <c r="M48" i="8" s="1"/>
  <c r="P48" i="8" s="1"/>
  <c r="K45" i="8"/>
  <c r="L45" i="8"/>
  <c r="M45" i="8" s="1"/>
  <c r="P45" i="8" s="1"/>
  <c r="H44" i="8"/>
  <c r="O44" i="8" s="1"/>
  <c r="I44" i="8"/>
  <c r="J44" i="8" s="1"/>
  <c r="J30" i="8"/>
  <c r="H23" i="8"/>
  <c r="O23" i="8" s="1"/>
  <c r="I23" i="8"/>
  <c r="J23" i="8" s="1"/>
  <c r="G3" i="8"/>
  <c r="H3" i="8" s="1"/>
  <c r="O3" i="8" s="1"/>
  <c r="I10" i="8"/>
  <c r="J10" i="8" s="1"/>
  <c r="H10" i="8"/>
  <c r="O10" i="8" s="1"/>
  <c r="B7" i="8"/>
  <c r="F7" i="8" s="1"/>
  <c r="F6" i="8"/>
  <c r="A5" i="8"/>
  <c r="C4" i="8"/>
  <c r="F11" i="8"/>
  <c r="B12" i="8"/>
  <c r="I3" i="8"/>
  <c r="J3" i="8" s="1"/>
  <c r="H16" i="8"/>
  <c r="O16" i="8" s="1"/>
  <c r="I16" i="8"/>
  <c r="J16" i="8" s="1"/>
  <c r="I9" i="8"/>
  <c r="J9" i="8" s="1"/>
  <c r="K9" i="8" s="1"/>
  <c r="V2" i="8"/>
  <c r="G2" i="4"/>
  <c r="S76" i="8" l="1"/>
  <c r="T76" i="8" s="1"/>
  <c r="T4" i="4"/>
  <c r="S4" i="4"/>
  <c r="L73" i="8"/>
  <c r="M73" i="8" s="1"/>
  <c r="P73" i="8" s="1"/>
  <c r="Q72" i="8"/>
  <c r="R72" i="8" s="1"/>
  <c r="Q76" i="8"/>
  <c r="R76" i="8" s="1"/>
  <c r="S80" i="8"/>
  <c r="T80" i="8" s="1"/>
  <c r="T69" i="6"/>
  <c r="J69" i="6"/>
  <c r="T62" i="6"/>
  <c r="Q6" i="4"/>
  <c r="R6" i="4" s="1"/>
  <c r="O8" i="4"/>
  <c r="P8" i="4" s="1"/>
  <c r="I8" i="4"/>
  <c r="U8" i="4"/>
  <c r="V8" i="4" s="1"/>
  <c r="J8" i="4"/>
  <c r="K8" i="4" s="1"/>
  <c r="O2" i="4"/>
  <c r="P2" i="4" s="1"/>
  <c r="H2" i="4"/>
  <c r="S2" i="4" s="1"/>
  <c r="Q54" i="8"/>
  <c r="R54" i="8" s="1"/>
  <c r="V69" i="6"/>
  <c r="W69" i="6" s="1"/>
  <c r="Q17" i="8"/>
  <c r="R17" i="8" s="1"/>
  <c r="K73" i="8"/>
  <c r="R62" i="6"/>
  <c r="S62" i="6" s="1"/>
  <c r="N8" i="4"/>
  <c r="M8" i="4"/>
  <c r="V40" i="6"/>
  <c r="W40" i="6" s="1"/>
  <c r="R41" i="6"/>
  <c r="S41" i="6" s="1"/>
  <c r="J59" i="6"/>
  <c r="V59" i="6"/>
  <c r="W59" i="6" s="1"/>
  <c r="T59" i="6"/>
  <c r="R69" i="6"/>
  <c r="S69" i="6" s="1"/>
  <c r="G22" i="6"/>
  <c r="N22" i="6" s="1"/>
  <c r="H22" i="6"/>
  <c r="I22" i="6" s="1"/>
  <c r="P66" i="6"/>
  <c r="Q66" i="6" s="1"/>
  <c r="K66" i="6"/>
  <c r="L66" i="6" s="1"/>
  <c r="O66" i="6" s="1"/>
  <c r="J66" i="6"/>
  <c r="V66" i="6"/>
  <c r="W66" i="6" s="1"/>
  <c r="P63" i="6"/>
  <c r="Q63" i="6" s="1"/>
  <c r="V63" i="6"/>
  <c r="W63" i="6" s="1"/>
  <c r="K63" i="6"/>
  <c r="L63" i="6" s="1"/>
  <c r="O63" i="6" s="1"/>
  <c r="J63" i="6"/>
  <c r="V61" i="6"/>
  <c r="W61" i="6" s="1"/>
  <c r="P61" i="6"/>
  <c r="Q61" i="6" s="1"/>
  <c r="K61" i="6"/>
  <c r="L61" i="6" s="1"/>
  <c r="O61" i="6" s="1"/>
  <c r="J61" i="6"/>
  <c r="U37" i="6"/>
  <c r="T37" i="6"/>
  <c r="U67" i="6"/>
  <c r="T67" i="6"/>
  <c r="U48" i="6"/>
  <c r="T48" i="6"/>
  <c r="R59" i="6"/>
  <c r="F32" i="6"/>
  <c r="U47" i="6"/>
  <c r="T47" i="6"/>
  <c r="P75" i="6"/>
  <c r="Q75" i="6" s="1"/>
  <c r="V75" i="6"/>
  <c r="W75" i="6" s="1"/>
  <c r="K75" i="6"/>
  <c r="L75" i="6" s="1"/>
  <c r="O75" i="6" s="1"/>
  <c r="J75" i="6"/>
  <c r="P71" i="6"/>
  <c r="Q71" i="6" s="1"/>
  <c r="V71" i="6"/>
  <c r="W71" i="6" s="1"/>
  <c r="J71" i="6"/>
  <c r="K71" i="6"/>
  <c r="L71" i="6" s="1"/>
  <c r="O71" i="6" s="1"/>
  <c r="F6" i="6"/>
  <c r="E81" i="6"/>
  <c r="E24" i="6"/>
  <c r="U63" i="6"/>
  <c r="T63" i="6"/>
  <c r="U53" i="6"/>
  <c r="U46" i="6"/>
  <c r="T46" i="6"/>
  <c r="U72" i="6"/>
  <c r="T72" i="6"/>
  <c r="U52" i="6"/>
  <c r="U49" i="6"/>
  <c r="T49" i="6"/>
  <c r="U55" i="6"/>
  <c r="U42" i="6"/>
  <c r="T42" i="6"/>
  <c r="U68" i="6"/>
  <c r="T68" i="6"/>
  <c r="F23" i="6"/>
  <c r="M23" i="6"/>
  <c r="V48" i="6"/>
  <c r="W48" i="6" s="1"/>
  <c r="P48" i="6"/>
  <c r="Q48" i="6" s="1"/>
  <c r="K48" i="6"/>
  <c r="L48" i="6" s="1"/>
  <c r="O48" i="6" s="1"/>
  <c r="J48" i="6"/>
  <c r="H79" i="6"/>
  <c r="I79" i="6" s="1"/>
  <c r="P79" i="6" s="1"/>
  <c r="Q79" i="6" s="1"/>
  <c r="G79" i="6"/>
  <c r="N79" i="6" s="1"/>
  <c r="V60" i="6"/>
  <c r="W60" i="6" s="1"/>
  <c r="P60" i="6"/>
  <c r="Q60" i="6" s="1"/>
  <c r="K60" i="6"/>
  <c r="L60" i="6" s="1"/>
  <c r="O60" i="6" s="1"/>
  <c r="J60" i="6"/>
  <c r="U51" i="6"/>
  <c r="V56" i="6"/>
  <c r="W56" i="6" s="1"/>
  <c r="P56" i="6"/>
  <c r="Q56" i="6" s="1"/>
  <c r="K56" i="6"/>
  <c r="L56" i="6" s="1"/>
  <c r="O56" i="6" s="1"/>
  <c r="J56" i="6"/>
  <c r="U54" i="6"/>
  <c r="F89" i="6"/>
  <c r="U44" i="6"/>
  <c r="T44" i="6"/>
  <c r="P47" i="6"/>
  <c r="Q47" i="6" s="1"/>
  <c r="K47" i="6"/>
  <c r="L47" i="6" s="1"/>
  <c r="O47" i="6" s="1"/>
  <c r="J47" i="6"/>
  <c r="V47" i="6"/>
  <c r="W47" i="6" s="1"/>
  <c r="U75" i="6"/>
  <c r="T75" i="6"/>
  <c r="U71" i="6"/>
  <c r="T71" i="6"/>
  <c r="V21" i="6"/>
  <c r="W21" i="6" s="1"/>
  <c r="K21" i="6"/>
  <c r="L21" i="6" s="1"/>
  <c r="O21" i="6" s="1"/>
  <c r="J21" i="6"/>
  <c r="P21" i="6"/>
  <c r="Q21" i="6" s="1"/>
  <c r="U64" i="6"/>
  <c r="T64" i="6"/>
  <c r="L13" i="6"/>
  <c r="I50" i="6"/>
  <c r="V46" i="6"/>
  <c r="W46" i="6" s="1"/>
  <c r="P46" i="6"/>
  <c r="Q46" i="6" s="1"/>
  <c r="K46" i="6"/>
  <c r="L46" i="6" s="1"/>
  <c r="O46" i="6" s="1"/>
  <c r="J46" i="6"/>
  <c r="V72" i="6"/>
  <c r="W72" i="6" s="1"/>
  <c r="P72" i="6"/>
  <c r="Q72" i="6" s="1"/>
  <c r="K72" i="6"/>
  <c r="L72" i="6" s="1"/>
  <c r="O72" i="6" s="1"/>
  <c r="J72" i="6"/>
  <c r="V42" i="6"/>
  <c r="W42" i="6" s="1"/>
  <c r="P42" i="6"/>
  <c r="Q42" i="6" s="1"/>
  <c r="K42" i="6"/>
  <c r="L42" i="6" s="1"/>
  <c r="O42" i="6" s="1"/>
  <c r="J42" i="6"/>
  <c r="V68" i="6"/>
  <c r="W68" i="6" s="1"/>
  <c r="P68" i="6"/>
  <c r="Q68" i="6" s="1"/>
  <c r="K68" i="6"/>
  <c r="L68" i="6" s="1"/>
  <c r="O68" i="6" s="1"/>
  <c r="J68" i="6"/>
  <c r="F80" i="6"/>
  <c r="M80" i="6"/>
  <c r="U45" i="6"/>
  <c r="T45" i="6"/>
  <c r="U74" i="6"/>
  <c r="T74" i="6"/>
  <c r="R40" i="6"/>
  <c r="S40" i="6" s="1"/>
  <c r="V43" i="6"/>
  <c r="W43" i="6" s="1"/>
  <c r="P43" i="6"/>
  <c r="Q43" i="6" s="1"/>
  <c r="K43" i="6"/>
  <c r="L43" i="6" s="1"/>
  <c r="O43" i="6" s="1"/>
  <c r="J43" i="6"/>
  <c r="P94" i="6"/>
  <c r="Q94" i="6" s="1"/>
  <c r="K94" i="6"/>
  <c r="L94" i="6" s="1"/>
  <c r="O94" i="6" s="1"/>
  <c r="J94" i="6"/>
  <c r="V94" i="6"/>
  <c r="W94" i="6" s="1"/>
  <c r="V65" i="6"/>
  <c r="W65" i="6" s="1"/>
  <c r="K65" i="6"/>
  <c r="L65" i="6" s="1"/>
  <c r="O65" i="6" s="1"/>
  <c r="J65" i="6"/>
  <c r="P65" i="6"/>
  <c r="Q65" i="6" s="1"/>
  <c r="R78" i="6"/>
  <c r="S78" i="6" s="1"/>
  <c r="J15" i="6"/>
  <c r="E90" i="6"/>
  <c r="E33" i="6"/>
  <c r="V44" i="6"/>
  <c r="W44" i="6" s="1"/>
  <c r="P44" i="6"/>
  <c r="Q44" i="6" s="1"/>
  <c r="K44" i="6"/>
  <c r="L44" i="6" s="1"/>
  <c r="O44" i="6" s="1"/>
  <c r="J44" i="6"/>
  <c r="U50" i="6"/>
  <c r="U60" i="6"/>
  <c r="T60" i="6"/>
  <c r="U66" i="6"/>
  <c r="T66" i="6"/>
  <c r="T21" i="6"/>
  <c r="U21" i="6"/>
  <c r="V64" i="6"/>
  <c r="W64" i="6" s="1"/>
  <c r="P64" i="6"/>
  <c r="Q64" i="6" s="1"/>
  <c r="K64" i="6"/>
  <c r="L64" i="6" s="1"/>
  <c r="O64" i="6" s="1"/>
  <c r="J64" i="6"/>
  <c r="V49" i="6"/>
  <c r="W49" i="6" s="1"/>
  <c r="P49" i="6"/>
  <c r="Q49" i="6" s="1"/>
  <c r="K49" i="6"/>
  <c r="L49" i="6" s="1"/>
  <c r="O49" i="6" s="1"/>
  <c r="J49" i="6"/>
  <c r="U43" i="6"/>
  <c r="T43" i="6"/>
  <c r="U61" i="6"/>
  <c r="T61" i="6"/>
  <c r="R70" i="6"/>
  <c r="S70" i="6" s="1"/>
  <c r="T94" i="6"/>
  <c r="U94" i="6"/>
  <c r="V37" i="6"/>
  <c r="W37" i="6" s="1"/>
  <c r="P37" i="6"/>
  <c r="Q37" i="6" s="1"/>
  <c r="K37" i="6"/>
  <c r="L37" i="6" s="1"/>
  <c r="O37" i="6" s="1"/>
  <c r="J37" i="6"/>
  <c r="U56" i="6"/>
  <c r="T56" i="6"/>
  <c r="U65" i="6"/>
  <c r="T65" i="6"/>
  <c r="P67" i="6"/>
  <c r="Q67" i="6" s="1"/>
  <c r="V67" i="6"/>
  <c r="W67" i="6" s="1"/>
  <c r="K67" i="6"/>
  <c r="L67" i="6" s="1"/>
  <c r="O67" i="6" s="1"/>
  <c r="J67" i="6"/>
  <c r="E6" i="6"/>
  <c r="B81" i="6"/>
  <c r="B24" i="6"/>
  <c r="V45" i="6"/>
  <c r="W45" i="6" s="1"/>
  <c r="P45" i="6"/>
  <c r="Q45" i="6" s="1"/>
  <c r="K45" i="6"/>
  <c r="L45" i="6" s="1"/>
  <c r="O45" i="6" s="1"/>
  <c r="J45" i="6"/>
  <c r="P74" i="6"/>
  <c r="Q74" i="6" s="1"/>
  <c r="K74" i="6"/>
  <c r="L74" i="6" s="1"/>
  <c r="O74" i="6" s="1"/>
  <c r="J74" i="6"/>
  <c r="V74" i="6"/>
  <c r="W74" i="6" s="1"/>
  <c r="S59" i="6"/>
  <c r="G5" i="9"/>
  <c r="F5" i="9"/>
  <c r="B7" i="9"/>
  <c r="E6" i="9"/>
  <c r="D6" i="9"/>
  <c r="S79" i="8"/>
  <c r="T79" i="8" s="1"/>
  <c r="S77" i="8"/>
  <c r="T77" i="8" s="1"/>
  <c r="Q75" i="8"/>
  <c r="R75" i="8" s="1"/>
  <c r="L75" i="8"/>
  <c r="M75" i="8" s="1"/>
  <c r="P75" i="8" s="1"/>
  <c r="K75" i="8"/>
  <c r="S75" i="8" s="1"/>
  <c r="W75" i="8"/>
  <c r="X75" i="8" s="1"/>
  <c r="V75" i="8"/>
  <c r="U75" i="8"/>
  <c r="L54" i="8"/>
  <c r="M54" i="8" s="1"/>
  <c r="P54" i="8" s="1"/>
  <c r="W54" i="8"/>
  <c r="X54" i="8" s="1"/>
  <c r="H28" i="8"/>
  <c r="O28" i="8" s="1"/>
  <c r="U28" i="8" s="1"/>
  <c r="K17" i="8"/>
  <c r="K54" i="8"/>
  <c r="S54" i="8" s="1"/>
  <c r="T54" i="8" s="1"/>
  <c r="U41" i="8"/>
  <c r="K55" i="8"/>
  <c r="K41" i="8"/>
  <c r="U55" i="8"/>
  <c r="W41" i="8"/>
  <c r="X41" i="8" s="1"/>
  <c r="L47" i="8"/>
  <c r="M47" i="8" s="1"/>
  <c r="P47" i="8" s="1"/>
  <c r="K47" i="8"/>
  <c r="L41" i="8"/>
  <c r="M41" i="8" s="1"/>
  <c r="P41" i="8" s="1"/>
  <c r="S39" i="8"/>
  <c r="T39" i="8" s="1"/>
  <c r="L17" i="8"/>
  <c r="M17" i="8" s="1"/>
  <c r="P17" i="8" s="1"/>
  <c r="L55" i="8"/>
  <c r="M55" i="8" s="1"/>
  <c r="P55" i="8" s="1"/>
  <c r="W17" i="8"/>
  <c r="X17" i="8" s="1"/>
  <c r="S70" i="8"/>
  <c r="T70" i="8" s="1"/>
  <c r="S69" i="8"/>
  <c r="T69" i="8" s="1"/>
  <c r="S72" i="8"/>
  <c r="T72" i="8" s="1"/>
  <c r="U71" i="8"/>
  <c r="Q71" i="8"/>
  <c r="R71" i="8" s="1"/>
  <c r="W71" i="8"/>
  <c r="X71" i="8" s="1"/>
  <c r="W64" i="8"/>
  <c r="X64" i="8" s="1"/>
  <c r="Q64" i="8"/>
  <c r="R64" i="8" s="1"/>
  <c r="L64" i="8"/>
  <c r="M64" i="8" s="1"/>
  <c r="P64" i="8" s="1"/>
  <c r="K64" i="8"/>
  <c r="K65" i="8"/>
  <c r="L65" i="8"/>
  <c r="M65" i="8" s="1"/>
  <c r="P65" i="8" s="1"/>
  <c r="W65" i="8"/>
  <c r="X65" i="8" s="1"/>
  <c r="Q65" i="8"/>
  <c r="R65" i="8" s="1"/>
  <c r="W60" i="8"/>
  <c r="X60" i="8" s="1"/>
  <c r="Q60" i="8"/>
  <c r="R60" i="8" s="1"/>
  <c r="L60" i="8"/>
  <c r="M60" i="8" s="1"/>
  <c r="P60" i="8" s="1"/>
  <c r="K60" i="8"/>
  <c r="K63" i="8"/>
  <c r="W63" i="8"/>
  <c r="X63" i="8" s="1"/>
  <c r="Q63" i="8"/>
  <c r="R63" i="8" s="1"/>
  <c r="L63" i="8"/>
  <c r="M63" i="8" s="1"/>
  <c r="P63" i="8" s="1"/>
  <c r="J58" i="8"/>
  <c r="Q58" i="8" s="1"/>
  <c r="R58" i="8" s="1"/>
  <c r="V59" i="8"/>
  <c r="U59" i="8"/>
  <c r="V61" i="8"/>
  <c r="U61" i="8"/>
  <c r="V62" i="8"/>
  <c r="U62" i="8"/>
  <c r="S40" i="8"/>
  <c r="T40" i="8" s="1"/>
  <c r="S38" i="8"/>
  <c r="T38" i="8" s="1"/>
  <c r="K59" i="8"/>
  <c r="W59" i="8"/>
  <c r="X59" i="8" s="1"/>
  <c r="Q59" i="8"/>
  <c r="R59" i="8" s="1"/>
  <c r="L59" i="8"/>
  <c r="M59" i="8" s="1"/>
  <c r="P59" i="8" s="1"/>
  <c r="K61" i="8"/>
  <c r="W61" i="8"/>
  <c r="X61" i="8" s="1"/>
  <c r="Q61" i="8"/>
  <c r="R61" i="8" s="1"/>
  <c r="L61" i="8"/>
  <c r="M61" i="8" s="1"/>
  <c r="P61" i="8" s="1"/>
  <c r="K62" i="8"/>
  <c r="W62" i="8"/>
  <c r="X62" i="8" s="1"/>
  <c r="Q62" i="8"/>
  <c r="R62" i="8" s="1"/>
  <c r="L62" i="8"/>
  <c r="M62" i="8" s="1"/>
  <c r="P62" i="8" s="1"/>
  <c r="V66" i="8"/>
  <c r="U66" i="8"/>
  <c r="V64" i="8"/>
  <c r="U64" i="8"/>
  <c r="V65" i="8"/>
  <c r="U65" i="8"/>
  <c r="V60" i="8"/>
  <c r="U60" i="8"/>
  <c r="V63" i="8"/>
  <c r="U63" i="8"/>
  <c r="L66" i="8"/>
  <c r="M66" i="8" s="1"/>
  <c r="P66" i="8" s="1"/>
  <c r="K66" i="8"/>
  <c r="W66" i="8"/>
  <c r="X66" i="8" s="1"/>
  <c r="Q66" i="8"/>
  <c r="R66" i="8" s="1"/>
  <c r="K71" i="8"/>
  <c r="L71" i="8"/>
  <c r="M71" i="8" s="1"/>
  <c r="P71" i="8" s="1"/>
  <c r="L68" i="8"/>
  <c r="M68" i="8" s="1"/>
  <c r="P68" i="8" s="1"/>
  <c r="W68" i="8"/>
  <c r="X68" i="8" s="1"/>
  <c r="K68" i="8"/>
  <c r="Q68" i="8"/>
  <c r="R68" i="8" s="1"/>
  <c r="V68" i="8"/>
  <c r="U68" i="8"/>
  <c r="V58" i="8"/>
  <c r="L37" i="8"/>
  <c r="M37" i="8" s="1"/>
  <c r="P37" i="8" s="1"/>
  <c r="K37" i="8"/>
  <c r="Q37" i="8"/>
  <c r="R37" i="8" s="1"/>
  <c r="L44" i="8"/>
  <c r="M44" i="8" s="1"/>
  <c r="P44" i="8" s="1"/>
  <c r="K44" i="8"/>
  <c r="Q44" i="8"/>
  <c r="R44" i="8" s="1"/>
  <c r="G20" i="8"/>
  <c r="K33" i="8"/>
  <c r="Q33" i="8"/>
  <c r="R33" i="8" s="1"/>
  <c r="W33" i="8"/>
  <c r="X33" i="8" s="1"/>
  <c r="L33" i="8"/>
  <c r="M33" i="8" s="1"/>
  <c r="P33" i="8" s="1"/>
  <c r="Q32" i="8"/>
  <c r="R32" i="8" s="1"/>
  <c r="W32" i="8"/>
  <c r="X32" i="8" s="1"/>
  <c r="K32" i="8"/>
  <c r="L32" i="8"/>
  <c r="M32" i="8" s="1"/>
  <c r="P32" i="8" s="1"/>
  <c r="W31" i="8"/>
  <c r="X31" i="8" s="1"/>
  <c r="Q31" i="8"/>
  <c r="R31" i="8" s="1"/>
  <c r="L31" i="8"/>
  <c r="M31" i="8" s="1"/>
  <c r="P31" i="8" s="1"/>
  <c r="K31" i="8"/>
  <c r="K35" i="8"/>
  <c r="W35" i="8"/>
  <c r="X35" i="8" s="1"/>
  <c r="L35" i="8"/>
  <c r="M35" i="8" s="1"/>
  <c r="P35" i="8" s="1"/>
  <c r="Q35" i="8"/>
  <c r="R35" i="8" s="1"/>
  <c r="W34" i="8"/>
  <c r="X34" i="8" s="1"/>
  <c r="Q34" i="8"/>
  <c r="R34" i="8" s="1"/>
  <c r="K34" i="8"/>
  <c r="L34" i="8"/>
  <c r="M34" i="8" s="1"/>
  <c r="P34" i="8" s="1"/>
  <c r="U24" i="8"/>
  <c r="V24" i="8"/>
  <c r="L46" i="8"/>
  <c r="M46" i="8" s="1"/>
  <c r="P46" i="8" s="1"/>
  <c r="Q25" i="8"/>
  <c r="R25" i="8" s="1"/>
  <c r="W25" i="8"/>
  <c r="X25" i="8" s="1"/>
  <c r="L25" i="8"/>
  <c r="M25" i="8" s="1"/>
  <c r="P25" i="8" s="1"/>
  <c r="K25" i="8"/>
  <c r="V34" i="8"/>
  <c r="U34" i="8"/>
  <c r="L24" i="8"/>
  <c r="M24" i="8" s="1"/>
  <c r="P24" i="8" s="1"/>
  <c r="W24" i="8"/>
  <c r="X24" i="8" s="1"/>
  <c r="Q24" i="8"/>
  <c r="R24" i="8" s="1"/>
  <c r="K24" i="8"/>
  <c r="H18" i="8"/>
  <c r="O18" i="8" s="1"/>
  <c r="I18" i="8"/>
  <c r="J18" i="8" s="1"/>
  <c r="L28" i="8"/>
  <c r="M28" i="8" s="1"/>
  <c r="W28" i="8"/>
  <c r="X28" i="8" s="1"/>
  <c r="K28" i="8"/>
  <c r="Q28" i="8"/>
  <c r="R28" i="8" s="1"/>
  <c r="Q27" i="8"/>
  <c r="R27" i="8" s="1"/>
  <c r="W27" i="8"/>
  <c r="X27" i="8" s="1"/>
  <c r="L27" i="8"/>
  <c r="M27" i="8" s="1"/>
  <c r="P27" i="8" s="1"/>
  <c r="K27" i="8"/>
  <c r="V35" i="8"/>
  <c r="U35" i="8"/>
  <c r="V26" i="8"/>
  <c r="U26" i="8"/>
  <c r="H19" i="8"/>
  <c r="O19" i="8" s="1"/>
  <c r="I19" i="8"/>
  <c r="J19" i="8" s="1"/>
  <c r="Q46" i="8"/>
  <c r="R46" i="8" s="1"/>
  <c r="W46" i="8"/>
  <c r="X46" i="8" s="1"/>
  <c r="Q2" i="8"/>
  <c r="R2" i="8" s="1"/>
  <c r="S48" i="8"/>
  <c r="T48" i="8" s="1"/>
  <c r="S53" i="8"/>
  <c r="T53" i="8" s="1"/>
  <c r="G21" i="8"/>
  <c r="V31" i="8"/>
  <c r="U31" i="8"/>
  <c r="K2" i="8"/>
  <c r="U2" i="8"/>
  <c r="L2" i="8"/>
  <c r="M2" i="8" s="1"/>
  <c r="P2" i="8" s="1"/>
  <c r="S45" i="8"/>
  <c r="T45" i="8" s="1"/>
  <c r="K46" i="8"/>
  <c r="S46" i="8" s="1"/>
  <c r="T46" i="8" s="1"/>
  <c r="S49" i="8"/>
  <c r="T49" i="8" s="1"/>
  <c r="S56" i="8"/>
  <c r="T56" i="8" s="1"/>
  <c r="S52" i="8"/>
  <c r="T52" i="8" s="1"/>
  <c r="U25" i="8"/>
  <c r="V25" i="8"/>
  <c r="L26" i="8"/>
  <c r="M26" i="8" s="1"/>
  <c r="P26" i="8" s="1"/>
  <c r="K26" i="8"/>
  <c r="Q26" i="8"/>
  <c r="R26" i="8" s="1"/>
  <c r="W26" i="8"/>
  <c r="X26" i="8" s="1"/>
  <c r="V33" i="8"/>
  <c r="U33" i="8"/>
  <c r="U32" i="8"/>
  <c r="V32" i="8"/>
  <c r="W47" i="8"/>
  <c r="X47" i="8" s="1"/>
  <c r="Q47" i="8"/>
  <c r="R47" i="8" s="1"/>
  <c r="V27" i="8"/>
  <c r="U27" i="8"/>
  <c r="S42" i="8"/>
  <c r="T42" i="8" s="1"/>
  <c r="L51" i="8"/>
  <c r="M51" i="8" s="1"/>
  <c r="P51" i="8" s="1"/>
  <c r="W51" i="8"/>
  <c r="X51" i="8" s="1"/>
  <c r="K51" i="8"/>
  <c r="R51" i="8"/>
  <c r="V51" i="8"/>
  <c r="U51" i="8"/>
  <c r="W44" i="8"/>
  <c r="X44" i="8" s="1"/>
  <c r="V44" i="8"/>
  <c r="U44" i="8"/>
  <c r="W37" i="8"/>
  <c r="X37" i="8" s="1"/>
  <c r="V37" i="8"/>
  <c r="L30" i="8"/>
  <c r="M30" i="8" s="1"/>
  <c r="P30" i="8" s="1"/>
  <c r="W30" i="8"/>
  <c r="X30" i="8" s="1"/>
  <c r="K30" i="8"/>
  <c r="Q30" i="8"/>
  <c r="R30" i="8" s="1"/>
  <c r="U30" i="8"/>
  <c r="V30" i="8"/>
  <c r="L23" i="8"/>
  <c r="M23" i="8" s="1"/>
  <c r="P23" i="8" s="1"/>
  <c r="W23" i="8"/>
  <c r="X23" i="8" s="1"/>
  <c r="K23" i="8"/>
  <c r="Q23" i="8"/>
  <c r="R23" i="8" s="1"/>
  <c r="V23" i="8"/>
  <c r="U23" i="8"/>
  <c r="G11" i="8"/>
  <c r="B13" i="8"/>
  <c r="F12" i="8"/>
  <c r="V3" i="8"/>
  <c r="U3" i="8"/>
  <c r="N4" i="8"/>
  <c r="G4" i="8"/>
  <c r="U10" i="8"/>
  <c r="V10" i="8"/>
  <c r="W3" i="8"/>
  <c r="X3" i="8" s="1"/>
  <c r="K3" i="8"/>
  <c r="Q3" i="8"/>
  <c r="R3" i="8" s="1"/>
  <c r="L3" i="8"/>
  <c r="M3" i="8" s="1"/>
  <c r="P3" i="8" s="1"/>
  <c r="A6" i="8"/>
  <c r="C5" i="8"/>
  <c r="Q10" i="8"/>
  <c r="R10" i="8" s="1"/>
  <c r="L10" i="8"/>
  <c r="M10" i="8" s="1"/>
  <c r="P10" i="8" s="1"/>
  <c r="W10" i="8"/>
  <c r="X10" i="8" s="1"/>
  <c r="K10" i="8"/>
  <c r="L16" i="8"/>
  <c r="M16" i="8" s="1"/>
  <c r="P16" i="8" s="1"/>
  <c r="W16" i="8"/>
  <c r="X16" i="8" s="1"/>
  <c r="K16" i="8"/>
  <c r="Q16" i="8"/>
  <c r="R16" i="8" s="1"/>
  <c r="V16" i="8"/>
  <c r="U16" i="8"/>
  <c r="L9" i="8"/>
  <c r="M9" i="8" s="1"/>
  <c r="P9" i="8" s="1"/>
  <c r="Q9" i="8"/>
  <c r="R9" i="8" s="1"/>
  <c r="W9" i="8"/>
  <c r="X9" i="8" s="1"/>
  <c r="V9" i="8"/>
  <c r="U9" i="8"/>
  <c r="I2" i="4"/>
  <c r="U2" i="4"/>
  <c r="V2" i="4" s="1"/>
  <c r="J2" i="4"/>
  <c r="K2" i="4" s="1"/>
  <c r="N2" i="4" s="1"/>
  <c r="S8" i="4" l="1"/>
  <c r="T8" i="4"/>
  <c r="S60" i="8"/>
  <c r="T60" i="8" s="1"/>
  <c r="S64" i="8"/>
  <c r="T64" i="8" s="1"/>
  <c r="S73" i="8"/>
  <c r="T73" i="8" s="1"/>
  <c r="Q8" i="4"/>
  <c r="R8" i="4" s="1"/>
  <c r="R74" i="6"/>
  <c r="S74" i="6" s="1"/>
  <c r="R43" i="6"/>
  <c r="S43" i="6" s="1"/>
  <c r="R61" i="6"/>
  <c r="S61" i="6" s="1"/>
  <c r="R63" i="6"/>
  <c r="S63" i="6" s="1"/>
  <c r="R67" i="6"/>
  <c r="S67" i="6" s="1"/>
  <c r="R37" i="6"/>
  <c r="S37" i="6" s="1"/>
  <c r="R75" i="6"/>
  <c r="S75" i="6" s="1"/>
  <c r="R68" i="6"/>
  <c r="S68" i="6" s="1"/>
  <c r="R42" i="6"/>
  <c r="S42" i="6" s="1"/>
  <c r="R72" i="6"/>
  <c r="S72" i="6" s="1"/>
  <c r="R46" i="6"/>
  <c r="S46" i="6" s="1"/>
  <c r="H23" i="6"/>
  <c r="I23" i="6" s="1"/>
  <c r="G23" i="6"/>
  <c r="N23" i="6" s="1"/>
  <c r="H32" i="6"/>
  <c r="I32" i="6" s="1"/>
  <c r="G32" i="6"/>
  <c r="N32" i="6" s="1"/>
  <c r="R45" i="6"/>
  <c r="S45" i="6" s="1"/>
  <c r="M24" i="6"/>
  <c r="F24" i="6"/>
  <c r="R44" i="6"/>
  <c r="S44" i="6" s="1"/>
  <c r="F33" i="6"/>
  <c r="L14" i="6"/>
  <c r="I51" i="6"/>
  <c r="R21" i="6"/>
  <c r="S21" i="6" s="1"/>
  <c r="R47" i="6"/>
  <c r="S47" i="6" s="1"/>
  <c r="R60" i="6"/>
  <c r="S60" i="6" s="1"/>
  <c r="U79" i="6"/>
  <c r="T79" i="6"/>
  <c r="F7" i="6"/>
  <c r="E82" i="6"/>
  <c r="E25" i="6"/>
  <c r="F90" i="6"/>
  <c r="H89" i="6"/>
  <c r="I89" i="6" s="1"/>
  <c r="G89" i="6"/>
  <c r="N89" i="6" s="1"/>
  <c r="V79" i="6"/>
  <c r="W79" i="6" s="1"/>
  <c r="K79" i="6"/>
  <c r="L79" i="6" s="1"/>
  <c r="O79" i="6" s="1"/>
  <c r="J79" i="6"/>
  <c r="V22" i="6"/>
  <c r="W22" i="6" s="1"/>
  <c r="P22" i="6"/>
  <c r="Q22" i="6" s="1"/>
  <c r="K22" i="6"/>
  <c r="L22" i="6" s="1"/>
  <c r="O22" i="6" s="1"/>
  <c r="J22" i="6"/>
  <c r="V50" i="6"/>
  <c r="W50" i="6" s="1"/>
  <c r="P50" i="6"/>
  <c r="Q50" i="6" s="1"/>
  <c r="K50" i="6"/>
  <c r="L50" i="6" s="1"/>
  <c r="O50" i="6" s="1"/>
  <c r="J50" i="6"/>
  <c r="M81" i="6"/>
  <c r="F81" i="6"/>
  <c r="E7" i="6"/>
  <c r="B82" i="6"/>
  <c r="B25" i="6"/>
  <c r="R49" i="6"/>
  <c r="S49" i="6" s="1"/>
  <c r="R64" i="6"/>
  <c r="S64" i="6" s="1"/>
  <c r="T50" i="6"/>
  <c r="J16" i="6"/>
  <c r="E91" i="6"/>
  <c r="E34" i="6"/>
  <c r="R65" i="6"/>
  <c r="S65" i="6" s="1"/>
  <c r="R94" i="6"/>
  <c r="S94" i="6" s="1"/>
  <c r="H80" i="6"/>
  <c r="I80" i="6" s="1"/>
  <c r="G80" i="6"/>
  <c r="N80" i="6" s="1"/>
  <c r="R56" i="6"/>
  <c r="S56" i="6" s="1"/>
  <c r="R48" i="6"/>
  <c r="S48" i="6" s="1"/>
  <c r="R71" i="6"/>
  <c r="S71" i="6" s="1"/>
  <c r="R66" i="6"/>
  <c r="S66" i="6" s="1"/>
  <c r="T22" i="6"/>
  <c r="U22" i="6"/>
  <c r="B8" i="9"/>
  <c r="E7" i="9"/>
  <c r="D7" i="9"/>
  <c r="F6" i="9"/>
  <c r="G6" i="9"/>
  <c r="T75" i="8"/>
  <c r="K58" i="8"/>
  <c r="S17" i="8"/>
  <c r="T17" i="8" s="1"/>
  <c r="S37" i="8"/>
  <c r="T37" i="8" s="1"/>
  <c r="S55" i="8"/>
  <c r="T55" i="8" s="1"/>
  <c r="V28" i="8"/>
  <c r="S62" i="8"/>
  <c r="T62" i="8" s="1"/>
  <c r="S61" i="8"/>
  <c r="T61" i="8" s="1"/>
  <c r="S59" i="8"/>
  <c r="T59" i="8" s="1"/>
  <c r="P28" i="8"/>
  <c r="S66" i="8"/>
  <c r="T66" i="8" s="1"/>
  <c r="S47" i="8"/>
  <c r="T47" i="8" s="1"/>
  <c r="W58" i="8"/>
  <c r="X58" i="8" s="1"/>
  <c r="S35" i="8"/>
  <c r="T35" i="8" s="1"/>
  <c r="L58" i="8"/>
  <c r="M58" i="8" s="1"/>
  <c r="P58" i="8" s="1"/>
  <c r="S71" i="8"/>
  <c r="T71" i="8" s="1"/>
  <c r="S41" i="8"/>
  <c r="T41" i="8" s="1"/>
  <c r="S28" i="8"/>
  <c r="T28" i="8" s="1"/>
  <c r="S31" i="8"/>
  <c r="T31" i="8" s="1"/>
  <c r="U58" i="8"/>
  <c r="S51" i="8"/>
  <c r="T51" i="8" s="1"/>
  <c r="S23" i="8"/>
  <c r="T23" i="8" s="1"/>
  <c r="S26" i="8"/>
  <c r="T26" i="8" s="1"/>
  <c r="S68" i="8"/>
  <c r="T68" i="8" s="1"/>
  <c r="S63" i="8"/>
  <c r="T63" i="8" s="1"/>
  <c r="S65" i="8"/>
  <c r="T65" i="8" s="1"/>
  <c r="U18" i="8"/>
  <c r="V18" i="8"/>
  <c r="H20" i="8"/>
  <c r="O20" i="8" s="1"/>
  <c r="I20" i="8"/>
  <c r="J20" i="8" s="1"/>
  <c r="Q19" i="8"/>
  <c r="R19" i="8" s="1"/>
  <c r="W19" i="8"/>
  <c r="X19" i="8" s="1"/>
  <c r="L19" i="8"/>
  <c r="M19" i="8" s="1"/>
  <c r="P19" i="8" s="1"/>
  <c r="K19" i="8"/>
  <c r="S30" i="8"/>
  <c r="T30" i="8" s="1"/>
  <c r="V19" i="8"/>
  <c r="U19" i="8"/>
  <c r="S24" i="8"/>
  <c r="T24" i="8" s="1"/>
  <c r="S32" i="8"/>
  <c r="T32" i="8" s="1"/>
  <c r="S2" i="8"/>
  <c r="T2" i="8" s="1"/>
  <c r="I21" i="8"/>
  <c r="J21" i="8" s="1"/>
  <c r="H21" i="8"/>
  <c r="O21" i="8" s="1"/>
  <c r="S27" i="8"/>
  <c r="T27" i="8" s="1"/>
  <c r="Q18" i="8"/>
  <c r="R18" i="8" s="1"/>
  <c r="W18" i="8"/>
  <c r="X18" i="8" s="1"/>
  <c r="L18" i="8"/>
  <c r="M18" i="8" s="1"/>
  <c r="P18" i="8" s="1"/>
  <c r="K18" i="8"/>
  <c r="S18" i="8" s="1"/>
  <c r="T18" i="8" s="1"/>
  <c r="S25" i="8"/>
  <c r="T25" i="8" s="1"/>
  <c r="S34" i="8"/>
  <c r="T34" i="8" s="1"/>
  <c r="S33" i="8"/>
  <c r="T33" i="8" s="1"/>
  <c r="S44" i="8"/>
  <c r="T44" i="8" s="1"/>
  <c r="S10" i="8"/>
  <c r="T10" i="8" s="1"/>
  <c r="S3" i="8"/>
  <c r="T3" i="8" s="1"/>
  <c r="N5" i="8"/>
  <c r="G5" i="8"/>
  <c r="B14" i="8"/>
  <c r="F14" i="8" s="1"/>
  <c r="F13" i="8"/>
  <c r="H4" i="8"/>
  <c r="O4" i="8" s="1"/>
  <c r="I4" i="8"/>
  <c r="J4" i="8" s="1"/>
  <c r="A7" i="8"/>
  <c r="C7" i="8" s="1"/>
  <c r="C6" i="8"/>
  <c r="I11" i="8"/>
  <c r="J11" i="8" s="1"/>
  <c r="H11" i="8"/>
  <c r="O11" i="8" s="1"/>
  <c r="G12" i="8"/>
  <c r="S16" i="8"/>
  <c r="T16" i="8" s="1"/>
  <c r="S9" i="8"/>
  <c r="T9" i="8" s="1"/>
  <c r="Q2" i="4"/>
  <c r="R2" i="4" s="1"/>
  <c r="R50" i="6" l="1"/>
  <c r="S50" i="6" s="1"/>
  <c r="R22" i="6"/>
  <c r="S22" i="6" s="1"/>
  <c r="R79" i="6"/>
  <c r="S79" i="6" s="1"/>
  <c r="U89" i="6"/>
  <c r="T89" i="6"/>
  <c r="U80" i="6"/>
  <c r="T80" i="6"/>
  <c r="F34" i="6"/>
  <c r="E8" i="6"/>
  <c r="B83" i="6"/>
  <c r="B26" i="6"/>
  <c r="V89" i="6"/>
  <c r="W89" i="6" s="1"/>
  <c r="P89" i="6"/>
  <c r="Q89" i="6" s="1"/>
  <c r="K89" i="6"/>
  <c r="L89" i="6" s="1"/>
  <c r="O89" i="6" s="1"/>
  <c r="J89" i="6"/>
  <c r="V51" i="6"/>
  <c r="W51" i="6" s="1"/>
  <c r="P51" i="6"/>
  <c r="Q51" i="6" s="1"/>
  <c r="K51" i="6"/>
  <c r="L51" i="6" s="1"/>
  <c r="O51" i="6" s="1"/>
  <c r="J51" i="6"/>
  <c r="T51" i="6"/>
  <c r="H81" i="6"/>
  <c r="I81" i="6" s="1"/>
  <c r="G81" i="6"/>
  <c r="N81" i="6" s="1"/>
  <c r="H90" i="6"/>
  <c r="I90" i="6" s="1"/>
  <c r="G90" i="6"/>
  <c r="N90" i="6" s="1"/>
  <c r="L15" i="6"/>
  <c r="I52" i="6"/>
  <c r="U32" i="6"/>
  <c r="T32" i="6"/>
  <c r="U23" i="6"/>
  <c r="T23" i="6"/>
  <c r="M82" i="6"/>
  <c r="F82" i="6"/>
  <c r="V80" i="6"/>
  <c r="W80" i="6" s="1"/>
  <c r="P80" i="6"/>
  <c r="Q80" i="6" s="1"/>
  <c r="K80" i="6"/>
  <c r="L80" i="6" s="1"/>
  <c r="O80" i="6" s="1"/>
  <c r="J80" i="6"/>
  <c r="F91" i="6"/>
  <c r="J17" i="6"/>
  <c r="E92" i="6"/>
  <c r="E35" i="6"/>
  <c r="M25" i="6"/>
  <c r="F25" i="6"/>
  <c r="F8" i="6"/>
  <c r="E83" i="6"/>
  <c r="E26" i="6"/>
  <c r="H33" i="6"/>
  <c r="I33" i="6" s="1"/>
  <c r="G33" i="6"/>
  <c r="N33" i="6" s="1"/>
  <c r="H24" i="6"/>
  <c r="I24" i="6" s="1"/>
  <c r="G24" i="6"/>
  <c r="N24" i="6" s="1"/>
  <c r="V32" i="6"/>
  <c r="W32" i="6" s="1"/>
  <c r="P32" i="6"/>
  <c r="Q32" i="6" s="1"/>
  <c r="K32" i="6"/>
  <c r="L32" i="6" s="1"/>
  <c r="O32" i="6" s="1"/>
  <c r="J32" i="6"/>
  <c r="P23" i="6"/>
  <c r="Q23" i="6" s="1"/>
  <c r="K23" i="6"/>
  <c r="L23" i="6" s="1"/>
  <c r="O23" i="6" s="1"/>
  <c r="J23" i="6"/>
  <c r="V23" i="6"/>
  <c r="W23" i="6" s="1"/>
  <c r="G7" i="9"/>
  <c r="F7" i="9"/>
  <c r="B9" i="9"/>
  <c r="D8" i="9"/>
  <c r="E8" i="9"/>
  <c r="S58" i="8"/>
  <c r="T58" i="8" s="1"/>
  <c r="S19" i="8"/>
  <c r="T19" i="8" s="1"/>
  <c r="W21" i="8"/>
  <c r="X21" i="8" s="1"/>
  <c r="Q21" i="8"/>
  <c r="R21" i="8" s="1"/>
  <c r="L21" i="8"/>
  <c r="M21" i="8" s="1"/>
  <c r="P21" i="8" s="1"/>
  <c r="K21" i="8"/>
  <c r="W20" i="8"/>
  <c r="X20" i="8" s="1"/>
  <c r="Q20" i="8"/>
  <c r="R20" i="8" s="1"/>
  <c r="L20" i="8"/>
  <c r="M20" i="8" s="1"/>
  <c r="P20" i="8" s="1"/>
  <c r="K20" i="8"/>
  <c r="V20" i="8"/>
  <c r="U20" i="8"/>
  <c r="V21" i="8"/>
  <c r="U21" i="8"/>
  <c r="G13" i="8"/>
  <c r="N7" i="8"/>
  <c r="G7" i="8"/>
  <c r="G14" i="8"/>
  <c r="H12" i="8"/>
  <c r="O12" i="8" s="1"/>
  <c r="I12" i="8"/>
  <c r="J12" i="8" s="1"/>
  <c r="V11" i="8"/>
  <c r="U11" i="8"/>
  <c r="K4" i="8"/>
  <c r="W4" i="8"/>
  <c r="X4" i="8" s="1"/>
  <c r="L4" i="8"/>
  <c r="M4" i="8" s="1"/>
  <c r="P4" i="8" s="1"/>
  <c r="Q4" i="8"/>
  <c r="R4" i="8" s="1"/>
  <c r="H5" i="8"/>
  <c r="O5" i="8" s="1"/>
  <c r="I5" i="8"/>
  <c r="J5" i="8" s="1"/>
  <c r="N6" i="8"/>
  <c r="G6" i="8"/>
  <c r="Q11" i="8"/>
  <c r="R11" i="8" s="1"/>
  <c r="L11" i="8"/>
  <c r="M11" i="8" s="1"/>
  <c r="P11" i="8" s="1"/>
  <c r="W11" i="8"/>
  <c r="X11" i="8" s="1"/>
  <c r="K11" i="8"/>
  <c r="U4" i="8"/>
  <c r="V4" i="8"/>
  <c r="R51" i="6" l="1"/>
  <c r="S51" i="6" s="1"/>
  <c r="R89" i="6"/>
  <c r="S89" i="6" s="1"/>
  <c r="R32" i="6"/>
  <c r="S32" i="6" s="1"/>
  <c r="F92" i="6"/>
  <c r="E9" i="6"/>
  <c r="B84" i="6"/>
  <c r="B27" i="6"/>
  <c r="V33" i="6"/>
  <c r="W33" i="6" s="1"/>
  <c r="P33" i="6"/>
  <c r="Q33" i="6" s="1"/>
  <c r="K33" i="6"/>
  <c r="L33" i="6" s="1"/>
  <c r="O33" i="6" s="1"/>
  <c r="J33" i="6"/>
  <c r="R33" i="6" s="1"/>
  <c r="S33" i="6" s="1"/>
  <c r="H25" i="6"/>
  <c r="I25" i="6" s="1"/>
  <c r="G25" i="6"/>
  <c r="N25" i="6" s="1"/>
  <c r="E93" i="6"/>
  <c r="E36" i="6"/>
  <c r="R80" i="6"/>
  <c r="S80" i="6" s="1"/>
  <c r="H82" i="6"/>
  <c r="I82" i="6" s="1"/>
  <c r="G82" i="6"/>
  <c r="N82" i="6" s="1"/>
  <c r="U81" i="6"/>
  <c r="T81" i="6"/>
  <c r="G34" i="6"/>
  <c r="N34" i="6" s="1"/>
  <c r="H34" i="6"/>
  <c r="I34" i="6" s="1"/>
  <c r="U33" i="6"/>
  <c r="T33" i="6"/>
  <c r="L16" i="6"/>
  <c r="I53" i="6"/>
  <c r="U24" i="6"/>
  <c r="T24" i="6"/>
  <c r="H91" i="6"/>
  <c r="G91" i="6"/>
  <c r="N91" i="6" s="1"/>
  <c r="V81" i="6"/>
  <c r="W81" i="6" s="1"/>
  <c r="P81" i="6"/>
  <c r="Q81" i="6" s="1"/>
  <c r="K81" i="6"/>
  <c r="L81" i="6" s="1"/>
  <c r="O81" i="6" s="1"/>
  <c r="J81" i="6"/>
  <c r="M26" i="6"/>
  <c r="F26" i="6"/>
  <c r="F9" i="6"/>
  <c r="E84" i="6"/>
  <c r="E27" i="6"/>
  <c r="P90" i="6"/>
  <c r="Q90" i="6" s="1"/>
  <c r="K90" i="6"/>
  <c r="L90" i="6" s="1"/>
  <c r="O90" i="6" s="1"/>
  <c r="J90" i="6"/>
  <c r="V90" i="6"/>
  <c r="W90" i="6" s="1"/>
  <c r="R23" i="6"/>
  <c r="S23" i="6" s="1"/>
  <c r="V24" i="6"/>
  <c r="W24" i="6" s="1"/>
  <c r="P24" i="6"/>
  <c r="Q24" i="6" s="1"/>
  <c r="K24" i="6"/>
  <c r="L24" i="6" s="1"/>
  <c r="O24" i="6" s="1"/>
  <c r="J24" i="6"/>
  <c r="F35" i="6"/>
  <c r="I91" i="6"/>
  <c r="V52" i="6"/>
  <c r="W52" i="6" s="1"/>
  <c r="P52" i="6"/>
  <c r="Q52" i="6" s="1"/>
  <c r="K52" i="6"/>
  <c r="L52" i="6" s="1"/>
  <c r="O52" i="6" s="1"/>
  <c r="J52" i="6"/>
  <c r="T52" i="6"/>
  <c r="T90" i="6"/>
  <c r="U90" i="6"/>
  <c r="F83" i="6"/>
  <c r="M83" i="6"/>
  <c r="B10" i="9"/>
  <c r="E9" i="9"/>
  <c r="D9" i="9"/>
  <c r="G8" i="9"/>
  <c r="F8" i="9"/>
  <c r="S11" i="8"/>
  <c r="T11" i="8" s="1"/>
  <c r="S20" i="8"/>
  <c r="T20" i="8" s="1"/>
  <c r="S21" i="8"/>
  <c r="T21" i="8" s="1"/>
  <c r="I6" i="8"/>
  <c r="J6" i="8" s="1"/>
  <c r="H6" i="8"/>
  <c r="O6" i="8" s="1"/>
  <c r="Q5" i="8"/>
  <c r="R5" i="8" s="1"/>
  <c r="L5" i="8"/>
  <c r="M5" i="8" s="1"/>
  <c r="P5" i="8" s="1"/>
  <c r="K5" i="8"/>
  <c r="W5" i="8"/>
  <c r="X5" i="8" s="1"/>
  <c r="W12" i="8"/>
  <c r="X12" i="8" s="1"/>
  <c r="K12" i="8"/>
  <c r="Q12" i="8"/>
  <c r="R12" i="8" s="1"/>
  <c r="L12" i="8"/>
  <c r="M12" i="8" s="1"/>
  <c r="P12" i="8" s="1"/>
  <c r="I14" i="8"/>
  <c r="J14" i="8" s="1"/>
  <c r="H14" i="8"/>
  <c r="O14" i="8" s="1"/>
  <c r="U5" i="8"/>
  <c r="V5" i="8"/>
  <c r="S4" i="8"/>
  <c r="T4" i="8" s="1"/>
  <c r="V12" i="8"/>
  <c r="U12" i="8"/>
  <c r="I7" i="8"/>
  <c r="J7" i="8" s="1"/>
  <c r="H7" i="8"/>
  <c r="O7" i="8" s="1"/>
  <c r="H13" i="8"/>
  <c r="O13" i="8" s="1"/>
  <c r="I13" i="8"/>
  <c r="J13" i="8" s="1"/>
  <c r="R52" i="6" l="1"/>
  <c r="S52" i="6" s="1"/>
  <c r="F10" i="6"/>
  <c r="E85" i="6"/>
  <c r="E28" i="6"/>
  <c r="L17" i="6"/>
  <c r="I55" i="6" s="1"/>
  <c r="I54" i="6"/>
  <c r="T34" i="6"/>
  <c r="U34" i="6"/>
  <c r="P82" i="6"/>
  <c r="Q82" i="6" s="1"/>
  <c r="K82" i="6"/>
  <c r="L82" i="6" s="1"/>
  <c r="O82" i="6" s="1"/>
  <c r="J82" i="6"/>
  <c r="V82" i="6"/>
  <c r="W82" i="6" s="1"/>
  <c r="U25" i="6"/>
  <c r="T25" i="6"/>
  <c r="E10" i="6"/>
  <c r="B85" i="6"/>
  <c r="B28" i="6"/>
  <c r="V91" i="6"/>
  <c r="W91" i="6" s="1"/>
  <c r="P91" i="6"/>
  <c r="Q91" i="6" s="1"/>
  <c r="K91" i="6"/>
  <c r="L91" i="6" s="1"/>
  <c r="O91" i="6" s="1"/>
  <c r="J91" i="6"/>
  <c r="G26" i="6"/>
  <c r="N26" i="6" s="1"/>
  <c r="H26" i="6"/>
  <c r="I26" i="6" s="1"/>
  <c r="V25" i="6"/>
  <c r="W25" i="6" s="1"/>
  <c r="P25" i="6"/>
  <c r="Q25" i="6" s="1"/>
  <c r="K25" i="6"/>
  <c r="L25" i="6" s="1"/>
  <c r="O25" i="6" s="1"/>
  <c r="J25" i="6"/>
  <c r="H92" i="6"/>
  <c r="I92" i="6" s="1"/>
  <c r="G92" i="6"/>
  <c r="N92" i="6" s="1"/>
  <c r="G35" i="6"/>
  <c r="N35" i="6" s="1"/>
  <c r="H35" i="6"/>
  <c r="I35" i="6" s="1"/>
  <c r="F36" i="6"/>
  <c r="F27" i="6"/>
  <c r="M27" i="6"/>
  <c r="H83" i="6"/>
  <c r="I83" i="6" s="1"/>
  <c r="G83" i="6"/>
  <c r="N83" i="6" s="1"/>
  <c r="R24" i="6"/>
  <c r="S24" i="6" s="1"/>
  <c r="R90" i="6"/>
  <c r="S90" i="6" s="1"/>
  <c r="R81" i="6"/>
  <c r="S81" i="6" s="1"/>
  <c r="U91" i="6"/>
  <c r="T91" i="6"/>
  <c r="V53" i="6"/>
  <c r="W53" i="6" s="1"/>
  <c r="J53" i="6"/>
  <c r="P53" i="6"/>
  <c r="Q53" i="6" s="1"/>
  <c r="K53" i="6"/>
  <c r="L53" i="6" s="1"/>
  <c r="O53" i="6" s="1"/>
  <c r="T53" i="6"/>
  <c r="V34" i="6"/>
  <c r="W34" i="6" s="1"/>
  <c r="P34" i="6"/>
  <c r="Q34" i="6" s="1"/>
  <c r="K34" i="6"/>
  <c r="L34" i="6" s="1"/>
  <c r="O34" i="6" s="1"/>
  <c r="J34" i="6"/>
  <c r="T82" i="6"/>
  <c r="U82" i="6"/>
  <c r="F93" i="6"/>
  <c r="F84" i="6"/>
  <c r="M84" i="6"/>
  <c r="F9" i="9"/>
  <c r="G9" i="9"/>
  <c r="B11" i="9"/>
  <c r="E10" i="9"/>
  <c r="D10" i="9"/>
  <c r="S12" i="8"/>
  <c r="T12" i="8" s="1"/>
  <c r="V13" i="8"/>
  <c r="U13" i="8"/>
  <c r="U14" i="8"/>
  <c r="V14" i="8"/>
  <c r="V7" i="8"/>
  <c r="U7" i="8"/>
  <c r="Q14" i="8"/>
  <c r="R14" i="8" s="1"/>
  <c r="L14" i="8"/>
  <c r="M14" i="8" s="1"/>
  <c r="P14" i="8" s="1"/>
  <c r="W14" i="8"/>
  <c r="X14" i="8" s="1"/>
  <c r="K14" i="8"/>
  <c r="W7" i="8"/>
  <c r="X7" i="8" s="1"/>
  <c r="K7" i="8"/>
  <c r="L7" i="8"/>
  <c r="M7" i="8" s="1"/>
  <c r="P7" i="8" s="1"/>
  <c r="Q7" i="8"/>
  <c r="R7" i="8" s="1"/>
  <c r="V6" i="8"/>
  <c r="U6" i="8"/>
  <c r="L13" i="8"/>
  <c r="M13" i="8" s="1"/>
  <c r="P13" i="8" s="1"/>
  <c r="W13" i="8"/>
  <c r="X13" i="8" s="1"/>
  <c r="K13" i="8"/>
  <c r="S13" i="8" s="1"/>
  <c r="T13" i="8" s="1"/>
  <c r="Q13" i="8"/>
  <c r="R13" i="8" s="1"/>
  <c r="S5" i="8"/>
  <c r="T5" i="8" s="1"/>
  <c r="Q6" i="8"/>
  <c r="R6" i="8" s="1"/>
  <c r="L6" i="8"/>
  <c r="M6" i="8" s="1"/>
  <c r="P6" i="8" s="1"/>
  <c r="W6" i="8"/>
  <c r="X6" i="8" s="1"/>
  <c r="K6" i="8"/>
  <c r="R53" i="6" l="1"/>
  <c r="S53" i="6" s="1"/>
  <c r="H93" i="6"/>
  <c r="I93" i="6" s="1"/>
  <c r="G93" i="6"/>
  <c r="N93" i="6" s="1"/>
  <c r="R34" i="6"/>
  <c r="S34" i="6" s="1"/>
  <c r="U83" i="6"/>
  <c r="T83" i="6"/>
  <c r="G27" i="6"/>
  <c r="N27" i="6" s="1"/>
  <c r="H27" i="6"/>
  <c r="I27" i="6" s="1"/>
  <c r="U92" i="6"/>
  <c r="T92" i="6"/>
  <c r="R91" i="6"/>
  <c r="S91" i="6" s="1"/>
  <c r="M28" i="6"/>
  <c r="F28" i="6"/>
  <c r="P55" i="6"/>
  <c r="Q55" i="6" s="1"/>
  <c r="K55" i="6"/>
  <c r="L55" i="6" s="1"/>
  <c r="O55" i="6" s="1"/>
  <c r="J55" i="6"/>
  <c r="V55" i="6"/>
  <c r="W55" i="6" s="1"/>
  <c r="T55" i="6"/>
  <c r="V83" i="6"/>
  <c r="W83" i="6" s="1"/>
  <c r="P83" i="6"/>
  <c r="Q83" i="6" s="1"/>
  <c r="K83" i="6"/>
  <c r="L83" i="6" s="1"/>
  <c r="O83" i="6" s="1"/>
  <c r="J83" i="6"/>
  <c r="H36" i="6"/>
  <c r="I36" i="6" s="1"/>
  <c r="G36" i="6"/>
  <c r="N36" i="6" s="1"/>
  <c r="F85" i="6"/>
  <c r="M85" i="6"/>
  <c r="H84" i="6"/>
  <c r="I84" i="6" s="1"/>
  <c r="G84" i="6"/>
  <c r="N84" i="6" s="1"/>
  <c r="V92" i="6"/>
  <c r="W92" i="6" s="1"/>
  <c r="P92" i="6"/>
  <c r="Q92" i="6" s="1"/>
  <c r="K92" i="6"/>
  <c r="L92" i="6" s="1"/>
  <c r="O92" i="6" s="1"/>
  <c r="J92" i="6"/>
  <c r="V35" i="6"/>
  <c r="W35" i="6" s="1"/>
  <c r="J35" i="6"/>
  <c r="K35" i="6"/>
  <c r="L35" i="6" s="1"/>
  <c r="O35" i="6" s="1"/>
  <c r="P35" i="6"/>
  <c r="Q35" i="6" s="1"/>
  <c r="R25" i="6"/>
  <c r="S25" i="6" s="1"/>
  <c r="V26" i="6"/>
  <c r="W26" i="6" s="1"/>
  <c r="P26" i="6"/>
  <c r="Q26" i="6" s="1"/>
  <c r="K26" i="6"/>
  <c r="L26" i="6" s="1"/>
  <c r="O26" i="6" s="1"/>
  <c r="J26" i="6"/>
  <c r="E11" i="6"/>
  <c r="B86" i="6"/>
  <c r="B29" i="6"/>
  <c r="R82" i="6"/>
  <c r="S82" i="6" s="1"/>
  <c r="U35" i="6"/>
  <c r="T35" i="6"/>
  <c r="T26" i="6"/>
  <c r="U26" i="6"/>
  <c r="V54" i="6"/>
  <c r="W54" i="6" s="1"/>
  <c r="P54" i="6"/>
  <c r="Q54" i="6" s="1"/>
  <c r="K54" i="6"/>
  <c r="L54" i="6" s="1"/>
  <c r="O54" i="6" s="1"/>
  <c r="J54" i="6"/>
  <c r="T54" i="6"/>
  <c r="F11" i="6"/>
  <c r="E86" i="6"/>
  <c r="E29" i="6"/>
  <c r="F10" i="9"/>
  <c r="G10" i="9"/>
  <c r="B12" i="9"/>
  <c r="E11" i="9"/>
  <c r="D11" i="9"/>
  <c r="S7" i="8"/>
  <c r="T7" i="8" s="1"/>
  <c r="S6" i="8"/>
  <c r="T6" i="8" s="1"/>
  <c r="S14" i="8"/>
  <c r="T14" i="8" s="1"/>
  <c r="R26" i="6" l="1"/>
  <c r="S26" i="6" s="1"/>
  <c r="R55" i="6"/>
  <c r="S55" i="6" s="1"/>
  <c r="R35" i="6"/>
  <c r="S35" i="6" s="1"/>
  <c r="R54" i="6"/>
  <c r="S54" i="6" s="1"/>
  <c r="M86" i="6"/>
  <c r="F86" i="6"/>
  <c r="V84" i="6"/>
  <c r="W84" i="6" s="1"/>
  <c r="P84" i="6"/>
  <c r="Q84" i="6" s="1"/>
  <c r="K84" i="6"/>
  <c r="L84" i="6" s="1"/>
  <c r="O84" i="6" s="1"/>
  <c r="J84" i="6"/>
  <c r="H85" i="6"/>
  <c r="I85" i="6" s="1"/>
  <c r="G85" i="6"/>
  <c r="N85" i="6" s="1"/>
  <c r="H28" i="6"/>
  <c r="I28" i="6" s="1"/>
  <c r="G28" i="6"/>
  <c r="N28" i="6" s="1"/>
  <c r="E12" i="6"/>
  <c r="B87" i="6"/>
  <c r="B30" i="6"/>
  <c r="U36" i="6"/>
  <c r="T36" i="6"/>
  <c r="P27" i="6"/>
  <c r="Q27" i="6" s="1"/>
  <c r="K27" i="6"/>
  <c r="L27" i="6" s="1"/>
  <c r="O27" i="6" s="1"/>
  <c r="J27" i="6"/>
  <c r="V27" i="6"/>
  <c r="W27" i="6" s="1"/>
  <c r="E87" i="6"/>
  <c r="E30" i="6"/>
  <c r="V36" i="6"/>
  <c r="W36" i="6" s="1"/>
  <c r="P36" i="6"/>
  <c r="Q36" i="6" s="1"/>
  <c r="K36" i="6"/>
  <c r="L36" i="6" s="1"/>
  <c r="O36" i="6" s="1"/>
  <c r="J36" i="6"/>
  <c r="U27" i="6"/>
  <c r="T27" i="6"/>
  <c r="U93" i="6"/>
  <c r="T93" i="6"/>
  <c r="M29" i="6"/>
  <c r="F29" i="6"/>
  <c r="R92" i="6"/>
  <c r="S92" i="6" s="1"/>
  <c r="U84" i="6"/>
  <c r="T84" i="6"/>
  <c r="R83" i="6"/>
  <c r="S83" i="6" s="1"/>
  <c r="V93" i="6"/>
  <c r="W93" i="6" s="1"/>
  <c r="K93" i="6"/>
  <c r="L93" i="6" s="1"/>
  <c r="O93" i="6" s="1"/>
  <c r="J93" i="6"/>
  <c r="P93" i="6"/>
  <c r="Q93" i="6" s="1"/>
  <c r="G11" i="9"/>
  <c r="F11" i="9"/>
  <c r="B13" i="9"/>
  <c r="D12" i="9"/>
  <c r="E12" i="9"/>
  <c r="R93" i="6" l="1"/>
  <c r="S93" i="6" s="1"/>
  <c r="R27" i="6"/>
  <c r="S27" i="6" s="1"/>
  <c r="R84" i="6"/>
  <c r="S84" i="6" s="1"/>
  <c r="G29" i="6"/>
  <c r="N29" i="6" s="1"/>
  <c r="H29" i="6"/>
  <c r="I29" i="6" s="1"/>
  <c r="B88" i="6"/>
  <c r="B31" i="6"/>
  <c r="V28" i="6"/>
  <c r="W28" i="6" s="1"/>
  <c r="P28" i="6"/>
  <c r="Q28" i="6" s="1"/>
  <c r="K28" i="6"/>
  <c r="L28" i="6" s="1"/>
  <c r="O28" i="6" s="1"/>
  <c r="J28" i="6"/>
  <c r="U85" i="6"/>
  <c r="T85" i="6"/>
  <c r="R36" i="6"/>
  <c r="S36" i="6" s="1"/>
  <c r="M30" i="6"/>
  <c r="F30" i="6"/>
  <c r="V85" i="6"/>
  <c r="W85" i="6" s="1"/>
  <c r="P85" i="6"/>
  <c r="Q85" i="6" s="1"/>
  <c r="K85" i="6"/>
  <c r="L85" i="6" s="1"/>
  <c r="O85" i="6" s="1"/>
  <c r="J85" i="6"/>
  <c r="F87" i="6"/>
  <c r="M87" i="6"/>
  <c r="U28" i="6"/>
  <c r="T28" i="6"/>
  <c r="H86" i="6"/>
  <c r="I86" i="6" s="1"/>
  <c r="G86" i="6"/>
  <c r="N86" i="6" s="1"/>
  <c r="B14" i="9"/>
  <c r="E13" i="9"/>
  <c r="D13" i="9"/>
  <c r="G12" i="9"/>
  <c r="F12" i="9"/>
  <c r="R28" i="6" l="1"/>
  <c r="S28" i="6" s="1"/>
  <c r="R85" i="6"/>
  <c r="S85" i="6" s="1"/>
  <c r="F31" i="6"/>
  <c r="M31" i="6"/>
  <c r="G30" i="6"/>
  <c r="N30" i="6" s="1"/>
  <c r="H30" i="6"/>
  <c r="I30" i="6" s="1"/>
  <c r="F88" i="6"/>
  <c r="M88" i="6"/>
  <c r="P86" i="6"/>
  <c r="Q86" i="6" s="1"/>
  <c r="K86" i="6"/>
  <c r="L86" i="6" s="1"/>
  <c r="O86" i="6" s="1"/>
  <c r="J86" i="6"/>
  <c r="V86" i="6"/>
  <c r="W86" i="6" s="1"/>
  <c r="H87" i="6"/>
  <c r="I87" i="6" s="1"/>
  <c r="G87" i="6"/>
  <c r="N87" i="6" s="1"/>
  <c r="V29" i="6"/>
  <c r="W29" i="6" s="1"/>
  <c r="P29" i="6"/>
  <c r="Q29" i="6" s="1"/>
  <c r="K29" i="6"/>
  <c r="L29" i="6" s="1"/>
  <c r="O29" i="6" s="1"/>
  <c r="J29" i="6"/>
  <c r="T86" i="6"/>
  <c r="U86" i="6"/>
  <c r="U29" i="6"/>
  <c r="T29" i="6"/>
  <c r="G13" i="9"/>
  <c r="F13" i="9"/>
  <c r="B15" i="9"/>
  <c r="E14" i="9"/>
  <c r="D14" i="9"/>
  <c r="R29" i="6" l="1"/>
  <c r="S29" i="6" s="1"/>
  <c r="U87" i="6"/>
  <c r="T87" i="6"/>
  <c r="V30" i="6"/>
  <c r="W30" i="6" s="1"/>
  <c r="P30" i="6"/>
  <c r="Q30" i="6" s="1"/>
  <c r="K30" i="6"/>
  <c r="L30" i="6" s="1"/>
  <c r="O30" i="6" s="1"/>
  <c r="J30" i="6"/>
  <c r="T30" i="6"/>
  <c r="U30" i="6"/>
  <c r="V87" i="6"/>
  <c r="W87" i="6" s="1"/>
  <c r="P87" i="6"/>
  <c r="Q87" i="6" s="1"/>
  <c r="K87" i="6"/>
  <c r="L87" i="6" s="1"/>
  <c r="O87" i="6" s="1"/>
  <c r="J87" i="6"/>
  <c r="R86" i="6"/>
  <c r="S86" i="6" s="1"/>
  <c r="H88" i="6"/>
  <c r="I88" i="6" s="1"/>
  <c r="G88" i="6"/>
  <c r="N88" i="6" s="1"/>
  <c r="H31" i="6"/>
  <c r="I31" i="6" s="1"/>
  <c r="G31" i="6"/>
  <c r="N31" i="6" s="1"/>
  <c r="F14" i="9"/>
  <c r="G14" i="9"/>
  <c r="B16" i="9"/>
  <c r="D15" i="9"/>
  <c r="E15" i="9"/>
  <c r="R30" i="6" l="1"/>
  <c r="S30" i="6" s="1"/>
  <c r="R87" i="6"/>
  <c r="S87" i="6" s="1"/>
  <c r="U88" i="6"/>
  <c r="T88" i="6"/>
  <c r="V88" i="6"/>
  <c r="W88" i="6" s="1"/>
  <c r="P88" i="6"/>
  <c r="Q88" i="6" s="1"/>
  <c r="K88" i="6"/>
  <c r="L88" i="6" s="1"/>
  <c r="O88" i="6" s="1"/>
  <c r="J88" i="6"/>
  <c r="P31" i="6"/>
  <c r="Q31" i="6" s="1"/>
  <c r="K31" i="6"/>
  <c r="L31" i="6" s="1"/>
  <c r="O31" i="6" s="1"/>
  <c r="J31" i="6"/>
  <c r="V31" i="6"/>
  <c r="W31" i="6" s="1"/>
  <c r="U31" i="6"/>
  <c r="T31" i="6"/>
  <c r="B17" i="9"/>
  <c r="D16" i="9"/>
  <c r="E16" i="9"/>
  <c r="G15" i="9"/>
  <c r="F15" i="9"/>
  <c r="R88" i="6" l="1"/>
  <c r="S88" i="6" s="1"/>
  <c r="R31" i="6"/>
  <c r="S31" i="6" s="1"/>
  <c r="G16" i="9"/>
  <c r="F16" i="9"/>
  <c r="B18" i="9"/>
  <c r="E17" i="9"/>
  <c r="D17" i="9"/>
  <c r="E18" i="9" l="1"/>
  <c r="D18" i="9"/>
  <c r="F17" i="9"/>
  <c r="G17" i="9"/>
  <c r="F18" i="9" l="1"/>
  <c r="G18" i="9"/>
</calcChain>
</file>

<file path=xl/sharedStrings.xml><?xml version="1.0" encoding="utf-8"?>
<sst xmlns="http://schemas.openxmlformats.org/spreadsheetml/2006/main" count="456" uniqueCount="102">
  <si>
    <t>Industries</t>
  </si>
  <si>
    <t>Waste plastic production in 2019 (10,000 tons)</t>
  </si>
  <si>
    <t>Data Sources</t>
  </si>
  <si>
    <t>Building materials</t>
  </si>
  <si>
    <t>Automobile</t>
  </si>
  <si>
    <t>Agriculture and fisheries</t>
  </si>
  <si>
    <t>Industrial packing</t>
  </si>
  <si>
    <t>Textile</t>
  </si>
  <si>
    <t>WEEE</t>
  </si>
  <si>
    <t>Total</t>
  </si>
  <si>
    <t>Scale of waste plastics production by various industries in China in 2019</t>
  </si>
  <si>
    <t>Parameters</t>
  </si>
  <si>
    <t>Numerical value</t>
  </si>
  <si>
    <t>Data source</t>
  </si>
  <si>
    <t>WEEE to Recycle</t>
  </si>
  <si>
    <t>(Li et al., 2021)</t>
  </si>
  <si>
    <t>WEEE to Transfer or idle</t>
  </si>
  <si>
    <t>WEEE to Discard to mixed waste</t>
  </si>
  <si>
    <t>(Commerce, 2016)</t>
  </si>
  <si>
    <t>(Thanh et al., 2011)</t>
  </si>
  <si>
    <t>High recovery value waste plastic to reuse</t>
  </si>
  <si>
    <t>Low recovery value waste plastic to keep for sale</t>
  </si>
  <si>
    <t>Low recovery value waste plastic to reuse</t>
  </si>
  <si>
    <t>Mixed waste to classification recovery</t>
  </si>
  <si>
    <t>Mixed waste to landfill</t>
  </si>
  <si>
    <t>Mixed waste to incineration</t>
  </si>
  <si>
    <t>Classification refurbishment rate</t>
  </si>
  <si>
    <t>(De Meester et al., 2019)</t>
  </si>
  <si>
    <t>Sorting to waste plastic plant</t>
  </si>
  <si>
    <t>Mixed waste in waste plastic plant to landfill</t>
  </si>
  <si>
    <t>Mixed waste in waste plastic plant to incineration</t>
  </si>
  <si>
    <t>Incineration to BA</t>
  </si>
  <si>
    <t>(Yao, 2014)</t>
  </si>
  <si>
    <t>Incineration to FA</t>
  </si>
  <si>
    <t>Recycling efficiency of waste plastics</t>
  </si>
  <si>
    <t>Incineration efficiency</t>
  </si>
  <si>
    <t>Utilization rate of waste residue as building materials</t>
  </si>
  <si>
    <t>Energy recovery rate of waste plastic incineration</t>
  </si>
  <si>
    <t>(Liu et al., 2014)</t>
  </si>
  <si>
    <t>(Dai et al., 2021)</t>
  </si>
  <si>
    <t xml:space="preserve"> Recycling process-related parameters</t>
  </si>
  <si>
    <t>Transfer or Idle</t>
    <phoneticPr fontId="1" type="noConversion"/>
  </si>
  <si>
    <t>Mixed waste</t>
    <phoneticPr fontId="1" type="noConversion"/>
  </si>
  <si>
    <t>Sorting</t>
    <phoneticPr fontId="1" type="noConversion"/>
  </si>
  <si>
    <t>Reuse</t>
    <phoneticPr fontId="1" type="noConversion"/>
  </si>
  <si>
    <t>Refurbushment</t>
    <phoneticPr fontId="1" type="noConversion"/>
  </si>
  <si>
    <t>Waste plastics markrt</t>
    <phoneticPr fontId="1" type="noConversion"/>
  </si>
  <si>
    <t>Recycling plant</t>
    <phoneticPr fontId="1" type="noConversion"/>
  </si>
  <si>
    <t>Incineration</t>
    <phoneticPr fontId="1" type="noConversion"/>
  </si>
  <si>
    <t>Landfill</t>
    <phoneticPr fontId="1" type="noConversion"/>
  </si>
  <si>
    <t>Fly ASH</t>
    <phoneticPr fontId="1" type="noConversion"/>
  </si>
  <si>
    <t>BOTTLE ASH</t>
    <phoneticPr fontId="1" type="noConversion"/>
  </si>
  <si>
    <t>Building filler</t>
    <phoneticPr fontId="1" type="noConversion"/>
  </si>
  <si>
    <t>Reused products</t>
    <phoneticPr fontId="1" type="noConversion"/>
  </si>
  <si>
    <t>High-end applications</t>
    <phoneticPr fontId="1" type="noConversion"/>
  </si>
  <si>
    <t>Low-end applications</t>
    <phoneticPr fontId="1" type="noConversion"/>
  </si>
  <si>
    <t>Energy</t>
    <phoneticPr fontId="1" type="noConversion"/>
  </si>
  <si>
    <t>LOST</t>
    <phoneticPr fontId="1" type="noConversion"/>
  </si>
  <si>
    <t>Calorific value of waste plastic MJ/kg</t>
    <phoneticPr fontId="1" type="noConversion"/>
  </si>
  <si>
    <t>Carbon emissions from waste plastic incineration t CO 2 eq/t</t>
    <phoneticPr fontId="1" type="noConversion"/>
  </si>
  <si>
    <t>Carbon emissions from waste plastic recycling t CO 2 eq/t</t>
    <phoneticPr fontId="1" type="noConversion"/>
  </si>
  <si>
    <t xml:space="preserve">              High recycling value</t>
    <phoneticPr fontId="1" type="noConversion"/>
  </si>
  <si>
    <t xml:space="preserve">              Low recycling value</t>
    <phoneticPr fontId="1" type="noConversion"/>
  </si>
  <si>
    <t>CE</t>
    <phoneticPr fontId="1" type="noConversion"/>
  </si>
  <si>
    <t>CR</t>
    <phoneticPr fontId="1" type="noConversion"/>
  </si>
  <si>
    <t>Dioxin emitted into the atmosphere by incineration of waste plasticsμg TEQ/10000t</t>
    <phoneticPr fontId="1" type="noConversion"/>
  </si>
  <si>
    <t>DE(g)</t>
    <phoneticPr fontId="1" type="noConversion"/>
  </si>
  <si>
    <t>DE(ug)</t>
    <phoneticPr fontId="1" type="noConversion"/>
  </si>
  <si>
    <t>Energy(MJ)</t>
    <phoneticPr fontId="1" type="noConversion"/>
  </si>
  <si>
    <t>High recovery value waste plastic to keep for sale</t>
    <phoneticPr fontId="1" type="noConversion"/>
  </si>
  <si>
    <t>High recovery value waste plastic</t>
  </si>
  <si>
    <t>Low recovery value waste plastic to Discard to mixed waste</t>
    <phoneticPr fontId="1" type="noConversion"/>
  </si>
  <si>
    <t>Low recovery value waste plastic</t>
  </si>
  <si>
    <t>WEEE</t>
    <phoneticPr fontId="1" type="noConversion"/>
  </si>
  <si>
    <t>Carbon emissions from the original production of plasticst t CO 2 eq/t</t>
    <phoneticPr fontId="1" type="noConversion"/>
  </si>
  <si>
    <t>High recovery value waste plastic to Discard to mixed waste</t>
    <phoneticPr fontId="1" type="noConversion"/>
  </si>
  <si>
    <t>WEEE</t>
    <phoneticPr fontId="1" type="noConversion"/>
  </si>
  <si>
    <t>High recovery value waste plastic</t>
    <phoneticPr fontId="1" type="noConversion"/>
  </si>
  <si>
    <t>Low recovery value waste plastic</t>
    <phoneticPr fontId="1" type="noConversion"/>
  </si>
  <si>
    <t>Domestic</t>
    <phoneticPr fontId="1" type="noConversion"/>
  </si>
  <si>
    <t>Waste plastic output</t>
  </si>
  <si>
    <t>Year</t>
    <phoneticPr fontId="1" type="noConversion"/>
  </si>
  <si>
    <t>1+r</t>
    <phoneticPr fontId="1" type="noConversion"/>
  </si>
  <si>
    <t>WEEE</t>
    <phoneticPr fontId="1" type="noConversion"/>
  </si>
  <si>
    <t>domestic</t>
    <phoneticPr fontId="1" type="noConversion"/>
  </si>
  <si>
    <t xml:space="preserve">              High recycling value</t>
  </si>
  <si>
    <t xml:space="preserve">              Low recycling value</t>
    <phoneticPr fontId="1" type="noConversion"/>
  </si>
  <si>
    <t>Scenario 1</t>
  </si>
  <si>
    <t>Scenario 2</t>
    <phoneticPr fontId="1" type="noConversion"/>
  </si>
  <si>
    <t>Scenario 3</t>
    <phoneticPr fontId="1" type="noConversion"/>
  </si>
  <si>
    <t>Scenario 4</t>
    <phoneticPr fontId="1" type="noConversion"/>
  </si>
  <si>
    <t>( Ke, 2018;  Recycling Plastics Branch of Association, 2020)</t>
    <phoneticPr fontId="1" type="noConversion"/>
  </si>
  <si>
    <t>( Recycling Plastics Branch of Association, 2020)</t>
    <phoneticPr fontId="1" type="noConversion"/>
  </si>
  <si>
    <t>( Ke, 2018; Recycling Plastics Branch of Association, 2020)</t>
    <phoneticPr fontId="1" type="noConversion"/>
  </si>
  <si>
    <t>(Ke, 2018;  Recycling Plastics Branch of Association, 2020)</t>
  </si>
  <si>
    <t>(Editorial Board Of Statistics, 2020)</t>
  </si>
  <si>
    <t>(Recycling Plastics Branch of Association, 2019)</t>
  </si>
  <si>
    <t>(Baidu library, 2016)</t>
  </si>
  <si>
    <t>(IPCC, 2006; Quick And Easy Financial Network, 2021)</t>
  </si>
  <si>
    <t>(Easy Carbon Home, 2019)</t>
  </si>
  <si>
    <t>(United Nations Environment Programme Division, 2005)</t>
  </si>
  <si>
    <t>(Ke, 2018; Recycling Plastics Branch of Association, 2020)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</si>
</sst>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0.0000_);[Red]\(0.0000\)"/>
    <numFmt numFmtId="177" formatCode="0.0000_ "/>
    <numFmt numFmtId="178" formatCode="0.00_ "/>
    <numFmt numFmtId="179" formatCode="0.00_);[Red]\(0.00\)"/>
    <numFmt numFmtId="180" formatCode="0.0_);[Red]\(0.0\)"/>
    <numFmt numFmtId="181" formatCode="0.0_ "/>
  </numFmts>
  <fonts count="11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等线"/>
      <family val="2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4"/>
      <color theme="1"/>
      <name val="等线"/>
      <family val="2"/>
      <scheme val="minor"/>
    </font>
    <font>
      <sz val="14"/>
      <color theme="1"/>
      <name val="Times New Roman"/>
      <family val="1"/>
    </font>
    <font>
      <sz val="14"/>
      <color rgb="FF000000"/>
      <name val="Times New Roman"/>
      <family val="1"/>
    </font>
    <font>
      <sz val="12"/>
      <color rgb="FF000000"/>
      <name val="Calibri"/>
      <family val="2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0" xfId="0" applyFont="1"/>
    <xf numFmtId="0" fontId="6" fillId="0" borderId="0" xfId="0" applyFont="1"/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8" fillId="0" borderId="0" xfId="0" applyFont="1" applyAlignment="1">
      <alignment vertical="top" wrapText="1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177" fontId="3" fillId="0" borderId="0" xfId="0" applyNumberFormat="1" applyFont="1" applyAlignment="1">
      <alignment horizontal="center" vertical="center" wrapText="1"/>
    </xf>
    <xf numFmtId="0" fontId="9" fillId="2" borderId="0" xfId="0" applyFont="1" applyFill="1"/>
    <xf numFmtId="0" fontId="0" fillId="2" borderId="0" xfId="0" applyFill="1"/>
    <xf numFmtId="178" fontId="0" fillId="0" borderId="0" xfId="0" applyNumberFormat="1"/>
    <xf numFmtId="179" fontId="0" fillId="0" borderId="0" xfId="0" applyNumberFormat="1"/>
    <xf numFmtId="0" fontId="0" fillId="3" borderId="0" xfId="0" applyFill="1"/>
    <xf numFmtId="0" fontId="0" fillId="4" borderId="0" xfId="0" applyFill="1"/>
    <xf numFmtId="11" fontId="0" fillId="0" borderId="0" xfId="0" applyNumberFormat="1"/>
    <xf numFmtId="180" fontId="0" fillId="0" borderId="0" xfId="0" applyNumberFormat="1"/>
    <xf numFmtId="179" fontId="0" fillId="2" borderId="0" xfId="0" applyNumberFormat="1" applyFill="1"/>
    <xf numFmtId="0" fontId="0" fillId="0" borderId="0" xfId="0" applyNumberFormat="1"/>
    <xf numFmtId="179" fontId="0" fillId="3" borderId="0" xfId="0" applyNumberFormat="1" applyFill="1"/>
    <xf numFmtId="179" fontId="9" fillId="3" borderId="0" xfId="0" applyNumberFormat="1" applyFont="1" applyFill="1"/>
    <xf numFmtId="181" fontId="0" fillId="0" borderId="0" xfId="0" applyNumberFormat="1"/>
    <xf numFmtId="0" fontId="3" fillId="2" borderId="0" xfId="0" applyFont="1" applyFill="1" applyAlignment="1">
      <alignment vertical="top" wrapText="1"/>
    </xf>
    <xf numFmtId="0" fontId="4" fillId="2" borderId="0" xfId="0" applyFont="1" applyFill="1" applyAlignment="1">
      <alignment vertical="top" wrapText="1"/>
    </xf>
    <xf numFmtId="176" fontId="3" fillId="2" borderId="0" xfId="0" applyNumberFormat="1" applyFont="1" applyFill="1" applyAlignment="1">
      <alignment horizontal="center" vertical="center" wrapText="1"/>
    </xf>
    <xf numFmtId="0" fontId="9" fillId="0" borderId="0" xfId="0" applyFont="1"/>
    <xf numFmtId="0" fontId="10" fillId="2" borderId="0" xfId="0" applyFont="1" applyFill="1"/>
    <xf numFmtId="0" fontId="9" fillId="3" borderId="0" xfId="0" applyFont="1" applyFill="1"/>
    <xf numFmtId="181" fontId="0" fillId="3" borderId="0" xfId="0" applyNumberFormat="1" applyFill="1"/>
    <xf numFmtId="11" fontId="0" fillId="3" borderId="0" xfId="0" applyNumberFormat="1" applyFill="1"/>
    <xf numFmtId="178" fontId="0" fillId="3" borderId="0" xfId="0" applyNumberFormat="1" applyFill="1"/>
    <xf numFmtId="179" fontId="9" fillId="0" borderId="0" xfId="0" applyNumberFormat="1" applyFont="1" applyFill="1"/>
    <xf numFmtId="0" fontId="6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9" fillId="2" borderId="0" xfId="0" applyFont="1" applyFill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4.png"/><Relationship Id="rId13" Type="http://schemas.openxmlformats.org/officeDocument/2006/relationships/image" Target="../media/image23.png"/><Relationship Id="rId18" Type="http://schemas.openxmlformats.org/officeDocument/2006/relationships/image" Target="../media/image15.png"/><Relationship Id="rId3" Type="http://schemas.openxmlformats.org/officeDocument/2006/relationships/image" Target="../media/image5.png"/><Relationship Id="rId7" Type="http://schemas.openxmlformats.org/officeDocument/2006/relationships/image" Target="../media/image13.png"/><Relationship Id="rId12" Type="http://schemas.openxmlformats.org/officeDocument/2006/relationships/image" Target="../media/image19.png"/><Relationship Id="rId17" Type="http://schemas.openxmlformats.org/officeDocument/2006/relationships/image" Target="../media/image16.png"/><Relationship Id="rId2" Type="http://schemas.openxmlformats.org/officeDocument/2006/relationships/image" Target="../media/image3.png"/><Relationship Id="rId16" Type="http://schemas.openxmlformats.org/officeDocument/2006/relationships/image" Target="../media/image12.png"/><Relationship Id="rId1" Type="http://schemas.openxmlformats.org/officeDocument/2006/relationships/image" Target="../media/image1.png"/><Relationship Id="rId6" Type="http://schemas.openxmlformats.org/officeDocument/2006/relationships/image" Target="../media/image7.png"/><Relationship Id="rId11" Type="http://schemas.openxmlformats.org/officeDocument/2006/relationships/image" Target="../media/image18.png"/><Relationship Id="rId5" Type="http://schemas.openxmlformats.org/officeDocument/2006/relationships/image" Target="../media/image8.png"/><Relationship Id="rId15" Type="http://schemas.openxmlformats.org/officeDocument/2006/relationships/image" Target="../media/image11.png"/><Relationship Id="rId10" Type="http://schemas.openxmlformats.org/officeDocument/2006/relationships/image" Target="../media/image17.png"/><Relationship Id="rId4" Type="http://schemas.openxmlformats.org/officeDocument/2006/relationships/image" Target="../media/image4.png"/><Relationship Id="rId9" Type="http://schemas.openxmlformats.org/officeDocument/2006/relationships/image" Target="../media/image20.png"/><Relationship Id="rId14" Type="http://schemas.openxmlformats.org/officeDocument/2006/relationships/image" Target="../media/image10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1.png"/><Relationship Id="rId3" Type="http://schemas.openxmlformats.org/officeDocument/2006/relationships/image" Target="../media/image8.png"/><Relationship Id="rId7" Type="http://schemas.openxmlformats.org/officeDocument/2006/relationships/image" Target="../media/image10.png"/><Relationship Id="rId2" Type="http://schemas.openxmlformats.org/officeDocument/2006/relationships/image" Target="../media/image5.png"/><Relationship Id="rId1" Type="http://schemas.openxmlformats.org/officeDocument/2006/relationships/image" Target="../media/image1.png"/><Relationship Id="rId6" Type="http://schemas.openxmlformats.org/officeDocument/2006/relationships/image" Target="../media/image7.png"/><Relationship Id="rId11" Type="http://schemas.openxmlformats.org/officeDocument/2006/relationships/image" Target="../media/image16.png"/><Relationship Id="rId5" Type="http://schemas.openxmlformats.org/officeDocument/2006/relationships/image" Target="../media/image4.png"/><Relationship Id="rId10" Type="http://schemas.openxmlformats.org/officeDocument/2006/relationships/image" Target="../media/image14.png"/><Relationship Id="rId4" Type="http://schemas.openxmlformats.org/officeDocument/2006/relationships/image" Target="../media/image3.png"/><Relationship Id="rId9" Type="http://schemas.openxmlformats.org/officeDocument/2006/relationships/image" Target="../media/image1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1</xdr:col>
      <xdr:colOff>266700</xdr:colOff>
      <xdr:row>2</xdr:row>
      <xdr:rowOff>137160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3D2872FB-5217-4AFB-8714-4EE6A4C5D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4980" y="502920"/>
          <a:ext cx="26670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3</xdr:row>
      <xdr:rowOff>0</xdr:rowOff>
    </xdr:from>
    <xdr:to>
      <xdr:col>1</xdr:col>
      <xdr:colOff>289560</xdr:colOff>
      <xdr:row>3</xdr:row>
      <xdr:rowOff>137160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E1E5B8F7-BD05-49B1-AEB2-C0F851A97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4980" y="807720"/>
          <a:ext cx="28956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4</xdr:row>
      <xdr:rowOff>0</xdr:rowOff>
    </xdr:from>
    <xdr:to>
      <xdr:col>1</xdr:col>
      <xdr:colOff>259080</xdr:colOff>
      <xdr:row>4</xdr:row>
      <xdr:rowOff>137160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9D4D7413-0198-4902-9C0D-3A92735BA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4980" y="1112520"/>
          <a:ext cx="25908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5</xdr:row>
      <xdr:rowOff>0</xdr:rowOff>
    </xdr:from>
    <xdr:to>
      <xdr:col>1</xdr:col>
      <xdr:colOff>320040</xdr:colOff>
      <xdr:row>5</xdr:row>
      <xdr:rowOff>137160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883DB504-9AF4-4FFE-8E16-5CC410A99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4980" y="1417320"/>
          <a:ext cx="32004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6</xdr:row>
      <xdr:rowOff>0</xdr:rowOff>
    </xdr:from>
    <xdr:to>
      <xdr:col>1</xdr:col>
      <xdr:colOff>312420</xdr:colOff>
      <xdr:row>6</xdr:row>
      <xdr:rowOff>137160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0F8AA584-CC43-4948-817D-5D805D5F0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4980" y="1722120"/>
          <a:ext cx="31242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7</xdr:row>
      <xdr:rowOff>0</xdr:rowOff>
    </xdr:from>
    <xdr:to>
      <xdr:col>1</xdr:col>
      <xdr:colOff>266700</xdr:colOff>
      <xdr:row>7</xdr:row>
      <xdr:rowOff>137160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FE3658E7-1A69-4116-A885-21443FA1D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4980" y="2026920"/>
          <a:ext cx="26670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8</xdr:row>
      <xdr:rowOff>0</xdr:rowOff>
    </xdr:from>
    <xdr:to>
      <xdr:col>1</xdr:col>
      <xdr:colOff>320040</xdr:colOff>
      <xdr:row>8</xdr:row>
      <xdr:rowOff>137160</xdr:rowOff>
    </xdr:to>
    <xdr:pic>
      <xdr:nvPicPr>
        <xdr:cNvPr id="8" name="图片 7">
          <a:extLst>
            <a:ext uri="{FF2B5EF4-FFF2-40B4-BE49-F238E27FC236}">
              <a16:creationId xmlns:a16="http://schemas.microsoft.com/office/drawing/2014/main" id="{C35570D7-1047-4AF0-9D6B-ACE1EEDEB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4980" y="2331720"/>
          <a:ext cx="32004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9</xdr:row>
      <xdr:rowOff>0</xdr:rowOff>
    </xdr:from>
    <xdr:to>
      <xdr:col>1</xdr:col>
      <xdr:colOff>312420</xdr:colOff>
      <xdr:row>9</xdr:row>
      <xdr:rowOff>137160</xdr:rowOff>
    </xdr:to>
    <xdr:pic>
      <xdr:nvPicPr>
        <xdr:cNvPr id="9" name="图片 8">
          <a:extLst>
            <a:ext uri="{FF2B5EF4-FFF2-40B4-BE49-F238E27FC236}">
              <a16:creationId xmlns:a16="http://schemas.microsoft.com/office/drawing/2014/main" id="{F5F295F5-BDB0-4EBF-8063-1A1CC9E5C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4980" y="2636520"/>
          <a:ext cx="31242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10</xdr:row>
      <xdr:rowOff>0</xdr:rowOff>
    </xdr:from>
    <xdr:to>
      <xdr:col>1</xdr:col>
      <xdr:colOff>266700</xdr:colOff>
      <xdr:row>10</xdr:row>
      <xdr:rowOff>137160</xdr:rowOff>
    </xdr:to>
    <xdr:pic>
      <xdr:nvPicPr>
        <xdr:cNvPr id="10" name="图片 9">
          <a:extLst>
            <a:ext uri="{FF2B5EF4-FFF2-40B4-BE49-F238E27FC236}">
              <a16:creationId xmlns:a16="http://schemas.microsoft.com/office/drawing/2014/main" id="{80929FD1-E7F5-45EE-B7F1-0689D9AA4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4980" y="2941320"/>
          <a:ext cx="26670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11</xdr:row>
      <xdr:rowOff>0</xdr:rowOff>
    </xdr:from>
    <xdr:to>
      <xdr:col>1</xdr:col>
      <xdr:colOff>373380</xdr:colOff>
      <xdr:row>11</xdr:row>
      <xdr:rowOff>137160</xdr:rowOff>
    </xdr:to>
    <xdr:pic>
      <xdr:nvPicPr>
        <xdr:cNvPr id="11" name="图片 10">
          <a:extLst>
            <a:ext uri="{FF2B5EF4-FFF2-40B4-BE49-F238E27FC236}">
              <a16:creationId xmlns:a16="http://schemas.microsoft.com/office/drawing/2014/main" id="{3DFE204D-C449-438C-A3E0-BECFE26B0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0" y="2385060"/>
          <a:ext cx="37338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12</xdr:row>
      <xdr:rowOff>0</xdr:rowOff>
    </xdr:from>
    <xdr:to>
      <xdr:col>1</xdr:col>
      <xdr:colOff>312420</xdr:colOff>
      <xdr:row>12</xdr:row>
      <xdr:rowOff>137160</xdr:rowOff>
    </xdr:to>
    <xdr:pic>
      <xdr:nvPicPr>
        <xdr:cNvPr id="12" name="图片 11">
          <a:extLst>
            <a:ext uri="{FF2B5EF4-FFF2-40B4-BE49-F238E27FC236}">
              <a16:creationId xmlns:a16="http://schemas.microsoft.com/office/drawing/2014/main" id="{9E1FA7A8-83BC-4650-AEAD-4CBE60025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4980" y="3550920"/>
          <a:ext cx="31242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13</xdr:row>
      <xdr:rowOff>0</xdr:rowOff>
    </xdr:from>
    <xdr:to>
      <xdr:col>1</xdr:col>
      <xdr:colOff>358140</xdr:colOff>
      <xdr:row>13</xdr:row>
      <xdr:rowOff>137160</xdr:rowOff>
    </xdr:to>
    <xdr:pic>
      <xdr:nvPicPr>
        <xdr:cNvPr id="13" name="图片 12">
          <a:extLst>
            <a:ext uri="{FF2B5EF4-FFF2-40B4-BE49-F238E27FC236}">
              <a16:creationId xmlns:a16="http://schemas.microsoft.com/office/drawing/2014/main" id="{A5940F43-D761-4260-AD34-A9A5532C7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4980" y="3855720"/>
          <a:ext cx="35814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14</xdr:row>
      <xdr:rowOff>0</xdr:rowOff>
    </xdr:from>
    <xdr:to>
      <xdr:col>1</xdr:col>
      <xdr:colOff>175260</xdr:colOff>
      <xdr:row>14</xdr:row>
      <xdr:rowOff>137160</xdr:rowOff>
    </xdr:to>
    <xdr:pic>
      <xdr:nvPicPr>
        <xdr:cNvPr id="14" name="图片 13">
          <a:extLst>
            <a:ext uri="{FF2B5EF4-FFF2-40B4-BE49-F238E27FC236}">
              <a16:creationId xmlns:a16="http://schemas.microsoft.com/office/drawing/2014/main" id="{8ED305DB-B928-45D8-9171-DF894820E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4980" y="4160520"/>
          <a:ext cx="17526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15</xdr:row>
      <xdr:rowOff>0</xdr:rowOff>
    </xdr:from>
    <xdr:to>
      <xdr:col>1</xdr:col>
      <xdr:colOff>274320</xdr:colOff>
      <xdr:row>15</xdr:row>
      <xdr:rowOff>137160</xdr:rowOff>
    </xdr:to>
    <xdr:pic>
      <xdr:nvPicPr>
        <xdr:cNvPr id="15" name="图片 14">
          <a:extLst>
            <a:ext uri="{FF2B5EF4-FFF2-40B4-BE49-F238E27FC236}">
              <a16:creationId xmlns:a16="http://schemas.microsoft.com/office/drawing/2014/main" id="{CB400CFD-A8C8-4F54-B216-9D11AFEE1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0" y="3253740"/>
          <a:ext cx="27432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16</xdr:row>
      <xdr:rowOff>0</xdr:rowOff>
    </xdr:from>
    <xdr:to>
      <xdr:col>1</xdr:col>
      <xdr:colOff>198120</xdr:colOff>
      <xdr:row>16</xdr:row>
      <xdr:rowOff>137160</xdr:rowOff>
    </xdr:to>
    <xdr:pic>
      <xdr:nvPicPr>
        <xdr:cNvPr id="16" name="图片 15">
          <a:extLst>
            <a:ext uri="{FF2B5EF4-FFF2-40B4-BE49-F238E27FC236}">
              <a16:creationId xmlns:a16="http://schemas.microsoft.com/office/drawing/2014/main" id="{0E0068FA-D270-475F-ABA6-3DE582224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4980" y="4922520"/>
          <a:ext cx="19812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17</xdr:row>
      <xdr:rowOff>0</xdr:rowOff>
    </xdr:from>
    <xdr:to>
      <xdr:col>1</xdr:col>
      <xdr:colOff>243840</xdr:colOff>
      <xdr:row>17</xdr:row>
      <xdr:rowOff>137160</xdr:rowOff>
    </xdr:to>
    <xdr:pic>
      <xdr:nvPicPr>
        <xdr:cNvPr id="17" name="图片 16">
          <a:extLst>
            <a:ext uri="{FF2B5EF4-FFF2-40B4-BE49-F238E27FC236}">
              <a16:creationId xmlns:a16="http://schemas.microsoft.com/office/drawing/2014/main" id="{62CA6282-6F5C-4AB6-A5D3-3B8F3AD1C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4980" y="5227320"/>
          <a:ext cx="24384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18</xdr:row>
      <xdr:rowOff>0</xdr:rowOff>
    </xdr:from>
    <xdr:to>
      <xdr:col>1</xdr:col>
      <xdr:colOff>175260</xdr:colOff>
      <xdr:row>18</xdr:row>
      <xdr:rowOff>137160</xdr:rowOff>
    </xdr:to>
    <xdr:pic>
      <xdr:nvPicPr>
        <xdr:cNvPr id="18" name="图片 17">
          <a:extLst>
            <a:ext uri="{FF2B5EF4-FFF2-40B4-BE49-F238E27FC236}">
              <a16:creationId xmlns:a16="http://schemas.microsoft.com/office/drawing/2014/main" id="{F754E7AA-5D6B-4D4A-9603-EBC4EBB93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4980" y="5532120"/>
          <a:ext cx="17526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19</xdr:row>
      <xdr:rowOff>0</xdr:rowOff>
    </xdr:from>
    <xdr:to>
      <xdr:col>1</xdr:col>
      <xdr:colOff>167640</xdr:colOff>
      <xdr:row>19</xdr:row>
      <xdr:rowOff>137160</xdr:rowOff>
    </xdr:to>
    <xdr:pic>
      <xdr:nvPicPr>
        <xdr:cNvPr id="19" name="图片 18">
          <a:extLst>
            <a:ext uri="{FF2B5EF4-FFF2-40B4-BE49-F238E27FC236}">
              <a16:creationId xmlns:a16="http://schemas.microsoft.com/office/drawing/2014/main" id="{EE105A77-BCEC-4A24-A5F9-F329F5939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4980" y="5707380"/>
          <a:ext cx="16764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30480</xdr:colOff>
      <xdr:row>19</xdr:row>
      <xdr:rowOff>190500</xdr:rowOff>
    </xdr:from>
    <xdr:to>
      <xdr:col>1</xdr:col>
      <xdr:colOff>259080</xdr:colOff>
      <xdr:row>20</xdr:row>
      <xdr:rowOff>121920</xdr:rowOff>
    </xdr:to>
    <xdr:pic>
      <xdr:nvPicPr>
        <xdr:cNvPr id="20" name="图片 19">
          <a:extLst>
            <a:ext uri="{FF2B5EF4-FFF2-40B4-BE49-F238E27FC236}">
              <a16:creationId xmlns:a16="http://schemas.microsoft.com/office/drawing/2014/main" id="{4D17CE0E-9AF6-42E3-8ACC-53372C391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92980" y="4236720"/>
          <a:ext cx="22860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21</xdr:row>
      <xdr:rowOff>0</xdr:rowOff>
    </xdr:from>
    <xdr:to>
      <xdr:col>1</xdr:col>
      <xdr:colOff>205740</xdr:colOff>
      <xdr:row>21</xdr:row>
      <xdr:rowOff>137160</xdr:rowOff>
    </xdr:to>
    <xdr:pic>
      <xdr:nvPicPr>
        <xdr:cNvPr id="21" name="图片 20">
          <a:extLst>
            <a:ext uri="{FF2B5EF4-FFF2-40B4-BE49-F238E27FC236}">
              <a16:creationId xmlns:a16="http://schemas.microsoft.com/office/drawing/2014/main" id="{BF9D9428-F9F2-42B6-9459-001B39B61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4980" y="6339840"/>
          <a:ext cx="20574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22</xdr:row>
      <xdr:rowOff>0</xdr:rowOff>
    </xdr:from>
    <xdr:to>
      <xdr:col>1</xdr:col>
      <xdr:colOff>289560</xdr:colOff>
      <xdr:row>22</xdr:row>
      <xdr:rowOff>144780</xdr:rowOff>
    </xdr:to>
    <xdr:pic>
      <xdr:nvPicPr>
        <xdr:cNvPr id="22" name="图片 21">
          <a:extLst>
            <a:ext uri="{FF2B5EF4-FFF2-40B4-BE49-F238E27FC236}">
              <a16:creationId xmlns:a16="http://schemas.microsoft.com/office/drawing/2014/main" id="{EA95B2EC-A8FB-48CA-9068-E62CE7128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4980" y="6515100"/>
          <a:ext cx="289560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23</xdr:row>
      <xdr:rowOff>0</xdr:rowOff>
    </xdr:from>
    <xdr:to>
      <xdr:col>1</xdr:col>
      <xdr:colOff>236220</xdr:colOff>
      <xdr:row>23</xdr:row>
      <xdr:rowOff>144780</xdr:rowOff>
    </xdr:to>
    <xdr:pic>
      <xdr:nvPicPr>
        <xdr:cNvPr id="23" name="图片 22">
          <a:extLst>
            <a:ext uri="{FF2B5EF4-FFF2-40B4-BE49-F238E27FC236}">
              <a16:creationId xmlns:a16="http://schemas.microsoft.com/office/drawing/2014/main" id="{E6F4E4A0-EFAE-4845-A767-5686FE320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4980" y="6819900"/>
          <a:ext cx="236220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24</xdr:row>
      <xdr:rowOff>0</xdr:rowOff>
    </xdr:from>
    <xdr:to>
      <xdr:col>1</xdr:col>
      <xdr:colOff>243840</xdr:colOff>
      <xdr:row>24</xdr:row>
      <xdr:rowOff>144780</xdr:rowOff>
    </xdr:to>
    <xdr:pic>
      <xdr:nvPicPr>
        <xdr:cNvPr id="24" name="图片 23">
          <a:extLst>
            <a:ext uri="{FF2B5EF4-FFF2-40B4-BE49-F238E27FC236}">
              <a16:creationId xmlns:a16="http://schemas.microsoft.com/office/drawing/2014/main" id="{9880FBEF-59B6-4BBD-B731-A70973558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4980" y="7277100"/>
          <a:ext cx="243840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25</xdr:row>
      <xdr:rowOff>0</xdr:rowOff>
    </xdr:from>
    <xdr:to>
      <xdr:col>1</xdr:col>
      <xdr:colOff>281940</xdr:colOff>
      <xdr:row>25</xdr:row>
      <xdr:rowOff>144780</xdr:rowOff>
    </xdr:to>
    <xdr:pic>
      <xdr:nvPicPr>
        <xdr:cNvPr id="25" name="图片 24">
          <a:extLst>
            <a:ext uri="{FF2B5EF4-FFF2-40B4-BE49-F238E27FC236}">
              <a16:creationId xmlns:a16="http://schemas.microsoft.com/office/drawing/2014/main" id="{B56E2B78-6305-4ECB-B7DD-88C588BB7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4980" y="7581900"/>
          <a:ext cx="281940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26</xdr:row>
      <xdr:rowOff>0</xdr:rowOff>
    </xdr:from>
    <xdr:to>
      <xdr:col>1</xdr:col>
      <xdr:colOff>289560</xdr:colOff>
      <xdr:row>26</xdr:row>
      <xdr:rowOff>144780</xdr:rowOff>
    </xdr:to>
    <xdr:pic>
      <xdr:nvPicPr>
        <xdr:cNvPr id="26" name="图片 25">
          <a:extLst>
            <a:ext uri="{FF2B5EF4-FFF2-40B4-BE49-F238E27FC236}">
              <a16:creationId xmlns:a16="http://schemas.microsoft.com/office/drawing/2014/main" id="{C7D7B2AA-5B48-44F8-9EA6-60F42EE7D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4980" y="8191500"/>
          <a:ext cx="289560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27</xdr:row>
      <xdr:rowOff>0</xdr:rowOff>
    </xdr:from>
    <xdr:to>
      <xdr:col>1</xdr:col>
      <xdr:colOff>228600</xdr:colOff>
      <xdr:row>27</xdr:row>
      <xdr:rowOff>144780</xdr:rowOff>
    </xdr:to>
    <xdr:pic>
      <xdr:nvPicPr>
        <xdr:cNvPr id="27" name="图片 26">
          <a:extLst>
            <a:ext uri="{FF2B5EF4-FFF2-40B4-BE49-F238E27FC236}">
              <a16:creationId xmlns:a16="http://schemas.microsoft.com/office/drawing/2014/main" id="{5E3178B8-7BA6-4325-A0D8-A8862C7D7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4980" y="8526780"/>
          <a:ext cx="228600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28</xdr:row>
      <xdr:rowOff>0</xdr:rowOff>
    </xdr:from>
    <xdr:to>
      <xdr:col>1</xdr:col>
      <xdr:colOff>190500</xdr:colOff>
      <xdr:row>28</xdr:row>
      <xdr:rowOff>137160</xdr:rowOff>
    </xdr:to>
    <xdr:pic>
      <xdr:nvPicPr>
        <xdr:cNvPr id="28" name="图片 27">
          <a:extLst>
            <a:ext uri="{FF2B5EF4-FFF2-40B4-BE49-F238E27FC236}">
              <a16:creationId xmlns:a16="http://schemas.microsoft.com/office/drawing/2014/main" id="{210AC0E3-2FD3-49E0-A286-141F79AFD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4980" y="8862060"/>
          <a:ext cx="19050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0</xdr:row>
      <xdr:rowOff>7620</xdr:rowOff>
    </xdr:from>
    <xdr:to>
      <xdr:col>0</xdr:col>
      <xdr:colOff>304800</xdr:colOff>
      <xdr:row>0</xdr:row>
      <xdr:rowOff>144780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DA9E4EC7-A110-42F2-B77A-383FCFCBA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7620"/>
          <a:ext cx="26670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53340</xdr:colOff>
      <xdr:row>0</xdr:row>
      <xdr:rowOff>7620</xdr:rowOff>
    </xdr:from>
    <xdr:to>
      <xdr:col>1</xdr:col>
      <xdr:colOff>312420</xdr:colOff>
      <xdr:row>0</xdr:row>
      <xdr:rowOff>144780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E8B411F7-0086-4140-ADD1-FFE8BDA98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2940" y="7620"/>
          <a:ext cx="25908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7</xdr:row>
      <xdr:rowOff>0</xdr:rowOff>
    </xdr:from>
    <xdr:to>
      <xdr:col>0</xdr:col>
      <xdr:colOff>312420</xdr:colOff>
      <xdr:row>7</xdr:row>
      <xdr:rowOff>137160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D9A2CE6F-B24F-4851-A7FD-EAC5141FF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00200"/>
          <a:ext cx="31242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7</xdr:row>
      <xdr:rowOff>0</xdr:rowOff>
    </xdr:from>
    <xdr:to>
      <xdr:col>1</xdr:col>
      <xdr:colOff>320040</xdr:colOff>
      <xdr:row>7</xdr:row>
      <xdr:rowOff>137160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2EFF32A6-F62C-4801-83D1-CD1B2EAD1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600200"/>
          <a:ext cx="32004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14</xdr:row>
      <xdr:rowOff>0</xdr:rowOff>
    </xdr:from>
    <xdr:to>
      <xdr:col>0</xdr:col>
      <xdr:colOff>312420</xdr:colOff>
      <xdr:row>14</xdr:row>
      <xdr:rowOff>137160</xdr:rowOff>
    </xdr:to>
    <xdr:pic>
      <xdr:nvPicPr>
        <xdr:cNvPr id="8" name="图片 7">
          <a:extLst>
            <a:ext uri="{FF2B5EF4-FFF2-40B4-BE49-F238E27FC236}">
              <a16:creationId xmlns:a16="http://schemas.microsoft.com/office/drawing/2014/main" id="{722119C3-CD79-40FA-851C-182823F21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44800"/>
          <a:ext cx="31242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14</xdr:row>
      <xdr:rowOff>0</xdr:rowOff>
    </xdr:from>
    <xdr:to>
      <xdr:col>1</xdr:col>
      <xdr:colOff>320040</xdr:colOff>
      <xdr:row>14</xdr:row>
      <xdr:rowOff>137160</xdr:rowOff>
    </xdr:to>
    <xdr:pic>
      <xdr:nvPicPr>
        <xdr:cNvPr id="9" name="图片 8">
          <a:extLst>
            <a:ext uri="{FF2B5EF4-FFF2-40B4-BE49-F238E27FC236}">
              <a16:creationId xmlns:a16="http://schemas.microsoft.com/office/drawing/2014/main" id="{99C2D084-925D-42AB-AE04-990183EF1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844800"/>
          <a:ext cx="32004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21</xdr:row>
      <xdr:rowOff>0</xdr:rowOff>
    </xdr:from>
    <xdr:to>
      <xdr:col>0</xdr:col>
      <xdr:colOff>175260</xdr:colOff>
      <xdr:row>21</xdr:row>
      <xdr:rowOff>137160</xdr:rowOff>
    </xdr:to>
    <xdr:pic>
      <xdr:nvPicPr>
        <xdr:cNvPr id="10" name="图片 9">
          <a:extLst>
            <a:ext uri="{FF2B5EF4-FFF2-40B4-BE49-F238E27FC236}">
              <a16:creationId xmlns:a16="http://schemas.microsoft.com/office/drawing/2014/main" id="{7B527900-E903-46A1-98E7-9B955DBDA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33800"/>
          <a:ext cx="17526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28</xdr:row>
      <xdr:rowOff>0</xdr:rowOff>
    </xdr:from>
    <xdr:to>
      <xdr:col>0</xdr:col>
      <xdr:colOff>274320</xdr:colOff>
      <xdr:row>28</xdr:row>
      <xdr:rowOff>137160</xdr:rowOff>
    </xdr:to>
    <xdr:pic>
      <xdr:nvPicPr>
        <xdr:cNvPr id="11" name="图片 10">
          <a:extLst>
            <a:ext uri="{FF2B5EF4-FFF2-40B4-BE49-F238E27FC236}">
              <a16:creationId xmlns:a16="http://schemas.microsoft.com/office/drawing/2014/main" id="{C194DD98-25A5-422F-AD0A-9832889F1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78400"/>
          <a:ext cx="27432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35</xdr:row>
      <xdr:rowOff>0</xdr:rowOff>
    </xdr:from>
    <xdr:to>
      <xdr:col>0</xdr:col>
      <xdr:colOff>205740</xdr:colOff>
      <xdr:row>35</xdr:row>
      <xdr:rowOff>137160</xdr:rowOff>
    </xdr:to>
    <xdr:pic>
      <xdr:nvPicPr>
        <xdr:cNvPr id="13" name="图片 12">
          <a:extLst>
            <a:ext uri="{FF2B5EF4-FFF2-40B4-BE49-F238E27FC236}">
              <a16:creationId xmlns:a16="http://schemas.microsoft.com/office/drawing/2014/main" id="{4979FBC7-20F8-4BBE-8C99-313C52BB8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229350"/>
          <a:ext cx="20574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24</xdr:col>
      <xdr:colOff>0</xdr:colOff>
      <xdr:row>35</xdr:row>
      <xdr:rowOff>0</xdr:rowOff>
    </xdr:from>
    <xdr:to>
      <xdr:col>24</xdr:col>
      <xdr:colOff>175260</xdr:colOff>
      <xdr:row>35</xdr:row>
      <xdr:rowOff>137160</xdr:rowOff>
    </xdr:to>
    <xdr:pic>
      <xdr:nvPicPr>
        <xdr:cNvPr id="15" name="图片 14">
          <a:extLst>
            <a:ext uri="{FF2B5EF4-FFF2-40B4-BE49-F238E27FC236}">
              <a16:creationId xmlns:a16="http://schemas.microsoft.com/office/drawing/2014/main" id="{EF7E8EC8-8401-4212-9834-017600B96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93300" y="6229350"/>
          <a:ext cx="17526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25</xdr:col>
      <xdr:colOff>0</xdr:colOff>
      <xdr:row>35</xdr:row>
      <xdr:rowOff>0</xdr:rowOff>
    </xdr:from>
    <xdr:to>
      <xdr:col>25</xdr:col>
      <xdr:colOff>167640</xdr:colOff>
      <xdr:row>35</xdr:row>
      <xdr:rowOff>137160</xdr:rowOff>
    </xdr:to>
    <xdr:pic>
      <xdr:nvPicPr>
        <xdr:cNvPr id="16" name="图片 15">
          <a:extLst>
            <a:ext uri="{FF2B5EF4-FFF2-40B4-BE49-F238E27FC236}">
              <a16:creationId xmlns:a16="http://schemas.microsoft.com/office/drawing/2014/main" id="{9AD2B968-FF89-4787-A736-187A5FD21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02900" y="6229350"/>
          <a:ext cx="16764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42</xdr:row>
      <xdr:rowOff>0</xdr:rowOff>
    </xdr:from>
    <xdr:to>
      <xdr:col>0</xdr:col>
      <xdr:colOff>228600</xdr:colOff>
      <xdr:row>42</xdr:row>
      <xdr:rowOff>137160</xdr:rowOff>
    </xdr:to>
    <xdr:pic>
      <xdr:nvPicPr>
        <xdr:cNvPr id="18" name="图片 17">
          <a:extLst>
            <a:ext uri="{FF2B5EF4-FFF2-40B4-BE49-F238E27FC236}">
              <a16:creationId xmlns:a16="http://schemas.microsoft.com/office/drawing/2014/main" id="{B40C9709-8757-4723-907C-E3C875BEE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473950"/>
          <a:ext cx="22860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49</xdr:row>
      <xdr:rowOff>0</xdr:rowOff>
    </xdr:from>
    <xdr:to>
      <xdr:col>0</xdr:col>
      <xdr:colOff>243840</xdr:colOff>
      <xdr:row>49</xdr:row>
      <xdr:rowOff>144780</xdr:rowOff>
    </xdr:to>
    <xdr:pic>
      <xdr:nvPicPr>
        <xdr:cNvPr id="19" name="图片 18">
          <a:extLst>
            <a:ext uri="{FF2B5EF4-FFF2-40B4-BE49-F238E27FC236}">
              <a16:creationId xmlns:a16="http://schemas.microsoft.com/office/drawing/2014/main" id="{9423A130-85D3-4889-8D52-7C4FD010E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718550"/>
          <a:ext cx="243840" cy="1447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56</xdr:row>
      <xdr:rowOff>0</xdr:rowOff>
    </xdr:from>
    <xdr:to>
      <xdr:col>0</xdr:col>
      <xdr:colOff>373380</xdr:colOff>
      <xdr:row>56</xdr:row>
      <xdr:rowOff>137160</xdr:rowOff>
    </xdr:to>
    <xdr:pic>
      <xdr:nvPicPr>
        <xdr:cNvPr id="20" name="图片 19">
          <a:extLst>
            <a:ext uri="{FF2B5EF4-FFF2-40B4-BE49-F238E27FC236}">
              <a16:creationId xmlns:a16="http://schemas.microsoft.com/office/drawing/2014/main" id="{4A94FE7B-B283-42E8-94B2-348E54872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963150"/>
          <a:ext cx="37338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24</xdr:col>
      <xdr:colOff>0</xdr:colOff>
      <xdr:row>56</xdr:row>
      <xdr:rowOff>0</xdr:rowOff>
    </xdr:from>
    <xdr:to>
      <xdr:col>24</xdr:col>
      <xdr:colOff>312420</xdr:colOff>
      <xdr:row>56</xdr:row>
      <xdr:rowOff>137160</xdr:rowOff>
    </xdr:to>
    <xdr:pic>
      <xdr:nvPicPr>
        <xdr:cNvPr id="21" name="图片 20">
          <a:extLst>
            <a:ext uri="{FF2B5EF4-FFF2-40B4-BE49-F238E27FC236}">
              <a16:creationId xmlns:a16="http://schemas.microsoft.com/office/drawing/2014/main" id="{F37A4832-0AF1-432E-943B-949EA67A5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75900" y="9963150"/>
          <a:ext cx="31242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25</xdr:col>
      <xdr:colOff>0</xdr:colOff>
      <xdr:row>56</xdr:row>
      <xdr:rowOff>0</xdr:rowOff>
    </xdr:from>
    <xdr:to>
      <xdr:col>25</xdr:col>
      <xdr:colOff>358140</xdr:colOff>
      <xdr:row>56</xdr:row>
      <xdr:rowOff>137160</xdr:rowOff>
    </xdr:to>
    <xdr:pic>
      <xdr:nvPicPr>
        <xdr:cNvPr id="22" name="图片 21">
          <a:extLst>
            <a:ext uri="{FF2B5EF4-FFF2-40B4-BE49-F238E27FC236}">
              <a16:creationId xmlns:a16="http://schemas.microsoft.com/office/drawing/2014/main" id="{B8077251-B676-44F4-A862-02448FDCF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85500" y="9963150"/>
          <a:ext cx="35814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66</xdr:row>
      <xdr:rowOff>0</xdr:rowOff>
    </xdr:from>
    <xdr:to>
      <xdr:col>0</xdr:col>
      <xdr:colOff>243840</xdr:colOff>
      <xdr:row>66</xdr:row>
      <xdr:rowOff>137160</xdr:rowOff>
    </xdr:to>
    <xdr:pic>
      <xdr:nvPicPr>
        <xdr:cNvPr id="23" name="图片 22">
          <a:extLst>
            <a:ext uri="{FF2B5EF4-FFF2-40B4-BE49-F238E27FC236}">
              <a16:creationId xmlns:a16="http://schemas.microsoft.com/office/drawing/2014/main" id="{02CA8719-92EA-4D58-B149-CE1F8EDAB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741150"/>
          <a:ext cx="24384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66</xdr:row>
      <xdr:rowOff>0</xdr:rowOff>
    </xdr:from>
    <xdr:to>
      <xdr:col>1</xdr:col>
      <xdr:colOff>198120</xdr:colOff>
      <xdr:row>66</xdr:row>
      <xdr:rowOff>137160</xdr:rowOff>
    </xdr:to>
    <xdr:pic>
      <xdr:nvPicPr>
        <xdr:cNvPr id="25" name="图片 24">
          <a:extLst>
            <a:ext uri="{FF2B5EF4-FFF2-40B4-BE49-F238E27FC236}">
              <a16:creationId xmlns:a16="http://schemas.microsoft.com/office/drawing/2014/main" id="{DA0F4E3E-BFA2-4AE4-AA2E-E1849AAF4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1741150"/>
          <a:ext cx="19812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73</xdr:row>
      <xdr:rowOff>0</xdr:rowOff>
    </xdr:from>
    <xdr:to>
      <xdr:col>0</xdr:col>
      <xdr:colOff>358140</xdr:colOff>
      <xdr:row>73</xdr:row>
      <xdr:rowOff>137160</xdr:rowOff>
    </xdr:to>
    <xdr:pic>
      <xdr:nvPicPr>
        <xdr:cNvPr id="26" name="图片 25">
          <a:extLst>
            <a:ext uri="{FF2B5EF4-FFF2-40B4-BE49-F238E27FC236}">
              <a16:creationId xmlns:a16="http://schemas.microsoft.com/office/drawing/2014/main" id="{315813A7-290A-4AAE-83FF-2676C4714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985750"/>
          <a:ext cx="35814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73</xdr:row>
      <xdr:rowOff>0</xdr:rowOff>
    </xdr:from>
    <xdr:to>
      <xdr:col>1</xdr:col>
      <xdr:colOff>312420</xdr:colOff>
      <xdr:row>73</xdr:row>
      <xdr:rowOff>137160</xdr:rowOff>
    </xdr:to>
    <xdr:pic>
      <xdr:nvPicPr>
        <xdr:cNvPr id="27" name="图片 26">
          <a:extLst>
            <a:ext uri="{FF2B5EF4-FFF2-40B4-BE49-F238E27FC236}">
              <a16:creationId xmlns:a16="http://schemas.microsoft.com/office/drawing/2014/main" id="{E9B791B0-B403-47FB-948C-6C1028CCD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2985750"/>
          <a:ext cx="31242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38100</xdr:colOff>
      <xdr:row>0</xdr:row>
      <xdr:rowOff>0</xdr:rowOff>
    </xdr:from>
    <xdr:to>
      <xdr:col>4</xdr:col>
      <xdr:colOff>304800</xdr:colOff>
      <xdr:row>0</xdr:row>
      <xdr:rowOff>137160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18012842-22AB-46A0-B4D6-2A82807E6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4540" y="0"/>
          <a:ext cx="26670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6</xdr:col>
      <xdr:colOff>0</xdr:colOff>
      <xdr:row>0</xdr:row>
      <xdr:rowOff>0</xdr:rowOff>
    </xdr:from>
    <xdr:to>
      <xdr:col>6</xdr:col>
      <xdr:colOff>312420</xdr:colOff>
      <xdr:row>0</xdr:row>
      <xdr:rowOff>137160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33587943-1546-41C1-9079-72D4F9A04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0" y="1280160"/>
          <a:ext cx="31242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8</xdr:col>
      <xdr:colOff>0</xdr:colOff>
      <xdr:row>0</xdr:row>
      <xdr:rowOff>0</xdr:rowOff>
    </xdr:from>
    <xdr:to>
      <xdr:col>8</xdr:col>
      <xdr:colOff>312420</xdr:colOff>
      <xdr:row>0</xdr:row>
      <xdr:rowOff>137160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048E0641-2451-412A-BAE2-F7C1582F4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0"/>
          <a:ext cx="31242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0</xdr:colOff>
      <xdr:row>0</xdr:row>
      <xdr:rowOff>0</xdr:rowOff>
    </xdr:from>
    <xdr:to>
      <xdr:col>5</xdr:col>
      <xdr:colOff>259080</xdr:colOff>
      <xdr:row>0</xdr:row>
      <xdr:rowOff>137160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8EF78945-FB96-43A3-B3CF-21A0CDA79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9820" y="0"/>
          <a:ext cx="25908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7</xdr:col>
      <xdr:colOff>0</xdr:colOff>
      <xdr:row>0</xdr:row>
      <xdr:rowOff>0</xdr:rowOff>
    </xdr:from>
    <xdr:to>
      <xdr:col>7</xdr:col>
      <xdr:colOff>320040</xdr:colOff>
      <xdr:row>0</xdr:row>
      <xdr:rowOff>137160</xdr:rowOff>
    </xdr:to>
    <xdr:pic>
      <xdr:nvPicPr>
        <xdr:cNvPr id="8" name="图片 7">
          <a:extLst>
            <a:ext uri="{FF2B5EF4-FFF2-40B4-BE49-F238E27FC236}">
              <a16:creationId xmlns:a16="http://schemas.microsoft.com/office/drawing/2014/main" id="{127ACB14-208A-4D9D-BEC3-0FFC0640B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9020" y="0"/>
          <a:ext cx="32004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0</xdr:colOff>
      <xdr:row>0</xdr:row>
      <xdr:rowOff>0</xdr:rowOff>
    </xdr:from>
    <xdr:to>
      <xdr:col>9</xdr:col>
      <xdr:colOff>320040</xdr:colOff>
      <xdr:row>0</xdr:row>
      <xdr:rowOff>137160</xdr:rowOff>
    </xdr:to>
    <xdr:pic>
      <xdr:nvPicPr>
        <xdr:cNvPr id="9" name="图片 8">
          <a:extLst>
            <a:ext uri="{FF2B5EF4-FFF2-40B4-BE49-F238E27FC236}">
              <a16:creationId xmlns:a16="http://schemas.microsoft.com/office/drawing/2014/main" id="{A3BC4950-597F-4081-99F4-3E08470B2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18220" y="0"/>
          <a:ext cx="32004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60960</xdr:colOff>
      <xdr:row>0</xdr:row>
      <xdr:rowOff>0</xdr:rowOff>
    </xdr:from>
    <xdr:to>
      <xdr:col>10</xdr:col>
      <xdr:colOff>434340</xdr:colOff>
      <xdr:row>0</xdr:row>
      <xdr:rowOff>137160</xdr:rowOff>
    </xdr:to>
    <xdr:pic>
      <xdr:nvPicPr>
        <xdr:cNvPr id="13" name="图片 12">
          <a:extLst>
            <a:ext uri="{FF2B5EF4-FFF2-40B4-BE49-F238E27FC236}">
              <a16:creationId xmlns:a16="http://schemas.microsoft.com/office/drawing/2014/main" id="{B71B6AC0-C726-41DA-B4AF-0236DE897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8780" y="0"/>
          <a:ext cx="37338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106680</xdr:colOff>
      <xdr:row>0</xdr:row>
      <xdr:rowOff>7620</xdr:rowOff>
    </xdr:from>
    <xdr:to>
      <xdr:col>12</xdr:col>
      <xdr:colOff>419100</xdr:colOff>
      <xdr:row>0</xdr:row>
      <xdr:rowOff>144780</xdr:rowOff>
    </xdr:to>
    <xdr:pic>
      <xdr:nvPicPr>
        <xdr:cNvPr id="14" name="图片 13">
          <a:extLst>
            <a:ext uri="{FF2B5EF4-FFF2-40B4-BE49-F238E27FC236}">
              <a16:creationId xmlns:a16="http://schemas.microsoft.com/office/drawing/2014/main" id="{48FA7CAE-258E-49F5-85D9-C397457E0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53700" y="7620"/>
          <a:ext cx="31242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11</xdr:col>
      <xdr:colOff>22860</xdr:colOff>
      <xdr:row>0</xdr:row>
      <xdr:rowOff>0</xdr:rowOff>
    </xdr:from>
    <xdr:to>
      <xdr:col>11</xdr:col>
      <xdr:colOff>381000</xdr:colOff>
      <xdr:row>0</xdr:row>
      <xdr:rowOff>137160</xdr:rowOff>
    </xdr:to>
    <xdr:pic>
      <xdr:nvPicPr>
        <xdr:cNvPr id="15" name="图片 14">
          <a:extLst>
            <a:ext uri="{FF2B5EF4-FFF2-40B4-BE49-F238E27FC236}">
              <a16:creationId xmlns:a16="http://schemas.microsoft.com/office/drawing/2014/main" id="{63A0E3C5-9A02-4731-9317-95528DE6F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60280" y="0"/>
          <a:ext cx="35814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13</xdr:col>
      <xdr:colOff>0</xdr:colOff>
      <xdr:row>0</xdr:row>
      <xdr:rowOff>0</xdr:rowOff>
    </xdr:from>
    <xdr:to>
      <xdr:col>13</xdr:col>
      <xdr:colOff>274320</xdr:colOff>
      <xdr:row>0</xdr:row>
      <xdr:rowOff>137160</xdr:rowOff>
    </xdr:to>
    <xdr:pic>
      <xdr:nvPicPr>
        <xdr:cNvPr id="16" name="图片 15">
          <a:extLst>
            <a:ext uri="{FF2B5EF4-FFF2-40B4-BE49-F238E27FC236}">
              <a16:creationId xmlns:a16="http://schemas.microsoft.com/office/drawing/2014/main" id="{9D95670C-6452-4FE9-93C6-BEFD6A183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0" y="3253740"/>
          <a:ext cx="27432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14</xdr:col>
      <xdr:colOff>0</xdr:colOff>
      <xdr:row>0</xdr:row>
      <xdr:rowOff>0</xdr:rowOff>
    </xdr:from>
    <xdr:to>
      <xdr:col>14</xdr:col>
      <xdr:colOff>243840</xdr:colOff>
      <xdr:row>0</xdr:row>
      <xdr:rowOff>137160</xdr:rowOff>
    </xdr:to>
    <xdr:pic>
      <xdr:nvPicPr>
        <xdr:cNvPr id="18" name="图片 17">
          <a:extLst>
            <a:ext uri="{FF2B5EF4-FFF2-40B4-BE49-F238E27FC236}">
              <a16:creationId xmlns:a16="http://schemas.microsoft.com/office/drawing/2014/main" id="{6953CEE8-B955-4BBB-A423-8F91DC652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6220" y="0"/>
          <a:ext cx="243840" cy="1371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3"/>
  <sheetViews>
    <sheetView tabSelected="1" topLeftCell="A4" workbookViewId="0">
      <selection activeCell="F10" sqref="F10"/>
    </sheetView>
  </sheetViews>
  <sheetFormatPr defaultRowHeight="17.399999999999999" x14ac:dyDescent="0.3"/>
  <cols>
    <col min="1" max="1" width="31.6640625" style="5" customWidth="1"/>
    <col min="2" max="2" width="48.6640625" style="5" customWidth="1"/>
    <col min="3" max="3" width="35.44140625" style="5" customWidth="1"/>
    <col min="4" max="7" width="8.88671875" style="5"/>
    <col min="8" max="8" width="54.5546875" style="5" customWidth="1"/>
    <col min="9" max="16384" width="8.88671875" style="5"/>
  </cols>
  <sheetData>
    <row r="1" spans="1:8" ht="18" customHeight="1" thickBot="1" x14ac:dyDescent="0.4">
      <c r="A1" s="47" t="s">
        <v>10</v>
      </c>
      <c r="B1" s="47"/>
      <c r="C1" s="47"/>
    </row>
    <row r="2" spans="1:8" ht="19.2" thickTop="1" thickBot="1" x14ac:dyDescent="0.35">
      <c r="A2" s="7" t="s">
        <v>0</v>
      </c>
      <c r="B2" s="8" t="s">
        <v>1</v>
      </c>
      <c r="C2" s="8" t="s">
        <v>2</v>
      </c>
    </row>
    <row r="3" spans="1:8" ht="36" x14ac:dyDescent="0.3">
      <c r="A3" s="9" t="s">
        <v>3</v>
      </c>
      <c r="B3" s="10">
        <v>472.5</v>
      </c>
      <c r="C3" s="10" t="s">
        <v>91</v>
      </c>
    </row>
    <row r="4" spans="1:8" ht="36" x14ac:dyDescent="0.3">
      <c r="A4" s="9" t="s">
        <v>4</v>
      </c>
      <c r="B4" s="10">
        <v>315</v>
      </c>
      <c r="C4" s="10" t="s">
        <v>92</v>
      </c>
    </row>
    <row r="5" spans="1:8" ht="21" customHeight="1" x14ac:dyDescent="0.3">
      <c r="A5" s="9" t="s">
        <v>5</v>
      </c>
      <c r="B5" s="10">
        <v>252</v>
      </c>
      <c r="C5" s="10" t="s">
        <v>92</v>
      </c>
    </row>
    <row r="6" spans="1:8" ht="36" x14ac:dyDescent="0.3">
      <c r="A6" s="9" t="s">
        <v>6</v>
      </c>
      <c r="B6" s="10">
        <v>630</v>
      </c>
      <c r="C6" s="10" t="s">
        <v>93</v>
      </c>
    </row>
    <row r="7" spans="1:8" ht="36" x14ac:dyDescent="0.3">
      <c r="A7" s="9" t="s">
        <v>7</v>
      </c>
      <c r="B7" s="10">
        <v>525</v>
      </c>
      <c r="C7" s="10" t="s">
        <v>91</v>
      </c>
    </row>
    <row r="8" spans="1:8" ht="36" x14ac:dyDescent="0.3">
      <c r="A8" s="9" t="s">
        <v>79</v>
      </c>
      <c r="B8" s="10">
        <v>3244.5</v>
      </c>
      <c r="C8" s="10" t="s">
        <v>94</v>
      </c>
    </row>
    <row r="9" spans="1:8" ht="36" x14ac:dyDescent="0.3">
      <c r="A9" s="9" t="s">
        <v>61</v>
      </c>
      <c r="B9" s="10">
        <v>1320.5</v>
      </c>
      <c r="C9" s="10" t="s">
        <v>91</v>
      </c>
    </row>
    <row r="10" spans="1:8" ht="36" x14ac:dyDescent="0.3">
      <c r="A10" s="9" t="s">
        <v>62</v>
      </c>
      <c r="B10" s="10">
        <v>1924</v>
      </c>
      <c r="C10" s="10" t="s">
        <v>101</v>
      </c>
    </row>
    <row r="11" spans="1:8" ht="36" x14ac:dyDescent="0.35">
      <c r="A11" s="9" t="s">
        <v>8</v>
      </c>
      <c r="B11" s="10">
        <v>441</v>
      </c>
      <c r="C11" s="10" t="s">
        <v>92</v>
      </c>
      <c r="H11" s="6"/>
    </row>
    <row r="12" spans="1:8" ht="36.6" thickBot="1" x14ac:dyDescent="0.35">
      <c r="A12" s="11" t="s">
        <v>9</v>
      </c>
      <c r="B12" s="12">
        <v>6300</v>
      </c>
      <c r="C12" s="12" t="s">
        <v>92</v>
      </c>
    </row>
    <row r="13" spans="1:8" ht="18" thickTop="1" x14ac:dyDescent="0.3"/>
  </sheetData>
  <mergeCells count="1">
    <mergeCell ref="A1:C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82A900-C97B-4ABA-A37A-94EAF851D773}">
  <dimension ref="A1:D30"/>
  <sheetViews>
    <sheetView workbookViewId="0">
      <selection activeCell="D3" sqref="D3:D29"/>
    </sheetView>
  </sheetViews>
  <sheetFormatPr defaultRowHeight="15.6" x14ac:dyDescent="0.3"/>
  <cols>
    <col min="1" max="1" width="69.44140625" style="1" customWidth="1"/>
    <col min="2" max="2" width="13" style="1" customWidth="1"/>
    <col min="3" max="3" width="18.21875" style="1" customWidth="1"/>
    <col min="4" max="4" width="29.77734375" style="1" customWidth="1"/>
    <col min="5" max="16384" width="8.88671875" style="1"/>
  </cols>
  <sheetData>
    <row r="1" spans="1:4" ht="16.2" thickBot="1" x14ac:dyDescent="0.35">
      <c r="A1" s="48" t="s">
        <v>40</v>
      </c>
      <c r="B1" s="48"/>
      <c r="C1" s="48"/>
      <c r="D1" s="48"/>
    </row>
    <row r="2" spans="1:4" ht="16.8" thickTop="1" thickBot="1" x14ac:dyDescent="0.35">
      <c r="A2" s="2"/>
      <c r="B2" s="13" t="s">
        <v>11</v>
      </c>
      <c r="C2" s="13" t="s">
        <v>12</v>
      </c>
      <c r="D2" s="13" t="s">
        <v>13</v>
      </c>
    </row>
    <row r="3" spans="1:4" x14ac:dyDescent="0.3">
      <c r="A3" s="14" t="s">
        <v>14</v>
      </c>
      <c r="B3" s="15"/>
      <c r="C3" s="22">
        <v>0.52090000000000003</v>
      </c>
      <c r="D3" s="3" t="s">
        <v>15</v>
      </c>
    </row>
    <row r="4" spans="1:4" x14ac:dyDescent="0.3">
      <c r="A4" s="14" t="s">
        <v>16</v>
      </c>
      <c r="B4" s="15"/>
      <c r="C4" s="22">
        <v>0.44209999999999999</v>
      </c>
      <c r="D4" s="3" t="s">
        <v>15</v>
      </c>
    </row>
    <row r="5" spans="1:4" x14ac:dyDescent="0.3">
      <c r="A5" s="14" t="s">
        <v>17</v>
      </c>
      <c r="B5" s="15"/>
      <c r="C5" s="22">
        <v>3.6999999999999998E-2</v>
      </c>
      <c r="D5" s="3" t="s">
        <v>18</v>
      </c>
    </row>
    <row r="6" spans="1:4" ht="21" customHeight="1" x14ac:dyDescent="0.3">
      <c r="A6" s="14" t="s">
        <v>75</v>
      </c>
      <c r="B6" s="15"/>
      <c r="C6" s="22">
        <v>0.27</v>
      </c>
      <c r="D6" s="3" t="s">
        <v>19</v>
      </c>
    </row>
    <row r="7" spans="1:4" x14ac:dyDescent="0.3">
      <c r="A7" s="14" t="s">
        <v>69</v>
      </c>
      <c r="B7" s="15"/>
      <c r="C7" s="22">
        <v>0.69</v>
      </c>
      <c r="D7" s="3" t="s">
        <v>19</v>
      </c>
    </row>
    <row r="8" spans="1:4" x14ac:dyDescent="0.3">
      <c r="A8" s="14" t="s">
        <v>20</v>
      </c>
      <c r="B8" s="15"/>
      <c r="C8" s="22">
        <v>0.04</v>
      </c>
      <c r="D8" s="3" t="s">
        <v>19</v>
      </c>
    </row>
    <row r="9" spans="1:4" ht="24.6" customHeight="1" x14ac:dyDescent="0.3">
      <c r="A9" s="14" t="s">
        <v>71</v>
      </c>
      <c r="B9" s="15"/>
      <c r="C9" s="22">
        <v>0.64</v>
      </c>
      <c r="D9" s="3" t="s">
        <v>19</v>
      </c>
    </row>
    <row r="10" spans="1:4" x14ac:dyDescent="0.3">
      <c r="A10" s="14" t="s">
        <v>21</v>
      </c>
      <c r="B10" s="15"/>
      <c r="C10" s="22">
        <v>0.28000000000000003</v>
      </c>
      <c r="D10" s="3" t="s">
        <v>19</v>
      </c>
    </row>
    <row r="11" spans="1:4" x14ac:dyDescent="0.3">
      <c r="A11" s="14" t="s">
        <v>22</v>
      </c>
      <c r="B11" s="16"/>
      <c r="C11" s="22">
        <v>0.08</v>
      </c>
      <c r="D11" s="3" t="s">
        <v>19</v>
      </c>
    </row>
    <row r="12" spans="1:4" ht="31.2" x14ac:dyDescent="0.3">
      <c r="A12" s="14" t="s">
        <v>23</v>
      </c>
      <c r="B12" s="16"/>
      <c r="C12" s="22">
        <v>3.6999999999999998E-2</v>
      </c>
      <c r="D12" s="3" t="s">
        <v>95</v>
      </c>
    </row>
    <row r="13" spans="1:4" ht="31.2" x14ac:dyDescent="0.3">
      <c r="A13" s="14" t="s">
        <v>24</v>
      </c>
      <c r="B13" s="16"/>
      <c r="C13" s="22">
        <v>0.45600000000000002</v>
      </c>
      <c r="D13" s="3" t="s">
        <v>95</v>
      </c>
    </row>
    <row r="14" spans="1:4" ht="31.2" x14ac:dyDescent="0.3">
      <c r="A14" s="14" t="s">
        <v>25</v>
      </c>
      <c r="B14" s="16"/>
      <c r="C14" s="22">
        <v>0.50700000000000001</v>
      </c>
      <c r="D14" s="3" t="s">
        <v>95</v>
      </c>
    </row>
    <row r="15" spans="1:4" ht="21.6" customHeight="1" x14ac:dyDescent="0.3">
      <c r="A15" s="14" t="s">
        <v>26</v>
      </c>
      <c r="B15" s="16"/>
      <c r="C15" s="22">
        <v>0.5</v>
      </c>
      <c r="D15" s="3" t="s">
        <v>27</v>
      </c>
    </row>
    <row r="16" spans="1:4" ht="31.2" x14ac:dyDescent="0.3">
      <c r="A16" s="14" t="s">
        <v>28</v>
      </c>
      <c r="B16" s="16"/>
      <c r="C16" s="22">
        <v>0.63</v>
      </c>
      <c r="D16" s="3" t="s">
        <v>96</v>
      </c>
    </row>
    <row r="17" spans="1:4" ht="31.2" x14ac:dyDescent="0.3">
      <c r="A17" s="14" t="s">
        <v>29</v>
      </c>
      <c r="B17" s="16"/>
      <c r="C17" s="22">
        <v>0.6</v>
      </c>
      <c r="D17" s="3" t="s">
        <v>96</v>
      </c>
    </row>
    <row r="18" spans="1:4" ht="31.2" x14ac:dyDescent="0.3">
      <c r="A18" s="14" t="s">
        <v>30</v>
      </c>
      <c r="B18" s="16"/>
      <c r="C18" s="22">
        <v>0.4</v>
      </c>
      <c r="D18" s="3" t="s">
        <v>96</v>
      </c>
    </row>
    <row r="19" spans="1:4" x14ac:dyDescent="0.3">
      <c r="A19" s="14" t="s">
        <v>31</v>
      </c>
      <c r="B19" s="16"/>
      <c r="C19" s="22">
        <v>0.22</v>
      </c>
      <c r="D19" s="3" t="s">
        <v>32</v>
      </c>
    </row>
    <row r="20" spans="1:4" ht="16.2" customHeight="1" x14ac:dyDescent="0.3">
      <c r="A20" s="14" t="s">
        <v>33</v>
      </c>
      <c r="B20" s="16"/>
      <c r="C20" s="22">
        <v>0.03</v>
      </c>
      <c r="D20" s="3" t="s">
        <v>32</v>
      </c>
    </row>
    <row r="21" spans="1:4" x14ac:dyDescent="0.3">
      <c r="A21" s="14" t="s">
        <v>34</v>
      </c>
      <c r="B21" s="16"/>
      <c r="C21" s="22">
        <v>0.82</v>
      </c>
      <c r="D21" s="3" t="s">
        <v>27</v>
      </c>
    </row>
    <row r="22" spans="1:4" x14ac:dyDescent="0.3">
      <c r="A22" s="14" t="s">
        <v>35</v>
      </c>
      <c r="B22" s="16"/>
      <c r="C22" s="22">
        <v>0.75</v>
      </c>
      <c r="D22" s="3" t="s">
        <v>32</v>
      </c>
    </row>
    <row r="23" spans="1:4" x14ac:dyDescent="0.3">
      <c r="A23" s="14" t="s">
        <v>36</v>
      </c>
      <c r="B23" s="16"/>
      <c r="C23" s="22">
        <v>0.98</v>
      </c>
      <c r="D23" s="3" t="s">
        <v>97</v>
      </c>
    </row>
    <row r="24" spans="1:4" x14ac:dyDescent="0.3">
      <c r="A24" s="14" t="s">
        <v>58</v>
      </c>
      <c r="B24" s="16"/>
      <c r="C24" s="17">
        <v>44</v>
      </c>
      <c r="D24" s="3" t="s">
        <v>27</v>
      </c>
    </row>
    <row r="25" spans="1:4" x14ac:dyDescent="0.3">
      <c r="A25" s="14" t="s">
        <v>37</v>
      </c>
      <c r="B25" s="15"/>
      <c r="C25" s="23">
        <v>0.25600000000000001</v>
      </c>
      <c r="D25" s="3" t="s">
        <v>38</v>
      </c>
    </row>
    <row r="26" spans="1:4" ht="31.2" x14ac:dyDescent="0.3">
      <c r="A26" s="14" t="s">
        <v>59</v>
      </c>
      <c r="B26" s="18"/>
      <c r="C26" s="17">
        <v>2.75</v>
      </c>
      <c r="D26" s="3" t="s">
        <v>98</v>
      </c>
    </row>
    <row r="27" spans="1:4" ht="19.2" customHeight="1" x14ac:dyDescent="0.3">
      <c r="A27" s="14" t="s">
        <v>60</v>
      </c>
      <c r="B27" s="16"/>
      <c r="C27" s="17">
        <v>1.57</v>
      </c>
      <c r="D27" s="3" t="s">
        <v>39</v>
      </c>
    </row>
    <row r="28" spans="1:4" ht="19.2" customHeight="1" x14ac:dyDescent="0.3">
      <c r="A28" s="14" t="s">
        <v>74</v>
      </c>
      <c r="B28" s="16"/>
      <c r="C28" s="17">
        <v>4.4870000000000001</v>
      </c>
      <c r="D28" s="3" t="s">
        <v>99</v>
      </c>
    </row>
    <row r="29" spans="1:4" ht="33.6" customHeight="1" thickBot="1" x14ac:dyDescent="0.35">
      <c r="A29" s="19" t="s">
        <v>65</v>
      </c>
      <c r="B29" s="20"/>
      <c r="C29" s="21">
        <v>300000</v>
      </c>
      <c r="D29" s="4" t="s">
        <v>100</v>
      </c>
    </row>
    <row r="30" spans="1:4" ht="16.2" thickTop="1" x14ac:dyDescent="0.3"/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79D003-3702-4134-9597-7A9DB49E0F37}">
  <dimension ref="A1:V22"/>
  <sheetViews>
    <sheetView zoomScale="120" zoomScaleNormal="120" workbookViewId="0"/>
  </sheetViews>
  <sheetFormatPr defaultRowHeight="13.8" x14ac:dyDescent="0.25"/>
  <cols>
    <col min="1" max="2" width="15.5546875" customWidth="1"/>
    <col min="3" max="3" width="9.77734375" customWidth="1"/>
    <col min="4" max="4" width="13.88671875" customWidth="1"/>
    <col min="5" max="5" width="20.21875" customWidth="1"/>
    <col min="6" max="6" width="15.6640625" customWidth="1"/>
    <col min="7" max="7" width="13.44140625" customWidth="1"/>
    <col min="8" max="8" width="12.5546875" customWidth="1"/>
    <col min="9" max="9" width="10.33203125" customWidth="1"/>
    <col min="10" max="10" width="12.5546875" customWidth="1"/>
    <col min="11" max="11" width="14.44140625" bestFit="1" customWidth="1"/>
    <col min="12" max="12" width="16" customWidth="1"/>
    <col min="13" max="13" width="22.109375" customWidth="1"/>
    <col min="14" max="14" width="20.77734375" customWidth="1"/>
    <col min="15" max="15" width="13.5546875" customWidth="1"/>
    <col min="16" max="16" width="18.33203125" customWidth="1"/>
    <col min="17" max="17" width="12.33203125" customWidth="1"/>
    <col min="19" max="19" width="10.5546875" customWidth="1"/>
    <col min="21" max="21" width="17.33203125" customWidth="1"/>
  </cols>
  <sheetData>
    <row r="1" spans="1:22" s="24" customFormat="1" x14ac:dyDescent="0.25">
      <c r="A1" s="24" t="s">
        <v>45</v>
      </c>
      <c r="B1" s="24" t="s">
        <v>41</v>
      </c>
      <c r="C1" s="24" t="s">
        <v>44</v>
      </c>
      <c r="D1" s="24" t="s">
        <v>43</v>
      </c>
      <c r="E1" s="24" t="s">
        <v>46</v>
      </c>
      <c r="F1" s="24" t="s">
        <v>47</v>
      </c>
      <c r="G1" s="24" t="s">
        <v>42</v>
      </c>
      <c r="H1" s="24" t="s">
        <v>48</v>
      </c>
      <c r="I1" s="24" t="s">
        <v>50</v>
      </c>
      <c r="J1" s="24" t="s">
        <v>51</v>
      </c>
      <c r="K1" s="24" t="s">
        <v>52</v>
      </c>
      <c r="L1" s="24" t="s">
        <v>53</v>
      </c>
      <c r="M1" s="24" t="s">
        <v>54</v>
      </c>
      <c r="N1" s="24" t="s">
        <v>55</v>
      </c>
      <c r="O1" s="24" t="s">
        <v>56</v>
      </c>
      <c r="P1" s="24" t="s">
        <v>68</v>
      </c>
      <c r="Q1" s="24" t="s">
        <v>49</v>
      </c>
      <c r="R1" s="24" t="s">
        <v>57</v>
      </c>
      <c r="S1" s="24" t="s">
        <v>63</v>
      </c>
      <c r="T1" s="24" t="s">
        <v>64</v>
      </c>
      <c r="U1" s="24" t="s">
        <v>67</v>
      </c>
      <c r="V1" s="24" t="s">
        <v>66</v>
      </c>
    </row>
    <row r="2" spans="1:22" s="26" customFormat="1" x14ac:dyDescent="0.25">
      <c r="A2" s="26">
        <f>'Waste plastic data in 2019'!B11*Parameters!C3</f>
        <v>229.71690000000001</v>
      </c>
      <c r="B2" s="26">
        <f>'Waste plastic data in 2019'!B11*Parameters!C4</f>
        <v>194.96609999999998</v>
      </c>
      <c r="C2" s="26">
        <f>'Waste plastic data in 2019'!B9*Parameters!C8+Parameters!C11*'Waste plastic data in 2019'!B10</f>
        <v>206.74</v>
      </c>
      <c r="D2" s="26">
        <f>'Waste plastic data in 2019'!B11*Parameters!C5+'Waste plastic data in 2019'!B9*Parameters!C6+Parameters!C9*'Waste plastic data in 2019'!B10</f>
        <v>1604.2120000000002</v>
      </c>
      <c r="E2" s="26">
        <f>D2*Parameters!C12+'Base year analysis'!A2*(1-Parameters!C15)+'Waste plastic data in 2019'!B9*Parameters!C7+Parameters!C10*'Waste plastic data in 2019'!B10</f>
        <v>1624.0792939999999</v>
      </c>
      <c r="F2" s="26">
        <f>E2*Parameters!C16</f>
        <v>1023.1699552199999</v>
      </c>
      <c r="G2" s="26">
        <f>E2*(1-Parameters!C16)</f>
        <v>600.90933877999998</v>
      </c>
      <c r="H2" s="26">
        <f>D2*Parameters!C14+'Base year analysis'!G2*Parameters!C18</f>
        <v>1053.6992195120001</v>
      </c>
      <c r="I2" s="26">
        <f>H2*Parameters!C20</f>
        <v>31.610976585360003</v>
      </c>
      <c r="J2" s="26">
        <f>H2*Parameters!C19</f>
        <v>231.81382829264004</v>
      </c>
      <c r="K2" s="26">
        <f>J2*Parameters!C23</f>
        <v>227.17755172678724</v>
      </c>
      <c r="L2" s="26">
        <f>A2*Parameters!C15</f>
        <v>114.85845</v>
      </c>
      <c r="M2" s="26">
        <f>F2*Parameters!C21</f>
        <v>838.99936328039985</v>
      </c>
      <c r="N2" s="26">
        <f>K2+F2*(1-Parameters!C21)*Parameters!C23</f>
        <v>407.66473182759523</v>
      </c>
      <c r="O2" s="26">
        <f>H2*Parameters!C22*Parameters!C25</f>
        <v>202.31025014630404</v>
      </c>
      <c r="P2" s="26">
        <f>O2*Parameters!C24*10000000</f>
        <v>89016510064.373779</v>
      </c>
      <c r="Q2" s="26">
        <f>D2*Parameters!C13+'Base year analysis'!I2+'Base year analysis'!J2*(1-Parameters!C23)+'Base year analysis'!G2*Parameters!C17+'Base year analysis'!F2*(1-Parameters!C21)*(1-Parameters!C23)</f>
        <v>1131.9969402580048</v>
      </c>
      <c r="R2" s="26">
        <f>Q2+H2*Parameters!C22*(1-Parameters!C25)</f>
        <v>1719.9611047457008</v>
      </c>
      <c r="S2" s="26">
        <f>M2*Parameters!C27+'Base year analysis'!H2*Parameters!C22*Parameters!C26</f>
        <v>3490.4836405937276</v>
      </c>
      <c r="T2" s="26">
        <f>'Base year analysis'!M2*(Parameters!C28-Parameters!C27)</f>
        <v>2447.3611426889261</v>
      </c>
      <c r="U2" s="26">
        <f>H2*Parameters!C29</f>
        <v>316109765.85360003</v>
      </c>
      <c r="V2" s="26">
        <f>U2/1000000</f>
        <v>316.10976585360004</v>
      </c>
    </row>
    <row r="3" spans="1:22" s="25" customFormat="1" x14ac:dyDescent="0.25">
      <c r="A3" s="49" t="s">
        <v>70</v>
      </c>
      <c r="B3" s="49"/>
    </row>
    <row r="4" spans="1:22" s="26" customFormat="1" x14ac:dyDescent="0.25">
      <c r="C4" s="26">
        <f>'Waste plastic data in 2019'!B9*Parameters!C8</f>
        <v>52.82</v>
      </c>
      <c r="D4" s="26">
        <f>'Waste plastic data in 2019'!B9*Parameters!C6</f>
        <v>356.53500000000003</v>
      </c>
      <c r="E4" s="26">
        <f>D4*Parameters!C12+'Waste plastic data in 2019'!B9*Parameters!C7</f>
        <v>924.33679499999994</v>
      </c>
      <c r="F4" s="26">
        <f>E4*Parameters!C16</f>
        <v>582.33218084999999</v>
      </c>
      <c r="G4" s="26">
        <f>E4*(1-Parameters!C16)</f>
        <v>342.00461414999995</v>
      </c>
      <c r="H4" s="26">
        <f>D4*Parameters!C14+'Base year analysis'!G4*Parameters!C18</f>
        <v>317.56509066000001</v>
      </c>
      <c r="I4" s="26">
        <f>H4*Parameters!C20</f>
        <v>9.5269527198000006</v>
      </c>
      <c r="J4" s="26">
        <f>H4*Parameters!C19</f>
        <v>69.864319945200009</v>
      </c>
      <c r="K4" s="26">
        <f>J4*Parameters!C23</f>
        <v>68.467033546296008</v>
      </c>
      <c r="M4" s="26">
        <f>F4*Parameters!C21</f>
        <v>477.51238829699997</v>
      </c>
      <c r="N4" s="26">
        <f>F4*(1-Parameters!C21)*Parameters!C23+K4</f>
        <v>171.19043024823603</v>
      </c>
      <c r="O4" s="26">
        <f>H4*Parameters!C22*Parameters!C25</f>
        <v>60.972497406720002</v>
      </c>
      <c r="P4" s="26">
        <f>O4*Parameters!C24*10000000</f>
        <v>26827898858.956802</v>
      </c>
      <c r="Q4" s="26">
        <f>D4*Parameters!C13+'Base year analysis'!I4+'Base year analysis'!J4*(1-Parameters!C23)+'Base year analysis'!G4*Parameters!C17+'Base year analysis'!F4*(1-Parameters!C21)*(1-Parameters!C23)</f>
        <v>380.80336345976394</v>
      </c>
      <c r="R4" s="26">
        <f>Q4+H4*Parameters!C22*(1-Parameters!C25)</f>
        <v>558.00468404804394</v>
      </c>
      <c r="S4" s="26">
        <f>M4*Parameters!C27+Parameters!C26*Parameters!C22*'Base year analysis'!H4</f>
        <v>1404.6724491125401</v>
      </c>
      <c r="T4" s="26">
        <f>M4*(Parameters!C28-Parameters!C27)</f>
        <v>1392.9036366623488</v>
      </c>
      <c r="U4" s="26">
        <f>H4*Parameters!C29</f>
        <v>95269527.197999999</v>
      </c>
      <c r="V4" s="26">
        <f>U4/1000000</f>
        <v>95.269527198000006</v>
      </c>
    </row>
    <row r="5" spans="1:22" s="25" customFormat="1" x14ac:dyDescent="0.25">
      <c r="A5" s="49" t="s">
        <v>72</v>
      </c>
      <c r="B5" s="49"/>
    </row>
    <row r="6" spans="1:22" s="26" customFormat="1" x14ac:dyDescent="0.25">
      <c r="C6" s="26">
        <f>'Waste plastic data in 2019'!B10*Parameters!C11</f>
        <v>153.92000000000002</v>
      </c>
      <c r="D6" s="26">
        <f>'Waste plastic data in 2019'!B10*Parameters!C9</f>
        <v>1231.3600000000001</v>
      </c>
      <c r="E6" s="26">
        <f>D6*Parameters!C12+'Waste plastic data in 2019'!B10*Parameters!C10</f>
        <v>584.28032000000007</v>
      </c>
      <c r="F6" s="26">
        <f>E6*Parameters!C16</f>
        <v>368.09660160000004</v>
      </c>
      <c r="G6" s="26">
        <f>E6*(1-Parameters!C16)</f>
        <v>216.18371840000003</v>
      </c>
      <c r="H6" s="26">
        <f>D6*Parameters!C14+Parameters!C18*'Base year analysis'!G6</f>
        <v>710.77300736000007</v>
      </c>
      <c r="I6" s="26">
        <f>H6*Parameters!C20</f>
        <v>21.323190220800001</v>
      </c>
      <c r="J6" s="26">
        <f>H6*Parameters!C19</f>
        <v>156.37006161920002</v>
      </c>
      <c r="K6" s="26">
        <f>J6*Parameters!C23</f>
        <v>153.242660386816</v>
      </c>
      <c r="M6" s="26">
        <f>F6*Parameters!C21</f>
        <v>301.83921331200003</v>
      </c>
      <c r="N6" s="26">
        <f>F6*(1-Parameters!C21)*Parameters!C23+'Base year analysis'!K6</f>
        <v>218.17490090905602</v>
      </c>
      <c r="O6" s="26">
        <f>H6*Parameters!C25*Parameters!C22</f>
        <v>136.46841741311999</v>
      </c>
      <c r="P6" s="26">
        <f>O6*Parameters!C24*10000000</f>
        <v>60046103661.772797</v>
      </c>
      <c r="Q6" s="26">
        <f>D6*Parameters!C13+'Base year analysis'!I6+'Base year analysis'!J6*(1-Parameters!C23)+'Base year analysis'!G6*Parameters!C17+'Base year analysis'!F6*(1-Parameters!C21)*(1-Parameters!C23)</f>
        <v>716.98613025894417</v>
      </c>
      <c r="R6" s="26">
        <f>Q6+H6*Parameters!C22*(1-Parameters!C25)</f>
        <v>1113.5974683658242</v>
      </c>
      <c r="S6" s="26">
        <f>M6*Parameters!C27+Parameters!C26*Parameters!C22*'Base year analysis'!H6</f>
        <v>1939.8568925798402</v>
      </c>
      <c r="T6" s="26">
        <f>M6*(Parameters!C28-Parameters!C27)</f>
        <v>880.46498523110404</v>
      </c>
      <c r="U6" s="26">
        <f>H6*Parameters!C29</f>
        <v>213231902.20800003</v>
      </c>
      <c r="V6" s="26">
        <f>U6/1000000</f>
        <v>213.23190220800004</v>
      </c>
    </row>
    <row r="7" spans="1:22" s="25" customFormat="1" x14ac:dyDescent="0.25">
      <c r="A7" s="49" t="s">
        <v>73</v>
      </c>
      <c r="B7" s="49"/>
    </row>
    <row r="8" spans="1:22" s="26" customFormat="1" x14ac:dyDescent="0.25">
      <c r="A8" s="26">
        <f>'Waste plastic data in 2019'!B11*Parameters!C3</f>
        <v>229.71690000000001</v>
      </c>
      <c r="B8" s="26">
        <f>'Waste plastic data in 2019'!B11*Parameters!C4</f>
        <v>194.96609999999998</v>
      </c>
      <c r="D8" s="26">
        <f>'Waste plastic data in 2019'!B11*Parameters!C5</f>
        <v>16.317</v>
      </c>
      <c r="E8" s="26">
        <f>A8*(1-Parameters!C15)+D8*Parameters!C12</f>
        <v>115.46217900000001</v>
      </c>
      <c r="F8" s="26">
        <f>E8*Parameters!C16</f>
        <v>72.741172770000006</v>
      </c>
      <c r="G8" s="26">
        <f>E8*(1-Parameters!C16)</f>
        <v>42.72100623</v>
      </c>
      <c r="H8" s="26">
        <f>D8*Parameters!C14+Parameters!C18*'Base year analysis'!G8</f>
        <v>25.361121492000002</v>
      </c>
      <c r="I8" s="26">
        <f>H8*Parameters!C20</f>
        <v>0.76083364476000004</v>
      </c>
      <c r="J8" s="26">
        <f>H8*Parameters!C19</f>
        <v>5.5794467282400007</v>
      </c>
      <c r="K8" s="26">
        <f>J8*Parameters!C23</f>
        <v>5.4678577936752006</v>
      </c>
      <c r="L8" s="26">
        <f>A8*Parameters!C15</f>
        <v>114.85845</v>
      </c>
      <c r="M8" s="26">
        <f>F8*Parameters!C21</f>
        <v>59.647761671399998</v>
      </c>
      <c r="N8" s="26">
        <f>F8*(1-Parameters!C21)*Parameters!C23+'Base year analysis'!K8</f>
        <v>18.299400670303207</v>
      </c>
      <c r="O8" s="26">
        <f>H8*Parameters!C22*Parameters!C25</f>
        <v>4.8693353264640011</v>
      </c>
      <c r="P8" s="26">
        <f>O8*Parameters!C24*10000000</f>
        <v>2142507543.6441605</v>
      </c>
      <c r="Q8" s="26">
        <f>D8*Parameters!C13+'Base year analysis'!I8+'Base year analysis'!J8*(1-Parameters!C23)+'Base year analysis'!G8*Parameters!C17+'Base year analysis'!F8*(1-Parameters!C21)*(1-Parameters!C23)</f>
        <v>34.207446539296804</v>
      </c>
      <c r="R8" s="26">
        <f>Q8+'Base year analysis'!H8*Parameters!C22*(1-Parameters!C25)</f>
        <v>48.358952331832811</v>
      </c>
      <c r="S8" s="26">
        <f>M8*Parameters!C27+Parameters!C26*Parameters!C22*'Base year analysis'!H8</f>
        <v>145.95429890134801</v>
      </c>
      <c r="T8" s="26">
        <f>M8*(Parameters!C28-Parameters!C27)</f>
        <v>173.99252079547378</v>
      </c>
      <c r="U8" s="26">
        <f>H8*Parameters!C29</f>
        <v>7608336.4476000005</v>
      </c>
      <c r="V8" s="26">
        <f>U8/1000000</f>
        <v>7.6083364476000002</v>
      </c>
    </row>
    <row r="11" spans="1:22" x14ac:dyDescent="0.25">
      <c r="D11" s="26"/>
    </row>
    <row r="12" spans="1:22" x14ac:dyDescent="0.25">
      <c r="D12" s="26"/>
    </row>
    <row r="13" spans="1:22" x14ac:dyDescent="0.25">
      <c r="F13" s="27"/>
      <c r="G13" s="27"/>
      <c r="H13" s="27"/>
      <c r="I13" s="27"/>
      <c r="J13" s="27"/>
      <c r="K13" s="27"/>
      <c r="L13" s="27"/>
      <c r="M13" s="27"/>
      <c r="N13" s="27"/>
      <c r="O13" s="27"/>
    </row>
    <row r="14" spans="1:22" s="26" customFormat="1" x14ac:dyDescent="0.25"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</row>
    <row r="15" spans="1:22" x14ac:dyDescent="0.25"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</row>
    <row r="16" spans="1:22" x14ac:dyDescent="0.25">
      <c r="E16" s="27"/>
      <c r="F16" s="27"/>
      <c r="G16" s="27"/>
      <c r="H16" s="27"/>
      <c r="I16" s="27"/>
      <c r="J16" s="27"/>
      <c r="K16" s="27"/>
      <c r="L16" s="27"/>
      <c r="M16" s="27"/>
      <c r="N16" s="27"/>
    </row>
    <row r="17" spans="6:14" x14ac:dyDescent="0.25">
      <c r="F17" s="27"/>
      <c r="I17" s="27"/>
      <c r="J17" s="27"/>
      <c r="K17" s="27"/>
      <c r="L17" s="27"/>
      <c r="M17" s="27"/>
      <c r="N17" s="27"/>
    </row>
    <row r="18" spans="6:14" x14ac:dyDescent="0.25">
      <c r="F18" s="27"/>
      <c r="I18" s="27"/>
      <c r="J18" s="27"/>
      <c r="K18" s="27"/>
      <c r="L18" s="27"/>
      <c r="M18" s="27"/>
      <c r="N18" s="27"/>
    </row>
    <row r="19" spans="6:14" x14ac:dyDescent="0.25">
      <c r="I19" s="27"/>
      <c r="J19" s="27"/>
      <c r="K19" s="27"/>
      <c r="L19" s="27"/>
      <c r="M19" s="27"/>
      <c r="N19" s="27"/>
    </row>
    <row r="20" spans="6:14" x14ac:dyDescent="0.25">
      <c r="I20" s="27"/>
      <c r="J20" s="27"/>
      <c r="K20" s="27"/>
      <c r="L20" s="27"/>
      <c r="M20" s="27"/>
      <c r="N20" s="27"/>
    </row>
    <row r="21" spans="6:14" x14ac:dyDescent="0.25">
      <c r="I21" s="27"/>
      <c r="J21" s="27"/>
      <c r="K21" s="27"/>
      <c r="L21" s="27"/>
      <c r="M21" s="27"/>
      <c r="N21" s="27"/>
    </row>
    <row r="22" spans="6:14" x14ac:dyDescent="0.25">
      <c r="I22" s="27"/>
      <c r="J22" s="27"/>
      <c r="K22" s="27"/>
      <c r="L22" s="27"/>
      <c r="M22" s="27"/>
      <c r="N22" s="27"/>
    </row>
  </sheetData>
  <mergeCells count="3">
    <mergeCell ref="A3:B3"/>
    <mergeCell ref="A5:B5"/>
    <mergeCell ref="A7:B7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543B27-A71E-4E5F-9B6E-CA13165999DD}">
  <dimension ref="A1:Z360"/>
  <sheetViews>
    <sheetView topLeftCell="A70" zoomScale="120" zoomScaleNormal="120" workbookViewId="0">
      <selection activeCell="C83" sqref="C83"/>
    </sheetView>
  </sheetViews>
  <sheetFormatPr defaultRowHeight="13.8" x14ac:dyDescent="0.25"/>
  <cols>
    <col min="2" max="2" width="9.77734375" bestFit="1" customWidth="1"/>
    <col min="3" max="4" width="15.5546875" customWidth="1"/>
    <col min="5" max="5" width="9.77734375" customWidth="1"/>
    <col min="6" max="6" width="13.88671875" customWidth="1"/>
    <col min="7" max="7" width="20.21875" customWidth="1"/>
    <col min="8" max="8" width="15.6640625" customWidth="1"/>
    <col min="9" max="9" width="13.44140625" customWidth="1"/>
    <col min="10" max="10" width="12.5546875" customWidth="1"/>
    <col min="11" max="11" width="10.33203125" customWidth="1"/>
    <col min="12" max="12" width="12.5546875" customWidth="1"/>
    <col min="13" max="13" width="14.44140625" bestFit="1" customWidth="1"/>
    <col min="14" max="14" width="16" customWidth="1"/>
    <col min="15" max="15" width="22.109375" customWidth="1"/>
    <col min="16" max="16" width="20.77734375" customWidth="1"/>
    <col min="17" max="17" width="13.5546875" customWidth="1"/>
    <col min="18" max="18" width="25.33203125" customWidth="1"/>
    <col min="19" max="19" width="12.33203125" customWidth="1"/>
    <col min="20" max="20" width="11.33203125" customWidth="1"/>
    <col min="21" max="21" width="10.5546875" customWidth="1"/>
    <col min="23" max="23" width="17.33203125" customWidth="1"/>
  </cols>
  <sheetData>
    <row r="1" spans="1:24" s="24" customFormat="1" x14ac:dyDescent="0.25">
      <c r="A1" s="25"/>
      <c r="B1" s="25"/>
      <c r="C1" s="24" t="s">
        <v>45</v>
      </c>
      <c r="D1" s="24" t="s">
        <v>41</v>
      </c>
      <c r="E1" s="24" t="s">
        <v>44</v>
      </c>
      <c r="F1" s="24" t="s">
        <v>43</v>
      </c>
      <c r="G1" s="24" t="s">
        <v>46</v>
      </c>
      <c r="H1" s="24" t="s">
        <v>47</v>
      </c>
      <c r="I1" s="24" t="s">
        <v>42</v>
      </c>
      <c r="J1" s="24" t="s">
        <v>48</v>
      </c>
      <c r="K1" s="24" t="s">
        <v>50</v>
      </c>
      <c r="L1" s="24" t="s">
        <v>51</v>
      </c>
      <c r="M1" s="24" t="s">
        <v>52</v>
      </c>
      <c r="N1" s="24" t="s">
        <v>53</v>
      </c>
      <c r="O1" s="24" t="s">
        <v>54</v>
      </c>
      <c r="P1" s="24" t="s">
        <v>55</v>
      </c>
      <c r="Q1" s="24" t="s">
        <v>56</v>
      </c>
      <c r="R1" s="24" t="s">
        <v>68</v>
      </c>
      <c r="S1" s="24" t="s">
        <v>49</v>
      </c>
      <c r="T1" s="24" t="s">
        <v>57</v>
      </c>
      <c r="U1" s="24" t="s">
        <v>63</v>
      </c>
      <c r="V1" s="24" t="s">
        <v>64</v>
      </c>
      <c r="W1" s="24" t="s">
        <v>67</v>
      </c>
      <c r="X1" s="24" t="s">
        <v>66</v>
      </c>
    </row>
    <row r="2" spans="1:24" x14ac:dyDescent="0.25">
      <c r="A2">
        <v>0.52090000000000003</v>
      </c>
      <c r="B2">
        <v>3.6999999999999998E-2</v>
      </c>
      <c r="C2">
        <f>'Waste plastic data in 2019'!$B$11*A2</f>
        <v>229.71690000000001</v>
      </c>
      <c r="D2">
        <f>'Waste plastic data in 2019'!$B$11*Parameters!$C$4</f>
        <v>194.96609999999998</v>
      </c>
      <c r="E2">
        <f>'Waste plastic data in 2019'!$B$9*Parameters!$C$8+Parameters!$C$11*'Waste plastic data in 2019'!$B$10</f>
        <v>206.74</v>
      </c>
      <c r="F2">
        <f>'Waste plastic data in 2019'!$B$11*B2+'Waste plastic data in 2019'!$B$9*Parameters!$C$6+Parameters!$C$9*'Waste plastic data in 2019'!$B$10</f>
        <v>1604.2120000000002</v>
      </c>
      <c r="G2">
        <f>F2*Parameters!$C$12+'Sensitivty analysis-'!C2*(1-Parameters!$C$15)+'Waste plastic data in 2019'!$B$9*Parameters!$C$7+Parameters!$C$10*'Waste plastic data in 2019'!$B$10</f>
        <v>1624.0792939999999</v>
      </c>
      <c r="H2">
        <f>G2*Parameters!$C$16</f>
        <v>1023.1699552199999</v>
      </c>
      <c r="I2">
        <f>G2*(1-Parameters!$C$16)</f>
        <v>600.90933877999998</v>
      </c>
      <c r="J2">
        <f>F2*Parameters!$C$14+'Sensitivty analysis-'!I2*Parameters!$C$18</f>
        <v>1053.6992195120001</v>
      </c>
      <c r="K2">
        <f>J2*Parameters!$C$20</f>
        <v>31.610976585360003</v>
      </c>
      <c r="L2">
        <f>J2*Parameters!$C$19</f>
        <v>231.81382829264004</v>
      </c>
      <c r="M2">
        <f>L2*Parameters!$C$23</f>
        <v>227.17755172678724</v>
      </c>
      <c r="N2">
        <f>C2*Parameters!$C$15</f>
        <v>114.85845</v>
      </c>
      <c r="O2">
        <f>H2*Parameters!$C$21</f>
        <v>838.99936328039985</v>
      </c>
      <c r="P2">
        <f>M2+H2*(1-Parameters!$C$21)*Parameters!$C$23</f>
        <v>407.66473182759523</v>
      </c>
      <c r="Q2">
        <f>J2*Parameters!$C$22*Parameters!$C$25</f>
        <v>202.31025014630404</v>
      </c>
      <c r="R2">
        <f>Q2*Parameters!$C$24*10000000</f>
        <v>89016510064.373779</v>
      </c>
      <c r="S2">
        <f>F2*Parameters!$C$13+'Sensitivty analysis-'!K2+'Sensitivty analysis-'!L2*(1-Parameters!$C$23)+'Sensitivty analysis-'!I2*Parameters!$C$17+'Sensitivty analysis-'!H2*(1-Parameters!$C$21)*(1-Parameters!$C$23)</f>
        <v>1131.9969402580048</v>
      </c>
      <c r="T2">
        <f>S2+J2*Parameters!$C$22*(1-Parameters!$C$25)</f>
        <v>1719.9611047457008</v>
      </c>
      <c r="U2">
        <f>O2*Parameters!$C$27+'Sensitivty analysis-'!J2*Parameters!$C$22*Parameters!$C$26</f>
        <v>3490.4836405937276</v>
      </c>
      <c r="V2">
        <f>'Sensitivty analysis-'!O2*(Parameters!$C$28-Parameters!$C$27)</f>
        <v>2447.3611426889261</v>
      </c>
      <c r="W2">
        <f>J2*Parameters!$C$29</f>
        <v>316109765.85360003</v>
      </c>
      <c r="X2">
        <f>W2/1000000</f>
        <v>316.10976585360004</v>
      </c>
    </row>
    <row r="3" spans="1:24" x14ac:dyDescent="0.25">
      <c r="A3">
        <f>A2+0.005</f>
        <v>0.52590000000000003</v>
      </c>
      <c r="B3">
        <f>B2-0.005</f>
        <v>3.2000000000000001E-2</v>
      </c>
      <c r="C3">
        <f>'Waste plastic data in 2019'!$B$11*A3</f>
        <v>231.92190000000002</v>
      </c>
      <c r="D3">
        <f>'Waste plastic data in 2019'!$B$11*Parameters!C5</f>
        <v>16.317</v>
      </c>
      <c r="E3">
        <f>'Waste plastic data in 2019'!$B$9*Parameters!$C$8+Parameters!$C$11*'Waste plastic data in 2019'!$B$10</f>
        <v>206.74</v>
      </c>
      <c r="F3">
        <f>'Waste plastic data in 2019'!$B$11*B3+'Waste plastic data in 2019'!$B$9*Parameters!$C$6+Parameters!$C$9*'Waste plastic data in 2019'!$B$10</f>
        <v>1602.0070000000001</v>
      </c>
      <c r="G3">
        <f>F3*Parameters!$C$12+'Sensitivty analysis-'!C3*(1-Parameters!$C$15)+'Waste plastic data in 2019'!$B$9*Parameters!$C$7+Parameters!$C$10*'Waste plastic data in 2019'!$B$10</f>
        <v>1625.1002089999999</v>
      </c>
      <c r="H3">
        <f>G3*Parameters!$C$16</f>
        <v>1023.81313167</v>
      </c>
      <c r="I3">
        <f>G3*(1-Parameters!$C$16)</f>
        <v>601.28707732999999</v>
      </c>
      <c r="J3">
        <f>F3*Parameters!$C$14+'Sensitivty analysis-'!I3*Parameters!$C$18</f>
        <v>1052.7323799320002</v>
      </c>
      <c r="K3">
        <f>J3*Parameters!$C$20</f>
        <v>31.581971397960004</v>
      </c>
      <c r="L3">
        <f>J3*Parameters!$C$19</f>
        <v>231.60112358504003</v>
      </c>
      <c r="M3">
        <f>L3*Parameters!$C$23</f>
        <v>226.96910111333924</v>
      </c>
      <c r="N3">
        <f>C3*Parameters!$C$15</f>
        <v>115.96095000000001</v>
      </c>
      <c r="O3">
        <f>H3*Parameters!$C$21</f>
        <v>839.52676796939988</v>
      </c>
      <c r="P3">
        <f>M3+H3*(1-Parameters!$C$21)*Parameters!$C$23</f>
        <v>407.56973753992725</v>
      </c>
      <c r="Q3">
        <f>J3*Parameters!$C$22*Parameters!$C$25</f>
        <v>202.12461694694403</v>
      </c>
      <c r="R3">
        <f>Q3*Parameters!$C$24*10000000</f>
        <v>88934831456.65538</v>
      </c>
      <c r="S3">
        <f>F3*Parameters!$C$13+'Sensitivty analysis-'!K3+'Sensitivty analysis-'!L3*(1-Parameters!$C$23)+'Sensitivty analysis-'!I3*Parameters!$C$17+'Sensitivty analysis-'!H3*(1-Parameters!$C$21)*(1-Parameters!$C$23)</f>
        <v>1131.1871595416728</v>
      </c>
      <c r="T3">
        <f>S3+J3*Parameters!$C$22*(1-Parameters!$C$25)</f>
        <v>1718.6118275437289</v>
      </c>
      <c r="U3">
        <f>O3*Parameters!$C$27+'Sensitivty analysis-'!J3*Parameters!$C$22*Parameters!$C$26</f>
        <v>3489.3175593217084</v>
      </c>
      <c r="V3">
        <f>'Sensitivty analysis-'!O3*(Parameters!$C$28-Parameters!$C$27)</f>
        <v>2448.8995821667395</v>
      </c>
      <c r="W3">
        <f>J3*Parameters!$C$29</f>
        <v>315819713.97960007</v>
      </c>
      <c r="X3">
        <f t="shared" ref="X3:X7" si="0">W3/1000000</f>
        <v>315.81971397960007</v>
      </c>
    </row>
    <row r="4" spans="1:24" x14ac:dyDescent="0.25">
      <c r="A4">
        <f>A3+0.005</f>
        <v>0.53090000000000004</v>
      </c>
      <c r="B4">
        <f>B3-0.005</f>
        <v>2.7E-2</v>
      </c>
      <c r="C4">
        <f>'Waste plastic data in 2019'!$B$11*A4</f>
        <v>234.12690000000001</v>
      </c>
      <c r="D4">
        <f>'Waste plastic data in 2019'!$B$11*Parameters!C6</f>
        <v>119.07000000000001</v>
      </c>
      <c r="E4">
        <f>'Waste plastic data in 2019'!$B$9*Parameters!$C$8+Parameters!$C$11*'Waste plastic data in 2019'!$B$10</f>
        <v>206.74</v>
      </c>
      <c r="F4">
        <f>'Waste plastic data in 2019'!$B$11*B4+'Waste plastic data in 2019'!$B$9*Parameters!$C$6+Parameters!$C$9*'Waste plastic data in 2019'!$B$10</f>
        <v>1599.8020000000001</v>
      </c>
      <c r="G4">
        <f>F4*Parameters!$C$12+'Sensitivty analysis-'!C4*(1-Parameters!$C$15)+'Waste plastic data in 2019'!$B$9*Parameters!$C$7+Parameters!$C$10*'Waste plastic data in 2019'!$B$10</f>
        <v>1626.121124</v>
      </c>
      <c r="H4">
        <f>G4*Parameters!$C$16</f>
        <v>1024.4563081199999</v>
      </c>
      <c r="I4">
        <f>G4*(1-Parameters!$C$16)</f>
        <v>601.66481587999999</v>
      </c>
      <c r="J4">
        <f>F4*Parameters!$C$14+'Sensitivty analysis-'!I4*Parameters!$C$18</f>
        <v>1051.765540352</v>
      </c>
      <c r="K4">
        <f>J4*Parameters!$C$20</f>
        <v>31.552966210560001</v>
      </c>
      <c r="L4">
        <f>J4*Parameters!$C$19</f>
        <v>231.38841887744002</v>
      </c>
      <c r="M4">
        <f>L4*Parameters!$C$23</f>
        <v>226.7606504998912</v>
      </c>
      <c r="N4">
        <f>C4*Parameters!$C$15</f>
        <v>117.06345</v>
      </c>
      <c r="O4">
        <f>H4*Parameters!$C$21</f>
        <v>840.05417265839992</v>
      </c>
      <c r="P4">
        <f>M4+H4*(1-Parameters!$C$21)*Parameters!$C$23</f>
        <v>407.47474325225926</v>
      </c>
      <c r="Q4">
        <f>J4*Parameters!$C$22*Parameters!$C$25</f>
        <v>201.93898374758399</v>
      </c>
      <c r="R4">
        <f>Q4*Parameters!$C$24*10000000</f>
        <v>88853152848.936951</v>
      </c>
      <c r="S4">
        <f>F4*Parameters!$C$13+'Sensitivty analysis-'!K4+'Sensitivty analysis-'!L4*(1-Parameters!$C$23)+'Sensitivty analysis-'!I4*Parameters!$C$17+'Sensitivty analysis-'!H4*(1-Parameters!$C$21)*(1-Parameters!$C$23)</f>
        <v>1130.3773788253409</v>
      </c>
      <c r="T4">
        <f>S4+J4*Parameters!$C$22*(1-Parameters!$C$25)</f>
        <v>1717.2625503417569</v>
      </c>
      <c r="U4">
        <f>O4*Parameters!$C$27+'Sensitivty analysis-'!J4*Parameters!$C$22*Parameters!$C$26</f>
        <v>3488.1514780496877</v>
      </c>
      <c r="V4">
        <f>'Sensitivty analysis-'!O4*(Parameters!$C$28-Parameters!$C$27)</f>
        <v>2450.4380216445525</v>
      </c>
      <c r="W4">
        <f>J4*Parameters!$C$29</f>
        <v>315529662.1056</v>
      </c>
      <c r="X4">
        <f t="shared" si="0"/>
        <v>315.52966210559998</v>
      </c>
    </row>
    <row r="5" spans="1:24" x14ac:dyDescent="0.25">
      <c r="A5">
        <f>A4+0.005</f>
        <v>0.53590000000000004</v>
      </c>
      <c r="B5">
        <f>B4-0.005</f>
        <v>2.1999999999999999E-2</v>
      </c>
      <c r="C5">
        <f>'Waste plastic data in 2019'!$B$11*A5</f>
        <v>236.33190000000002</v>
      </c>
      <c r="D5">
        <f>'Waste plastic data in 2019'!$B$11*Parameters!C7</f>
        <v>304.28999999999996</v>
      </c>
      <c r="E5">
        <f>'Waste plastic data in 2019'!$B$9*Parameters!$C$8+Parameters!$C$11*'Waste plastic data in 2019'!$B$10</f>
        <v>206.74</v>
      </c>
      <c r="F5">
        <f>'Waste plastic data in 2019'!$B$11*B5+'Waste plastic data in 2019'!$B$9*Parameters!$C$6+Parameters!$C$9*'Waste plastic data in 2019'!$B$10</f>
        <v>1597.5970000000002</v>
      </c>
      <c r="G5">
        <f>F5*Parameters!$C$12+'Sensitivty analysis-'!C5*(1-Parameters!$C$15)+'Waste plastic data in 2019'!$B$9*Parameters!$C$7+Parameters!$C$10*'Waste plastic data in 2019'!$B$10</f>
        <v>1627.1420390000001</v>
      </c>
      <c r="H5">
        <f>G5*Parameters!$C$16</f>
        <v>1025.09948457</v>
      </c>
      <c r="I5">
        <f>G5*(1-Parameters!$C$16)</f>
        <v>602.04255443</v>
      </c>
      <c r="J5">
        <f>F5*Parameters!$C$14+'Sensitivty analysis-'!I5*Parameters!$C$18</f>
        <v>1050.7987007720001</v>
      </c>
      <c r="K5">
        <f>J5*Parameters!$C$20</f>
        <v>31.523961023160002</v>
      </c>
      <c r="L5">
        <f>J5*Parameters!$C$19</f>
        <v>231.17571416984001</v>
      </c>
      <c r="M5">
        <f>L5*Parameters!$C$23</f>
        <v>226.55219988644319</v>
      </c>
      <c r="N5">
        <f>C5*Parameters!$C$15</f>
        <v>118.16595000000001</v>
      </c>
      <c r="O5">
        <f>H5*Parameters!$C$21</f>
        <v>840.58157734739996</v>
      </c>
      <c r="P5">
        <f>M5+H5*(1-Parameters!$C$21)*Parameters!$C$23</f>
        <v>407.37974896459122</v>
      </c>
      <c r="Q5">
        <f>J5*Parameters!$C$22*Parameters!$C$25</f>
        <v>201.75335054822401</v>
      </c>
      <c r="R5">
        <f>Q5*Parameters!$C$24*10000000</f>
        <v>88771474241.218567</v>
      </c>
      <c r="S5">
        <f>F5*Parameters!$C$13+'Sensitivty analysis-'!K5+'Sensitivty analysis-'!L5*(1-Parameters!$C$23)+'Sensitivty analysis-'!I5*Parameters!$C$17+'Sensitivty analysis-'!H5*(1-Parameters!$C$21)*(1-Parameters!$C$23)</f>
        <v>1129.5675981090089</v>
      </c>
      <c r="T5">
        <f>S5+J5*Parameters!$C$22*(1-Parameters!$C$25)</f>
        <v>1715.9132731397849</v>
      </c>
      <c r="U5">
        <f>O5*Parameters!$C$27+'Sensitivty analysis-'!J5*Parameters!$C$22*Parameters!$C$26</f>
        <v>3486.985396777668</v>
      </c>
      <c r="V5">
        <f>'Sensitivty analysis-'!O5*(Parameters!$C$28-Parameters!$C$27)</f>
        <v>2451.9764611223654</v>
      </c>
      <c r="W5">
        <f>J5*Parameters!$C$29</f>
        <v>315239610.23160005</v>
      </c>
      <c r="X5">
        <f t="shared" si="0"/>
        <v>315.23961023160007</v>
      </c>
    </row>
    <row r="6" spans="1:24" x14ac:dyDescent="0.25">
      <c r="A6">
        <f>A5+0.005</f>
        <v>0.54090000000000005</v>
      </c>
      <c r="B6">
        <f>B5-0.005</f>
        <v>1.6999999999999998E-2</v>
      </c>
      <c r="C6">
        <f>'Waste plastic data in 2019'!$B$11*A6</f>
        <v>238.53690000000003</v>
      </c>
      <c r="D6">
        <f>'Waste plastic data in 2019'!$B$11*Parameters!C8</f>
        <v>17.64</v>
      </c>
      <c r="E6">
        <f>'Waste plastic data in 2019'!$B$9*Parameters!$C$8+Parameters!$C$11*'Waste plastic data in 2019'!$B$10</f>
        <v>206.74</v>
      </c>
      <c r="F6">
        <f>'Waste plastic data in 2019'!$B$11*B6+'Waste plastic data in 2019'!$B$9*Parameters!$C$6+Parameters!$C$9*'Waste plastic data in 2019'!$B$10</f>
        <v>1595.3920000000003</v>
      </c>
      <c r="G6">
        <f>F6*Parameters!$C$12+'Sensitivty analysis-'!C6*(1-Parameters!$C$15)+'Waste plastic data in 2019'!$B$9*Parameters!$C$7+Parameters!$C$10*'Waste plastic data in 2019'!$B$10</f>
        <v>1628.1629540000001</v>
      </c>
      <c r="H6">
        <f>G6*Parameters!$C$16</f>
        <v>1025.74266102</v>
      </c>
      <c r="I6">
        <f>G6*(1-Parameters!$C$16)</f>
        <v>602.42029298</v>
      </c>
      <c r="J6">
        <f>F6*Parameters!$C$14+'Sensitivty analysis-'!I6*Parameters!$C$18</f>
        <v>1049.8318611920001</v>
      </c>
      <c r="K6">
        <f>J6*Parameters!$C$20</f>
        <v>31.494955835760003</v>
      </c>
      <c r="L6">
        <f>J6*Parameters!$C$19</f>
        <v>230.96300946224002</v>
      </c>
      <c r="M6">
        <f>L6*Parameters!$C$23</f>
        <v>226.34374927299521</v>
      </c>
      <c r="N6">
        <f>C6*Parameters!$C$15</f>
        <v>119.26845000000002</v>
      </c>
      <c r="O6">
        <f>H6*Parameters!$C$21</f>
        <v>841.10898203639999</v>
      </c>
      <c r="P6">
        <f>M6+H6*(1-Parameters!$C$21)*Parameters!$C$23</f>
        <v>407.28475467692328</v>
      </c>
      <c r="Q6">
        <f>J6*Parameters!$C$22*Parameters!$C$25</f>
        <v>201.56771734886402</v>
      </c>
      <c r="R6">
        <f>Q6*Parameters!$C$24*10000000</f>
        <v>88689795633.500168</v>
      </c>
      <c r="S6">
        <f>F6*Parameters!$C$13+'Sensitivty analysis-'!K6+'Sensitivty analysis-'!L6*(1-Parameters!$C$23)+'Sensitivty analysis-'!I6*Parameters!$C$17+'Sensitivty analysis-'!H6*(1-Parameters!$C$21)*(1-Parameters!$C$23)</f>
        <v>1128.7578173926768</v>
      </c>
      <c r="T6">
        <f>S6+J6*Parameters!$C$22*(1-Parameters!$C$25)</f>
        <v>1714.5639959378127</v>
      </c>
      <c r="U6">
        <f>O6*Parameters!$C$27+'Sensitivty analysis-'!J6*Parameters!$C$22*Parameters!$C$26</f>
        <v>3485.8193155056479</v>
      </c>
      <c r="V6">
        <f>'Sensitivty analysis-'!O6*(Parameters!$C$28-Parameters!$C$27)</f>
        <v>2453.5149006001784</v>
      </c>
      <c r="W6">
        <f>J6*Parameters!$C$29</f>
        <v>314949558.35760003</v>
      </c>
      <c r="X6">
        <f t="shared" si="0"/>
        <v>314.94955835760004</v>
      </c>
    </row>
    <row r="7" spans="1:24" x14ac:dyDescent="0.25">
      <c r="A7">
        <f>A6+0.005</f>
        <v>0.54590000000000005</v>
      </c>
      <c r="B7">
        <f>B6-0.005</f>
        <v>1.1999999999999997E-2</v>
      </c>
      <c r="C7">
        <f>'Waste plastic data in 2019'!$B$11*A7</f>
        <v>240.74190000000002</v>
      </c>
      <c r="D7">
        <f>'Waste plastic data in 2019'!$B$11*Parameters!C9</f>
        <v>282.24</v>
      </c>
      <c r="E7">
        <f>'Waste plastic data in 2019'!$B$9*Parameters!$C$8+Parameters!$C$11*'Waste plastic data in 2019'!$B$10</f>
        <v>206.74</v>
      </c>
      <c r="F7">
        <f>'Waste plastic data in 2019'!$B$11*B7+'Waste plastic data in 2019'!$B$9*Parameters!$C$6+Parameters!$C$9*'Waste plastic data in 2019'!$B$10</f>
        <v>1593.1870000000001</v>
      </c>
      <c r="G7">
        <f>F7*Parameters!$C$12+'Sensitivty analysis-'!C7*(1-Parameters!$C$15)+'Waste plastic data in 2019'!$B$9*Parameters!$C$7+Parameters!$C$10*'Waste plastic data in 2019'!$B$10</f>
        <v>1629.183869</v>
      </c>
      <c r="H7">
        <f>G7*Parameters!$C$16</f>
        <v>1026.3858374700001</v>
      </c>
      <c r="I7">
        <f>G7*(1-Parameters!$C$16)</f>
        <v>602.79803153</v>
      </c>
      <c r="J7">
        <f>F7*Parameters!$C$14+'Sensitivty analysis-'!I7*Parameters!$C$18</f>
        <v>1048.8650216120002</v>
      </c>
      <c r="K7">
        <f>J7*Parameters!$C$20</f>
        <v>31.465950648360003</v>
      </c>
      <c r="L7">
        <f>J7*Parameters!$C$19</f>
        <v>230.75030475464004</v>
      </c>
      <c r="M7">
        <f>L7*Parameters!$C$23</f>
        <v>226.13529865954723</v>
      </c>
      <c r="N7">
        <f>C7*Parameters!$C$15</f>
        <v>120.37095000000001</v>
      </c>
      <c r="O7">
        <f>H7*Parameters!$C$21</f>
        <v>841.63638672540003</v>
      </c>
      <c r="P7">
        <f>M7+H7*(1-Parameters!$C$21)*Parameters!$C$23</f>
        <v>407.1897603892553</v>
      </c>
      <c r="Q7">
        <f>J7*Parameters!$C$22*Parameters!$C$25</f>
        <v>201.38208414950404</v>
      </c>
      <c r="R7">
        <f>Q7*Parameters!$C$24*10000000</f>
        <v>88608117025.781769</v>
      </c>
      <c r="S7">
        <f>F7*Parameters!$C$13+'Sensitivty analysis-'!K7+'Sensitivty analysis-'!L7*(1-Parameters!$C$23)+'Sensitivty analysis-'!I7*Parameters!$C$17+'Sensitivty analysis-'!H7*(1-Parameters!$C$21)*(1-Parameters!$C$23)</f>
        <v>1127.9480366763448</v>
      </c>
      <c r="T7">
        <f>S7+J7*Parameters!$C$22*(1-Parameters!$C$25)</f>
        <v>1713.214718735841</v>
      </c>
      <c r="U7">
        <f>O7*Parameters!$C$27+'Sensitivty analysis-'!J7*Parameters!$C$22*Parameters!$C$26</f>
        <v>3484.6532342336286</v>
      </c>
      <c r="V7">
        <f>'Sensitivty analysis-'!O7*(Parameters!$C$28-Parameters!$C$27)</f>
        <v>2455.0533400779918</v>
      </c>
      <c r="W7">
        <f>J7*Parameters!$C$29</f>
        <v>314659506.48360008</v>
      </c>
      <c r="X7">
        <f t="shared" si="0"/>
        <v>314.65950648360007</v>
      </c>
    </row>
    <row r="8" spans="1:24" s="25" customFormat="1" x14ac:dyDescent="0.25">
      <c r="C8" s="24" t="s">
        <v>45</v>
      </c>
      <c r="D8" s="24" t="s">
        <v>41</v>
      </c>
      <c r="E8" s="24" t="s">
        <v>44</v>
      </c>
      <c r="F8" s="24" t="s">
        <v>43</v>
      </c>
      <c r="G8" s="24" t="s">
        <v>46</v>
      </c>
      <c r="H8" s="24" t="s">
        <v>47</v>
      </c>
      <c r="I8" s="24" t="s">
        <v>42</v>
      </c>
      <c r="J8" s="24" t="s">
        <v>48</v>
      </c>
      <c r="K8" s="24" t="s">
        <v>50</v>
      </c>
      <c r="L8" s="24" t="s">
        <v>51</v>
      </c>
      <c r="M8" s="24" t="s">
        <v>52</v>
      </c>
      <c r="N8" s="24" t="s">
        <v>53</v>
      </c>
      <c r="O8" s="24" t="s">
        <v>54</v>
      </c>
      <c r="P8" s="24" t="s">
        <v>55</v>
      </c>
      <c r="Q8" s="24" t="s">
        <v>56</v>
      </c>
      <c r="R8" s="24" t="s">
        <v>68</v>
      </c>
      <c r="S8" s="24" t="s">
        <v>49</v>
      </c>
      <c r="T8" s="24" t="s">
        <v>57</v>
      </c>
      <c r="U8" s="24" t="s">
        <v>63</v>
      </c>
      <c r="V8" s="24" t="s">
        <v>64</v>
      </c>
      <c r="W8" s="24" t="s">
        <v>67</v>
      </c>
      <c r="X8" s="24" t="s">
        <v>66</v>
      </c>
    </row>
    <row r="9" spans="1:24" x14ac:dyDescent="0.25">
      <c r="A9">
        <v>0.69</v>
      </c>
      <c r="B9">
        <v>0.27</v>
      </c>
      <c r="C9">
        <f>'Waste plastic data in 2019'!$B$11*$A$2</f>
        <v>229.71690000000001</v>
      </c>
      <c r="D9">
        <f>'Waste plastic data in 2019'!$B$11*Parameters!$C$4</f>
        <v>194.96609999999998</v>
      </c>
      <c r="E9">
        <f>'Waste plastic data in 2019'!$B$9*Parameters!$C$8+Parameters!$C$11*'Waste plastic data in 2019'!$B$10</f>
        <v>206.74</v>
      </c>
      <c r="F9">
        <f>'Waste plastic data in 2019'!$B$11*$B$2+'Waste plastic data in 2019'!$B$9*B9+Parameters!$C$9*'Waste plastic data in 2019'!$B$10</f>
        <v>1604.2120000000002</v>
      </c>
      <c r="G9">
        <f>F9*Parameters!$C$12+'Sensitivty analysis-'!C9*(1-Parameters!$C$15)+'Waste plastic data in 2019'!$B$9*A9+Parameters!$C$10*'Waste plastic data in 2019'!$B$10</f>
        <v>1624.0792939999999</v>
      </c>
      <c r="H9">
        <f>G9*Parameters!$C$16</f>
        <v>1023.1699552199999</v>
      </c>
      <c r="I9">
        <f>G9*(1-Parameters!$C$16)</f>
        <v>600.90933877999998</v>
      </c>
      <c r="J9">
        <f>F9*Parameters!$C$14+'Sensitivty analysis-'!I9*Parameters!$C$18</f>
        <v>1053.6992195120001</v>
      </c>
      <c r="K9">
        <f>J9*Parameters!$C$20</f>
        <v>31.610976585360003</v>
      </c>
      <c r="L9">
        <f>J9*Parameters!$C$19</f>
        <v>231.81382829264004</v>
      </c>
      <c r="M9">
        <f>L9*Parameters!$C$23</f>
        <v>227.17755172678724</v>
      </c>
      <c r="N9">
        <f>C9*Parameters!$C$15</f>
        <v>114.85845</v>
      </c>
      <c r="O9">
        <f>H9*Parameters!$C$21</f>
        <v>838.99936328039985</v>
      </c>
      <c r="P9">
        <f>M9+H9*(1-Parameters!$C$21)*Parameters!$C$23</f>
        <v>407.66473182759523</v>
      </c>
      <c r="Q9">
        <f>J9*Parameters!$C$22*Parameters!$C$25</f>
        <v>202.31025014630404</v>
      </c>
      <c r="R9">
        <f>Q9*Parameters!$C$24*10000000</f>
        <v>89016510064.373779</v>
      </c>
      <c r="S9">
        <f>F9*Parameters!$C$13+'Sensitivty analysis-'!K9+'Sensitivty analysis-'!L9*(1-Parameters!$C$23)+'Sensitivty analysis-'!I9*Parameters!$C$17+'Sensitivty analysis-'!H9*(1-Parameters!$C$21)*(1-Parameters!$C$23)</f>
        <v>1131.9969402580048</v>
      </c>
      <c r="T9">
        <f>S9+J9*Parameters!$C$22*(1-Parameters!$C$25)</f>
        <v>1719.9611047457008</v>
      </c>
      <c r="U9">
        <f>O9*Parameters!$C$27+'Sensitivty analysis-'!J9*Parameters!$C$22*Parameters!$C$26</f>
        <v>3490.4836405937276</v>
      </c>
      <c r="V9">
        <f>'Sensitivty analysis-'!O9*(Parameters!$C$28-Parameters!$C$27)</f>
        <v>2447.3611426889261</v>
      </c>
      <c r="W9">
        <f>J9*Parameters!$C$29</f>
        <v>316109765.85360003</v>
      </c>
      <c r="X9">
        <f>W9/1000000</f>
        <v>316.10976585360004</v>
      </c>
    </row>
    <row r="10" spans="1:24" x14ac:dyDescent="0.25">
      <c r="A10">
        <f>A9+0.05</f>
        <v>0.74</v>
      </c>
      <c r="B10">
        <f>B9-0.05</f>
        <v>0.22000000000000003</v>
      </c>
      <c r="C10">
        <f>'Waste plastic data in 2019'!$B$11*$A$2</f>
        <v>229.71690000000001</v>
      </c>
      <c r="D10">
        <f>'Waste plastic data in 2019'!$B$11*Parameters!$C$4</f>
        <v>194.96609999999998</v>
      </c>
      <c r="E10">
        <f>'Waste plastic data in 2019'!$B$9*Parameters!$C$8+Parameters!$C$11*'Waste plastic data in 2019'!$B$10</f>
        <v>206.74</v>
      </c>
      <c r="F10">
        <f>'Waste plastic data in 2019'!$B$11*$B$2+'Waste plastic data in 2019'!$B$9*B10+Parameters!$C$9*'Waste plastic data in 2019'!$B$10</f>
        <v>1538.1870000000001</v>
      </c>
      <c r="G10">
        <f>F10*Parameters!$C$12+'Sensitivty analysis-'!C10*(1-Parameters!$C$15)+'Waste plastic data in 2019'!$B$9*A10+Parameters!$C$10*'Waste plastic data in 2019'!$B$10</f>
        <v>1687.6613689999999</v>
      </c>
      <c r="H10">
        <f>G10*Parameters!$C$16</f>
        <v>1063.2266624700001</v>
      </c>
      <c r="I10">
        <f>G10*(1-Parameters!$C$16)</f>
        <v>624.43470652999997</v>
      </c>
      <c r="J10">
        <f>F10*Parameters!$C$14+'Sensitivty analysis-'!I10*Parameters!$C$18</f>
        <v>1029.6346916120001</v>
      </c>
      <c r="K10">
        <f>J10*Parameters!$C$20</f>
        <v>30.889040748360003</v>
      </c>
      <c r="L10">
        <f>J10*Parameters!$C$19</f>
        <v>226.51963215464002</v>
      </c>
      <c r="M10">
        <f>L10*Parameters!$C$23</f>
        <v>221.98923951154723</v>
      </c>
      <c r="N10">
        <f>C10*Parameters!$C$15</f>
        <v>114.85845</v>
      </c>
      <c r="O10">
        <f>H10*Parameters!$C$21</f>
        <v>871.84586322539997</v>
      </c>
      <c r="P10">
        <f>M10+H10*(1-Parameters!$C$21)*Parameters!$C$23</f>
        <v>409.5424227712553</v>
      </c>
      <c r="Q10">
        <f>J10*Parameters!$C$22*Parameters!$C$25</f>
        <v>197.68986078950402</v>
      </c>
      <c r="R10">
        <f>Q10*Parameters!$C$24*10000000</f>
        <v>86983538747.381775</v>
      </c>
      <c r="S10">
        <f>F10*Parameters!$C$13+'Sensitivty analysis-'!K10+'Sensitivty analysis-'!L10*(1-Parameters!$C$23)+'Sensitivty analysis-'!I10*Parameters!$C$17+'Sensitivty analysis-'!H10*(1-Parameters!$C$21)*(1-Parameters!$C$23)</f>
        <v>1115.3211452943449</v>
      </c>
      <c r="T10">
        <f>S10+J10*Parameters!$C$22*(1-Parameters!$C$25)</f>
        <v>1689.8573032138411</v>
      </c>
      <c r="U10">
        <f>O10*Parameters!$C$27+'Sensitivty analysis-'!J10*Parameters!$C$22*Parameters!$C$26</f>
        <v>3492.4195567136285</v>
      </c>
      <c r="V10">
        <f>'Sensitivty analysis-'!O10*(Parameters!$C$28-Parameters!$C$27)</f>
        <v>2543.1743830284913</v>
      </c>
      <c r="W10">
        <f>J10*Parameters!$C$29</f>
        <v>308890407.48360002</v>
      </c>
      <c r="X10">
        <f t="shared" ref="X10:X14" si="1">W10/1000000</f>
        <v>308.89040748360003</v>
      </c>
    </row>
    <row r="11" spans="1:24" x14ac:dyDescent="0.25">
      <c r="A11">
        <f>A10+0.05</f>
        <v>0.79</v>
      </c>
      <c r="B11">
        <f>B10-0.05</f>
        <v>0.17000000000000004</v>
      </c>
      <c r="C11">
        <f>'Waste plastic data in 2019'!$B$11*$A$2</f>
        <v>229.71690000000001</v>
      </c>
      <c r="D11">
        <f>'Waste plastic data in 2019'!$B$11*Parameters!$C$4</f>
        <v>194.96609999999998</v>
      </c>
      <c r="E11">
        <f>'Waste plastic data in 2019'!$B$9*Parameters!$C$8+Parameters!$C$11*'Waste plastic data in 2019'!$B$10</f>
        <v>206.74</v>
      </c>
      <c r="F11">
        <f>'Waste plastic data in 2019'!$B$11*$B$2+'Waste plastic data in 2019'!$B$9*B11+Parameters!$C$9*'Waste plastic data in 2019'!$B$10</f>
        <v>1472.1620000000003</v>
      </c>
      <c r="G11">
        <f>F11*Parameters!$C$12+'Sensitivty analysis-'!C11*(1-Parameters!$C$15)+'Waste plastic data in 2019'!$B$9*A11+Parameters!$C$10*'Waste plastic data in 2019'!$B$10</f>
        <v>1751.243444</v>
      </c>
      <c r="H11">
        <f>G11*Parameters!$C$16</f>
        <v>1103.2833697199999</v>
      </c>
      <c r="I11">
        <f>G11*(1-Parameters!$C$16)</f>
        <v>647.96007427999996</v>
      </c>
      <c r="J11">
        <f>F11*Parameters!$C$14+'Sensitivty analysis-'!I11*Parameters!$C$18</f>
        <v>1005.5701637120002</v>
      </c>
      <c r="K11">
        <f>J11*Parameters!$C$20</f>
        <v>30.167104911360003</v>
      </c>
      <c r="L11">
        <f>J11*Parameters!$C$19</f>
        <v>221.22543601664003</v>
      </c>
      <c r="M11">
        <f>L11*Parameters!$C$23</f>
        <v>216.80092729630724</v>
      </c>
      <c r="N11">
        <f>C11*Parameters!$C$15</f>
        <v>114.85845</v>
      </c>
      <c r="O11">
        <f>H11*Parameters!$C$21</f>
        <v>904.69236317039986</v>
      </c>
      <c r="P11">
        <f>M11+H11*(1-Parameters!$C$21)*Parameters!$C$23</f>
        <v>411.42011371491526</v>
      </c>
      <c r="Q11">
        <f>J11*Parameters!$C$22*Parameters!$C$25</f>
        <v>193.06947143270403</v>
      </c>
      <c r="R11">
        <f>Q11*Parameters!$C$24*10000000</f>
        <v>84950567430.389786</v>
      </c>
      <c r="S11">
        <f>F11*Parameters!$C$13+'Sensitivty analysis-'!K11+'Sensitivty analysis-'!L11*(1-Parameters!$C$23)+'Sensitivty analysis-'!I11*Parameters!$C$17+'Sensitivty analysis-'!H11*(1-Parameters!$C$21)*(1-Parameters!$C$23)</f>
        <v>1098.6453503306848</v>
      </c>
      <c r="T11">
        <f>S11+J11*Parameters!$C$22*(1-Parameters!$C$25)</f>
        <v>1659.7535016819809</v>
      </c>
      <c r="U11">
        <f>O11*Parameters!$C$27+'Sensitivty analysis-'!J11*Parameters!$C$22*Parameters!$C$26</f>
        <v>3494.3554728335284</v>
      </c>
      <c r="V11">
        <f>'Sensitivty analysis-'!O11*(Parameters!$C$28-Parameters!$C$27)</f>
        <v>2638.9876233680561</v>
      </c>
      <c r="W11">
        <f>J11*Parameters!$C$29</f>
        <v>301671049.11360008</v>
      </c>
      <c r="X11">
        <f t="shared" si="1"/>
        <v>301.67104911360008</v>
      </c>
    </row>
    <row r="12" spans="1:24" s="26" customFormat="1" x14ac:dyDescent="0.25">
      <c r="A12">
        <f t="shared" ref="A12:A14" si="2">A11+0.05</f>
        <v>0.84000000000000008</v>
      </c>
      <c r="B12">
        <f t="shared" ref="B12:B14" si="3">B11-0.05</f>
        <v>0.12000000000000004</v>
      </c>
      <c r="C12">
        <f>'Waste plastic data in 2019'!$B$11*$A$2</f>
        <v>229.71690000000001</v>
      </c>
      <c r="D12">
        <f>'Waste plastic data in 2019'!$B$11*Parameters!$C$4</f>
        <v>194.96609999999998</v>
      </c>
      <c r="E12">
        <f>'Waste plastic data in 2019'!$B$9*Parameters!$C$8+Parameters!$C$11*'Waste plastic data in 2019'!$B$10</f>
        <v>206.74</v>
      </c>
      <c r="F12">
        <f>'Waste plastic data in 2019'!$B$11*$B$2+'Waste plastic data in 2019'!$B$9*B12+Parameters!$C$9*'Waste plastic data in 2019'!$B$10</f>
        <v>1406.1370000000002</v>
      </c>
      <c r="G12">
        <f>F12*Parameters!$C$12+'Sensitivty analysis-'!C12*(1-Parameters!$C$15)+'Waste plastic data in 2019'!$B$9*A12+Parameters!$C$10*'Waste plastic data in 2019'!$B$10</f>
        <v>1814.825519</v>
      </c>
      <c r="H12">
        <f>G12*Parameters!$C$16</f>
        <v>1143.3400769699999</v>
      </c>
      <c r="I12">
        <f>G12*(1-Parameters!$C$16)</f>
        <v>671.48544202999994</v>
      </c>
      <c r="J12">
        <f>F12*Parameters!$C$14+'Sensitivty analysis-'!I12*Parameters!$C$18</f>
        <v>981.50563581200015</v>
      </c>
      <c r="K12">
        <f>J12*Parameters!$C$20</f>
        <v>29.445169074360003</v>
      </c>
      <c r="L12">
        <f>J12*Parameters!$C$19</f>
        <v>215.93123987864004</v>
      </c>
      <c r="M12">
        <f>L12*Parameters!$C$23</f>
        <v>211.61261508106725</v>
      </c>
      <c r="N12">
        <f>C12*Parameters!$C$15</f>
        <v>114.85845</v>
      </c>
      <c r="O12">
        <f>H12*Parameters!$C$21</f>
        <v>937.53886311539986</v>
      </c>
      <c r="P12">
        <f>M12+H12*(1-Parameters!$C$21)*Parameters!$C$23</f>
        <v>413.29780465857527</v>
      </c>
      <c r="Q12">
        <f>J12*Parameters!$C$22*Parameters!$C$25</f>
        <v>188.44908207590404</v>
      </c>
      <c r="R12">
        <f>Q12*Parameters!$C$24*10000000</f>
        <v>82917596113.397781</v>
      </c>
      <c r="S12">
        <f>F12*Parameters!$C$13+'Sensitivty analysis-'!K12+'Sensitivty analysis-'!L12*(1-Parameters!$C$23)+'Sensitivty analysis-'!I12*Parameters!$C$17+'Sensitivty analysis-'!H12*(1-Parameters!$C$21)*(1-Parameters!$C$23)</f>
        <v>1081.9695553670249</v>
      </c>
      <c r="T12">
        <f>S12+J12*Parameters!$C$22*(1-Parameters!$C$25)</f>
        <v>1629.6497001501211</v>
      </c>
      <c r="U12">
        <f>O12*Parameters!$C$27+'Sensitivty analysis-'!J12*Parameters!$C$22*Parameters!$C$26</f>
        <v>3496.2913889534284</v>
      </c>
      <c r="V12">
        <f>'Sensitivty analysis-'!O12*(Parameters!$C$28-Parameters!$C$27)</f>
        <v>2734.8008637076214</v>
      </c>
      <c r="W12">
        <f>J12*Parameters!$C$29</f>
        <v>294451690.74360007</v>
      </c>
      <c r="X12">
        <f t="shared" si="1"/>
        <v>294.45169074360007</v>
      </c>
    </row>
    <row r="13" spans="1:24" x14ac:dyDescent="0.25">
      <c r="A13">
        <f t="shared" si="2"/>
        <v>0.89000000000000012</v>
      </c>
      <c r="B13">
        <f t="shared" si="3"/>
        <v>7.0000000000000034E-2</v>
      </c>
      <c r="C13">
        <f>'Waste plastic data in 2019'!$B$11*$A$2</f>
        <v>229.71690000000001</v>
      </c>
      <c r="D13">
        <f>'Waste plastic data in 2019'!$B$11*Parameters!$C$4</f>
        <v>194.96609999999998</v>
      </c>
      <c r="E13">
        <f>'Waste plastic data in 2019'!$B$9*Parameters!$C$8+Parameters!$C$11*'Waste plastic data in 2019'!$B$10</f>
        <v>206.74</v>
      </c>
      <c r="F13">
        <f>'Waste plastic data in 2019'!$B$11*$B$2+'Waste plastic data in 2019'!$B$9*B13+Parameters!$C$9*'Waste plastic data in 2019'!$B$10</f>
        <v>1340.1120000000001</v>
      </c>
      <c r="G13">
        <f>F13*Parameters!$C$12+'Sensitivty analysis-'!C13*(1-Parameters!$C$15)+'Waste plastic data in 2019'!$B$9*A13+Parameters!$C$10*'Waste plastic data in 2019'!$B$10</f>
        <v>1878.4075940000002</v>
      </c>
      <c r="H13">
        <f>G13*Parameters!$C$16</f>
        <v>1183.3967842200002</v>
      </c>
      <c r="I13">
        <f>G13*(1-Parameters!$C$16)</f>
        <v>695.01080978000005</v>
      </c>
      <c r="J13">
        <f>F13*Parameters!$C$14+'Sensitivty analysis-'!I13*Parameters!$C$18</f>
        <v>957.44110791200012</v>
      </c>
      <c r="K13">
        <f>J13*Parameters!$C$20</f>
        <v>28.723233237360002</v>
      </c>
      <c r="L13">
        <f>J13*Parameters!$C$19</f>
        <v>210.63704374064002</v>
      </c>
      <c r="M13">
        <f>L13*Parameters!$C$23</f>
        <v>206.42430286582723</v>
      </c>
      <c r="N13">
        <f>C13*Parameters!$C$15</f>
        <v>114.85845</v>
      </c>
      <c r="O13">
        <f>H13*Parameters!$C$21</f>
        <v>970.3853630604001</v>
      </c>
      <c r="P13">
        <f>M13+H13*(1-Parameters!$C$21)*Parameters!$C$23</f>
        <v>415.17549560223529</v>
      </c>
      <c r="Q13">
        <f>J13*Parameters!$C$22*Parameters!$C$25</f>
        <v>183.82869271910403</v>
      </c>
      <c r="R13">
        <f>Q13*Parameters!$C$24*10000000</f>
        <v>80884624796.405762</v>
      </c>
      <c r="S13">
        <f>F13*Parameters!$C$13+'Sensitivty analysis-'!K13+'Sensitivty analysis-'!L13*(1-Parameters!$C$23)+'Sensitivty analysis-'!I13*Parameters!$C$17+'Sensitivty analysis-'!H13*(1-Parameters!$C$21)*(1-Parameters!$C$23)</f>
        <v>1065.293760403365</v>
      </c>
      <c r="T13">
        <f>S13+J13*Parameters!$C$22*(1-Parameters!$C$25)</f>
        <v>1599.5458986182612</v>
      </c>
      <c r="U13">
        <f>O13*Parameters!$C$27+'Sensitivty analysis-'!J13*Parameters!$C$22*Parameters!$C$26</f>
        <v>3498.2273050733284</v>
      </c>
      <c r="V13">
        <f>'Sensitivty analysis-'!O13*(Parameters!$C$28-Parameters!$C$27)</f>
        <v>2830.6141040471871</v>
      </c>
      <c r="W13">
        <f>J13*Parameters!$C$29</f>
        <v>287232332.37360007</v>
      </c>
      <c r="X13">
        <f t="shared" si="1"/>
        <v>287.23233237360006</v>
      </c>
    </row>
    <row r="14" spans="1:24" x14ac:dyDescent="0.25">
      <c r="A14">
        <f t="shared" si="2"/>
        <v>0.94000000000000017</v>
      </c>
      <c r="B14">
        <f t="shared" si="3"/>
        <v>2.0000000000000032E-2</v>
      </c>
      <c r="C14">
        <f>'Waste plastic data in 2019'!$B$11*$A$2</f>
        <v>229.71690000000001</v>
      </c>
      <c r="D14">
        <f>'Waste plastic data in 2019'!$B$11*Parameters!$C$4</f>
        <v>194.96609999999998</v>
      </c>
      <c r="E14">
        <f>'Waste plastic data in 2019'!$B$9*Parameters!$C$8+Parameters!$C$11*'Waste plastic data in 2019'!$B$10</f>
        <v>206.74</v>
      </c>
      <c r="F14">
        <f>'Waste plastic data in 2019'!$B$11*$B$2+'Waste plastic data in 2019'!$B$9*B14+Parameters!$C$9*'Waste plastic data in 2019'!$B$10</f>
        <v>1274.0870000000002</v>
      </c>
      <c r="G14">
        <f>F14*Parameters!$C$12+'Sensitivty analysis-'!C14*(1-Parameters!$C$15)+'Waste plastic data in 2019'!$B$9*A14+Parameters!$C$10*'Waste plastic data in 2019'!$B$10</f>
        <v>1941.9896690000003</v>
      </c>
      <c r="H14">
        <f>G14*Parameters!$C$16</f>
        <v>1223.4534914700002</v>
      </c>
      <c r="I14">
        <f>G14*(1-Parameters!$C$16)</f>
        <v>718.53617753000015</v>
      </c>
      <c r="J14">
        <f>F14*Parameters!$C$14+'Sensitivty analysis-'!I14*Parameters!$C$18</f>
        <v>933.3765800120002</v>
      </c>
      <c r="K14">
        <f>J14*Parameters!$C$20</f>
        <v>28.001297400360006</v>
      </c>
      <c r="L14">
        <f>J14*Parameters!$C$19</f>
        <v>205.34284760264003</v>
      </c>
      <c r="M14">
        <f>L14*Parameters!$C$23</f>
        <v>201.23599065058724</v>
      </c>
      <c r="N14">
        <f>C14*Parameters!$C$15</f>
        <v>114.85845</v>
      </c>
      <c r="O14">
        <f>H14*Parameters!$C$21</f>
        <v>1003.2318630054001</v>
      </c>
      <c r="P14">
        <f>M14+H14*(1-Parameters!$C$21)*Parameters!$C$23</f>
        <v>417.05318654589536</v>
      </c>
      <c r="Q14">
        <f>J14*Parameters!$C$22*Parameters!$C$25</f>
        <v>179.20830336230406</v>
      </c>
      <c r="R14">
        <f>Q14*Parameters!$C$24*10000000</f>
        <v>78851653479.413788</v>
      </c>
      <c r="S14">
        <f>F14*Parameters!$C$13+'Sensitivty analysis-'!K14+'Sensitivty analysis-'!L14*(1-Parameters!$C$23)+'Sensitivty analysis-'!I14*Parameters!$C$17+'Sensitivty analysis-'!H14*(1-Parameters!$C$21)*(1-Parameters!$C$23)</f>
        <v>1048.6179654397051</v>
      </c>
      <c r="T14">
        <f>S14+J14*Parameters!$C$22*(1-Parameters!$C$25)</f>
        <v>1569.4420970864012</v>
      </c>
      <c r="U14">
        <f>O14*Parameters!$C$27+'Sensitivty analysis-'!J14*Parameters!$C$22*Parameters!$C$26</f>
        <v>3500.1632211932288</v>
      </c>
      <c r="V14">
        <f>'Sensitivty analysis-'!O14*(Parameters!$C$28-Parameters!$C$27)</f>
        <v>2926.4273443867519</v>
      </c>
      <c r="W14">
        <f>J14*Parameters!$C$29</f>
        <v>280012974.00360006</v>
      </c>
      <c r="X14">
        <f t="shared" si="1"/>
        <v>280.01297400360005</v>
      </c>
    </row>
    <row r="15" spans="1:24" s="25" customFormat="1" x14ac:dyDescent="0.25">
      <c r="C15" s="24" t="s">
        <v>45</v>
      </c>
      <c r="D15" s="24" t="s">
        <v>41</v>
      </c>
      <c r="E15" s="24" t="s">
        <v>44</v>
      </c>
      <c r="F15" s="24" t="s">
        <v>43</v>
      </c>
      <c r="G15" s="24" t="s">
        <v>46</v>
      </c>
      <c r="H15" s="24" t="s">
        <v>47</v>
      </c>
      <c r="I15" s="24" t="s">
        <v>42</v>
      </c>
      <c r="J15" s="24" t="s">
        <v>48</v>
      </c>
      <c r="K15" s="24" t="s">
        <v>50</v>
      </c>
      <c r="L15" s="24" t="s">
        <v>51</v>
      </c>
      <c r="M15" s="24" t="s">
        <v>52</v>
      </c>
      <c r="N15" s="24" t="s">
        <v>53</v>
      </c>
      <c r="O15" s="24" t="s">
        <v>54</v>
      </c>
      <c r="P15" s="24" t="s">
        <v>55</v>
      </c>
      <c r="Q15" s="24" t="s">
        <v>56</v>
      </c>
      <c r="R15" s="24" t="s">
        <v>68</v>
      </c>
      <c r="S15" s="24" t="s">
        <v>49</v>
      </c>
      <c r="T15" s="24" t="s">
        <v>57</v>
      </c>
      <c r="U15" s="24" t="s">
        <v>63</v>
      </c>
      <c r="V15" s="24" t="s">
        <v>64</v>
      </c>
      <c r="W15" s="24" t="s">
        <v>67</v>
      </c>
      <c r="X15" s="24" t="s">
        <v>66</v>
      </c>
    </row>
    <row r="16" spans="1:24" x14ac:dyDescent="0.25">
      <c r="A16">
        <v>0.28000000000000003</v>
      </c>
      <c r="B16">
        <v>0.64</v>
      </c>
      <c r="C16">
        <f>'Waste plastic data in 2019'!$B$11*$A$2</f>
        <v>229.71690000000001</v>
      </c>
      <c r="D16">
        <f>'Waste plastic data in 2019'!$B$11*Parameters!$C$4</f>
        <v>194.96609999999998</v>
      </c>
      <c r="E16">
        <f>'Waste plastic data in 2019'!$B$9*Parameters!$C$8+Parameters!$C$11*'Waste plastic data in 2019'!$B$10</f>
        <v>206.74</v>
      </c>
      <c r="F16">
        <f>'Waste plastic data in 2019'!$B$11*$B$2+'Waste plastic data in 2019'!$B$9*$B$9+B16*'Waste plastic data in 2019'!$B$10</f>
        <v>1604.2120000000002</v>
      </c>
      <c r="G16">
        <f>F16*Parameters!$C$12+'Sensitivty analysis-'!C16*(1-Parameters!$C$15)+'Waste plastic data in 2019'!$B$9*$A$9+A16*'Waste plastic data in 2019'!$B$10</f>
        <v>1624.0792939999999</v>
      </c>
      <c r="H16">
        <f>G16*Parameters!$C$16</f>
        <v>1023.1699552199999</v>
      </c>
      <c r="I16">
        <f>G16*(1-Parameters!$C$16)</f>
        <v>600.90933877999998</v>
      </c>
      <c r="J16">
        <f>F16*Parameters!$C$14+'Sensitivty analysis-'!I16*Parameters!$C$18</f>
        <v>1053.6992195120001</v>
      </c>
      <c r="K16">
        <f>J16*Parameters!$C$20</f>
        <v>31.610976585360003</v>
      </c>
      <c r="L16">
        <f>J16*Parameters!$C$19</f>
        <v>231.81382829264004</v>
      </c>
      <c r="M16">
        <f>L16*Parameters!$C$23</f>
        <v>227.17755172678724</v>
      </c>
      <c r="N16">
        <f>C16*Parameters!$C$15</f>
        <v>114.85845</v>
      </c>
      <c r="O16">
        <f>H16*Parameters!$C$21</f>
        <v>838.99936328039985</v>
      </c>
      <c r="P16">
        <f>M16+H16*(1-Parameters!$C$21)*Parameters!$C$23</f>
        <v>407.66473182759523</v>
      </c>
      <c r="Q16">
        <f>J16*Parameters!$C$22*Parameters!$C$25</f>
        <v>202.31025014630404</v>
      </c>
      <c r="R16">
        <f>Q16*Parameters!$C$24*10000000</f>
        <v>89016510064.373779</v>
      </c>
      <c r="S16">
        <f>F16*Parameters!$C$13+'Sensitivty analysis-'!K16+'Sensitivty analysis-'!L16*(1-Parameters!$C$23)+'Sensitivty analysis-'!I16*Parameters!$C$17+'Sensitivty analysis-'!H16*(1-Parameters!$C$21)*(1-Parameters!$C$23)</f>
        <v>1131.9969402580048</v>
      </c>
      <c r="T16">
        <f>S16+J16*Parameters!$C$22*(1-Parameters!$C$25)</f>
        <v>1719.9611047457008</v>
      </c>
      <c r="U16">
        <f>O16*Parameters!$C$27+'Sensitivty analysis-'!J16*Parameters!$C$22*Parameters!$C$26</f>
        <v>3490.4836405937276</v>
      </c>
      <c r="V16">
        <f>'Sensitivty analysis-'!O16*(Parameters!$C$28-Parameters!$C$27)</f>
        <v>2447.3611426889261</v>
      </c>
      <c r="W16">
        <f>J16*Parameters!$C$29</f>
        <v>316109765.85360003</v>
      </c>
      <c r="X16">
        <f>W16/1000000</f>
        <v>316.10976585360004</v>
      </c>
    </row>
    <row r="17" spans="1:24" x14ac:dyDescent="0.25">
      <c r="A17">
        <f>A16+0.05</f>
        <v>0.33</v>
      </c>
      <c r="B17">
        <f>B16-0.05</f>
        <v>0.59</v>
      </c>
      <c r="C17">
        <f>'Waste plastic data in 2019'!$B$11*$A$2</f>
        <v>229.71690000000001</v>
      </c>
      <c r="D17">
        <f>'Waste plastic data in 2019'!$B$11*Parameters!$C$4</f>
        <v>194.96609999999998</v>
      </c>
      <c r="E17">
        <f>'Waste plastic data in 2019'!$B$9*Parameters!$C$8+Parameters!$C$11*'Waste plastic data in 2019'!$B$10</f>
        <v>206.74</v>
      </c>
      <c r="F17">
        <f>'Waste plastic data in 2019'!$B$11*$B$2+'Waste plastic data in 2019'!$B$9*$B$9+B17*'Waste plastic data in 2019'!$B$10</f>
        <v>1508.0119999999999</v>
      </c>
      <c r="G17">
        <f>F17*Parameters!$C$12+'Sensitivty analysis-'!C17*(1-Parameters!$C$15)+'Waste plastic data in 2019'!$B$9*$A$9+A17*'Waste plastic data in 2019'!$B$10</f>
        <v>1716.7198940000001</v>
      </c>
      <c r="H17">
        <f>G17*Parameters!$C$16</f>
        <v>1081.53353322</v>
      </c>
      <c r="I17">
        <f>G17*(1-Parameters!$C$16)</f>
        <v>635.18636077999997</v>
      </c>
      <c r="J17">
        <f>F17*Parameters!$C$14+'Sensitivty analysis-'!I17*Parameters!$C$18</f>
        <v>1018.6366283120001</v>
      </c>
      <c r="K17">
        <f>J17*Parameters!$C$20</f>
        <v>30.559098849360002</v>
      </c>
      <c r="L17">
        <f>J17*Parameters!$C$19</f>
        <v>224.10005822864002</v>
      </c>
      <c r="M17">
        <f>L17*Parameters!$C$23</f>
        <v>219.61805706406722</v>
      </c>
      <c r="N17">
        <f>C17*Parameters!$C$15</f>
        <v>114.85845</v>
      </c>
      <c r="O17">
        <f>H17*Parameters!$C$21</f>
        <v>886.85749724039988</v>
      </c>
      <c r="P17">
        <f>M17+H17*(1-Parameters!$C$21)*Parameters!$C$23</f>
        <v>410.40057232407526</v>
      </c>
      <c r="Q17">
        <f>J17*Parameters!$C$22*Parameters!$C$25</f>
        <v>195.57823263590402</v>
      </c>
      <c r="R17">
        <f>Q17*Parameters!$C$24*10000000</f>
        <v>86054422359.797775</v>
      </c>
      <c r="S17">
        <f>F17*Parameters!$C$13+'Sensitivty analysis-'!K17+'Sensitivty analysis-'!L17*(1-Parameters!$C$23)+'Sensitivty analysis-'!I17*Parameters!$C$17+'Sensitivty analysis-'!H17*(1-Parameters!$C$21)*(1-Parameters!$C$23)</f>
        <v>1107.6999092015249</v>
      </c>
      <c r="T17">
        <f>S17+J17*Parameters!$C$22*(1-Parameters!$C$25)</f>
        <v>1676.0991477996208</v>
      </c>
      <c r="U17">
        <f>O17*Parameters!$C$27+'Sensitivty analysis-'!J17*Parameters!$C$22*Parameters!$C$26</f>
        <v>3493.3043165609279</v>
      </c>
      <c r="V17">
        <f>'Sensitivty analysis-'!O17*(Parameters!$C$28-Parameters!$C$27)</f>
        <v>2586.9633194502462</v>
      </c>
      <c r="W17">
        <f>J17*Parameters!$C$29</f>
        <v>305590988.49360001</v>
      </c>
      <c r="X17">
        <f t="shared" ref="X17:X21" si="4">W17/1000000</f>
        <v>305.59098849360004</v>
      </c>
    </row>
    <row r="18" spans="1:24" x14ac:dyDescent="0.25">
      <c r="A18">
        <f>A17+0.05</f>
        <v>0.38</v>
      </c>
      <c r="B18">
        <f>B17-0.05</f>
        <v>0.53999999999999992</v>
      </c>
      <c r="C18">
        <f>'Waste plastic data in 2019'!$B$11*$A$2</f>
        <v>229.71690000000001</v>
      </c>
      <c r="D18">
        <f>'Waste plastic data in 2019'!$B$11*Parameters!$C$4</f>
        <v>194.96609999999998</v>
      </c>
      <c r="E18">
        <f>'Waste plastic data in 2019'!$B$9*Parameters!$C$8+Parameters!$C$11*'Waste plastic data in 2019'!$B$10</f>
        <v>206.74</v>
      </c>
      <c r="F18">
        <f>'Waste plastic data in 2019'!$B$11*$B$2+'Waste plastic data in 2019'!$B$9*$B$9+B18*'Waste plastic data in 2019'!$B$10</f>
        <v>1411.8119999999999</v>
      </c>
      <c r="G18">
        <f>F18*Parameters!$C$12+'Sensitivty analysis-'!C18*(1-Parameters!$C$15)+'Waste plastic data in 2019'!$B$9*$A$9+A18*'Waste plastic data in 2019'!$B$10</f>
        <v>1809.360494</v>
      </c>
      <c r="H18">
        <f>G18*Parameters!$C$16</f>
        <v>1139.8971112199999</v>
      </c>
      <c r="I18">
        <f>G18*(1-Parameters!$C$16)</f>
        <v>669.46338277999996</v>
      </c>
      <c r="J18">
        <f>F18*Parameters!$C$14+'Sensitivty analysis-'!I18*Parameters!$C$18</f>
        <v>983.57403711200004</v>
      </c>
      <c r="K18">
        <f>J18*Parameters!$C$20</f>
        <v>29.50722111336</v>
      </c>
      <c r="L18">
        <f>J18*Parameters!$C$19</f>
        <v>216.38628816464001</v>
      </c>
      <c r="M18">
        <f>L18*Parameters!$C$23</f>
        <v>212.05856240134722</v>
      </c>
      <c r="N18">
        <f>C18*Parameters!$C$15</f>
        <v>114.85845</v>
      </c>
      <c r="O18">
        <f>H18*Parameters!$C$21</f>
        <v>934.71563120039991</v>
      </c>
      <c r="P18">
        <f>M18+H18*(1-Parameters!$C$21)*Parameters!$C$23</f>
        <v>413.13641282055528</v>
      </c>
      <c r="Q18">
        <f>J18*Parameters!$C$22*Parameters!$C$25</f>
        <v>188.84621512550402</v>
      </c>
      <c r="R18">
        <f>Q18*Parameters!$C$24*10000000</f>
        <v>83092334655.221771</v>
      </c>
      <c r="S18">
        <f>F18*Parameters!$C$13+'Sensitivty analysis-'!K18+'Sensitivty analysis-'!L18*(1-Parameters!$C$23)+'Sensitivty analysis-'!I18*Parameters!$C$17+'Sensitivty analysis-'!H18*(1-Parameters!$C$21)*(1-Parameters!$C$23)</f>
        <v>1083.4028781450447</v>
      </c>
      <c r="T18">
        <f>S18+J18*Parameters!$C$22*(1-Parameters!$C$25)</f>
        <v>1632.2371908535406</v>
      </c>
      <c r="U18">
        <f>O18*Parameters!$C$27+'Sensitivty analysis-'!J18*Parameters!$C$22*Parameters!$C$26</f>
        <v>3496.1249925281281</v>
      </c>
      <c r="V18">
        <f>'Sensitivty analysis-'!O18*(Parameters!$C$28-Parameters!$C$27)</f>
        <v>2726.5654962115664</v>
      </c>
      <c r="W18">
        <f>J18*Parameters!$C$29</f>
        <v>295072211.1336</v>
      </c>
      <c r="X18">
        <f t="shared" si="4"/>
        <v>295.07221113359998</v>
      </c>
    </row>
    <row r="19" spans="1:24" x14ac:dyDescent="0.25">
      <c r="A19">
        <f t="shared" ref="A19:A21" si="5">A18+0.05</f>
        <v>0.43</v>
      </c>
      <c r="B19">
        <f t="shared" ref="B19:B21" si="6">B18-0.05</f>
        <v>0.48999999999999994</v>
      </c>
      <c r="C19">
        <f>'Waste plastic data in 2019'!$B$11*$A$2</f>
        <v>229.71690000000001</v>
      </c>
      <c r="D19">
        <f>'Waste plastic data in 2019'!$B$11*Parameters!$C$4</f>
        <v>194.96609999999998</v>
      </c>
      <c r="E19">
        <f>'Waste plastic data in 2019'!$B$9*Parameters!$C$8+Parameters!$C$11*'Waste plastic data in 2019'!$B$10</f>
        <v>206.74</v>
      </c>
      <c r="F19">
        <f>'Waste plastic data in 2019'!$B$11*$B$2+'Waste plastic data in 2019'!$B$9*$B$9+B19*'Waste plastic data in 2019'!$B$10</f>
        <v>1315.6119999999999</v>
      </c>
      <c r="G19">
        <f>F19*Parameters!$C$12+'Sensitivty analysis-'!C19*(1-Parameters!$C$15)+'Waste plastic data in 2019'!$B$9*$A$9+A19*'Waste plastic data in 2019'!$B$10</f>
        <v>1902.001094</v>
      </c>
      <c r="H19">
        <f>G19*Parameters!$C$16</f>
        <v>1198.2606892199999</v>
      </c>
      <c r="I19">
        <f>G19*(1-Parameters!$C$16)</f>
        <v>703.74040477999995</v>
      </c>
      <c r="J19">
        <f>F19*Parameters!$C$14+'Sensitivty analysis-'!I19*Parameters!$C$18</f>
        <v>948.511445912</v>
      </c>
      <c r="K19">
        <f>J19*Parameters!$C$20</f>
        <v>28.455343377359998</v>
      </c>
      <c r="L19">
        <f>J19*Parameters!$C$19</f>
        <v>208.67251810063999</v>
      </c>
      <c r="M19">
        <f>L19*Parameters!$C$23</f>
        <v>204.49906773862719</v>
      </c>
      <c r="N19">
        <f>C19*Parameters!$C$15</f>
        <v>114.85845</v>
      </c>
      <c r="O19">
        <f>H19*Parameters!$C$21</f>
        <v>982.57376516039983</v>
      </c>
      <c r="P19">
        <f>M19+H19*(1-Parameters!$C$21)*Parameters!$C$23</f>
        <v>415.87225331703519</v>
      </c>
      <c r="Q19">
        <f>J19*Parameters!$C$22*Parameters!$C$25</f>
        <v>182.11419761510399</v>
      </c>
      <c r="R19">
        <f>Q19*Parameters!$C$24*10000000</f>
        <v>80130246950.645767</v>
      </c>
      <c r="S19">
        <f>F19*Parameters!$C$13+'Sensitivty analysis-'!K19+'Sensitivty analysis-'!L19*(1-Parameters!$C$23)+'Sensitivty analysis-'!I19*Parameters!$C$17+'Sensitivty analysis-'!H19*(1-Parameters!$C$21)*(1-Parameters!$C$23)</f>
        <v>1059.1058470885648</v>
      </c>
      <c r="T19">
        <f>S19+J19*Parameters!$C$22*(1-Parameters!$C$25)</f>
        <v>1588.3752339074608</v>
      </c>
      <c r="U19">
        <f>O19*Parameters!$C$27+'Sensitivty analysis-'!J19*Parameters!$C$22*Parameters!$C$26</f>
        <v>3498.9456684953279</v>
      </c>
      <c r="V19">
        <f>'Sensitivty analysis-'!O19*(Parameters!$C$28-Parameters!$C$27)</f>
        <v>2866.1676729728861</v>
      </c>
      <c r="W19">
        <f>J19*Parameters!$C$29</f>
        <v>284553433.77359998</v>
      </c>
      <c r="X19">
        <f t="shared" si="4"/>
        <v>284.55343377359998</v>
      </c>
    </row>
    <row r="20" spans="1:24" x14ac:dyDescent="0.25">
      <c r="A20">
        <f t="shared" si="5"/>
        <v>0.48</v>
      </c>
      <c r="B20">
        <f t="shared" si="6"/>
        <v>0.43999999999999995</v>
      </c>
      <c r="C20">
        <f>'Waste plastic data in 2019'!$B$11*$A$2</f>
        <v>229.71690000000001</v>
      </c>
      <c r="D20">
        <f>'Waste plastic data in 2019'!$B$11*Parameters!$C$4</f>
        <v>194.96609999999998</v>
      </c>
      <c r="E20">
        <f>'Waste plastic data in 2019'!$B$9*Parameters!$C$8+Parameters!$C$11*'Waste plastic data in 2019'!$B$10</f>
        <v>206.74</v>
      </c>
      <c r="F20">
        <f>'Waste plastic data in 2019'!$B$11*$B$2+'Waste plastic data in 2019'!$B$9*$B$9+B20*'Waste plastic data in 2019'!$B$10</f>
        <v>1219.412</v>
      </c>
      <c r="G20">
        <f>F20*Parameters!$C$12+'Sensitivty analysis-'!C20*(1-Parameters!$C$15)+'Waste plastic data in 2019'!$B$9*$A$9+A20*'Waste plastic data in 2019'!$B$10</f>
        <v>1994.6416939999999</v>
      </c>
      <c r="H20">
        <f>G20*Parameters!$C$16</f>
        <v>1256.6242672199999</v>
      </c>
      <c r="I20">
        <f>G20*(1-Parameters!$C$16)</f>
        <v>738.01742677999994</v>
      </c>
      <c r="J20">
        <f>F20*Parameters!$C$14+'Sensitivty analysis-'!I20*Parameters!$C$18</f>
        <v>913.44885471199996</v>
      </c>
      <c r="K20">
        <f>J20*Parameters!$C$20</f>
        <v>27.403465641359997</v>
      </c>
      <c r="L20">
        <f>J20*Parameters!$C$19</f>
        <v>200.95874803664</v>
      </c>
      <c r="M20">
        <f>L20*Parameters!$C$23</f>
        <v>196.93957307590719</v>
      </c>
      <c r="N20">
        <f>C20*Parameters!$C$15</f>
        <v>114.85845</v>
      </c>
      <c r="O20">
        <f>H20*Parameters!$C$21</f>
        <v>1030.4318991203997</v>
      </c>
      <c r="P20">
        <f>M20+H20*(1-Parameters!$C$21)*Parameters!$C$23</f>
        <v>418.60809381351521</v>
      </c>
      <c r="Q20">
        <f>J20*Parameters!$C$22*Parameters!$C$25</f>
        <v>175.38218010470399</v>
      </c>
      <c r="R20">
        <f>Q20*Parameters!$C$24*10000000</f>
        <v>77168159246.069748</v>
      </c>
      <c r="S20">
        <f>F20*Parameters!$C$13+'Sensitivty analysis-'!K20+'Sensitivty analysis-'!L20*(1-Parameters!$C$23)+'Sensitivty analysis-'!I20*Parameters!$C$17+'Sensitivty analysis-'!H20*(1-Parameters!$C$21)*(1-Parameters!$C$23)</f>
        <v>1034.8088160320847</v>
      </c>
      <c r="T20">
        <f>S20+J20*Parameters!$C$22*(1-Parameters!$C$25)</f>
        <v>1544.5132769613806</v>
      </c>
      <c r="U20">
        <f>O20*Parameters!$C$27+'Sensitivty analysis-'!J20*Parameters!$C$22*Parameters!$C$26</f>
        <v>3501.7663444625277</v>
      </c>
      <c r="V20">
        <f>'Sensitivty analysis-'!O20*(Parameters!$C$28-Parameters!$C$27)</f>
        <v>3005.7698497342058</v>
      </c>
      <c r="W20">
        <f>J20*Parameters!$C$29</f>
        <v>274034656.41359997</v>
      </c>
      <c r="X20">
        <f t="shared" si="4"/>
        <v>274.03465641359998</v>
      </c>
    </row>
    <row r="21" spans="1:24" x14ac:dyDescent="0.25">
      <c r="A21">
        <f t="shared" si="5"/>
        <v>0.53</v>
      </c>
      <c r="B21">
        <f t="shared" si="6"/>
        <v>0.38999999999999996</v>
      </c>
      <c r="C21">
        <f>'Waste plastic data in 2019'!$B$11*$A$2</f>
        <v>229.71690000000001</v>
      </c>
      <c r="D21">
        <f>'Waste plastic data in 2019'!$B$11*Parameters!$C$4</f>
        <v>194.96609999999998</v>
      </c>
      <c r="E21">
        <f>'Waste plastic data in 2019'!$B$9*Parameters!$C$8+Parameters!$C$11*'Waste plastic data in 2019'!$B$10</f>
        <v>206.74</v>
      </c>
      <c r="F21">
        <f>'Waste plastic data in 2019'!$B$11*$B$2+'Waste plastic data in 2019'!$B$9*$B$9+B21*'Waste plastic data in 2019'!$B$10</f>
        <v>1123.212</v>
      </c>
      <c r="G21">
        <f>F21*Parameters!$C$12+'Sensitivty analysis-'!C21*(1-Parameters!$C$15)+'Waste plastic data in 2019'!$B$9*$A$9+A21*'Waste plastic data in 2019'!$B$10</f>
        <v>2087.2822940000001</v>
      </c>
      <c r="H21">
        <f>G21*Parameters!$C$16</f>
        <v>1314.9878452200001</v>
      </c>
      <c r="I21">
        <f>G21*(1-Parameters!$C$16)</f>
        <v>772.29444878000004</v>
      </c>
      <c r="J21">
        <f>F21*Parameters!$C$14+'Sensitivty analysis-'!I21*Parameters!$C$18</f>
        <v>878.38626351200003</v>
      </c>
      <c r="K21">
        <f>J21*Parameters!$C$20</f>
        <v>26.351587905359999</v>
      </c>
      <c r="L21">
        <f>J21*Parameters!$C$19</f>
        <v>193.24497797264002</v>
      </c>
      <c r="M21">
        <f>L21*Parameters!$C$23</f>
        <v>189.38007841318722</v>
      </c>
      <c r="N21">
        <f>C21*Parameters!$C$15</f>
        <v>114.85845</v>
      </c>
      <c r="O21">
        <f>H21*Parameters!$C$21</f>
        <v>1078.2900330804</v>
      </c>
      <c r="P21">
        <f>M21+H21*(1-Parameters!$C$21)*Parameters!$C$23</f>
        <v>421.34393430999529</v>
      </c>
      <c r="Q21">
        <f>J21*Parameters!$C$22*Parameters!$C$25</f>
        <v>168.65016259430402</v>
      </c>
      <c r="R21">
        <f>Q21*Parameters!$C$24*10000000</f>
        <v>74206071541.493759</v>
      </c>
      <c r="S21">
        <f>F21*Parameters!$C$13+'Sensitivty analysis-'!K21+'Sensitivty analysis-'!L21*(1-Parameters!$C$23)+'Sensitivty analysis-'!I21*Parameters!$C$17+'Sensitivty analysis-'!H21*(1-Parameters!$C$21)*(1-Parameters!$C$23)</f>
        <v>1010.5117849756049</v>
      </c>
      <c r="T21">
        <f>S21+J21*Parameters!$C$22*(1-Parameters!$C$25)</f>
        <v>1500.6513200153008</v>
      </c>
      <c r="U21">
        <f>O21*Parameters!$C$27+'Sensitivty analysis-'!J21*Parameters!$C$22*Parameters!$C$26</f>
        <v>3504.587020429728</v>
      </c>
      <c r="V21">
        <f>'Sensitivty analysis-'!O21*(Parameters!$C$28-Parameters!$C$27)</f>
        <v>3145.3720264955268</v>
      </c>
      <c r="W21">
        <f>J21*Parameters!$C$29</f>
        <v>263515879.05360001</v>
      </c>
      <c r="X21">
        <f t="shared" si="4"/>
        <v>263.51587905360003</v>
      </c>
    </row>
    <row r="22" spans="1:24" s="25" customFormat="1" x14ac:dyDescent="0.25">
      <c r="C22" s="24" t="s">
        <v>45</v>
      </c>
      <c r="D22" s="24" t="s">
        <v>41</v>
      </c>
      <c r="E22" s="24" t="s">
        <v>44</v>
      </c>
      <c r="F22" s="24" t="s">
        <v>43</v>
      </c>
      <c r="G22" s="24" t="s">
        <v>46</v>
      </c>
      <c r="H22" s="24" t="s">
        <v>47</v>
      </c>
      <c r="I22" s="24" t="s">
        <v>42</v>
      </c>
      <c r="J22" s="24" t="s">
        <v>48</v>
      </c>
      <c r="K22" s="24" t="s">
        <v>50</v>
      </c>
      <c r="L22" s="24" t="s">
        <v>51</v>
      </c>
      <c r="M22" s="24" t="s">
        <v>52</v>
      </c>
      <c r="N22" s="24" t="s">
        <v>53</v>
      </c>
      <c r="O22" s="24" t="s">
        <v>54</v>
      </c>
      <c r="P22" s="24" t="s">
        <v>55</v>
      </c>
      <c r="Q22" s="24" t="s">
        <v>56</v>
      </c>
      <c r="R22" s="24" t="s">
        <v>68</v>
      </c>
      <c r="S22" s="24" t="s">
        <v>49</v>
      </c>
      <c r="T22" s="24" t="s">
        <v>57</v>
      </c>
      <c r="U22" s="24" t="s">
        <v>63</v>
      </c>
      <c r="V22" s="24" t="s">
        <v>64</v>
      </c>
      <c r="W22" s="24" t="s">
        <v>67</v>
      </c>
      <c r="X22" s="24" t="s">
        <v>66</v>
      </c>
    </row>
    <row r="23" spans="1:24" x14ac:dyDescent="0.25">
      <c r="A23">
        <v>0.5</v>
      </c>
      <c r="C23">
        <f>'Waste plastic data in 2019'!$B$11*$A$2</f>
        <v>229.71690000000001</v>
      </c>
      <c r="D23">
        <f>'Waste plastic data in 2019'!$B$11*Parameters!$C$4</f>
        <v>194.96609999999998</v>
      </c>
      <c r="E23">
        <f>'Waste plastic data in 2019'!$B$9*Parameters!$C$8+Parameters!$C$11*'Waste plastic data in 2019'!$B$10</f>
        <v>206.74</v>
      </c>
      <c r="F23">
        <f>'Waste plastic data in 2019'!$B$11*$B$2+'Waste plastic data in 2019'!$B$9*$B$9+$B$16*'Waste plastic data in 2019'!$B$10</f>
        <v>1604.2120000000002</v>
      </c>
      <c r="G23">
        <f>F23*Parameters!$C$12+'Sensitivty analysis-'!C23*(1-A23)+'Waste plastic data in 2019'!$B$9*$A$9+$A$16*'Waste plastic data in 2019'!$B$10</f>
        <v>1624.0792939999999</v>
      </c>
      <c r="H23">
        <f>G23*Parameters!$C$16</f>
        <v>1023.1699552199999</v>
      </c>
      <c r="I23">
        <f>G23*(1-Parameters!$C$16)</f>
        <v>600.90933877999998</v>
      </c>
      <c r="J23">
        <f>F23*Parameters!$C$14+'Sensitivty analysis-'!I23*Parameters!$C$18</f>
        <v>1053.6992195120001</v>
      </c>
      <c r="K23">
        <f>J23*Parameters!$C$20</f>
        <v>31.610976585360003</v>
      </c>
      <c r="L23">
        <f>J23*Parameters!$C$19</f>
        <v>231.81382829264004</v>
      </c>
      <c r="M23">
        <f>L23*Parameters!$C$23</f>
        <v>227.17755172678724</v>
      </c>
      <c r="N23">
        <f>C23*A23</f>
        <v>114.85845</v>
      </c>
      <c r="O23">
        <f>H23*Parameters!$C$21</f>
        <v>838.99936328039985</v>
      </c>
      <c r="P23">
        <f>M23+H23*(1-Parameters!$C$21)*Parameters!$C$23</f>
        <v>407.66473182759523</v>
      </c>
      <c r="Q23">
        <f>J23*Parameters!$C$22*Parameters!$C$25</f>
        <v>202.31025014630404</v>
      </c>
      <c r="R23">
        <f>Q23*Parameters!$C$24*10000000</f>
        <v>89016510064.373779</v>
      </c>
      <c r="S23">
        <f>F23*Parameters!$C$13+'Sensitivty analysis-'!K23+'Sensitivty analysis-'!L23*(1-Parameters!$C$23)+'Sensitivty analysis-'!I23*Parameters!$C$17+'Sensitivty analysis-'!H23*(1-Parameters!$C$21)*(1-Parameters!$C$23)</f>
        <v>1131.9969402580048</v>
      </c>
      <c r="T23">
        <f>S23+J23*Parameters!$C$22*(1-Parameters!$C$25)</f>
        <v>1719.9611047457008</v>
      </c>
      <c r="U23">
        <f>O23*Parameters!$C$27+'Sensitivty analysis-'!J23*Parameters!$C$22*Parameters!$C$26</f>
        <v>3490.4836405937276</v>
      </c>
      <c r="V23">
        <f>'Sensitivty analysis-'!O23*(Parameters!$C$28-Parameters!$C$27)</f>
        <v>2447.3611426889261</v>
      </c>
      <c r="W23">
        <f>J23*Parameters!$C$29</f>
        <v>316109765.85360003</v>
      </c>
      <c r="X23">
        <f>W23/1000000</f>
        <v>316.10976585360004</v>
      </c>
    </row>
    <row r="24" spans="1:24" x14ac:dyDescent="0.25">
      <c r="A24">
        <f>A23+0.05</f>
        <v>0.55000000000000004</v>
      </c>
      <c r="C24">
        <f>'Waste plastic data in 2019'!$B$11*$A$2</f>
        <v>229.71690000000001</v>
      </c>
      <c r="D24">
        <f>'Waste plastic data in 2019'!$B$11*Parameters!$C$4</f>
        <v>194.96609999999998</v>
      </c>
      <c r="E24">
        <f>'Waste plastic data in 2019'!$B$9*Parameters!$C$8+Parameters!$C$11*'Waste plastic data in 2019'!$B$10</f>
        <v>206.74</v>
      </c>
      <c r="F24">
        <f>'Waste plastic data in 2019'!$B$11*$B$2+'Waste plastic data in 2019'!$B$9*$B$9+$B$16*'Waste plastic data in 2019'!$B$10</f>
        <v>1604.2120000000002</v>
      </c>
      <c r="G24">
        <f>F24*Parameters!$C$12+'Sensitivty analysis-'!C24*(1-A24)+'Waste plastic data in 2019'!$B$9*$A$9+$A$16*'Waste plastic data in 2019'!$B$10</f>
        <v>1612.593449</v>
      </c>
      <c r="H24">
        <f>G24*Parameters!$C$16</f>
        <v>1015.93387287</v>
      </c>
      <c r="I24">
        <f>G24*(1-Parameters!$C$16)</f>
        <v>596.65957613</v>
      </c>
      <c r="J24">
        <f>F24*Parameters!$C$14+'Sensitivty analysis-'!I24*Parameters!$C$18</f>
        <v>1051.9993144520001</v>
      </c>
      <c r="K24">
        <f>J24*Parameters!$C$20</f>
        <v>31.559979433560002</v>
      </c>
      <c r="L24">
        <f>J24*Parameters!$C$19</f>
        <v>231.43984917944002</v>
      </c>
      <c r="M24">
        <f>L24*Parameters!$C$23</f>
        <v>226.8110521958512</v>
      </c>
      <c r="N24">
        <f t="shared" ref="N24:N28" si="7">C24*A24</f>
        <v>126.34429500000002</v>
      </c>
      <c r="O24">
        <f>H24*Parameters!$C$21</f>
        <v>833.06577575339986</v>
      </c>
      <c r="P24">
        <f>M24+H24*(1-Parameters!$C$21)*Parameters!$C$23</f>
        <v>406.02178737011923</v>
      </c>
      <c r="Q24">
        <f>J24*Parameters!$C$22*Parameters!$C$25</f>
        <v>201.98386837478401</v>
      </c>
      <c r="R24">
        <f>Q24*Parameters!$C$24*10000000</f>
        <v>88872902084.904968</v>
      </c>
      <c r="S24">
        <f>F24*Parameters!$C$13+'Sensitivty analysis-'!K24+'Sensitivty analysis-'!L24*(1-Parameters!$C$23)+'Sensitivty analysis-'!I24*Parameters!$C$17+'Sensitivty analysis-'!H24*(1-Parameters!$C$21)*(1-Parameters!$C$23)</f>
        <v>1129.362556037481</v>
      </c>
      <c r="T24">
        <f>S24+J24*Parameters!$C$22*(1-Parameters!$C$25)</f>
        <v>1716.3781735016969</v>
      </c>
      <c r="U24">
        <f>O24*Parameters!$C$27+'Sensitivty analysis-'!J24*Parameters!$C$22*Parameters!$C$26</f>
        <v>3477.6618539900883</v>
      </c>
      <c r="V24">
        <f>'Sensitivty analysis-'!O24*(Parameters!$C$28-Parameters!$C$27)</f>
        <v>2430.0528678726673</v>
      </c>
      <c r="W24">
        <f>J24*Parameters!$C$29</f>
        <v>315599794.33560002</v>
      </c>
      <c r="X24">
        <f t="shared" ref="X24:X28" si="8">W24/1000000</f>
        <v>315.5997943356</v>
      </c>
    </row>
    <row r="25" spans="1:24" x14ac:dyDescent="0.25">
      <c r="A25">
        <f>A24+0.05</f>
        <v>0.60000000000000009</v>
      </c>
      <c r="C25">
        <f>'Waste plastic data in 2019'!$B$11*$A$2</f>
        <v>229.71690000000001</v>
      </c>
      <c r="D25">
        <f>'Waste plastic data in 2019'!$B$11*Parameters!$C$4</f>
        <v>194.96609999999998</v>
      </c>
      <c r="E25">
        <f>'Waste plastic data in 2019'!$B$9*Parameters!$C$8+Parameters!$C$11*'Waste plastic data in 2019'!$B$10</f>
        <v>206.74</v>
      </c>
      <c r="F25">
        <f>'Waste plastic data in 2019'!$B$11*$B$2+'Waste plastic data in 2019'!$B$9*$B$9+$B$16*'Waste plastic data in 2019'!$B$10</f>
        <v>1604.2120000000002</v>
      </c>
      <c r="G25">
        <f>F25*Parameters!$C$12+'Sensitivty analysis-'!C25*(1-A25)+'Waste plastic data in 2019'!$B$9*$A$9+$A$16*'Waste plastic data in 2019'!$B$10</f>
        <v>1601.107604</v>
      </c>
      <c r="H25">
        <f>G25*Parameters!$C$16</f>
        <v>1008.69779052</v>
      </c>
      <c r="I25">
        <f>G25*(1-Parameters!$C$16)</f>
        <v>592.40981348000003</v>
      </c>
      <c r="J25">
        <f>F25*Parameters!$C$14+'Sensitivty analysis-'!I25*Parameters!$C$18</f>
        <v>1050.2994093920001</v>
      </c>
      <c r="K25">
        <f>J25*Parameters!$C$20</f>
        <v>31.508982281760002</v>
      </c>
      <c r="L25">
        <f>J25*Parameters!$C$19</f>
        <v>231.06587006624002</v>
      </c>
      <c r="M25">
        <f>L25*Parameters!$C$23</f>
        <v>226.44455266491522</v>
      </c>
      <c r="N25">
        <f t="shared" si="7"/>
        <v>137.83014000000003</v>
      </c>
      <c r="O25">
        <f>H25*Parameters!$C$21</f>
        <v>827.13218822639999</v>
      </c>
      <c r="P25">
        <f>M25+H25*(1-Parameters!$C$21)*Parameters!$C$23</f>
        <v>404.37884291264328</v>
      </c>
      <c r="Q25">
        <f>J25*Parameters!$C$22*Parameters!$C$25</f>
        <v>201.65748660326403</v>
      </c>
      <c r="R25">
        <f>Q25*Parameters!$C$24*10000000</f>
        <v>88729294105.436172</v>
      </c>
      <c r="S25">
        <f>F25*Parameters!$C$13+'Sensitivty analysis-'!K25+'Sensitivty analysis-'!L25*(1-Parameters!$C$23)+'Sensitivty analysis-'!I25*Parameters!$C$17+'Sensitivty analysis-'!H25*(1-Parameters!$C$21)*(1-Parameters!$C$23)</f>
        <v>1126.728171816957</v>
      </c>
      <c r="T25">
        <f>S25+J25*Parameters!$C$22*(1-Parameters!$C$25)</f>
        <v>1712.7952422576932</v>
      </c>
      <c r="U25">
        <f>O25*Parameters!$C$27+'Sensitivty analysis-'!J25*Parameters!$C$22*Parameters!$C$26</f>
        <v>3464.840067386448</v>
      </c>
      <c r="V25">
        <f>'Sensitivty analysis-'!O25*(Parameters!$C$28-Parameters!$C$27)</f>
        <v>2412.7445930564086</v>
      </c>
      <c r="W25">
        <f>J25*Parameters!$C$29</f>
        <v>315089822.81760007</v>
      </c>
      <c r="X25">
        <f t="shared" si="8"/>
        <v>315.08982281760007</v>
      </c>
    </row>
    <row r="26" spans="1:24" x14ac:dyDescent="0.25">
      <c r="A26">
        <f t="shared" ref="A26:A28" si="9">A25+0.05</f>
        <v>0.65000000000000013</v>
      </c>
      <c r="C26">
        <f>'Waste plastic data in 2019'!$B$11*$A$2</f>
        <v>229.71690000000001</v>
      </c>
      <c r="D26">
        <f>'Waste plastic data in 2019'!$B$11*Parameters!$C$4</f>
        <v>194.96609999999998</v>
      </c>
      <c r="E26">
        <f>'Waste plastic data in 2019'!$B$9*Parameters!$C$8+Parameters!$C$11*'Waste plastic data in 2019'!$B$10</f>
        <v>206.74</v>
      </c>
      <c r="F26">
        <f>'Waste plastic data in 2019'!$B$11*$B$2+'Waste plastic data in 2019'!$B$9*$B$9+$B$16*'Waste plastic data in 2019'!$B$10</f>
        <v>1604.2120000000002</v>
      </c>
      <c r="G26">
        <f>F26*Parameters!$C$12+'Sensitivty analysis-'!C26*(1-A26)+'Waste plastic data in 2019'!$B$9*$A$9+$A$16*'Waste plastic data in 2019'!$B$10</f>
        <v>1589.6217589999999</v>
      </c>
      <c r="H26">
        <f>G26*Parameters!$C$16</f>
        <v>1001.46170817</v>
      </c>
      <c r="I26">
        <f>G26*(1-Parameters!$C$16)</f>
        <v>588.16005082999993</v>
      </c>
      <c r="J26">
        <f>F26*Parameters!$C$14+'Sensitivty analysis-'!I26*Parameters!$C$18</f>
        <v>1048.5995043319999</v>
      </c>
      <c r="K26">
        <f>J26*Parameters!$C$20</f>
        <v>31.457985129959997</v>
      </c>
      <c r="L26">
        <f>J26*Parameters!$C$19</f>
        <v>230.69189095303997</v>
      </c>
      <c r="M26">
        <f>L26*Parameters!$C$23</f>
        <v>226.07805313397918</v>
      </c>
      <c r="N26">
        <f t="shared" si="7"/>
        <v>149.31598500000004</v>
      </c>
      <c r="O26">
        <f>H26*Parameters!$C$21</f>
        <v>821.19860069939989</v>
      </c>
      <c r="P26">
        <f>M26+H26*(1-Parameters!$C$21)*Parameters!$C$23</f>
        <v>402.73589845516722</v>
      </c>
      <c r="Q26">
        <f>J26*Parameters!$C$22*Parameters!$C$25</f>
        <v>201.331104831744</v>
      </c>
      <c r="R26">
        <f>Q26*Parameters!$C$24*10000000</f>
        <v>88585686125.967361</v>
      </c>
      <c r="S26">
        <f>F26*Parameters!$C$13+'Sensitivty analysis-'!K26+'Sensitivty analysis-'!L26*(1-Parameters!$C$23)+'Sensitivty analysis-'!I26*Parameters!$C$17+'Sensitivty analysis-'!H26*(1-Parameters!$C$21)*(1-Parameters!$C$23)</f>
        <v>1124.093787596433</v>
      </c>
      <c r="T26">
        <f>S26+J26*Parameters!$C$22*(1-Parameters!$C$25)</f>
        <v>1709.212311013689</v>
      </c>
      <c r="U26">
        <f>O26*Parameters!$C$27+'Sensitivty analysis-'!J26*Parameters!$C$22*Parameters!$C$26</f>
        <v>3452.0182807828078</v>
      </c>
      <c r="V26">
        <f>'Sensitivty analysis-'!O26*(Parameters!$C$28-Parameters!$C$27)</f>
        <v>2395.4363182401494</v>
      </c>
      <c r="W26">
        <f>J26*Parameters!$C$29</f>
        <v>314579851.29960001</v>
      </c>
      <c r="X26">
        <f t="shared" si="8"/>
        <v>314.57985129960002</v>
      </c>
    </row>
    <row r="27" spans="1:24" x14ac:dyDescent="0.25">
      <c r="A27">
        <f t="shared" si="9"/>
        <v>0.70000000000000018</v>
      </c>
      <c r="C27">
        <f>'Waste plastic data in 2019'!$B$11*$A$2</f>
        <v>229.71690000000001</v>
      </c>
      <c r="D27">
        <f>'Waste plastic data in 2019'!$B$11*Parameters!$C$4</f>
        <v>194.96609999999998</v>
      </c>
      <c r="E27">
        <f>'Waste plastic data in 2019'!$B$9*Parameters!$C$8+Parameters!$C$11*'Waste plastic data in 2019'!$B$10</f>
        <v>206.74</v>
      </c>
      <c r="F27">
        <f>'Waste plastic data in 2019'!$B$11*$B$2+'Waste plastic data in 2019'!$B$9*$B$9+$B$16*'Waste plastic data in 2019'!$B$10</f>
        <v>1604.2120000000002</v>
      </c>
      <c r="G27">
        <f>F27*Parameters!$C$12+'Sensitivty analysis-'!C27*(1-A27)+'Waste plastic data in 2019'!$B$9*$A$9+$A$16*'Waste plastic data in 2019'!$B$10</f>
        <v>1578.135914</v>
      </c>
      <c r="H27">
        <f>G27*Parameters!$C$16</f>
        <v>994.22562582</v>
      </c>
      <c r="I27">
        <f>G27*(1-Parameters!$C$16)</f>
        <v>583.91028817999995</v>
      </c>
      <c r="J27">
        <f>F27*Parameters!$C$14+'Sensitivty analysis-'!I27*Parameters!$C$18</f>
        <v>1046.8995992720002</v>
      </c>
      <c r="K27">
        <f>J27*Parameters!$C$20</f>
        <v>31.406987978160004</v>
      </c>
      <c r="L27">
        <f>J27*Parameters!$C$19</f>
        <v>230.31791183984004</v>
      </c>
      <c r="M27">
        <f>L27*Parameters!$C$23</f>
        <v>225.71155360304323</v>
      </c>
      <c r="N27">
        <f t="shared" si="7"/>
        <v>160.80183000000005</v>
      </c>
      <c r="O27">
        <f>H27*Parameters!$C$21</f>
        <v>815.2650131723999</v>
      </c>
      <c r="P27">
        <f>M27+H27*(1-Parameters!$C$21)*Parameters!$C$23</f>
        <v>401.09295399769127</v>
      </c>
      <c r="Q27">
        <f>J27*Parameters!$C$22*Parameters!$C$25</f>
        <v>201.00472306022402</v>
      </c>
      <c r="R27">
        <f>Q27*Parameters!$C$24*10000000</f>
        <v>88442078146.498566</v>
      </c>
      <c r="S27">
        <f>F27*Parameters!$C$13+'Sensitivty analysis-'!K27+'Sensitivty analysis-'!L27*(1-Parameters!$C$23)+'Sensitivty analysis-'!I27*Parameters!$C$17+'Sensitivty analysis-'!H27*(1-Parameters!$C$21)*(1-Parameters!$C$23)</f>
        <v>1121.459403375909</v>
      </c>
      <c r="T27">
        <f>S27+J27*Parameters!$C$22*(1-Parameters!$C$25)</f>
        <v>1705.6293797696851</v>
      </c>
      <c r="U27">
        <f>O27*Parameters!$C$27+'Sensitivty analysis-'!J27*Parameters!$C$22*Parameters!$C$26</f>
        <v>3439.1964941791684</v>
      </c>
      <c r="V27">
        <f>'Sensitivty analysis-'!O27*(Parameters!$C$28-Parameters!$C$27)</f>
        <v>2378.1280434238902</v>
      </c>
      <c r="W27">
        <f>J27*Parameters!$C$29</f>
        <v>314069879.78160006</v>
      </c>
      <c r="X27">
        <f t="shared" si="8"/>
        <v>314.06987978160004</v>
      </c>
    </row>
    <row r="28" spans="1:24" x14ac:dyDescent="0.25">
      <c r="A28">
        <f t="shared" si="9"/>
        <v>0.75000000000000022</v>
      </c>
      <c r="C28">
        <f>'Waste plastic data in 2019'!$B$11*$A$2</f>
        <v>229.71690000000001</v>
      </c>
      <c r="D28">
        <f>'Waste plastic data in 2019'!$B$11*Parameters!$C$4</f>
        <v>194.96609999999998</v>
      </c>
      <c r="E28">
        <f>'Waste plastic data in 2019'!$B$9*Parameters!$C$8+Parameters!$C$11*'Waste plastic data in 2019'!$B$10</f>
        <v>206.74</v>
      </c>
      <c r="F28">
        <f>'Waste plastic data in 2019'!$B$11*$B$2+'Waste plastic data in 2019'!$B$9*$B$9+$B$16*'Waste plastic data in 2019'!$B$10</f>
        <v>1604.2120000000002</v>
      </c>
      <c r="G28">
        <f>F28*Parameters!$C$12+'Sensitivty analysis-'!C28*(1-A28)+'Waste plastic data in 2019'!$B$9*$A$9+$A$16*'Waste plastic data in 2019'!$B$10</f>
        <v>1566.650069</v>
      </c>
      <c r="H28">
        <f>G28*Parameters!$C$16</f>
        <v>986.98954347000006</v>
      </c>
      <c r="I28">
        <f>G28*(1-Parameters!$C$16)</f>
        <v>579.66052552999997</v>
      </c>
      <c r="J28">
        <f>F28*Parameters!$C$14+'Sensitivty analysis-'!I28*Parameters!$C$18</f>
        <v>1045.1996942119999</v>
      </c>
      <c r="K28">
        <f>J28*Parameters!$C$20</f>
        <v>31.355990826359996</v>
      </c>
      <c r="L28">
        <f>J28*Parameters!$C$19</f>
        <v>229.94393272663999</v>
      </c>
      <c r="M28">
        <f>L28*Parameters!$C$23</f>
        <v>225.34505407210719</v>
      </c>
      <c r="N28">
        <f t="shared" si="7"/>
        <v>172.28767500000006</v>
      </c>
      <c r="O28">
        <f>H28*Parameters!$C$21</f>
        <v>809.33142564540003</v>
      </c>
      <c r="P28">
        <f>M28+H28*(1-Parameters!$C$21)*Parameters!$C$23</f>
        <v>399.45000954021521</v>
      </c>
      <c r="Q28">
        <f>J28*Parameters!$C$22*Parameters!$C$25</f>
        <v>200.67834128870399</v>
      </c>
      <c r="R28">
        <f>Q28*Parameters!$C$24*10000000</f>
        <v>88298470167.029755</v>
      </c>
      <c r="S28">
        <f>F28*Parameters!$C$13+'Sensitivty analysis-'!K28+'Sensitivty analysis-'!L28*(1-Parameters!$C$23)+'Sensitivty analysis-'!I28*Parameters!$C$17+'Sensitivty analysis-'!H28*(1-Parameters!$C$21)*(1-Parameters!$C$23)</f>
        <v>1118.8250191553848</v>
      </c>
      <c r="T28">
        <f>S28+J28*Parameters!$C$22*(1-Parameters!$C$25)</f>
        <v>1702.0464485256807</v>
      </c>
      <c r="U28">
        <f>O28*Parameters!$C$27+'Sensitivty analysis-'!J28*Parameters!$C$22*Parameters!$C$26</f>
        <v>3426.3747075755282</v>
      </c>
      <c r="V28">
        <f>'Sensitivty analysis-'!O28*(Parameters!$C$28-Parameters!$C$27)</f>
        <v>2360.8197686076319</v>
      </c>
      <c r="W28">
        <f>J28*Parameters!$C$29</f>
        <v>313559908.26359999</v>
      </c>
      <c r="X28">
        <f t="shared" si="8"/>
        <v>313.55990826359999</v>
      </c>
    </row>
    <row r="29" spans="1:24" s="25" customFormat="1" ht="14.4" customHeight="1" x14ac:dyDescent="0.25">
      <c r="C29" s="24" t="s">
        <v>45</v>
      </c>
      <c r="D29" s="24" t="s">
        <v>41</v>
      </c>
      <c r="E29" s="24" t="s">
        <v>44</v>
      </c>
      <c r="F29" s="24" t="s">
        <v>43</v>
      </c>
      <c r="G29" s="24" t="s">
        <v>46</v>
      </c>
      <c r="H29" s="24" t="s">
        <v>47</v>
      </c>
      <c r="I29" s="24" t="s">
        <v>42</v>
      </c>
      <c r="J29" s="24" t="s">
        <v>48</v>
      </c>
      <c r="K29" s="24" t="s">
        <v>50</v>
      </c>
      <c r="L29" s="24" t="s">
        <v>51</v>
      </c>
      <c r="M29" s="24" t="s">
        <v>52</v>
      </c>
      <c r="N29" s="24" t="s">
        <v>53</v>
      </c>
      <c r="O29" s="24" t="s">
        <v>54</v>
      </c>
      <c r="P29" s="24" t="s">
        <v>55</v>
      </c>
      <c r="Q29" s="24" t="s">
        <v>56</v>
      </c>
      <c r="R29" s="24" t="s">
        <v>68</v>
      </c>
      <c r="S29" s="24" t="s">
        <v>49</v>
      </c>
      <c r="T29" s="24" t="s">
        <v>57</v>
      </c>
      <c r="U29" s="24" t="s">
        <v>63</v>
      </c>
      <c r="V29" s="24" t="s">
        <v>64</v>
      </c>
      <c r="W29" s="24" t="s">
        <v>67</v>
      </c>
      <c r="X29" s="24" t="s">
        <v>66</v>
      </c>
    </row>
    <row r="30" spans="1:24" x14ac:dyDescent="0.25">
      <c r="A30">
        <v>0.63</v>
      </c>
      <c r="C30">
        <f>'Waste plastic data in 2019'!$B$11*$A$2</f>
        <v>229.71690000000001</v>
      </c>
      <c r="D30">
        <f>'Waste plastic data in 2019'!$B$11*Parameters!$C$4</f>
        <v>194.96609999999998</v>
      </c>
      <c r="E30">
        <f>'Waste plastic data in 2019'!$B$9*Parameters!$C$8+Parameters!$C$11*'Waste plastic data in 2019'!$B$10</f>
        <v>206.74</v>
      </c>
      <c r="F30">
        <f>'Waste plastic data in 2019'!$B$11*$B$2+'Waste plastic data in 2019'!$B$9*$B$9+$B$16*'Waste plastic data in 2019'!$B$10</f>
        <v>1604.2120000000002</v>
      </c>
      <c r="G30">
        <f>F30*Parameters!$C$12+'Sensitivty analysis-'!C30*(1-$A$23)+'Waste plastic data in 2019'!$B$9*$A$9+$A$16*'Waste plastic data in 2019'!$B$10</f>
        <v>1624.0792939999999</v>
      </c>
      <c r="H30">
        <f>G30*A30</f>
        <v>1023.1699552199999</v>
      </c>
      <c r="I30">
        <f>G30*(1-A30)</f>
        <v>600.90933877999998</v>
      </c>
      <c r="J30">
        <f>F30*Parameters!$C$14+'Sensitivty analysis-'!I30*Parameters!$C$18</f>
        <v>1053.6992195120001</v>
      </c>
      <c r="K30">
        <f>J30*Parameters!$C$20</f>
        <v>31.610976585360003</v>
      </c>
      <c r="L30">
        <f>J30*Parameters!$C$19</f>
        <v>231.81382829264004</v>
      </c>
      <c r="M30">
        <f>L30*Parameters!$C$23</f>
        <v>227.17755172678724</v>
      </c>
      <c r="N30">
        <f>C30*$A$23</f>
        <v>114.85845</v>
      </c>
      <c r="O30">
        <f>H30*Parameters!$C$21</f>
        <v>838.99936328039985</v>
      </c>
      <c r="P30">
        <f>M30+H30*(1-Parameters!$C$21)*Parameters!$C$23</f>
        <v>407.66473182759523</v>
      </c>
      <c r="Q30">
        <f>J30*Parameters!$C$22*Parameters!$C$25</f>
        <v>202.31025014630404</v>
      </c>
      <c r="R30">
        <f>Q30*Parameters!$C$24*10000000</f>
        <v>89016510064.373779</v>
      </c>
      <c r="S30">
        <f>F30*Parameters!$C$13+'Sensitivty analysis-'!K30+'Sensitivty analysis-'!L30*(1-Parameters!$C$23)+'Sensitivty analysis-'!I30*Parameters!$C$17+'Sensitivty analysis-'!H30*(1-Parameters!$C$21)*(1-Parameters!$C$23)</f>
        <v>1131.9969402580048</v>
      </c>
      <c r="T30">
        <f>S30+J30*Parameters!$C$22*(1-Parameters!$C$25)</f>
        <v>1719.9611047457008</v>
      </c>
      <c r="U30">
        <f>O30*Parameters!$C$27+'Sensitivty analysis-'!J30*Parameters!$C$22*Parameters!$C$26</f>
        <v>3490.4836405937276</v>
      </c>
      <c r="V30">
        <f>'Sensitivty analysis-'!O30*(Parameters!$C$28-Parameters!$C$27)</f>
        <v>2447.3611426889261</v>
      </c>
      <c r="W30">
        <f>J30*Parameters!$C$29</f>
        <v>316109765.85360003</v>
      </c>
      <c r="X30">
        <f>W30/1000000</f>
        <v>316.10976585360004</v>
      </c>
    </row>
    <row r="31" spans="1:24" x14ac:dyDescent="0.25">
      <c r="A31">
        <f>A30+0.05</f>
        <v>0.68</v>
      </c>
      <c r="C31">
        <f>'Waste plastic data in 2019'!$B$11*$A$2</f>
        <v>229.71690000000001</v>
      </c>
      <c r="D31">
        <f>'Waste plastic data in 2019'!$B$11*Parameters!$C$4</f>
        <v>194.96609999999998</v>
      </c>
      <c r="E31">
        <f>'Waste plastic data in 2019'!$B$9*Parameters!$C$8+Parameters!$C$11*'Waste plastic data in 2019'!$B$10</f>
        <v>206.74</v>
      </c>
      <c r="F31">
        <f>'Waste plastic data in 2019'!$B$11*$B$2+'Waste plastic data in 2019'!$B$9*$B$9+$B$16*'Waste plastic data in 2019'!$B$10</f>
        <v>1604.2120000000002</v>
      </c>
      <c r="G31">
        <f>F31*Parameters!$C$12+'Sensitivty analysis-'!C31*(1-$A$23)+'Waste plastic data in 2019'!$B$9*$A$9+$A$16*'Waste plastic data in 2019'!$B$10</f>
        <v>1624.0792939999999</v>
      </c>
      <c r="H31">
        <f t="shared" ref="H31:H35" si="10">G31*A31</f>
        <v>1104.3739199199999</v>
      </c>
      <c r="I31">
        <f t="shared" ref="I31:I35" si="11">G31*(1-A31)</f>
        <v>519.70537407999984</v>
      </c>
      <c r="J31">
        <f>F31*Parameters!$C$14+'Sensitivty analysis-'!I31*Parameters!$C$18</f>
        <v>1021.217633632</v>
      </c>
      <c r="K31">
        <f>J31*Parameters!$C$20</f>
        <v>30.63652900896</v>
      </c>
      <c r="L31">
        <f>J31*Parameters!$C$19</f>
        <v>224.66787939904</v>
      </c>
      <c r="M31">
        <f>L31*Parameters!$C$23</f>
        <v>220.17452181105921</v>
      </c>
      <c r="N31">
        <f t="shared" ref="N31:N35" si="12">C31*$A$23</f>
        <v>114.85845</v>
      </c>
      <c r="O31">
        <f>H31*Parameters!$C$21</f>
        <v>905.58661433439988</v>
      </c>
      <c r="P31">
        <f>M31+H31*(1-Parameters!$C$21)*Parameters!$C$23</f>
        <v>414.98608128494726</v>
      </c>
      <c r="Q31">
        <f>J31*Parameters!$C$22*Parameters!$C$25</f>
        <v>196.07378565734402</v>
      </c>
      <c r="R31">
        <f>Q31*Parameters!$C$24*10000000</f>
        <v>86272465689.231369</v>
      </c>
      <c r="S31">
        <f>F31*Parameters!$C$13+'Sensitivty analysis-'!K31+'Sensitivty analysis-'!L31*(1-Parameters!$C$23)+'Sensitivty analysis-'!I31*Parameters!$C$17+'Sensitivty analysis-'!H31*(1-Parameters!$C$21)*(1-Parameters!$C$23)</f>
        <v>1082.4495291566527</v>
      </c>
      <c r="T31">
        <f>S31+J31*Parameters!$C$22*(1-Parameters!$C$25)</f>
        <v>1652.2889687233087</v>
      </c>
      <c r="U31">
        <f>O31*Parameters!$C$27+'Sensitivty analysis-'!J31*Parameters!$C$22*Parameters!$C$26</f>
        <v>3528.0323538710081</v>
      </c>
      <c r="V31">
        <f>'Sensitivty analysis-'!O31*(Parameters!$C$28-Parameters!$C$27)</f>
        <v>2641.5961540134444</v>
      </c>
      <c r="W31">
        <f>J31*Parameters!$C$29</f>
        <v>306365290.08960003</v>
      </c>
      <c r="X31">
        <f t="shared" ref="X31:X35" si="13">W31/1000000</f>
        <v>306.36529008960002</v>
      </c>
    </row>
    <row r="32" spans="1:24" x14ac:dyDescent="0.25">
      <c r="A32">
        <f>A31+0.05</f>
        <v>0.73000000000000009</v>
      </c>
      <c r="C32">
        <f>'Waste plastic data in 2019'!$B$11*$A$2</f>
        <v>229.71690000000001</v>
      </c>
      <c r="D32">
        <f>'Waste plastic data in 2019'!$B$11*Parameters!$C$4</f>
        <v>194.96609999999998</v>
      </c>
      <c r="E32">
        <f>'Waste plastic data in 2019'!$B$9*Parameters!$C$8+Parameters!$C$11*'Waste plastic data in 2019'!$B$10</f>
        <v>206.74</v>
      </c>
      <c r="F32">
        <f>'Waste plastic data in 2019'!$B$11*$B$2+'Waste plastic data in 2019'!$B$9*$B$9+$B$16*'Waste plastic data in 2019'!$B$10</f>
        <v>1604.2120000000002</v>
      </c>
      <c r="G32">
        <f>F32*Parameters!$C$12+'Sensitivty analysis-'!C32*(1-$A$23)+'Waste plastic data in 2019'!$B$9*$A$9+$A$16*'Waste plastic data in 2019'!$B$10</f>
        <v>1624.0792939999999</v>
      </c>
      <c r="H32">
        <f t="shared" si="10"/>
        <v>1185.5778846200001</v>
      </c>
      <c r="I32">
        <f t="shared" si="11"/>
        <v>438.50140937999981</v>
      </c>
      <c r="J32">
        <f>F32*Parameters!$C$14+'Sensitivty analysis-'!I32*Parameters!$C$18</f>
        <v>988.73604775199999</v>
      </c>
      <c r="K32">
        <f>J32*Parameters!$C$20</f>
        <v>29.662081432559997</v>
      </c>
      <c r="L32">
        <f>J32*Parameters!$C$19</f>
        <v>217.52193050544</v>
      </c>
      <c r="M32">
        <f>L32*Parameters!$C$23</f>
        <v>213.1714918953312</v>
      </c>
      <c r="N32">
        <f t="shared" si="12"/>
        <v>114.85845</v>
      </c>
      <c r="O32">
        <f>H32*Parameters!$C$21</f>
        <v>972.17386538840003</v>
      </c>
      <c r="P32">
        <f>M32+H32*(1-Parameters!$C$21)*Parameters!$C$23</f>
        <v>422.30743074229929</v>
      </c>
      <c r="Q32">
        <f>J32*Parameters!$C$22*Parameters!$C$25</f>
        <v>189.83732116838399</v>
      </c>
      <c r="R32">
        <f>Q32*Parameters!$C$24*10000000</f>
        <v>83528421314.088959</v>
      </c>
      <c r="S32">
        <f>F32*Parameters!$C$13+'Sensitivty analysis-'!K32+'Sensitivty analysis-'!L32*(1-Parameters!$C$23)+'Sensitivty analysis-'!I32*Parameters!$C$17+'Sensitivty analysis-'!H32*(1-Parameters!$C$21)*(1-Parameters!$C$23)</f>
        <v>1032.9021180553007</v>
      </c>
      <c r="T32">
        <f>S32+J32*Parameters!$C$22*(1-Parameters!$C$25)</f>
        <v>1584.6168327009166</v>
      </c>
      <c r="U32">
        <f>O32*Parameters!$C$27+'Sensitivty analysis-'!J32*Parameters!$C$22*Parameters!$C$26</f>
        <v>3565.5810671482877</v>
      </c>
      <c r="V32">
        <f>'Sensitivty analysis-'!O32*(Parameters!$C$28-Parameters!$C$27)</f>
        <v>2835.8311653379628</v>
      </c>
      <c r="W32">
        <f>J32*Parameters!$C$29</f>
        <v>296620814.32559997</v>
      </c>
      <c r="X32">
        <f t="shared" si="13"/>
        <v>296.62081432559995</v>
      </c>
    </row>
    <row r="33" spans="1:26" x14ac:dyDescent="0.25">
      <c r="A33">
        <f t="shared" ref="A33:A35" si="14">A32+0.05</f>
        <v>0.78000000000000014</v>
      </c>
      <c r="C33">
        <f>'Waste plastic data in 2019'!$B$11*$A$2</f>
        <v>229.71690000000001</v>
      </c>
      <c r="D33">
        <f>'Waste plastic data in 2019'!$B$11*Parameters!$C$4</f>
        <v>194.96609999999998</v>
      </c>
      <c r="E33">
        <f>'Waste plastic data in 2019'!$B$9*Parameters!$C$8+Parameters!$C$11*'Waste plastic data in 2019'!$B$10</f>
        <v>206.74</v>
      </c>
      <c r="F33">
        <f>'Waste plastic data in 2019'!$B$11*$B$2+'Waste plastic data in 2019'!$B$9*$B$9+$B$16*'Waste plastic data in 2019'!$B$10</f>
        <v>1604.2120000000002</v>
      </c>
      <c r="G33">
        <f>F33*Parameters!$C$12+'Sensitivty analysis-'!C33*(1-$A$23)+'Waste plastic data in 2019'!$B$9*$A$9+$A$16*'Waste plastic data in 2019'!$B$10</f>
        <v>1624.0792939999999</v>
      </c>
      <c r="H33">
        <f t="shared" si="10"/>
        <v>1266.7818493200002</v>
      </c>
      <c r="I33">
        <f t="shared" si="11"/>
        <v>357.29744467999973</v>
      </c>
      <c r="J33">
        <f>F33*Parameters!$C$14+'Sensitivty analysis-'!I33*Parameters!$C$18</f>
        <v>956.25446187199998</v>
      </c>
      <c r="K33">
        <f>J33*Parameters!$C$20</f>
        <v>28.687633856159998</v>
      </c>
      <c r="L33">
        <f>J33*Parameters!$C$19</f>
        <v>210.37598161183999</v>
      </c>
      <c r="M33">
        <f>L33*Parameters!$C$23</f>
        <v>206.16846197960319</v>
      </c>
      <c r="N33">
        <f t="shared" si="12"/>
        <v>114.85845</v>
      </c>
      <c r="O33">
        <f>H33*Parameters!$C$21</f>
        <v>1038.7611164424002</v>
      </c>
      <c r="P33">
        <f>M33+H33*(1-Parameters!$C$21)*Parameters!$C$23</f>
        <v>429.62878019965126</v>
      </c>
      <c r="Q33">
        <f>J33*Parameters!$C$22*Parameters!$C$25</f>
        <v>183.600856679424</v>
      </c>
      <c r="R33">
        <f>Q33*Parameters!$C$24*10000000</f>
        <v>80784376938.946564</v>
      </c>
      <c r="S33">
        <f>F33*Parameters!$C$13+'Sensitivty analysis-'!K33+'Sensitivty analysis-'!L33*(1-Parameters!$C$23)+'Sensitivty analysis-'!I33*Parameters!$C$17+'Sensitivty analysis-'!H33*(1-Parameters!$C$21)*(1-Parameters!$C$23)</f>
        <v>983.35470695394872</v>
      </c>
      <c r="T33">
        <f>S33+J33*Parameters!$C$22*(1-Parameters!$C$25)</f>
        <v>1516.9446966785247</v>
      </c>
      <c r="U33">
        <f>O33*Parameters!$C$27+'Sensitivty analysis-'!J33*Parameters!$C$22*Parameters!$C$26</f>
        <v>3603.1297804255682</v>
      </c>
      <c r="V33">
        <f>'Sensitivty analysis-'!O33*(Parameters!$C$28-Parameters!$C$27)</f>
        <v>3030.0661766624812</v>
      </c>
      <c r="W33">
        <f>J33*Parameters!$C$29</f>
        <v>286876338.56159997</v>
      </c>
      <c r="X33">
        <f t="shared" si="13"/>
        <v>286.87633856159999</v>
      </c>
    </row>
    <row r="34" spans="1:26" x14ac:dyDescent="0.25">
      <c r="A34">
        <f t="shared" si="14"/>
        <v>0.83000000000000018</v>
      </c>
      <c r="C34">
        <f>'Waste plastic data in 2019'!$B$11*$A$2</f>
        <v>229.71690000000001</v>
      </c>
      <c r="D34">
        <f>'Waste plastic data in 2019'!$B$11*Parameters!$C$4</f>
        <v>194.96609999999998</v>
      </c>
      <c r="E34">
        <f>'Waste plastic data in 2019'!$B$9*Parameters!$C$8+Parameters!$C$11*'Waste plastic data in 2019'!$B$10</f>
        <v>206.74</v>
      </c>
      <c r="F34">
        <f>'Waste plastic data in 2019'!$B$11*$B$2+'Waste plastic data in 2019'!$B$9*$B$9+$B$16*'Waste plastic data in 2019'!$B$10</f>
        <v>1604.2120000000002</v>
      </c>
      <c r="G34">
        <f>F34*Parameters!$C$12+'Sensitivty analysis-'!C34*(1-$A$23)+'Waste plastic data in 2019'!$B$9*$A$9+$A$16*'Waste plastic data in 2019'!$B$10</f>
        <v>1624.0792939999999</v>
      </c>
      <c r="H34">
        <f t="shared" si="10"/>
        <v>1347.9858140200001</v>
      </c>
      <c r="I34">
        <f t="shared" si="11"/>
        <v>276.0934799799997</v>
      </c>
      <c r="J34">
        <f>F34*Parameters!$C$14+'Sensitivty analysis-'!I34*Parameters!$C$18</f>
        <v>923.77287599199997</v>
      </c>
      <c r="K34">
        <f>J34*Parameters!$C$20</f>
        <v>27.713186279759999</v>
      </c>
      <c r="L34">
        <f>J34*Parameters!$C$19</f>
        <v>203.23003271823998</v>
      </c>
      <c r="M34">
        <f>L34*Parameters!$C$23</f>
        <v>199.16543206387519</v>
      </c>
      <c r="N34">
        <f t="shared" si="12"/>
        <v>114.85845</v>
      </c>
      <c r="O34">
        <f>H34*Parameters!$C$21</f>
        <v>1105.3483674964</v>
      </c>
      <c r="P34">
        <f>M34+H34*(1-Parameters!$C$21)*Parameters!$C$23</f>
        <v>436.95012965700323</v>
      </c>
      <c r="Q34">
        <f>J34*Parameters!$C$22*Parameters!$C$25</f>
        <v>177.364392190464</v>
      </c>
      <c r="R34">
        <f>Q34*Parameters!$C$24*10000000</f>
        <v>78040332563.804153</v>
      </c>
      <c r="S34">
        <f>F34*Parameters!$C$13+'Sensitivty analysis-'!K34+'Sensitivty analysis-'!L34*(1-Parameters!$C$23)+'Sensitivty analysis-'!I34*Parameters!$C$17+'Sensitivty analysis-'!H34*(1-Parameters!$C$21)*(1-Parameters!$C$23)</f>
        <v>933.80729585259667</v>
      </c>
      <c r="T34">
        <f>S34+J34*Parameters!$C$22*(1-Parameters!$C$25)</f>
        <v>1449.2725606561326</v>
      </c>
      <c r="U34">
        <f>O34*Parameters!$C$27+'Sensitivty analysis-'!J34*Parameters!$C$22*Parameters!$C$26</f>
        <v>3640.6784937028478</v>
      </c>
      <c r="V34">
        <f>'Sensitivty analysis-'!O34*(Parameters!$C$28-Parameters!$C$27)</f>
        <v>3224.3011879869987</v>
      </c>
      <c r="W34">
        <f>J34*Parameters!$C$29</f>
        <v>277131862.79759997</v>
      </c>
      <c r="X34">
        <f t="shared" si="13"/>
        <v>277.13186279759998</v>
      </c>
    </row>
    <row r="35" spans="1:26" x14ac:dyDescent="0.25">
      <c r="A35">
        <f t="shared" si="14"/>
        <v>0.88000000000000023</v>
      </c>
      <c r="C35">
        <f>'Waste plastic data in 2019'!$B$11*$A$2</f>
        <v>229.71690000000001</v>
      </c>
      <c r="D35">
        <f>'Waste plastic data in 2019'!$B$11*Parameters!$C$4</f>
        <v>194.96609999999998</v>
      </c>
      <c r="E35">
        <f>'Waste plastic data in 2019'!$B$9*Parameters!$C$8+Parameters!$C$11*'Waste plastic data in 2019'!$B$10</f>
        <v>206.74</v>
      </c>
      <c r="F35">
        <f>'Waste plastic data in 2019'!$B$11*$B$2+'Waste plastic data in 2019'!$B$9*$B$9+$B$16*'Waste plastic data in 2019'!$B$10</f>
        <v>1604.2120000000002</v>
      </c>
      <c r="G35">
        <f>F35*Parameters!$C$12+'Sensitivty analysis-'!C35*(1-$A$23)+'Waste plastic data in 2019'!$B$9*$A$9+$A$16*'Waste plastic data in 2019'!$B$10</f>
        <v>1624.0792939999999</v>
      </c>
      <c r="H35">
        <f t="shared" si="10"/>
        <v>1429.1897787200003</v>
      </c>
      <c r="I35">
        <f t="shared" si="11"/>
        <v>194.88951527999961</v>
      </c>
      <c r="J35">
        <f>F35*Parameters!$C$14+'Sensitivty analysis-'!I35*Parameters!$C$18</f>
        <v>891.29129011199996</v>
      </c>
      <c r="K35">
        <f>J35*Parameters!$C$20</f>
        <v>26.738738703359999</v>
      </c>
      <c r="L35">
        <f>J35*Parameters!$C$19</f>
        <v>196.08408382464</v>
      </c>
      <c r="M35">
        <f>L35*Parameters!$C$23</f>
        <v>192.16240214814721</v>
      </c>
      <c r="N35">
        <f t="shared" si="12"/>
        <v>114.85845</v>
      </c>
      <c r="O35">
        <f>H35*Parameters!$C$21</f>
        <v>1171.9356185504002</v>
      </c>
      <c r="P35">
        <f>M35+H35*(1-Parameters!$C$21)*Parameters!$C$23</f>
        <v>444.27147911435532</v>
      </c>
      <c r="Q35">
        <f>J35*Parameters!$C$22*Parameters!$C$25</f>
        <v>171.12792770150401</v>
      </c>
      <c r="R35">
        <f>Q35*Parameters!$C$24*10000000</f>
        <v>75296288188.661758</v>
      </c>
      <c r="S35">
        <f>F35*Parameters!$C$13+'Sensitivty analysis-'!K35+'Sensitivty analysis-'!L35*(1-Parameters!$C$23)+'Sensitivty analysis-'!I35*Parameters!$C$17+'Sensitivty analysis-'!H35*(1-Parameters!$C$21)*(1-Parameters!$C$23)</f>
        <v>884.25988475124461</v>
      </c>
      <c r="T35">
        <f>S35+J35*Parameters!$C$22*(1-Parameters!$C$25)</f>
        <v>1381.6004246337407</v>
      </c>
      <c r="U35">
        <f>O35*Parameters!$C$27+'Sensitivty analysis-'!J35*Parameters!$C$22*Parameters!$C$26</f>
        <v>3678.2272069801284</v>
      </c>
      <c r="V35">
        <f>'Sensitivty analysis-'!O35*(Parameters!$C$28-Parameters!$C$27)</f>
        <v>3418.5361993115175</v>
      </c>
      <c r="W35">
        <f>J35*Parameters!$C$29</f>
        <v>267387387.03359997</v>
      </c>
      <c r="X35">
        <f t="shared" si="13"/>
        <v>267.38738703359996</v>
      </c>
    </row>
    <row r="36" spans="1:26" s="25" customFormat="1" x14ac:dyDescent="0.25">
      <c r="C36" s="24" t="s">
        <v>45</v>
      </c>
      <c r="D36" s="24" t="s">
        <v>41</v>
      </c>
      <c r="E36" s="24" t="s">
        <v>44</v>
      </c>
      <c r="F36" s="24" t="s">
        <v>43</v>
      </c>
      <c r="G36" s="24" t="s">
        <v>46</v>
      </c>
      <c r="H36" s="24" t="s">
        <v>47</v>
      </c>
      <c r="I36" s="24" t="s">
        <v>42</v>
      </c>
      <c r="J36" s="24" t="s">
        <v>48</v>
      </c>
      <c r="K36" s="24" t="s">
        <v>50</v>
      </c>
      <c r="L36" s="24" t="s">
        <v>51</v>
      </c>
      <c r="M36" s="24" t="s">
        <v>52</v>
      </c>
      <c r="N36" s="24" t="s">
        <v>53</v>
      </c>
      <c r="O36" s="24" t="s">
        <v>54</v>
      </c>
      <c r="P36" s="24" t="s">
        <v>55</v>
      </c>
      <c r="Q36" s="24" t="s">
        <v>56</v>
      </c>
      <c r="R36" s="24" t="s">
        <v>68</v>
      </c>
      <c r="S36" s="24" t="s">
        <v>49</v>
      </c>
      <c r="T36" s="24" t="s">
        <v>57</v>
      </c>
      <c r="U36" s="24" t="s">
        <v>63</v>
      </c>
      <c r="V36" s="24" t="s">
        <v>64</v>
      </c>
      <c r="W36" s="24" t="s">
        <v>67</v>
      </c>
      <c r="X36" s="24" t="s">
        <v>66</v>
      </c>
    </row>
    <row r="37" spans="1:26" x14ac:dyDescent="0.25">
      <c r="A37">
        <v>0.75</v>
      </c>
      <c r="C37">
        <f>'Waste plastic data in 2019'!$B$11*$A$2</f>
        <v>229.71690000000001</v>
      </c>
      <c r="D37">
        <f>'Waste plastic data in 2019'!$B$11*Parameters!$C$4</f>
        <v>194.96609999999998</v>
      </c>
      <c r="E37">
        <f>'Waste plastic data in 2019'!$B$9*Parameters!$C$8+Parameters!$C$11*'Waste plastic data in 2019'!$B$10</f>
        <v>206.74</v>
      </c>
      <c r="F37">
        <f>'Waste plastic data in 2019'!$B$11*$B$2+'Waste plastic data in 2019'!$B$9*$B$9+$B$16*'Waste plastic data in 2019'!$B$10</f>
        <v>1604.2120000000002</v>
      </c>
      <c r="G37">
        <f>F37*Parameters!$C$12+'Sensitivty analysis-'!C37*(1-$A$23)+'Waste plastic data in 2019'!$B$9*$A$9+$A$16*'Waste plastic data in 2019'!$B$10</f>
        <v>1624.0792939999999</v>
      </c>
      <c r="H37">
        <f>G37*$A$30</f>
        <v>1023.1699552199999</v>
      </c>
      <c r="I37">
        <f>G37*(1-$A$30)</f>
        <v>600.90933877999998</v>
      </c>
      <c r="J37">
        <f>F37*Parameters!$C$14+'Sensitivty analysis-'!I37*Parameters!$C$18</f>
        <v>1053.6992195120001</v>
      </c>
      <c r="K37">
        <f>J37*Z37</f>
        <v>31.610976585360003</v>
      </c>
      <c r="L37">
        <f>J37*Y37</f>
        <v>231.81382829264004</v>
      </c>
      <c r="M37">
        <f>L37*Parameters!$C$23</f>
        <v>227.17755172678724</v>
      </c>
      <c r="N37">
        <f>C37*$A$23</f>
        <v>114.85845</v>
      </c>
      <c r="O37">
        <f>H37*Parameters!$C$21</f>
        <v>838.99936328039985</v>
      </c>
      <c r="P37">
        <f>M37+H37*(1-Parameters!$C$21)*Parameters!$C$23</f>
        <v>407.66473182759523</v>
      </c>
      <c r="Q37">
        <f>J37*A37*Parameters!$C$25</f>
        <v>202.31025014630404</v>
      </c>
      <c r="R37">
        <f>Q37*Parameters!$C$24*10000000</f>
        <v>89016510064.373779</v>
      </c>
      <c r="S37">
        <f>F37*Parameters!$C$13+'Sensitivty analysis-'!K37+'Sensitivty analysis-'!L37*(1-Parameters!$C$23)+'Sensitivty analysis-'!I37*Parameters!$C$17+'Sensitivty analysis-'!H37*(1-Parameters!$C$21)*(1-Parameters!$C$23)</f>
        <v>1131.9969402580048</v>
      </c>
      <c r="T37">
        <f>S37+J37*A37*(1-Parameters!$C$25)</f>
        <v>1719.9611047457008</v>
      </c>
      <c r="U37">
        <f>O37*Parameters!$C$27+'Sensitivty analysis-'!J37*A37*Parameters!$C$26</f>
        <v>3490.4836405937276</v>
      </c>
      <c r="V37">
        <f>'Sensitivty analysis-'!O37*(Parameters!$C$28-Parameters!$C$27)</f>
        <v>2447.3611426889261</v>
      </c>
      <c r="W37">
        <f>J37*Parameters!$C$29</f>
        <v>316109765.85360003</v>
      </c>
      <c r="X37">
        <f>W37/1000000</f>
        <v>316.10976585360004</v>
      </c>
      <c r="Y37">
        <v>0.22</v>
      </c>
      <c r="Z37">
        <v>0.03</v>
      </c>
    </row>
    <row r="38" spans="1:26" x14ac:dyDescent="0.25">
      <c r="A38">
        <f>A37+0.05</f>
        <v>0.8</v>
      </c>
      <c r="C38">
        <f>'Waste plastic data in 2019'!$B$11*$A$2</f>
        <v>229.71690000000001</v>
      </c>
      <c r="D38">
        <f>'Waste plastic data in 2019'!$B$11*Parameters!$C$4</f>
        <v>194.96609999999998</v>
      </c>
      <c r="E38">
        <f>'Waste plastic data in 2019'!$B$9*Parameters!$C$8+Parameters!$C$11*'Waste plastic data in 2019'!$B$10</f>
        <v>206.74</v>
      </c>
      <c r="F38">
        <f>'Waste plastic data in 2019'!$B$11*$B$2+'Waste plastic data in 2019'!$B$9*$B$9+$B$16*'Waste plastic data in 2019'!$B$10</f>
        <v>1604.2120000000002</v>
      </c>
      <c r="G38">
        <f>F38*Parameters!$C$12+'Sensitivty analysis-'!C38*(1-$A$23)+'Waste plastic data in 2019'!$B$9*$A$9+$A$16*'Waste plastic data in 2019'!$B$10</f>
        <v>1624.0792939999999</v>
      </c>
      <c r="H38">
        <f t="shared" ref="H38:H42" si="15">G38*$A$30</f>
        <v>1023.1699552199999</v>
      </c>
      <c r="I38">
        <f t="shared" ref="I38:I42" si="16">G38*(1-$A$30)</f>
        <v>600.90933877999998</v>
      </c>
      <c r="J38">
        <f>F38*Parameters!$C$14+'Sensitivty analysis-'!I38*Parameters!$C$18</f>
        <v>1053.6992195120001</v>
      </c>
      <c r="K38">
        <f t="shared" ref="K38:K42" si="17">J38*Z38</f>
        <v>25.288781268288005</v>
      </c>
      <c r="L38">
        <f t="shared" ref="L38:L42" si="18">J38*Y38</f>
        <v>185.45106263411202</v>
      </c>
      <c r="M38">
        <f>L38*Parameters!$C$23</f>
        <v>181.74204138142977</v>
      </c>
      <c r="N38">
        <f t="shared" ref="N38:N42" si="19">C38*$A$23</f>
        <v>114.85845</v>
      </c>
      <c r="O38">
        <f>H38*Parameters!$C$21</f>
        <v>838.99936328039985</v>
      </c>
      <c r="P38">
        <f>M38+H38*(1-Parameters!$C$21)*Parameters!$C$23</f>
        <v>362.22922148223779</v>
      </c>
      <c r="Q38">
        <f>J38*A38*Parameters!$C$25</f>
        <v>215.79760015605763</v>
      </c>
      <c r="R38">
        <f>Q38*Parameters!$C$24*10000000</f>
        <v>94950944068.665359</v>
      </c>
      <c r="S38">
        <f>F38*Parameters!$C$13+'Sensitivty analysis-'!K38+'Sensitivty analysis-'!L38*(1-Parameters!$C$23)+'Sensitivty analysis-'!I38*Parameters!$C$17+'Sensitivty analysis-'!H38*(1-Parameters!$C$21)*(1-Parameters!$C$23)</f>
        <v>1124.7474896277622</v>
      </c>
      <c r="T38">
        <f>S38+J38*A38*(1-Parameters!$C$25)</f>
        <v>1751.9092650813045</v>
      </c>
      <c r="U38">
        <f>O38*Parameters!$C$27+'Sensitivty analysis-'!J38*A38*Parameters!$C$26</f>
        <v>3635.3672832766279</v>
      </c>
      <c r="V38">
        <f>'Sensitivty analysis-'!O38*(Parameters!$C$28-Parameters!$C$27)</f>
        <v>2447.3611426889261</v>
      </c>
      <c r="W38">
        <f>J38*Parameters!$C$29</f>
        <v>316109765.85360003</v>
      </c>
      <c r="X38">
        <f t="shared" ref="X38:X42" si="20">W38/1000000</f>
        <v>316.10976585360004</v>
      </c>
      <c r="Y38">
        <f>Y37-0.044</f>
        <v>0.17599999999999999</v>
      </c>
      <c r="Z38">
        <f>Z37-0.006</f>
        <v>2.4E-2</v>
      </c>
    </row>
    <row r="39" spans="1:26" x14ac:dyDescent="0.25">
      <c r="A39">
        <f>A38+0.05</f>
        <v>0.85000000000000009</v>
      </c>
      <c r="C39">
        <f>'Waste plastic data in 2019'!$B$11*$A$2</f>
        <v>229.71690000000001</v>
      </c>
      <c r="D39">
        <f>'Waste plastic data in 2019'!$B$11*Parameters!$C$4</f>
        <v>194.96609999999998</v>
      </c>
      <c r="E39">
        <f>'Waste plastic data in 2019'!$B$9*Parameters!$C$8+Parameters!$C$11*'Waste plastic data in 2019'!$B$10</f>
        <v>206.74</v>
      </c>
      <c r="F39">
        <f>'Waste plastic data in 2019'!$B$11*$B$2+'Waste plastic data in 2019'!$B$9*$B$9+$B$16*'Waste plastic data in 2019'!$B$10</f>
        <v>1604.2120000000002</v>
      </c>
      <c r="G39">
        <f>F39*Parameters!$C$12+'Sensitivty analysis-'!C39*(1-$A$23)+'Waste plastic data in 2019'!$B$9*$A$9+$A$16*'Waste plastic data in 2019'!$B$10</f>
        <v>1624.0792939999999</v>
      </c>
      <c r="H39">
        <f t="shared" si="15"/>
        <v>1023.1699552199999</v>
      </c>
      <c r="I39">
        <f t="shared" si="16"/>
        <v>600.90933877999998</v>
      </c>
      <c r="J39">
        <f>F39*Parameters!$C$14+'Sensitivty analysis-'!I39*Parameters!$C$18</f>
        <v>1053.6992195120001</v>
      </c>
      <c r="K39">
        <f t="shared" si="17"/>
        <v>18.966585951216004</v>
      </c>
      <c r="L39">
        <f t="shared" si="18"/>
        <v>139.08829697558403</v>
      </c>
      <c r="M39">
        <f>L39*Parameters!$C$23</f>
        <v>136.30653103607236</v>
      </c>
      <c r="N39">
        <f t="shared" si="19"/>
        <v>114.85845</v>
      </c>
      <c r="O39">
        <f>H39*Parameters!$C$21</f>
        <v>838.99936328039985</v>
      </c>
      <c r="P39">
        <f>M39+H39*(1-Parameters!$C$21)*Parameters!$C$23</f>
        <v>316.79371113688035</v>
      </c>
      <c r="Q39">
        <f>J39*A39*Parameters!$C$25</f>
        <v>229.28495016581127</v>
      </c>
      <c r="R39">
        <f>Q39*Parameters!$C$24*10000000</f>
        <v>100885378072.95695</v>
      </c>
      <c r="S39">
        <f>F39*Parameters!$C$13+'Sensitivty analysis-'!K39+'Sensitivty analysis-'!L39*(1-Parameters!$C$23)+'Sensitivty analysis-'!I39*Parameters!$C$17+'Sensitivty analysis-'!H39*(1-Parameters!$C$21)*(1-Parameters!$C$23)</f>
        <v>1117.4980389975196</v>
      </c>
      <c r="T39">
        <f>S39+J39*A39*(1-Parameters!$C$25)</f>
        <v>1783.8574254169087</v>
      </c>
      <c r="U39">
        <f>O39*Parameters!$C$27+'Sensitivty analysis-'!J39*A39*Parameters!$C$26</f>
        <v>3780.2509259595281</v>
      </c>
      <c r="V39">
        <f>'Sensitivty analysis-'!O39*(Parameters!$C$28-Parameters!$C$27)</f>
        <v>2447.3611426889261</v>
      </c>
      <c r="W39">
        <f>J39*Parameters!$C$29</f>
        <v>316109765.85360003</v>
      </c>
      <c r="X39">
        <f t="shared" si="20"/>
        <v>316.10976585360004</v>
      </c>
      <c r="Y39">
        <f>Y38-0.044</f>
        <v>0.13200000000000001</v>
      </c>
      <c r="Z39">
        <f t="shared" ref="Z39:Z42" si="21">Z38-0.006</f>
        <v>1.8000000000000002E-2</v>
      </c>
    </row>
    <row r="40" spans="1:26" x14ac:dyDescent="0.25">
      <c r="A40">
        <f t="shared" ref="A40:A42" si="22">A39+0.05</f>
        <v>0.90000000000000013</v>
      </c>
      <c r="C40">
        <f>'Waste plastic data in 2019'!$B$11*$A$2</f>
        <v>229.71690000000001</v>
      </c>
      <c r="D40">
        <f>'Waste plastic data in 2019'!$B$11*Parameters!$C$4</f>
        <v>194.96609999999998</v>
      </c>
      <c r="E40">
        <f>'Waste plastic data in 2019'!$B$9*Parameters!$C$8+Parameters!$C$11*'Waste plastic data in 2019'!$B$10</f>
        <v>206.74</v>
      </c>
      <c r="F40">
        <f>'Waste plastic data in 2019'!$B$11*$B$2+'Waste plastic data in 2019'!$B$9*$B$9+$B$16*'Waste plastic data in 2019'!$B$10</f>
        <v>1604.2120000000002</v>
      </c>
      <c r="G40">
        <f>F40*Parameters!$C$12+'Sensitivty analysis-'!C40*(1-$A$23)+'Waste plastic data in 2019'!$B$9*$A$9+$A$16*'Waste plastic data in 2019'!$B$10</f>
        <v>1624.0792939999999</v>
      </c>
      <c r="H40">
        <f t="shared" si="15"/>
        <v>1023.1699552199999</v>
      </c>
      <c r="I40">
        <f t="shared" si="16"/>
        <v>600.90933877999998</v>
      </c>
      <c r="J40">
        <f>F40*Parameters!$C$14+'Sensitivty analysis-'!I40*Parameters!$C$18</f>
        <v>1053.6992195120001</v>
      </c>
      <c r="K40">
        <f t="shared" si="17"/>
        <v>12.644390634144004</v>
      </c>
      <c r="L40">
        <f t="shared" si="18"/>
        <v>92.725531317056024</v>
      </c>
      <c r="M40">
        <f>L40*Parameters!$C$23</f>
        <v>90.8710206907149</v>
      </c>
      <c r="N40">
        <f t="shared" si="19"/>
        <v>114.85845</v>
      </c>
      <c r="O40">
        <f>H40*Parameters!$C$21</f>
        <v>838.99936328039985</v>
      </c>
      <c r="P40">
        <f>M40+H40*(1-Parameters!$C$21)*Parameters!$C$23</f>
        <v>271.3582007915229</v>
      </c>
      <c r="Q40">
        <f>J40*A40*Parameters!$C$25</f>
        <v>242.77230017556485</v>
      </c>
      <c r="R40">
        <f>Q40*Parameters!$C$24*10000000</f>
        <v>106819812077.24854</v>
      </c>
      <c r="S40">
        <f>F40*Parameters!$C$13+'Sensitivty analysis-'!K40+'Sensitivty analysis-'!L40*(1-Parameters!$C$23)+'Sensitivty analysis-'!I40*Parameters!$C$17+'Sensitivty analysis-'!H40*(1-Parameters!$C$21)*(1-Parameters!$C$23)</f>
        <v>1110.2485883672771</v>
      </c>
      <c r="T40">
        <f>S40+J40*A40*(1-Parameters!$C$25)</f>
        <v>1815.8055857525123</v>
      </c>
      <c r="U40">
        <f>O40*Parameters!$C$27+'Sensitivty analysis-'!J40*A40*Parameters!$C$26</f>
        <v>3925.1345686424283</v>
      </c>
      <c r="V40">
        <f>'Sensitivty analysis-'!O40*(Parameters!$C$28-Parameters!$C$27)</f>
        <v>2447.3611426889261</v>
      </c>
      <c r="W40">
        <f>J40*Parameters!$C$29</f>
        <v>316109765.85360003</v>
      </c>
      <c r="X40">
        <f t="shared" si="20"/>
        <v>316.10976585360004</v>
      </c>
      <c r="Y40">
        <f t="shared" ref="Y40:Y42" si="23">Y39-0.044</f>
        <v>8.8000000000000009E-2</v>
      </c>
      <c r="Z40">
        <f t="shared" si="21"/>
        <v>1.2000000000000002E-2</v>
      </c>
    </row>
    <row r="41" spans="1:26" x14ac:dyDescent="0.25">
      <c r="A41">
        <f t="shared" si="22"/>
        <v>0.95000000000000018</v>
      </c>
      <c r="C41">
        <f>'Waste plastic data in 2019'!$B$11*$A$2</f>
        <v>229.71690000000001</v>
      </c>
      <c r="D41">
        <f>'Waste plastic data in 2019'!$B$11*Parameters!$C$4</f>
        <v>194.96609999999998</v>
      </c>
      <c r="E41">
        <f>'Waste plastic data in 2019'!$B$9*Parameters!$C$8+Parameters!$C$11*'Waste plastic data in 2019'!$B$10</f>
        <v>206.74</v>
      </c>
      <c r="F41">
        <f>'Waste plastic data in 2019'!$B$11*$B$2+'Waste plastic data in 2019'!$B$9*$B$9+$B$16*'Waste plastic data in 2019'!$B$10</f>
        <v>1604.2120000000002</v>
      </c>
      <c r="G41">
        <f>F41*Parameters!$C$12+'Sensitivty analysis-'!C41*(1-$A$23)+'Waste plastic data in 2019'!$B$9*$A$9+$A$16*'Waste plastic data in 2019'!$B$10</f>
        <v>1624.0792939999999</v>
      </c>
      <c r="H41">
        <f t="shared" si="15"/>
        <v>1023.1699552199999</v>
      </c>
      <c r="I41">
        <f t="shared" si="16"/>
        <v>600.90933877999998</v>
      </c>
      <c r="J41">
        <f>F41*Parameters!$C$14+'Sensitivty analysis-'!I41*Parameters!$C$18</f>
        <v>1053.6992195120001</v>
      </c>
      <c r="K41">
        <f t="shared" si="17"/>
        <v>6.3221953170720031</v>
      </c>
      <c r="L41">
        <f t="shared" si="18"/>
        <v>46.362765658528019</v>
      </c>
      <c r="M41">
        <f>L41*Parameters!$C$23</f>
        <v>45.435510345357457</v>
      </c>
      <c r="N41">
        <f t="shared" si="19"/>
        <v>114.85845</v>
      </c>
      <c r="O41">
        <f>H41*Parameters!$C$21</f>
        <v>838.99936328039985</v>
      </c>
      <c r="P41">
        <f>M41+H41*(1-Parameters!$C$21)*Parameters!$C$23</f>
        <v>225.92269044616546</v>
      </c>
      <c r="Q41">
        <f>J41*A41*Parameters!$C$25</f>
        <v>256.25965018531849</v>
      </c>
      <c r="R41">
        <f>Q41*Parameters!$C$24*10000000</f>
        <v>112754246081.54013</v>
      </c>
      <c r="S41">
        <f>F41*Parameters!$C$13+'Sensitivty analysis-'!K41+'Sensitivty analysis-'!L41*(1-Parameters!$C$23)+'Sensitivty analysis-'!I41*Parameters!$C$17+'Sensitivty analysis-'!H41*(1-Parameters!$C$21)*(1-Parameters!$C$23)</f>
        <v>1102.9991377370345</v>
      </c>
      <c r="T41">
        <f>S41+J41*A41*(1-Parameters!$C$25)</f>
        <v>1847.7537460881163</v>
      </c>
      <c r="U41">
        <f>O41*Parameters!$C$27+'Sensitivty analysis-'!J41*A41*Parameters!$C$26</f>
        <v>4070.0182113253286</v>
      </c>
      <c r="V41">
        <f>'Sensitivty analysis-'!O41*(Parameters!$C$28-Parameters!$C$27)</f>
        <v>2447.3611426889261</v>
      </c>
      <c r="W41">
        <f>J41*Parameters!$C$29</f>
        <v>316109765.85360003</v>
      </c>
      <c r="X41">
        <f t="shared" si="20"/>
        <v>316.10976585360004</v>
      </c>
      <c r="Y41">
        <f t="shared" si="23"/>
        <v>4.4000000000000011E-2</v>
      </c>
      <c r="Z41">
        <f t="shared" si="21"/>
        <v>6.0000000000000019E-3</v>
      </c>
    </row>
    <row r="42" spans="1:26" x14ac:dyDescent="0.25">
      <c r="A42">
        <f t="shared" si="22"/>
        <v>1.0000000000000002</v>
      </c>
      <c r="C42">
        <f>'Waste plastic data in 2019'!$B$11*$A$2</f>
        <v>229.71690000000001</v>
      </c>
      <c r="D42">
        <f>'Waste plastic data in 2019'!$B$11*Parameters!$C$4</f>
        <v>194.96609999999998</v>
      </c>
      <c r="E42">
        <f>'Waste plastic data in 2019'!$B$9*Parameters!$C$8+Parameters!$C$11*'Waste plastic data in 2019'!$B$10</f>
        <v>206.74</v>
      </c>
      <c r="F42">
        <f>'Waste plastic data in 2019'!$B$11*$B$2+'Waste plastic data in 2019'!$B$9*$B$9+$B$16*'Waste plastic data in 2019'!$B$10</f>
        <v>1604.2120000000002</v>
      </c>
      <c r="G42">
        <f>F42*Parameters!$C$12+'Sensitivty analysis-'!C42*(1-$A$23)+'Waste plastic data in 2019'!$B$9*$A$9+$A$16*'Waste plastic data in 2019'!$B$10</f>
        <v>1624.0792939999999</v>
      </c>
      <c r="H42">
        <f t="shared" si="15"/>
        <v>1023.1699552199999</v>
      </c>
      <c r="I42">
        <f t="shared" si="16"/>
        <v>600.90933877999998</v>
      </c>
      <c r="J42">
        <f>F42*Parameters!$C$14+'Sensitivty analysis-'!I42*Parameters!$C$18</f>
        <v>1053.6992195120001</v>
      </c>
      <c r="K42">
        <f t="shared" si="17"/>
        <v>0</v>
      </c>
      <c r="L42">
        <f t="shared" si="18"/>
        <v>0</v>
      </c>
      <c r="M42">
        <f>L42*Parameters!$C$23</f>
        <v>0</v>
      </c>
      <c r="N42">
        <f t="shared" si="19"/>
        <v>114.85845</v>
      </c>
      <c r="O42">
        <f>H42*Parameters!$C$21</f>
        <v>838.99936328039985</v>
      </c>
      <c r="P42">
        <f>M42+H42*(1-Parameters!$C$21)*Parameters!$C$23</f>
        <v>180.48718010080802</v>
      </c>
      <c r="Q42">
        <f>J42*A42*Parameters!$C$25</f>
        <v>269.74700019507208</v>
      </c>
      <c r="R42">
        <f>Q42*Parameters!$C$24*10000000</f>
        <v>118688680085.83171</v>
      </c>
      <c r="S42">
        <f>F42*Parameters!$C$13+'Sensitivty analysis-'!K42+'Sensitivty analysis-'!L42*(1-Parameters!$C$23)+'Sensitivty analysis-'!I42*Parameters!$C$17+'Sensitivty analysis-'!H42*(1-Parameters!$C$21)*(1-Parameters!$C$23)</f>
        <v>1095.749687106792</v>
      </c>
      <c r="T42">
        <f>S42+J42*A42*(1-Parameters!$C$25)</f>
        <v>1879.7019064237202</v>
      </c>
      <c r="U42">
        <f>O42*Parameters!$C$27+'Sensitivty analysis-'!J42*A42*Parameters!$C$26</f>
        <v>4214.9018540082288</v>
      </c>
      <c r="V42">
        <f>'Sensitivty analysis-'!O42*(Parameters!$C$28-Parameters!$C$27)</f>
        <v>2447.3611426889261</v>
      </c>
      <c r="W42">
        <f>J42*Parameters!$C$29</f>
        <v>316109765.85360003</v>
      </c>
      <c r="X42">
        <f t="shared" si="20"/>
        <v>316.10976585360004</v>
      </c>
      <c r="Y42">
        <f t="shared" si="23"/>
        <v>0</v>
      </c>
      <c r="Z42">
        <f t="shared" si="21"/>
        <v>0</v>
      </c>
    </row>
    <row r="43" spans="1:26" s="25" customFormat="1" x14ac:dyDescent="0.25">
      <c r="C43" s="24" t="s">
        <v>45</v>
      </c>
      <c r="D43" s="24" t="s">
        <v>41</v>
      </c>
      <c r="E43" s="24" t="s">
        <v>44</v>
      </c>
      <c r="F43" s="24" t="s">
        <v>43</v>
      </c>
      <c r="G43" s="24" t="s">
        <v>46</v>
      </c>
      <c r="H43" s="24" t="s">
        <v>47</v>
      </c>
      <c r="I43" s="24" t="s">
        <v>42</v>
      </c>
      <c r="J43" s="24" t="s">
        <v>48</v>
      </c>
      <c r="K43" s="24" t="s">
        <v>50</v>
      </c>
      <c r="L43" s="24" t="s">
        <v>51</v>
      </c>
      <c r="M43" s="24" t="s">
        <v>52</v>
      </c>
      <c r="N43" s="24" t="s">
        <v>53</v>
      </c>
      <c r="O43" s="24" t="s">
        <v>54</v>
      </c>
      <c r="P43" s="24" t="s">
        <v>55</v>
      </c>
      <c r="Q43" s="24" t="s">
        <v>56</v>
      </c>
      <c r="R43" s="24" t="s">
        <v>68</v>
      </c>
      <c r="S43" s="24" t="s">
        <v>49</v>
      </c>
      <c r="T43" s="24" t="s">
        <v>57</v>
      </c>
      <c r="U43" s="24" t="s">
        <v>63</v>
      </c>
      <c r="V43" s="24" t="s">
        <v>64</v>
      </c>
      <c r="W43" s="24" t="s">
        <v>67</v>
      </c>
      <c r="X43" s="24" t="s">
        <v>66</v>
      </c>
    </row>
    <row r="44" spans="1:26" x14ac:dyDescent="0.25">
      <c r="A44">
        <v>0.82</v>
      </c>
      <c r="C44">
        <f>'Waste plastic data in 2019'!$B$11*$A$2</f>
        <v>229.71690000000001</v>
      </c>
      <c r="D44">
        <f>'Waste plastic data in 2019'!$B$11*Parameters!$C$4</f>
        <v>194.96609999999998</v>
      </c>
      <c r="E44">
        <f>'Waste plastic data in 2019'!$B$9*Parameters!$C$8+Parameters!$C$11*'Waste plastic data in 2019'!$B$10</f>
        <v>206.74</v>
      </c>
      <c r="F44">
        <f>'Waste plastic data in 2019'!$B$11*$B$2+'Waste plastic data in 2019'!$B$9*$B$9+$B$16*'Waste plastic data in 2019'!$B$10</f>
        <v>1604.2120000000002</v>
      </c>
      <c r="G44">
        <f>F44*Parameters!$C$12+'Sensitivty analysis-'!C44*(1-$A$23)+'Waste plastic data in 2019'!$B$9*$A$9+$A$16*'Waste plastic data in 2019'!$B$10</f>
        <v>1624.0792939999999</v>
      </c>
      <c r="H44">
        <f>G44*$A$30</f>
        <v>1023.1699552199999</v>
      </c>
      <c r="I44">
        <f>G44*(1-$A$30)</f>
        <v>600.90933877999998</v>
      </c>
      <c r="J44">
        <f>F44*Parameters!$C$14+'Sensitivty analysis-'!I44*Parameters!$C$18</f>
        <v>1053.6992195120001</v>
      </c>
      <c r="K44">
        <f>J44*$Z$37</f>
        <v>31.610976585360003</v>
      </c>
      <c r="L44">
        <f>J44*$Y$37</f>
        <v>231.81382829264004</v>
      </c>
      <c r="M44">
        <f>L44*Parameters!$C$23</f>
        <v>227.17755172678724</v>
      </c>
      <c r="N44">
        <f>C44*$A$23</f>
        <v>114.85845</v>
      </c>
      <c r="O44">
        <f>H44*A44</f>
        <v>838.99936328039985</v>
      </c>
      <c r="P44">
        <f>M44+H44*(1-A44)*Parameters!$C$23</f>
        <v>407.66473182759523</v>
      </c>
      <c r="Q44">
        <f>J44*$A$37*Parameters!$C$25</f>
        <v>202.31025014630404</v>
      </c>
      <c r="R44">
        <f>Q44*Parameters!$C$24*10000000</f>
        <v>89016510064.373779</v>
      </c>
      <c r="S44">
        <f>F44*Parameters!$C$13+'Sensitivty analysis-'!K44+'Sensitivty analysis-'!L44*(1-Parameters!$C$23)+'Sensitivty analysis-'!I44*Parameters!$C$17+'Sensitivty analysis-'!H44*(1-A44)*(1-Parameters!$C$23)</f>
        <v>1131.9969402580048</v>
      </c>
      <c r="T44">
        <f>S44+J44*$A$37*(1-Parameters!$C$25)</f>
        <v>1719.9611047457008</v>
      </c>
      <c r="U44">
        <f>O44*Parameters!$C$27+'Sensitivty analysis-'!J44*Parameters!$C$22*Parameters!$C$26</f>
        <v>3490.4836405937276</v>
      </c>
      <c r="V44">
        <f>'Sensitivty analysis-'!O44*(Parameters!$C$28-Parameters!$C$27)</f>
        <v>2447.3611426889261</v>
      </c>
      <c r="W44">
        <f>J44*Parameters!$C$29</f>
        <v>316109765.85360003</v>
      </c>
      <c r="X44">
        <f>W44/1000000</f>
        <v>316.10976585360004</v>
      </c>
    </row>
    <row r="45" spans="1:26" x14ac:dyDescent="0.25">
      <c r="A45">
        <f>A44+0.005</f>
        <v>0.82499999999999996</v>
      </c>
      <c r="C45">
        <f>'Waste plastic data in 2019'!$B$11*$A$2</f>
        <v>229.71690000000001</v>
      </c>
      <c r="D45">
        <f>'Waste plastic data in 2019'!$B$11*Parameters!$C$4</f>
        <v>194.96609999999998</v>
      </c>
      <c r="E45">
        <f>'Waste plastic data in 2019'!$B$9*Parameters!$C$8+Parameters!$C$11*'Waste plastic data in 2019'!$B$10</f>
        <v>206.74</v>
      </c>
      <c r="F45">
        <f>'Waste plastic data in 2019'!$B$11*$B$2+'Waste plastic data in 2019'!$B$9*$B$9+$B$16*'Waste plastic data in 2019'!$B$10</f>
        <v>1604.2120000000002</v>
      </c>
      <c r="G45">
        <f>F45*Parameters!$C$12+'Sensitivty analysis-'!C45*(1-$A$23)+'Waste plastic data in 2019'!$B$9*$A$9+$A$16*'Waste plastic data in 2019'!$B$10</f>
        <v>1624.0792939999999</v>
      </c>
      <c r="H45">
        <f t="shared" ref="H45:H49" si="24">G45*$A$30</f>
        <v>1023.1699552199999</v>
      </c>
      <c r="I45">
        <f t="shared" ref="I45:I49" si="25">G45*(1-$A$30)</f>
        <v>600.90933877999998</v>
      </c>
      <c r="J45">
        <f>F45*Parameters!$C$14+'Sensitivty analysis-'!I45*Parameters!$C$18</f>
        <v>1053.6992195120001</v>
      </c>
      <c r="K45">
        <f t="shared" ref="K45:K49" si="26">J45*$Z$37</f>
        <v>31.610976585360003</v>
      </c>
      <c r="L45">
        <f t="shared" ref="L45:L49" si="27">J45*$Y$37</f>
        <v>231.81382829264004</v>
      </c>
      <c r="M45">
        <f>L45*Parameters!$C$23</f>
        <v>227.17755172678724</v>
      </c>
      <c r="N45">
        <f t="shared" ref="N45:N49" si="28">C45*$A$23</f>
        <v>114.85845</v>
      </c>
      <c r="O45">
        <f t="shared" ref="O45:O49" si="29">H45*A45</f>
        <v>844.1152130564999</v>
      </c>
      <c r="P45">
        <f>M45+H45*(1-A45)*Parameters!$C$23</f>
        <v>402.65119904701726</v>
      </c>
      <c r="Q45">
        <f>J45*$A$37*Parameters!$C$25</f>
        <v>202.31025014630404</v>
      </c>
      <c r="R45">
        <f>Q45*Parameters!$C$24*10000000</f>
        <v>89016510064.373779</v>
      </c>
      <c r="S45">
        <f>F45*Parameters!$C$13+'Sensitivty analysis-'!K45+'Sensitivty analysis-'!L45*(1-Parameters!$C$23)+'Sensitivty analysis-'!I45*Parameters!$C$17+'Sensitivty analysis-'!H45*(1-A45)*(1-Parameters!$C$23)</f>
        <v>1131.8946232624828</v>
      </c>
      <c r="T45">
        <f>S45+J45*$A$37*(1-Parameters!$C$25)</f>
        <v>1719.8587877501789</v>
      </c>
      <c r="U45">
        <f>O45*Parameters!$C$27+'Sensitivty analysis-'!J45*Parameters!$C$22*Parameters!$C$26</f>
        <v>3498.5155247422049</v>
      </c>
      <c r="V45">
        <f>'Sensitivty analysis-'!O45*(Parameters!$C$28-Parameters!$C$27)</f>
        <v>2462.2840764858101</v>
      </c>
      <c r="W45">
        <f>J45*Parameters!$C$29</f>
        <v>316109765.85360003</v>
      </c>
      <c r="X45">
        <f t="shared" ref="X45:X49" si="30">W45/1000000</f>
        <v>316.10976585360004</v>
      </c>
    </row>
    <row r="46" spans="1:26" x14ac:dyDescent="0.25">
      <c r="A46">
        <f t="shared" ref="A46:A49" si="31">A45+0.005</f>
        <v>0.83</v>
      </c>
      <c r="C46">
        <f>'Waste plastic data in 2019'!$B$11*$A$2</f>
        <v>229.71690000000001</v>
      </c>
      <c r="D46">
        <f>'Waste plastic data in 2019'!$B$11*Parameters!$C$4</f>
        <v>194.96609999999998</v>
      </c>
      <c r="E46">
        <f>'Waste plastic data in 2019'!$B$9*Parameters!$C$8+Parameters!$C$11*'Waste plastic data in 2019'!$B$10</f>
        <v>206.74</v>
      </c>
      <c r="F46">
        <f>'Waste plastic data in 2019'!$B$11*$B$2+'Waste plastic data in 2019'!$B$9*$B$9+$B$16*'Waste plastic data in 2019'!$B$10</f>
        <v>1604.2120000000002</v>
      </c>
      <c r="G46">
        <f>F46*Parameters!$C$12+'Sensitivty analysis-'!C46*(1-$A$23)+'Waste plastic data in 2019'!$B$9*$A$9+$A$16*'Waste plastic data in 2019'!$B$10</f>
        <v>1624.0792939999999</v>
      </c>
      <c r="H46">
        <f t="shared" si="24"/>
        <v>1023.1699552199999</v>
      </c>
      <c r="I46">
        <f t="shared" si="25"/>
        <v>600.90933877999998</v>
      </c>
      <c r="J46">
        <f>F46*Parameters!$C$14+'Sensitivty analysis-'!I46*Parameters!$C$18</f>
        <v>1053.6992195120001</v>
      </c>
      <c r="K46">
        <f t="shared" si="26"/>
        <v>31.610976585360003</v>
      </c>
      <c r="L46">
        <f t="shared" si="27"/>
        <v>231.81382829264004</v>
      </c>
      <c r="M46">
        <f>L46*Parameters!$C$23</f>
        <v>227.17755172678724</v>
      </c>
      <c r="N46">
        <f t="shared" si="28"/>
        <v>114.85845</v>
      </c>
      <c r="O46">
        <f t="shared" si="29"/>
        <v>849.23106283259983</v>
      </c>
      <c r="P46">
        <f>M46+H46*(1-A46)*Parameters!$C$23</f>
        <v>397.63766626643928</v>
      </c>
      <c r="Q46">
        <f>J46*$A$37*Parameters!$C$25</f>
        <v>202.31025014630404</v>
      </c>
      <c r="R46">
        <f>Q46*Parameters!$C$24*10000000</f>
        <v>89016510064.373779</v>
      </c>
      <c r="S46">
        <f>F46*Parameters!$C$13+'Sensitivty analysis-'!K46+'Sensitivty analysis-'!L46*(1-Parameters!$C$23)+'Sensitivty analysis-'!I46*Parameters!$C$17+'Sensitivty analysis-'!H46*(1-A46)*(1-Parameters!$C$23)</f>
        <v>1131.7923062669608</v>
      </c>
      <c r="T46">
        <f>S46+J46*$A$37*(1-Parameters!$C$25)</f>
        <v>1719.7564707546569</v>
      </c>
      <c r="U46">
        <f>O46*Parameters!$C$27+'Sensitivty analysis-'!J46*Parameters!$C$22*Parameters!$C$26</f>
        <v>3506.5474088906822</v>
      </c>
      <c r="V46">
        <f>'Sensitivty analysis-'!O46*(Parameters!$C$28-Parameters!$C$27)</f>
        <v>2477.2070102826938</v>
      </c>
      <c r="W46">
        <f>J46*Parameters!$C$29</f>
        <v>316109765.85360003</v>
      </c>
      <c r="X46">
        <f t="shared" si="30"/>
        <v>316.10976585360004</v>
      </c>
    </row>
    <row r="47" spans="1:26" x14ac:dyDescent="0.25">
      <c r="A47">
        <f t="shared" si="31"/>
        <v>0.83499999999999996</v>
      </c>
      <c r="C47">
        <f>'Waste plastic data in 2019'!$B$11*$A$2</f>
        <v>229.71690000000001</v>
      </c>
      <c r="D47">
        <f>'Waste plastic data in 2019'!$B$11*Parameters!$C$4</f>
        <v>194.96609999999998</v>
      </c>
      <c r="E47">
        <f>'Waste plastic data in 2019'!$B$9*Parameters!$C$8+Parameters!$C$11*'Waste plastic data in 2019'!$B$10</f>
        <v>206.74</v>
      </c>
      <c r="F47">
        <f>'Waste plastic data in 2019'!$B$11*$B$2+'Waste plastic data in 2019'!$B$9*$B$9+$B$16*'Waste plastic data in 2019'!$B$10</f>
        <v>1604.2120000000002</v>
      </c>
      <c r="G47">
        <f>F47*Parameters!$C$12+'Sensitivty analysis-'!C47*(1-$A$23)+'Waste plastic data in 2019'!$B$9*$A$9+$A$16*'Waste plastic data in 2019'!$B$10</f>
        <v>1624.0792939999999</v>
      </c>
      <c r="H47">
        <f t="shared" si="24"/>
        <v>1023.1699552199999</v>
      </c>
      <c r="I47">
        <f t="shared" si="25"/>
        <v>600.90933877999998</v>
      </c>
      <c r="J47">
        <f>F47*Parameters!$C$14+'Sensitivty analysis-'!I47*Parameters!$C$18</f>
        <v>1053.6992195120001</v>
      </c>
      <c r="K47">
        <f t="shared" si="26"/>
        <v>31.610976585360003</v>
      </c>
      <c r="L47">
        <f t="shared" si="27"/>
        <v>231.81382829264004</v>
      </c>
      <c r="M47">
        <f>L47*Parameters!$C$23</f>
        <v>227.17755172678724</v>
      </c>
      <c r="N47">
        <f t="shared" si="28"/>
        <v>114.85845</v>
      </c>
      <c r="O47">
        <f t="shared" si="29"/>
        <v>854.34691260869988</v>
      </c>
      <c r="P47">
        <f>M47+H47*(1-A47)*Parameters!$C$23</f>
        <v>392.62413348586125</v>
      </c>
      <c r="Q47">
        <f>J47*$A$37*Parameters!$C$25</f>
        <v>202.31025014630404</v>
      </c>
      <c r="R47">
        <f>Q47*Parameters!$C$24*10000000</f>
        <v>89016510064.373779</v>
      </c>
      <c r="S47">
        <f>F47*Parameters!$C$13+'Sensitivty analysis-'!K47+'Sensitivty analysis-'!L47*(1-Parameters!$C$23)+'Sensitivty analysis-'!I47*Parameters!$C$17+'Sensitivty analysis-'!H47*(1-A47)*(1-Parameters!$C$23)</f>
        <v>1131.6899892714389</v>
      </c>
      <c r="T47">
        <f>S47+J47*$A$37*(1-Parameters!$C$25)</f>
        <v>1719.6541537591349</v>
      </c>
      <c r="U47">
        <f>O47*Parameters!$C$27+'Sensitivty analysis-'!J47*Parameters!$C$22*Parameters!$C$26</f>
        <v>3514.579293039159</v>
      </c>
      <c r="V47">
        <f>'Sensitivty analysis-'!O47*(Parameters!$C$28-Parameters!$C$27)</f>
        <v>2492.1299440795774</v>
      </c>
      <c r="W47">
        <f>J47*Parameters!$C$29</f>
        <v>316109765.85360003</v>
      </c>
      <c r="X47">
        <f t="shared" si="30"/>
        <v>316.10976585360004</v>
      </c>
    </row>
    <row r="48" spans="1:26" x14ac:dyDescent="0.25">
      <c r="A48">
        <f t="shared" si="31"/>
        <v>0.84</v>
      </c>
      <c r="C48">
        <f>'Waste plastic data in 2019'!$B$11*$A$2</f>
        <v>229.71690000000001</v>
      </c>
      <c r="D48">
        <f>'Waste plastic data in 2019'!$B$11*Parameters!$C$4</f>
        <v>194.96609999999998</v>
      </c>
      <c r="E48">
        <f>'Waste plastic data in 2019'!$B$9*Parameters!$C$8+Parameters!$C$11*'Waste plastic data in 2019'!$B$10</f>
        <v>206.74</v>
      </c>
      <c r="F48">
        <f>'Waste plastic data in 2019'!$B$11*$B$2+'Waste plastic data in 2019'!$B$9*$B$9+$B$16*'Waste plastic data in 2019'!$B$10</f>
        <v>1604.2120000000002</v>
      </c>
      <c r="G48">
        <f>F48*Parameters!$C$12+'Sensitivty analysis-'!C48*(1-$A$23)+'Waste plastic data in 2019'!$B$9*$A$9+$A$16*'Waste plastic data in 2019'!$B$10</f>
        <v>1624.0792939999999</v>
      </c>
      <c r="H48">
        <f t="shared" si="24"/>
        <v>1023.1699552199999</v>
      </c>
      <c r="I48">
        <f t="shared" si="25"/>
        <v>600.90933877999998</v>
      </c>
      <c r="J48">
        <f>F48*Parameters!$C$14+'Sensitivty analysis-'!I48*Parameters!$C$18</f>
        <v>1053.6992195120001</v>
      </c>
      <c r="K48">
        <f t="shared" si="26"/>
        <v>31.610976585360003</v>
      </c>
      <c r="L48">
        <f t="shared" si="27"/>
        <v>231.81382829264004</v>
      </c>
      <c r="M48">
        <f>L48*Parameters!$C$23</f>
        <v>227.17755172678724</v>
      </c>
      <c r="N48">
        <f t="shared" si="28"/>
        <v>114.85845</v>
      </c>
      <c r="O48">
        <f t="shared" si="29"/>
        <v>859.46276238479993</v>
      </c>
      <c r="P48">
        <f>M48+H48*(1-A48)*Parameters!$C$23</f>
        <v>387.61060070528322</v>
      </c>
      <c r="Q48">
        <f>J48*$A$37*Parameters!$C$25</f>
        <v>202.31025014630404</v>
      </c>
      <c r="R48">
        <f>Q48*Parameters!$C$24*10000000</f>
        <v>89016510064.373779</v>
      </c>
      <c r="S48">
        <f>F48*Parameters!$C$13+'Sensitivty analysis-'!K48+'Sensitivty analysis-'!L48*(1-Parameters!$C$23)+'Sensitivty analysis-'!I48*Parameters!$C$17+'Sensitivty analysis-'!H48*(1-A48)*(1-Parameters!$C$23)</f>
        <v>1131.5876722759169</v>
      </c>
      <c r="T48">
        <f>S48+J48*$A$37*(1-Parameters!$C$25)</f>
        <v>1719.551836763613</v>
      </c>
      <c r="U48">
        <f>O48*Parameters!$C$27+'Sensitivty analysis-'!J48*Parameters!$C$22*Parameters!$C$26</f>
        <v>3522.6111771876358</v>
      </c>
      <c r="V48">
        <f>'Sensitivty analysis-'!O48*(Parameters!$C$28-Parameters!$C$27)</f>
        <v>2507.052877876461</v>
      </c>
      <c r="W48">
        <f>J48*Parameters!$C$29</f>
        <v>316109765.85360003</v>
      </c>
      <c r="X48">
        <f t="shared" si="30"/>
        <v>316.10976585360004</v>
      </c>
    </row>
    <row r="49" spans="1:26" x14ac:dyDescent="0.25">
      <c r="A49">
        <f t="shared" si="31"/>
        <v>0.84499999999999997</v>
      </c>
      <c r="C49">
        <f>'Waste plastic data in 2019'!$B$11*$A$2</f>
        <v>229.71690000000001</v>
      </c>
      <c r="D49">
        <f>'Waste plastic data in 2019'!$B$11*Parameters!$C$4</f>
        <v>194.96609999999998</v>
      </c>
      <c r="E49">
        <f>'Waste plastic data in 2019'!$B$9*Parameters!$C$8+Parameters!$C$11*'Waste plastic data in 2019'!$B$10</f>
        <v>206.74</v>
      </c>
      <c r="F49">
        <f>'Waste plastic data in 2019'!$B$11*$B$2+'Waste plastic data in 2019'!$B$9*$B$9+$B$16*'Waste plastic data in 2019'!$B$10</f>
        <v>1604.2120000000002</v>
      </c>
      <c r="G49">
        <f>F49*Parameters!$C$12+'Sensitivty analysis-'!C49*(1-$A$23)+'Waste plastic data in 2019'!$B$9*$A$9+$A$16*'Waste plastic data in 2019'!$B$10</f>
        <v>1624.0792939999999</v>
      </c>
      <c r="H49">
        <f t="shared" si="24"/>
        <v>1023.1699552199999</v>
      </c>
      <c r="I49">
        <f t="shared" si="25"/>
        <v>600.90933877999998</v>
      </c>
      <c r="J49">
        <f>F49*Parameters!$C$14+'Sensitivty analysis-'!I49*Parameters!$C$18</f>
        <v>1053.6992195120001</v>
      </c>
      <c r="K49">
        <f t="shared" si="26"/>
        <v>31.610976585360003</v>
      </c>
      <c r="L49">
        <f t="shared" si="27"/>
        <v>231.81382829264004</v>
      </c>
      <c r="M49">
        <f>L49*Parameters!$C$23</f>
        <v>227.17755172678724</v>
      </c>
      <c r="N49">
        <f t="shared" si="28"/>
        <v>114.85845</v>
      </c>
      <c r="O49">
        <f t="shared" si="29"/>
        <v>864.57861216089987</v>
      </c>
      <c r="P49">
        <f>M49+H49*(1-A49)*Parameters!$C$23</f>
        <v>382.59706792470524</v>
      </c>
      <c r="Q49">
        <f>J49*$A$37*Parameters!$C$25</f>
        <v>202.31025014630404</v>
      </c>
      <c r="R49">
        <f>Q49*Parameters!$C$24*10000000</f>
        <v>89016510064.373779</v>
      </c>
      <c r="S49">
        <f>F49*Parameters!$C$13+'Sensitivty analysis-'!K49+'Sensitivty analysis-'!L49*(1-Parameters!$C$23)+'Sensitivty analysis-'!I49*Parameters!$C$17+'Sensitivty analysis-'!H49*(1-A49)*(1-Parameters!$C$23)</f>
        <v>1131.4853552803947</v>
      </c>
      <c r="T49">
        <f>S49+J49*$A$37*(1-Parameters!$C$25)</f>
        <v>1719.4495197680908</v>
      </c>
      <c r="U49">
        <f>O49*Parameters!$C$27+'Sensitivty analysis-'!J49*Parameters!$C$22*Parameters!$C$26</f>
        <v>3530.6430613361126</v>
      </c>
      <c r="V49">
        <f>'Sensitivty analysis-'!O49*(Parameters!$C$28-Parameters!$C$27)</f>
        <v>2521.9758116733447</v>
      </c>
      <c r="W49">
        <f>J49*Parameters!$C$29</f>
        <v>316109765.85360003</v>
      </c>
      <c r="X49">
        <f t="shared" si="30"/>
        <v>316.10976585360004</v>
      </c>
    </row>
    <row r="50" spans="1:26" s="25" customFormat="1" x14ac:dyDescent="0.25">
      <c r="C50" s="24" t="s">
        <v>45</v>
      </c>
      <c r="D50" s="24" t="s">
        <v>41</v>
      </c>
      <c r="E50" s="24" t="s">
        <v>44</v>
      </c>
      <c r="F50" s="24" t="s">
        <v>43</v>
      </c>
      <c r="G50" s="24" t="s">
        <v>46</v>
      </c>
      <c r="H50" s="24" t="s">
        <v>47</v>
      </c>
      <c r="I50" s="24" t="s">
        <v>42</v>
      </c>
      <c r="J50" s="24" t="s">
        <v>48</v>
      </c>
      <c r="K50" s="24" t="s">
        <v>50</v>
      </c>
      <c r="L50" s="24" t="s">
        <v>51</v>
      </c>
      <c r="M50" s="24" t="s">
        <v>52</v>
      </c>
      <c r="N50" s="24" t="s">
        <v>53</v>
      </c>
      <c r="O50" s="24" t="s">
        <v>54</v>
      </c>
      <c r="P50" s="24" t="s">
        <v>55</v>
      </c>
      <c r="Q50" s="24" t="s">
        <v>56</v>
      </c>
      <c r="R50" s="24" t="s">
        <v>68</v>
      </c>
      <c r="S50" s="24" t="s">
        <v>49</v>
      </c>
      <c r="T50" s="24" t="s">
        <v>57</v>
      </c>
      <c r="U50" s="24" t="s">
        <v>63</v>
      </c>
      <c r="V50" s="24" t="s">
        <v>64</v>
      </c>
      <c r="W50" s="24" t="s">
        <v>67</v>
      </c>
      <c r="X50" s="24" t="s">
        <v>66</v>
      </c>
    </row>
    <row r="51" spans="1:26" x14ac:dyDescent="0.25">
      <c r="A51">
        <v>0.25600000000000001</v>
      </c>
      <c r="C51">
        <f>'Waste plastic data in 2019'!$B$11*$A$2</f>
        <v>229.71690000000001</v>
      </c>
      <c r="D51">
        <f>'Waste plastic data in 2019'!$B$11*Parameters!$C$4</f>
        <v>194.96609999999998</v>
      </c>
      <c r="E51">
        <f>'Waste plastic data in 2019'!$B$9*Parameters!$C$8+Parameters!$C$11*'Waste plastic data in 2019'!$B$10</f>
        <v>206.74</v>
      </c>
      <c r="F51">
        <f>'Waste plastic data in 2019'!$B$11*$B$2+'Waste plastic data in 2019'!$B$9*$B$9+$B$16*'Waste plastic data in 2019'!$B$10</f>
        <v>1604.2120000000002</v>
      </c>
      <c r="G51">
        <f>F51*Parameters!$C$12+'Sensitivty analysis-'!C51*(1-$A$23)+'Waste plastic data in 2019'!$B$9*$A$9+$A$16*'Waste plastic data in 2019'!$B$10</f>
        <v>1624.0792939999999</v>
      </c>
      <c r="H51">
        <f>G51*$A$30</f>
        <v>1023.1699552199999</v>
      </c>
      <c r="I51">
        <f>G51*(1-$A$30)</f>
        <v>600.90933877999998</v>
      </c>
      <c r="J51">
        <f>F51*Parameters!$C$14+'Sensitivty analysis-'!I51*Parameters!$C$18</f>
        <v>1053.6992195120001</v>
      </c>
      <c r="K51">
        <f>J51*$Z$37</f>
        <v>31.610976585360003</v>
      </c>
      <c r="L51">
        <f>J51*$Y$37</f>
        <v>231.81382829264004</v>
      </c>
      <c r="M51">
        <f>L51*Parameters!$C$23</f>
        <v>227.17755172678724</v>
      </c>
      <c r="N51">
        <f>C51*$A$23</f>
        <v>114.85845</v>
      </c>
      <c r="O51">
        <f>H51*$A$44</f>
        <v>838.99936328039985</v>
      </c>
      <c r="P51">
        <f>M51+H51*(1-$A$44)*Parameters!$C$23</f>
        <v>407.66473182759523</v>
      </c>
      <c r="Q51">
        <f>J51*$A$37*A51</f>
        <v>202.31025014630404</v>
      </c>
      <c r="R51">
        <f>Q51*Parameters!$C$24*10000000</f>
        <v>89016510064.373779</v>
      </c>
      <c r="S51">
        <f>F51*Parameters!$C$13+'Sensitivty analysis-'!K51+'Sensitivty analysis-'!L51*(1-Parameters!$C$23)+'Sensitivty analysis-'!I51*Parameters!$C$17+'Sensitivty analysis-'!H51*(1-$A$44)*(1-Parameters!$C$23)</f>
        <v>1131.9969402580048</v>
      </c>
      <c r="T51">
        <f>S51+J51*$A$37*(1-A51)</f>
        <v>1719.9611047457008</v>
      </c>
      <c r="U51">
        <f>O51*Parameters!$C$27+'Sensitivty analysis-'!J51*Parameters!$C$22*Parameters!$C$26</f>
        <v>3490.4836405937276</v>
      </c>
      <c r="V51">
        <f>'Sensitivty analysis-'!O51*(Parameters!$C$28-Parameters!$C$27)</f>
        <v>2447.3611426889261</v>
      </c>
      <c r="W51">
        <f>J51*Parameters!$C$29</f>
        <v>316109765.85360003</v>
      </c>
      <c r="X51">
        <f>W51/1000000</f>
        <v>316.10976585360004</v>
      </c>
    </row>
    <row r="52" spans="1:26" x14ac:dyDescent="0.25">
      <c r="A52">
        <f>A51+0.05</f>
        <v>0.30599999999999999</v>
      </c>
      <c r="C52">
        <f>'Waste plastic data in 2019'!$B$11*$A$2</f>
        <v>229.71690000000001</v>
      </c>
      <c r="D52">
        <f>'Waste plastic data in 2019'!$B$11*Parameters!$C$4</f>
        <v>194.96609999999998</v>
      </c>
      <c r="E52">
        <f>'Waste plastic data in 2019'!$B$9*Parameters!$C$8+Parameters!$C$11*'Waste plastic data in 2019'!$B$10</f>
        <v>206.74</v>
      </c>
      <c r="F52">
        <f>'Waste plastic data in 2019'!$B$11*$B$2+'Waste plastic data in 2019'!$B$9*$B$9+$B$16*'Waste plastic data in 2019'!$B$10</f>
        <v>1604.2120000000002</v>
      </c>
      <c r="G52">
        <f>F52*Parameters!$C$12+'Sensitivty analysis-'!C52*(1-$A$23)+'Waste plastic data in 2019'!$B$9*$A$9+$A$16*'Waste plastic data in 2019'!$B$10</f>
        <v>1624.0792939999999</v>
      </c>
      <c r="H52">
        <f t="shared" ref="H52:H56" si="32">G52*$A$30</f>
        <v>1023.1699552199999</v>
      </c>
      <c r="I52">
        <f t="shared" ref="I52:I56" si="33">G52*(1-$A$30)</f>
        <v>600.90933877999998</v>
      </c>
      <c r="J52">
        <f>F52*Parameters!$C$14+'Sensitivty analysis-'!I52*Parameters!$C$18</f>
        <v>1053.6992195120001</v>
      </c>
      <c r="K52">
        <f t="shared" ref="K52:K56" si="34">J52*$Z$37</f>
        <v>31.610976585360003</v>
      </c>
      <c r="L52">
        <f t="shared" ref="L52:L56" si="35">J52*$Y$37</f>
        <v>231.81382829264004</v>
      </c>
      <c r="M52">
        <f>L52*Parameters!$C$23</f>
        <v>227.17755172678724</v>
      </c>
      <c r="N52">
        <f t="shared" ref="N52:N56" si="36">C52*$A$23</f>
        <v>114.85845</v>
      </c>
      <c r="O52">
        <f t="shared" ref="O52:O56" si="37">H52*$A$44</f>
        <v>838.99936328039985</v>
      </c>
      <c r="P52">
        <f>M52+H52*(1-$A$44)*Parameters!$C$23</f>
        <v>407.66473182759523</v>
      </c>
      <c r="Q52">
        <f t="shared" ref="Q52:Q56" si="38">J52*$A$37*A52</f>
        <v>241.82397087800402</v>
      </c>
      <c r="R52">
        <f>Q52*Parameters!$C$24*10000000</f>
        <v>106402547186.32178</v>
      </c>
      <c r="S52">
        <f>F52*Parameters!$C$13+'Sensitivty analysis-'!K52+'Sensitivty analysis-'!L52*(1-Parameters!$C$23)+'Sensitivty analysis-'!I52*Parameters!$C$17+'Sensitivty analysis-'!H52*(1-$A$44)*(1-Parameters!$C$23)</f>
        <v>1131.9969402580048</v>
      </c>
      <c r="T52">
        <f t="shared" ref="T52:T56" si="39">S52+J52*$A$37*(1-A52)</f>
        <v>1680.4473840140008</v>
      </c>
      <c r="U52">
        <f>O52*Parameters!$C$27+'Sensitivty analysis-'!J52*Parameters!$C$22*Parameters!$C$26</f>
        <v>3490.4836405937276</v>
      </c>
      <c r="V52">
        <f>'Sensitivty analysis-'!O52*(Parameters!$C$28-Parameters!$C$27)</f>
        <v>2447.3611426889261</v>
      </c>
      <c r="W52">
        <f>J52*Parameters!$C$29</f>
        <v>316109765.85360003</v>
      </c>
      <c r="X52">
        <f t="shared" ref="X52:X56" si="40">W52/1000000</f>
        <v>316.10976585360004</v>
      </c>
    </row>
    <row r="53" spans="1:26" x14ac:dyDescent="0.25">
      <c r="A53">
        <f t="shared" ref="A53:A56" si="41">A52+0.05</f>
        <v>0.35599999999999998</v>
      </c>
      <c r="C53">
        <f>'Waste plastic data in 2019'!$B$11*$A$2</f>
        <v>229.71690000000001</v>
      </c>
      <c r="D53">
        <f>'Waste plastic data in 2019'!$B$11*Parameters!$C$4</f>
        <v>194.96609999999998</v>
      </c>
      <c r="E53">
        <f>'Waste plastic data in 2019'!$B$9*Parameters!$C$8+Parameters!$C$11*'Waste plastic data in 2019'!$B$10</f>
        <v>206.74</v>
      </c>
      <c r="F53">
        <f>'Waste plastic data in 2019'!$B$11*$B$2+'Waste plastic data in 2019'!$B$9*$B$9+$B$16*'Waste plastic data in 2019'!$B$10</f>
        <v>1604.2120000000002</v>
      </c>
      <c r="G53">
        <f>F53*Parameters!$C$12+'Sensitivty analysis-'!C53*(1-$A$23)+'Waste plastic data in 2019'!$B$9*$A$9+$A$16*'Waste plastic data in 2019'!$B$10</f>
        <v>1624.0792939999999</v>
      </c>
      <c r="H53">
        <f t="shared" si="32"/>
        <v>1023.1699552199999</v>
      </c>
      <c r="I53">
        <f t="shared" si="33"/>
        <v>600.90933877999998</v>
      </c>
      <c r="J53">
        <f>F53*Parameters!$C$14+'Sensitivty analysis-'!I53*Parameters!$C$18</f>
        <v>1053.6992195120001</v>
      </c>
      <c r="K53">
        <f t="shared" si="34"/>
        <v>31.610976585360003</v>
      </c>
      <c r="L53">
        <f t="shared" si="35"/>
        <v>231.81382829264004</v>
      </c>
      <c r="M53">
        <f>L53*Parameters!$C$23</f>
        <v>227.17755172678724</v>
      </c>
      <c r="N53">
        <f t="shared" si="36"/>
        <v>114.85845</v>
      </c>
      <c r="O53">
        <f t="shared" si="37"/>
        <v>838.99936328039985</v>
      </c>
      <c r="P53">
        <f>M53+H53*(1-$A$44)*Parameters!$C$23</f>
        <v>407.66473182759523</v>
      </c>
      <c r="Q53">
        <f t="shared" si="38"/>
        <v>281.337691609704</v>
      </c>
      <c r="R53">
        <f>Q53*Parameters!$C$24*10000000</f>
        <v>123788584308.26976</v>
      </c>
      <c r="S53">
        <f>F53*Parameters!$C$13+'Sensitivty analysis-'!K53+'Sensitivty analysis-'!L53*(1-Parameters!$C$23)+'Sensitivty analysis-'!I53*Parameters!$C$17+'Sensitivty analysis-'!H53*(1-$A$44)*(1-Parameters!$C$23)</f>
        <v>1131.9969402580048</v>
      </c>
      <c r="T53">
        <f t="shared" si="39"/>
        <v>1640.9336632823008</v>
      </c>
      <c r="U53">
        <f>O53*Parameters!$C$27+'Sensitivty analysis-'!J53*Parameters!$C$22*Parameters!$C$26</f>
        <v>3490.4836405937276</v>
      </c>
      <c r="V53">
        <f>'Sensitivty analysis-'!O53*(Parameters!$C$28-Parameters!$C$27)</f>
        <v>2447.3611426889261</v>
      </c>
      <c r="W53">
        <f>J53*Parameters!$C$29</f>
        <v>316109765.85360003</v>
      </c>
      <c r="X53">
        <f t="shared" si="40"/>
        <v>316.10976585360004</v>
      </c>
    </row>
    <row r="54" spans="1:26" x14ac:dyDescent="0.25">
      <c r="A54">
        <f t="shared" si="41"/>
        <v>0.40599999999999997</v>
      </c>
      <c r="C54">
        <f>'Waste plastic data in 2019'!$B$11*$A$2</f>
        <v>229.71690000000001</v>
      </c>
      <c r="D54">
        <f>'Waste plastic data in 2019'!$B$11*Parameters!$C$4</f>
        <v>194.96609999999998</v>
      </c>
      <c r="E54">
        <f>'Waste plastic data in 2019'!$B$9*Parameters!$C$8+Parameters!$C$11*'Waste plastic data in 2019'!$B$10</f>
        <v>206.74</v>
      </c>
      <c r="F54">
        <f>'Waste plastic data in 2019'!$B$11*$B$2+'Waste plastic data in 2019'!$B$9*$B$9+$B$16*'Waste plastic data in 2019'!$B$10</f>
        <v>1604.2120000000002</v>
      </c>
      <c r="G54">
        <f>F54*Parameters!$C$12+'Sensitivty analysis-'!C54*(1-$A$23)+'Waste plastic data in 2019'!$B$9*$A$9+$A$16*'Waste plastic data in 2019'!$B$10</f>
        <v>1624.0792939999999</v>
      </c>
      <c r="H54">
        <f t="shared" si="32"/>
        <v>1023.1699552199999</v>
      </c>
      <c r="I54">
        <f t="shared" si="33"/>
        <v>600.90933877999998</v>
      </c>
      <c r="J54">
        <f>F54*Parameters!$C$14+'Sensitivty analysis-'!I54*Parameters!$C$18</f>
        <v>1053.6992195120001</v>
      </c>
      <c r="K54">
        <f t="shared" si="34"/>
        <v>31.610976585360003</v>
      </c>
      <c r="L54">
        <f t="shared" si="35"/>
        <v>231.81382829264004</v>
      </c>
      <c r="M54">
        <f>L54*Parameters!$C$23</f>
        <v>227.17755172678724</v>
      </c>
      <c r="N54">
        <f t="shared" si="36"/>
        <v>114.85845</v>
      </c>
      <c r="O54">
        <f t="shared" si="37"/>
        <v>838.99936328039985</v>
      </c>
      <c r="P54">
        <f>M54+H54*(1-$A$44)*Parameters!$C$23</f>
        <v>407.66473182759523</v>
      </c>
      <c r="Q54">
        <f t="shared" si="38"/>
        <v>320.851412341404</v>
      </c>
      <c r="R54">
        <f>Q54*Parameters!$C$24*10000000</f>
        <v>141174621430.21774</v>
      </c>
      <c r="S54">
        <f>F54*Parameters!$C$13+'Sensitivty analysis-'!K54+'Sensitivty analysis-'!L54*(1-Parameters!$C$23)+'Sensitivty analysis-'!I54*Parameters!$C$17+'Sensitivty analysis-'!H54*(1-$A$44)*(1-Parameters!$C$23)</f>
        <v>1131.9969402580048</v>
      </c>
      <c r="T54">
        <f t="shared" si="39"/>
        <v>1601.4199425506008</v>
      </c>
      <c r="U54">
        <f>O54*Parameters!$C$27+'Sensitivty analysis-'!J54*Parameters!$C$22*Parameters!$C$26</f>
        <v>3490.4836405937276</v>
      </c>
      <c r="V54">
        <f>'Sensitivty analysis-'!O54*(Parameters!$C$28-Parameters!$C$27)</f>
        <v>2447.3611426889261</v>
      </c>
      <c r="W54">
        <f>J54*Parameters!$C$29</f>
        <v>316109765.85360003</v>
      </c>
      <c r="X54">
        <f t="shared" si="40"/>
        <v>316.10976585360004</v>
      </c>
    </row>
    <row r="55" spans="1:26" x14ac:dyDescent="0.25">
      <c r="A55">
        <f t="shared" si="41"/>
        <v>0.45599999999999996</v>
      </c>
      <c r="C55">
        <f>'Waste plastic data in 2019'!$B$11*$A$2</f>
        <v>229.71690000000001</v>
      </c>
      <c r="D55">
        <f>'Waste plastic data in 2019'!$B$11*Parameters!$C$4</f>
        <v>194.96609999999998</v>
      </c>
      <c r="E55">
        <f>'Waste plastic data in 2019'!$B$9*Parameters!$C$8+Parameters!$C$11*'Waste plastic data in 2019'!$B$10</f>
        <v>206.74</v>
      </c>
      <c r="F55">
        <f>'Waste plastic data in 2019'!$B$11*$B$2+'Waste plastic data in 2019'!$B$9*$B$9+$B$16*'Waste plastic data in 2019'!$B$10</f>
        <v>1604.2120000000002</v>
      </c>
      <c r="G55">
        <f>F55*Parameters!$C$12+'Sensitivty analysis-'!C55*(1-$A$23)+'Waste plastic data in 2019'!$B$9*$A$9+$A$16*'Waste plastic data in 2019'!$B$10</f>
        <v>1624.0792939999999</v>
      </c>
      <c r="H55">
        <f t="shared" si="32"/>
        <v>1023.1699552199999</v>
      </c>
      <c r="I55">
        <f t="shared" si="33"/>
        <v>600.90933877999998</v>
      </c>
      <c r="J55">
        <f>F55*Parameters!$C$14+'Sensitivty analysis-'!I55*Parameters!$C$18</f>
        <v>1053.6992195120001</v>
      </c>
      <c r="K55">
        <f t="shared" si="34"/>
        <v>31.610976585360003</v>
      </c>
      <c r="L55">
        <f t="shared" si="35"/>
        <v>231.81382829264004</v>
      </c>
      <c r="M55">
        <f>L55*Parameters!$C$23</f>
        <v>227.17755172678724</v>
      </c>
      <c r="N55">
        <f t="shared" si="36"/>
        <v>114.85845</v>
      </c>
      <c r="O55">
        <f t="shared" si="37"/>
        <v>838.99936328039985</v>
      </c>
      <c r="P55">
        <f>M55+H55*(1-$A$44)*Parameters!$C$23</f>
        <v>407.66473182759523</v>
      </c>
      <c r="Q55">
        <f t="shared" si="38"/>
        <v>360.365133073104</v>
      </c>
      <c r="R55">
        <f>Q55*Parameters!$C$24*10000000</f>
        <v>158560658552.16577</v>
      </c>
      <c r="S55">
        <f>F55*Parameters!$C$13+'Sensitivty analysis-'!K55+'Sensitivty analysis-'!L55*(1-Parameters!$C$23)+'Sensitivty analysis-'!I55*Parameters!$C$17+'Sensitivty analysis-'!H55*(1-$A$44)*(1-Parameters!$C$23)</f>
        <v>1131.9969402580048</v>
      </c>
      <c r="T55">
        <f t="shared" si="39"/>
        <v>1561.9062218189008</v>
      </c>
      <c r="U55">
        <f>O55*Parameters!$C$27+'Sensitivty analysis-'!J55*Parameters!$C$22*Parameters!$C$26</f>
        <v>3490.4836405937276</v>
      </c>
      <c r="V55">
        <f>'Sensitivty analysis-'!O55*(Parameters!$C$28-Parameters!$C$27)</f>
        <v>2447.3611426889261</v>
      </c>
      <c r="W55">
        <f>J55*Parameters!$C$29</f>
        <v>316109765.85360003</v>
      </c>
      <c r="X55">
        <f t="shared" si="40"/>
        <v>316.10976585360004</v>
      </c>
    </row>
    <row r="56" spans="1:26" x14ac:dyDescent="0.25">
      <c r="A56">
        <f t="shared" si="41"/>
        <v>0.50600000000000001</v>
      </c>
      <c r="C56">
        <f>'Waste plastic data in 2019'!$B$11*$A$2</f>
        <v>229.71690000000001</v>
      </c>
      <c r="D56">
        <f>'Waste plastic data in 2019'!$B$11*Parameters!$C$4</f>
        <v>194.96609999999998</v>
      </c>
      <c r="E56">
        <f>'Waste plastic data in 2019'!$B$9*Parameters!$C$8+Parameters!$C$11*'Waste plastic data in 2019'!$B$10</f>
        <v>206.74</v>
      </c>
      <c r="F56">
        <f>'Waste plastic data in 2019'!$B$11*$B$2+'Waste plastic data in 2019'!$B$9*$B$9+$B$16*'Waste plastic data in 2019'!$B$10</f>
        <v>1604.2120000000002</v>
      </c>
      <c r="G56">
        <f>F56*Parameters!$C$12+'Sensitivty analysis-'!C56*(1-$A$23)+'Waste plastic data in 2019'!$B$9*$A$9+$A$16*'Waste plastic data in 2019'!$B$10</f>
        <v>1624.0792939999999</v>
      </c>
      <c r="H56">
        <f t="shared" si="32"/>
        <v>1023.1699552199999</v>
      </c>
      <c r="I56">
        <f t="shared" si="33"/>
        <v>600.90933877999998</v>
      </c>
      <c r="J56">
        <f>F56*Parameters!$C$14+'Sensitivty analysis-'!I56*Parameters!$C$18</f>
        <v>1053.6992195120001</v>
      </c>
      <c r="K56">
        <f t="shared" si="34"/>
        <v>31.610976585360003</v>
      </c>
      <c r="L56">
        <f t="shared" si="35"/>
        <v>231.81382829264004</v>
      </c>
      <c r="M56">
        <f>L56*Parameters!$C$23</f>
        <v>227.17755172678724</v>
      </c>
      <c r="N56">
        <f t="shared" si="36"/>
        <v>114.85845</v>
      </c>
      <c r="O56">
        <f t="shared" si="37"/>
        <v>838.99936328039985</v>
      </c>
      <c r="P56">
        <f>M56+H56*(1-$A$44)*Parameters!$C$23</f>
        <v>407.66473182759523</v>
      </c>
      <c r="Q56">
        <f t="shared" si="38"/>
        <v>399.87885380480407</v>
      </c>
      <c r="R56">
        <f>Q56*Parameters!$C$24*10000000</f>
        <v>175946695674.1138</v>
      </c>
      <c r="S56">
        <f>F56*Parameters!$C$13+'Sensitivty analysis-'!K56+'Sensitivty analysis-'!L56*(1-Parameters!$C$23)+'Sensitivty analysis-'!I56*Parameters!$C$17+'Sensitivty analysis-'!H56*(1-$A$44)*(1-Parameters!$C$23)</f>
        <v>1131.9969402580048</v>
      </c>
      <c r="T56">
        <f t="shared" si="39"/>
        <v>1522.3925010872008</v>
      </c>
      <c r="U56">
        <f>O56*Parameters!$C$27+'Sensitivty analysis-'!J56*Parameters!$C$22*Parameters!$C$26</f>
        <v>3490.4836405937276</v>
      </c>
      <c r="V56">
        <f>'Sensitivty analysis-'!O56*(Parameters!$C$28-Parameters!$C$27)</f>
        <v>2447.3611426889261</v>
      </c>
      <c r="W56">
        <f>J56*Parameters!$C$29</f>
        <v>316109765.85360003</v>
      </c>
      <c r="X56">
        <f t="shared" si="40"/>
        <v>316.10976585360004</v>
      </c>
    </row>
    <row r="57" spans="1:26" s="25" customFormat="1" x14ac:dyDescent="0.25">
      <c r="C57" s="24" t="s">
        <v>45</v>
      </c>
      <c r="D57" s="24" t="s">
        <v>41</v>
      </c>
      <c r="E57" s="24" t="s">
        <v>44</v>
      </c>
      <c r="F57" s="24" t="s">
        <v>43</v>
      </c>
      <c r="G57" s="24" t="s">
        <v>46</v>
      </c>
      <c r="H57" s="24" t="s">
        <v>47</v>
      </c>
      <c r="I57" s="24" t="s">
        <v>42</v>
      </c>
      <c r="J57" s="24" t="s">
        <v>48</v>
      </c>
      <c r="K57" s="24" t="s">
        <v>50</v>
      </c>
      <c r="L57" s="24" t="s">
        <v>51</v>
      </c>
      <c r="M57" s="24" t="s">
        <v>52</v>
      </c>
      <c r="N57" s="24" t="s">
        <v>53</v>
      </c>
      <c r="O57" s="24" t="s">
        <v>54</v>
      </c>
      <c r="P57" s="24" t="s">
        <v>55</v>
      </c>
      <c r="Q57" s="24" t="s">
        <v>56</v>
      </c>
      <c r="R57" s="24" t="s">
        <v>68</v>
      </c>
      <c r="S57" s="24" t="s">
        <v>49</v>
      </c>
      <c r="T57" s="24" t="s">
        <v>57</v>
      </c>
      <c r="U57" s="24" t="s">
        <v>63</v>
      </c>
      <c r="V57" s="24" t="s">
        <v>64</v>
      </c>
      <c r="W57" s="24" t="s">
        <v>67</v>
      </c>
      <c r="X57" s="24" t="s">
        <v>66</v>
      </c>
    </row>
    <row r="58" spans="1:26" x14ac:dyDescent="0.25">
      <c r="A58">
        <v>3.6999999999999998E-2</v>
      </c>
      <c r="C58">
        <f>'Waste plastic data in 2019'!$B$11*$A$2</f>
        <v>229.71690000000001</v>
      </c>
      <c r="D58">
        <f>'Waste plastic data in 2019'!$B$11*Parameters!$C$4</f>
        <v>194.96609999999998</v>
      </c>
      <c r="E58">
        <f>'Waste plastic data in 2019'!$B$9*Parameters!$C$8+Parameters!$C$11*'Waste plastic data in 2019'!$B$10</f>
        <v>206.74</v>
      </c>
      <c r="F58">
        <f>'Waste plastic data in 2019'!$B$11*$B$2+'Waste plastic data in 2019'!$B$9*$B$9+$B$16*'Waste plastic data in 2019'!$B$10</f>
        <v>1604.2120000000002</v>
      </c>
      <c r="G58">
        <f>F58*A58+'Sensitivty analysis-'!C58*(1-$A$23)+'Waste plastic data in 2019'!$B$9*$A$9+$A$16*'Waste plastic data in 2019'!$B$10</f>
        <v>1624.0792939999999</v>
      </c>
      <c r="H58">
        <f>G58*$A$30</f>
        <v>1023.1699552199999</v>
      </c>
      <c r="I58">
        <f>G58*(1-$A$30)</f>
        <v>600.90933877999998</v>
      </c>
      <c r="J58">
        <f>F58*Z58+'Sensitivty analysis-'!I58*Parameters!$C$18</f>
        <v>1053.6992195120001</v>
      </c>
      <c r="K58">
        <f>J58*$Z$37</f>
        <v>31.610976585360003</v>
      </c>
      <c r="L58">
        <f>J58*$Y$37</f>
        <v>231.81382829264004</v>
      </c>
      <c r="M58">
        <f>L58*Parameters!$C$23</f>
        <v>227.17755172678724</v>
      </c>
      <c r="N58">
        <f>C58*$A$23</f>
        <v>114.85845</v>
      </c>
      <c r="O58">
        <f>H58*$A$44</f>
        <v>838.99936328039985</v>
      </c>
      <c r="P58">
        <f>M58+H58*(1-$A$44)*Parameters!$C$23</f>
        <v>407.66473182759523</v>
      </c>
      <c r="Q58">
        <f>J58*$A$37*$A$51</f>
        <v>202.31025014630404</v>
      </c>
      <c r="R58">
        <f>Q58*Parameters!$C$24*10000000</f>
        <v>89016510064.373779</v>
      </c>
      <c r="S58">
        <f>F58*Y58+'Sensitivty analysis-'!K58+'Sensitivty analysis-'!L58*(1-Parameters!$C$23)+'Sensitivty analysis-'!I58*Parameters!$C$17+'Sensitivty analysis-'!H58*(1-$A$44)*(1-Parameters!$C$23)</f>
        <v>1131.9969402580048</v>
      </c>
      <c r="T58">
        <f>S58+J58*$A$37*(1-$A$51)</f>
        <v>1719.9611047457008</v>
      </c>
      <c r="U58">
        <f>O58*Parameters!$C$27+'Sensitivty analysis-'!J58*Parameters!$C$22*Parameters!$C$26</f>
        <v>3490.4836405937276</v>
      </c>
      <c r="V58">
        <f>'Sensitivty analysis-'!O58*(Parameters!$C$28-Parameters!$C$27)</f>
        <v>2447.3611426889261</v>
      </c>
      <c r="W58">
        <f>J58*Parameters!$C$29</f>
        <v>316109765.85360003</v>
      </c>
      <c r="X58">
        <f>W58/1000000</f>
        <v>316.10976585360004</v>
      </c>
      <c r="Y58">
        <v>0.45600000000000002</v>
      </c>
      <c r="Z58">
        <v>0.50700000000000001</v>
      </c>
    </row>
    <row r="59" spans="1:26" x14ac:dyDescent="0.25">
      <c r="A59">
        <f>A58+0.05</f>
        <v>8.6999999999999994E-2</v>
      </c>
      <c r="C59">
        <f>'Waste plastic data in 2019'!$B$11*$A$2</f>
        <v>229.71690000000001</v>
      </c>
      <c r="D59">
        <f>'Waste plastic data in 2019'!$B$11*Parameters!$C$4</f>
        <v>194.96609999999998</v>
      </c>
      <c r="E59">
        <f>'Waste plastic data in 2019'!$B$9*Parameters!$C$8+Parameters!$C$11*'Waste plastic data in 2019'!$B$10</f>
        <v>206.74</v>
      </c>
      <c r="F59">
        <f>'Waste plastic data in 2019'!$B$11*$B$2+'Waste plastic data in 2019'!$B$9*$B$9+$B$16*'Waste plastic data in 2019'!$B$10</f>
        <v>1604.2120000000002</v>
      </c>
      <c r="G59">
        <f>F59*A59+'Sensitivty analysis-'!C59*(1-$A$23)+'Waste plastic data in 2019'!$B$9*$A$9+$A$16*'Waste plastic data in 2019'!$B$10</f>
        <v>1704.289894</v>
      </c>
      <c r="H59">
        <f t="shared" ref="H59:H66" si="42">G59*$A$30</f>
        <v>1073.7026332200001</v>
      </c>
      <c r="I59">
        <f t="shared" ref="I59:I66" si="43">G59*(1-$A$30)</f>
        <v>630.58726077999995</v>
      </c>
      <c r="J59">
        <f>F59*Z59+'Sensitivty analysis-'!I59*Parameters!$C$18</f>
        <v>1065.570388312</v>
      </c>
      <c r="K59">
        <f t="shared" ref="K59:K66" si="44">J59*$Z$37</f>
        <v>31.96711164936</v>
      </c>
      <c r="L59">
        <f t="shared" ref="L59:L66" si="45">J59*$Y$37</f>
        <v>234.42548542864</v>
      </c>
      <c r="M59">
        <f>L59*Parameters!$C$23</f>
        <v>229.73697572006719</v>
      </c>
      <c r="N59">
        <f t="shared" ref="N59:N66" si="46">C59*$A$23</f>
        <v>114.85845</v>
      </c>
      <c r="O59">
        <f t="shared" ref="O59:O66" si="47">H59*$A$44</f>
        <v>880.4361592404</v>
      </c>
      <c r="P59">
        <f>M59+H59*(1-$A$44)*Parameters!$C$23</f>
        <v>419.13812022007528</v>
      </c>
      <c r="Q59">
        <f t="shared" ref="Q59:Q66" si="48">J59*$A$37*$A$51</f>
        <v>204.589514555904</v>
      </c>
      <c r="R59">
        <f>Q59*Parameters!$C$24*10000000</f>
        <v>90019386404.597748</v>
      </c>
      <c r="S59">
        <f>F59*Y59+'Sensitivty analysis-'!K59+'Sensitivty analysis-'!L59*(1-Parameters!$C$23)+'Sensitivty analysis-'!I59*Parameters!$C$17+'Sensitivty analysis-'!H59*(1-$A$44)*(1-Parameters!$C$23)</f>
        <v>1070.183379305525</v>
      </c>
      <c r="T59">
        <f t="shared" ref="T59:T66" si="49">S59+J59*$A$37*(1-$A$51)</f>
        <v>1664.771655983621</v>
      </c>
      <c r="U59">
        <f>O59*Parameters!$C$27+'Sensitivty analysis-'!J59*Parameters!$C$22*Parameters!$C$26</f>
        <v>3580.023695900928</v>
      </c>
      <c r="V59">
        <f>'Sensitivty analysis-'!O59*(Parameters!$C$28-Parameters!$C$27)</f>
        <v>2568.2322765042468</v>
      </c>
      <c r="W59">
        <f>J59*Parameters!$C$29</f>
        <v>319671116.49360001</v>
      </c>
      <c r="X59">
        <f t="shared" ref="X59:X66" si="50">W59/1000000</f>
        <v>319.67111649360004</v>
      </c>
      <c r="Y59">
        <f>Y58-0.05</f>
        <v>0.40600000000000003</v>
      </c>
      <c r="Z59">
        <v>0.50700000000000001</v>
      </c>
    </row>
    <row r="60" spans="1:26" x14ac:dyDescent="0.25">
      <c r="A60">
        <f t="shared" ref="A60:A66" si="51">A59+0.05</f>
        <v>0.13700000000000001</v>
      </c>
      <c r="C60">
        <f>'Waste plastic data in 2019'!$B$11*$A$2</f>
        <v>229.71690000000001</v>
      </c>
      <c r="D60">
        <f>'Waste plastic data in 2019'!$B$11*Parameters!$C$4</f>
        <v>194.96609999999998</v>
      </c>
      <c r="E60">
        <f>'Waste plastic data in 2019'!$B$9*Parameters!$C$8+Parameters!$C$11*'Waste plastic data in 2019'!$B$10</f>
        <v>206.74</v>
      </c>
      <c r="F60">
        <f>'Waste plastic data in 2019'!$B$11*$B$2+'Waste plastic data in 2019'!$B$9*$B$9+$B$16*'Waste plastic data in 2019'!$B$10</f>
        <v>1604.2120000000002</v>
      </c>
      <c r="G60">
        <f>F60*A60+'Sensitivty analysis-'!C60*(1-$A$23)+'Waste plastic data in 2019'!$B$9*$A$9+$A$16*'Waste plastic data in 2019'!$B$10</f>
        <v>1784.5004940000001</v>
      </c>
      <c r="H60">
        <f t="shared" si="42"/>
        <v>1124.2353112200001</v>
      </c>
      <c r="I60">
        <f t="shared" si="43"/>
        <v>660.26518278000003</v>
      </c>
      <c r="J60">
        <f>F60*Z60+'Sensitivty analysis-'!I60*Parameters!$C$18</f>
        <v>1077.4415571120001</v>
      </c>
      <c r="K60">
        <f t="shared" si="44"/>
        <v>32.32324671336</v>
      </c>
      <c r="L60">
        <f t="shared" si="45"/>
        <v>237.03714256464002</v>
      </c>
      <c r="M60">
        <f>L60*Parameters!$C$23</f>
        <v>232.29639971334723</v>
      </c>
      <c r="N60">
        <f t="shared" si="46"/>
        <v>114.85845</v>
      </c>
      <c r="O60">
        <f t="shared" si="47"/>
        <v>921.87295520040004</v>
      </c>
      <c r="P60">
        <f>M60+H60*(1-$A$44)*Parameters!$C$23</f>
        <v>430.61150861255533</v>
      </c>
      <c r="Q60">
        <f t="shared" si="48"/>
        <v>206.86877896550402</v>
      </c>
      <c r="R60">
        <f>Q60*Parameters!$C$24*10000000</f>
        <v>91022262744.821762</v>
      </c>
      <c r="S60">
        <f>F60*Y60+'Sensitivty analysis-'!K60+'Sensitivty analysis-'!L60*(1-Parameters!$C$23)+'Sensitivty analysis-'!I60*Parameters!$C$17+'Sensitivty analysis-'!H60*(1-$A$44)*(1-Parameters!$C$23)</f>
        <v>1008.369818353045</v>
      </c>
      <c r="T60">
        <f t="shared" si="49"/>
        <v>1609.582207221541</v>
      </c>
      <c r="U60">
        <f>O60*Parameters!$C$27+'Sensitivty analysis-'!J60*Parameters!$C$22*Parameters!$C$26</f>
        <v>3669.5637512081285</v>
      </c>
      <c r="V60">
        <f>'Sensitivty analysis-'!O60*(Parameters!$C$28-Parameters!$C$27)</f>
        <v>2689.1034103195666</v>
      </c>
      <c r="W60">
        <f>J60*Parameters!$C$29</f>
        <v>323232467.1336</v>
      </c>
      <c r="X60">
        <f t="shared" si="50"/>
        <v>323.23246713359998</v>
      </c>
      <c r="Y60">
        <f t="shared" ref="Y60:Y62" si="52">Y59-0.05</f>
        <v>0.35600000000000004</v>
      </c>
      <c r="Z60">
        <v>0.50700000000000001</v>
      </c>
    </row>
    <row r="61" spans="1:26" x14ac:dyDescent="0.25">
      <c r="A61">
        <f t="shared" si="51"/>
        <v>0.187</v>
      </c>
      <c r="C61">
        <f>'Waste plastic data in 2019'!$B$11*$A$2</f>
        <v>229.71690000000001</v>
      </c>
      <c r="D61">
        <f>'Waste plastic data in 2019'!$B$11*Parameters!$C$4</f>
        <v>194.96609999999998</v>
      </c>
      <c r="E61">
        <f>'Waste plastic data in 2019'!$B$9*Parameters!$C$8+Parameters!$C$11*'Waste plastic data in 2019'!$B$10</f>
        <v>206.74</v>
      </c>
      <c r="F61">
        <f>'Waste plastic data in 2019'!$B$11*$B$2+'Waste plastic data in 2019'!$B$9*$B$9+$B$16*'Waste plastic data in 2019'!$B$10</f>
        <v>1604.2120000000002</v>
      </c>
      <c r="G61">
        <f>F61*A61+'Sensitivty analysis-'!C61*(1-$A$23)+'Waste plastic data in 2019'!$B$9*$A$9+$A$16*'Waste plastic data in 2019'!$B$10</f>
        <v>1864.711094</v>
      </c>
      <c r="H61">
        <f t="shared" si="42"/>
        <v>1174.7679892200001</v>
      </c>
      <c r="I61">
        <f t="shared" si="43"/>
        <v>689.94310478</v>
      </c>
      <c r="J61">
        <f>F61*Z61+'Sensitivty analysis-'!I61*Parameters!$C$18</f>
        <v>1089.3127259120001</v>
      </c>
      <c r="K61">
        <f t="shared" si="44"/>
        <v>32.67938177736</v>
      </c>
      <c r="L61">
        <f t="shared" si="45"/>
        <v>239.64879970064004</v>
      </c>
      <c r="M61">
        <f>L61*Parameters!$C$23</f>
        <v>234.85582370662723</v>
      </c>
      <c r="N61">
        <f t="shared" si="46"/>
        <v>114.85845</v>
      </c>
      <c r="O61">
        <f t="shared" si="47"/>
        <v>963.30975116040008</v>
      </c>
      <c r="P61">
        <f>M61+H61*(1-$A$44)*Parameters!$C$23</f>
        <v>442.08489700503532</v>
      </c>
      <c r="Q61">
        <f t="shared" si="48"/>
        <v>209.14804337510404</v>
      </c>
      <c r="R61">
        <f>Q61*Parameters!$C$24*10000000</f>
        <v>92025139085.045776</v>
      </c>
      <c r="S61">
        <f>F61*Y61+'Sensitivty analysis-'!K61+'Sensitivty analysis-'!L61*(1-Parameters!$C$23)+'Sensitivty analysis-'!I61*Parameters!$C$17+'Sensitivty analysis-'!H61*(1-$A$44)*(1-Parameters!$C$23)</f>
        <v>946.55625740056496</v>
      </c>
      <c r="T61">
        <f t="shared" si="49"/>
        <v>1554.392758459461</v>
      </c>
      <c r="U61">
        <f>O61*Parameters!$C$27+'Sensitivty analysis-'!J61*Parameters!$C$22*Parameters!$C$26</f>
        <v>3759.1038065153284</v>
      </c>
      <c r="V61">
        <f>'Sensitivty analysis-'!O61*(Parameters!$C$28-Parameters!$C$27)</f>
        <v>2809.9745441348869</v>
      </c>
      <c r="W61">
        <f>J61*Parameters!$C$29</f>
        <v>326793817.77360004</v>
      </c>
      <c r="X61">
        <f t="shared" si="50"/>
        <v>326.79381777360004</v>
      </c>
      <c r="Y61">
        <f t="shared" si="52"/>
        <v>0.30600000000000005</v>
      </c>
      <c r="Z61">
        <v>0.50700000000000001</v>
      </c>
    </row>
    <row r="62" spans="1:26" x14ac:dyDescent="0.25">
      <c r="A62">
        <f t="shared" si="51"/>
        <v>0.23699999999999999</v>
      </c>
      <c r="C62">
        <f>'Waste plastic data in 2019'!$B$11*$A$2</f>
        <v>229.71690000000001</v>
      </c>
      <c r="D62">
        <f>'Waste plastic data in 2019'!$B$11*Parameters!$C$4</f>
        <v>194.96609999999998</v>
      </c>
      <c r="E62">
        <f>'Waste plastic data in 2019'!$B$9*Parameters!$C$8+Parameters!$C$11*'Waste plastic data in 2019'!$B$10</f>
        <v>206.74</v>
      </c>
      <c r="F62">
        <f>'Waste plastic data in 2019'!$B$11*$B$2+'Waste plastic data in 2019'!$B$9*$B$9+$B$16*'Waste plastic data in 2019'!$B$10</f>
        <v>1604.2120000000002</v>
      </c>
      <c r="G62">
        <f>F62*A62+'Sensitivty analysis-'!C62*(1-$A$23)+'Waste plastic data in 2019'!$B$9*$A$9+$A$16*'Waste plastic data in 2019'!$B$10</f>
        <v>1944.9216940000001</v>
      </c>
      <c r="H62">
        <f t="shared" si="42"/>
        <v>1225.3006672200002</v>
      </c>
      <c r="I62">
        <f t="shared" si="43"/>
        <v>719.62102678000008</v>
      </c>
      <c r="J62">
        <f>F62*Z62+'Sensitivty analysis-'!I62*Parameters!$C$18</f>
        <v>1101.183894712</v>
      </c>
      <c r="K62">
        <f t="shared" si="44"/>
        <v>33.03551684136</v>
      </c>
      <c r="L62">
        <f t="shared" si="45"/>
        <v>242.26045683664</v>
      </c>
      <c r="M62">
        <f>L62*Parameters!$C$23</f>
        <v>237.41524769990721</v>
      </c>
      <c r="N62">
        <f t="shared" si="46"/>
        <v>114.85845</v>
      </c>
      <c r="O62">
        <f t="shared" si="47"/>
        <v>1004.7465471204</v>
      </c>
      <c r="P62">
        <f>M62+H62*(1-$A$44)*Parameters!$C$23</f>
        <v>453.55828539751531</v>
      </c>
      <c r="Q62">
        <f t="shared" si="48"/>
        <v>211.427307784704</v>
      </c>
      <c r="R62">
        <f>Q62*Parameters!$C$24*10000000</f>
        <v>93028015425.269775</v>
      </c>
      <c r="S62">
        <f>F62*Y62+'Sensitivty analysis-'!K62+'Sensitivty analysis-'!L62*(1-Parameters!$C$23)+'Sensitivty analysis-'!I62*Parameters!$C$17+'Sensitivty analysis-'!H62*(1-$A$44)*(1-Parameters!$C$23)</f>
        <v>884.74269644808498</v>
      </c>
      <c r="T62">
        <f t="shared" si="49"/>
        <v>1499.203309697381</v>
      </c>
      <c r="U62">
        <f>O62*Parameters!$C$27+'Sensitivty analysis-'!J62*Parameters!$C$22*Parameters!$C$26</f>
        <v>3848.6438618225279</v>
      </c>
      <c r="V62">
        <f>'Sensitivty analysis-'!O62*(Parameters!$C$28-Parameters!$C$27)</f>
        <v>2930.8456779502067</v>
      </c>
      <c r="W62">
        <f>J62*Parameters!$C$29</f>
        <v>330355168.41359997</v>
      </c>
      <c r="X62">
        <f t="shared" si="50"/>
        <v>330.35516841359998</v>
      </c>
      <c r="Y62">
        <f t="shared" si="52"/>
        <v>0.25600000000000006</v>
      </c>
      <c r="Z62">
        <v>0.50700000000000001</v>
      </c>
    </row>
    <row r="63" spans="1:26" x14ac:dyDescent="0.25">
      <c r="A63">
        <f t="shared" si="51"/>
        <v>0.28699999999999998</v>
      </c>
      <c r="C63">
        <f>'Waste plastic data in 2019'!$B$11*$A$2</f>
        <v>229.71690000000001</v>
      </c>
      <c r="D63">
        <f>'Waste plastic data in 2019'!$B$11*Parameters!$C$4</f>
        <v>194.96609999999998</v>
      </c>
      <c r="E63">
        <f>'Waste plastic data in 2019'!$B$9*Parameters!$C$8+Parameters!$C$11*'Waste plastic data in 2019'!$B$10</f>
        <v>206.74</v>
      </c>
      <c r="F63">
        <f>'Waste plastic data in 2019'!$B$11*$B$2+'Waste plastic data in 2019'!$B$9*$B$9+$B$16*'Waste plastic data in 2019'!$B$10</f>
        <v>1604.2120000000002</v>
      </c>
      <c r="G63">
        <f>F63*A63+'Sensitivty analysis-'!C63*(1-$A$23)+'Waste plastic data in 2019'!$B$9*$A$9+$A$16*'Waste plastic data in 2019'!$B$10</f>
        <v>2025.132294</v>
      </c>
      <c r="H63">
        <f t="shared" si="42"/>
        <v>1275.83334522</v>
      </c>
      <c r="I63">
        <f t="shared" si="43"/>
        <v>749.29894878000005</v>
      </c>
      <c r="J63">
        <f>F63*Z63+'Sensitivty analysis-'!I63*Parameters!$C$18</f>
        <v>1032.8444635120002</v>
      </c>
      <c r="K63">
        <f t="shared" si="44"/>
        <v>30.985333905360005</v>
      </c>
      <c r="L63">
        <f t="shared" si="45"/>
        <v>227.22578197264005</v>
      </c>
      <c r="M63">
        <f>L63*Parameters!$C$23</f>
        <v>222.68126633318724</v>
      </c>
      <c r="N63">
        <f t="shared" si="46"/>
        <v>114.85845</v>
      </c>
      <c r="O63">
        <f t="shared" si="47"/>
        <v>1046.1833430803999</v>
      </c>
      <c r="P63">
        <f>M63+H63*(1-$A$44)*Parameters!$C$23</f>
        <v>447.73826842999529</v>
      </c>
      <c r="Q63">
        <f t="shared" si="48"/>
        <v>198.30613699430401</v>
      </c>
      <c r="R63">
        <f>Q63*Parameters!$C$24*10000000</f>
        <v>87254700277.493759</v>
      </c>
      <c r="S63">
        <f>F63*Y63+'Sensitivty analysis-'!K63+'Sensitivty analysis-'!L63*(1-Parameters!$C$23)+'Sensitivty analysis-'!I63*Parameters!$C$17+'Sensitivty analysis-'!H63*(1-$A$44)*(1-Parameters!$C$23)</f>
        <v>900.38049085560499</v>
      </c>
      <c r="T63">
        <f t="shared" si="49"/>
        <v>1476.7077014953011</v>
      </c>
      <c r="U63">
        <f>O63*Parameters!$C$27+'Sensitivty analysis-'!J63*Parameters!$C$22*Parameters!$C$26</f>
        <v>3772.7495546297278</v>
      </c>
      <c r="V63">
        <f>'Sensitivty analysis-'!O63*(Parameters!$C$28-Parameters!$C$27)</f>
        <v>3051.7168117655265</v>
      </c>
      <c r="W63">
        <f>J63*Parameters!$C$29</f>
        <v>309853339.05360007</v>
      </c>
      <c r="X63">
        <f t="shared" si="50"/>
        <v>309.85333905360005</v>
      </c>
      <c r="Y63">
        <v>0.25600000000000006</v>
      </c>
      <c r="Z63">
        <f>Z58-0.05</f>
        <v>0.45700000000000002</v>
      </c>
    </row>
    <row r="64" spans="1:26" x14ac:dyDescent="0.25">
      <c r="A64">
        <f t="shared" si="51"/>
        <v>0.33699999999999997</v>
      </c>
      <c r="C64">
        <f>'Waste plastic data in 2019'!$B$11*$A$2</f>
        <v>229.71690000000001</v>
      </c>
      <c r="D64">
        <f>'Waste plastic data in 2019'!$B$11*Parameters!$C$4</f>
        <v>194.96609999999998</v>
      </c>
      <c r="E64">
        <f>'Waste plastic data in 2019'!$B$9*Parameters!$C$8+Parameters!$C$11*'Waste plastic data in 2019'!$B$10</f>
        <v>206.74</v>
      </c>
      <c r="F64">
        <f>'Waste plastic data in 2019'!$B$11*$B$2+'Waste plastic data in 2019'!$B$9*$B$9+$B$16*'Waste plastic data in 2019'!$B$10</f>
        <v>1604.2120000000002</v>
      </c>
      <c r="G64">
        <f>F64*A64+'Sensitivty analysis-'!C64*(1-$A$23)+'Waste plastic data in 2019'!$B$9*$A$9+$A$16*'Waste plastic data in 2019'!$B$10</f>
        <v>2105.3428940000003</v>
      </c>
      <c r="H64">
        <f t="shared" si="42"/>
        <v>1326.3660232200002</v>
      </c>
      <c r="I64">
        <f t="shared" si="43"/>
        <v>778.97687078000013</v>
      </c>
      <c r="J64">
        <f>F64*Z64+'Sensitivty analysis-'!I64*Parameters!$C$18</f>
        <v>964.50503231200025</v>
      </c>
      <c r="K64">
        <f t="shared" si="44"/>
        <v>28.935150969360006</v>
      </c>
      <c r="L64">
        <f t="shared" si="45"/>
        <v>212.19110710864007</v>
      </c>
      <c r="M64">
        <f>L64*Parameters!$C$23</f>
        <v>207.94728496646727</v>
      </c>
      <c r="N64">
        <f t="shared" si="46"/>
        <v>114.85845</v>
      </c>
      <c r="O64">
        <f t="shared" si="47"/>
        <v>1087.6201390404001</v>
      </c>
      <c r="P64">
        <f>M64+H64*(1-$A$44)*Parameters!$C$23</f>
        <v>441.91825146247538</v>
      </c>
      <c r="Q64">
        <f t="shared" si="48"/>
        <v>185.18496620390405</v>
      </c>
      <c r="R64">
        <f>Q64*Parameters!$C$24*10000000</f>
        <v>81481385129.717789</v>
      </c>
      <c r="S64">
        <f>F64*Y64+'Sensitivty analysis-'!K64+'Sensitivty analysis-'!L64*(1-Parameters!$C$23)+'Sensitivty analysis-'!I64*Parameters!$C$17+'Sensitivty analysis-'!H64*(1-$A$44)*(1-Parameters!$C$23)</f>
        <v>916.01828526312499</v>
      </c>
      <c r="T64">
        <f t="shared" si="49"/>
        <v>1454.2120932932212</v>
      </c>
      <c r="U64">
        <f>O64*Parameters!$C$27+'Sensitivty analysis-'!J64*Parameters!$C$22*Parameters!$C$26</f>
        <v>3696.8552474369285</v>
      </c>
      <c r="V64">
        <f>'Sensitivty analysis-'!O64*(Parameters!$C$28-Parameters!$C$27)</f>
        <v>3172.5879455808467</v>
      </c>
      <c r="W64">
        <f>J64*Parameters!$C$29</f>
        <v>289351509.69360006</v>
      </c>
      <c r="X64">
        <f t="shared" si="50"/>
        <v>289.35150969360006</v>
      </c>
      <c r="Y64">
        <v>0.25600000000000006</v>
      </c>
      <c r="Z64">
        <f>Z63-0.05</f>
        <v>0.40700000000000003</v>
      </c>
    </row>
    <row r="65" spans="1:26" x14ac:dyDescent="0.25">
      <c r="A65">
        <f t="shared" si="51"/>
        <v>0.38699999999999996</v>
      </c>
      <c r="C65">
        <f>'Waste plastic data in 2019'!$B$11*$A$2</f>
        <v>229.71690000000001</v>
      </c>
      <c r="D65">
        <f>'Waste plastic data in 2019'!$B$11*Parameters!$C$4</f>
        <v>194.96609999999998</v>
      </c>
      <c r="E65">
        <f>'Waste plastic data in 2019'!$B$9*Parameters!$C$8+Parameters!$C$11*'Waste plastic data in 2019'!$B$10</f>
        <v>206.74</v>
      </c>
      <c r="F65">
        <f>'Waste plastic data in 2019'!$B$11*$B$2+'Waste plastic data in 2019'!$B$9*$B$9+$B$16*'Waste plastic data in 2019'!$B$10</f>
        <v>1604.2120000000002</v>
      </c>
      <c r="G65">
        <f>F65*A65+'Sensitivty analysis-'!C65*(1-$A$23)+'Waste plastic data in 2019'!$B$9*$A$9+$A$16*'Waste plastic data in 2019'!$B$10</f>
        <v>2185.5534939999998</v>
      </c>
      <c r="H65">
        <f t="shared" si="42"/>
        <v>1376.8987012199998</v>
      </c>
      <c r="I65">
        <f t="shared" si="43"/>
        <v>808.65479277999987</v>
      </c>
      <c r="J65">
        <f>F65*Z65+'Sensitivty analysis-'!I65*Parameters!$C$18</f>
        <v>896.1656011120001</v>
      </c>
      <c r="K65">
        <f t="shared" si="44"/>
        <v>26.884968033360003</v>
      </c>
      <c r="L65">
        <f t="shared" si="45"/>
        <v>197.15643224464003</v>
      </c>
      <c r="M65">
        <f>L65*Parameters!$C$23</f>
        <v>193.21330359974723</v>
      </c>
      <c r="N65">
        <f t="shared" si="46"/>
        <v>114.85845</v>
      </c>
      <c r="O65">
        <f t="shared" si="47"/>
        <v>1129.0569350003998</v>
      </c>
      <c r="P65">
        <f>M65+H65*(1-$A$44)*Parameters!$C$23</f>
        <v>436.09823449495525</v>
      </c>
      <c r="Q65">
        <f t="shared" si="48"/>
        <v>172.06379541350401</v>
      </c>
      <c r="R65">
        <f>Q65*Parameters!$C$24*10000000</f>
        <v>75708069981.941757</v>
      </c>
      <c r="S65">
        <f>F65*Y65+'Sensitivty analysis-'!K65+'Sensitivty analysis-'!L65*(1-Parameters!$C$23)+'Sensitivty analysis-'!I65*Parameters!$C$17+'Sensitivty analysis-'!H65*(1-$A$44)*(1-Parameters!$C$23)</f>
        <v>931.65607967064489</v>
      </c>
      <c r="T65">
        <f t="shared" si="49"/>
        <v>1431.7164850911408</v>
      </c>
      <c r="U65">
        <f>O65*Parameters!$C$27+'Sensitivty analysis-'!J65*Parameters!$C$22*Parameters!$C$26</f>
        <v>3620.9609402441279</v>
      </c>
      <c r="V65">
        <f>'Sensitivty analysis-'!O65*(Parameters!$C$28-Parameters!$C$27)</f>
        <v>3293.4590793961661</v>
      </c>
      <c r="W65">
        <f>J65*Parameters!$C$29</f>
        <v>268849680.33360004</v>
      </c>
      <c r="X65">
        <f t="shared" si="50"/>
        <v>268.84968033360002</v>
      </c>
      <c r="Y65">
        <v>0.25600000000000006</v>
      </c>
      <c r="Z65">
        <f>Z64-0.05</f>
        <v>0.35700000000000004</v>
      </c>
    </row>
    <row r="66" spans="1:26" x14ac:dyDescent="0.25">
      <c r="A66">
        <f t="shared" si="51"/>
        <v>0.43699999999999994</v>
      </c>
      <c r="C66">
        <f>'Waste plastic data in 2019'!$B$11*$A$2</f>
        <v>229.71690000000001</v>
      </c>
      <c r="D66">
        <f>'Waste plastic data in 2019'!$B$11*Parameters!$C$4</f>
        <v>194.96609999999998</v>
      </c>
      <c r="E66">
        <f>'Waste plastic data in 2019'!$B$9*Parameters!$C$8+Parameters!$C$11*'Waste plastic data in 2019'!$B$10</f>
        <v>206.74</v>
      </c>
      <c r="F66">
        <f>'Waste plastic data in 2019'!$B$11*$B$2+'Waste plastic data in 2019'!$B$9*$B$9+$B$16*'Waste plastic data in 2019'!$B$10</f>
        <v>1604.2120000000002</v>
      </c>
      <c r="G66">
        <f>F66*A66+'Sensitivty analysis-'!C66*(1-$A$23)+'Waste plastic data in 2019'!$B$9*$A$9+$A$16*'Waste plastic data in 2019'!$B$10</f>
        <v>2265.7640940000001</v>
      </c>
      <c r="H66">
        <f t="shared" si="42"/>
        <v>1427.4313792200001</v>
      </c>
      <c r="I66">
        <f t="shared" si="43"/>
        <v>838.33271478000006</v>
      </c>
      <c r="J66">
        <f>F66*Z66+'Sensitivty analysis-'!I66*Parameters!$C$18</f>
        <v>827.82616991200018</v>
      </c>
      <c r="K66">
        <f t="shared" si="44"/>
        <v>24.834785097360005</v>
      </c>
      <c r="L66">
        <f t="shared" si="45"/>
        <v>182.12175738064005</v>
      </c>
      <c r="M66">
        <f>L66*Parameters!$C$23</f>
        <v>178.47932223302723</v>
      </c>
      <c r="N66">
        <f t="shared" si="46"/>
        <v>114.85845</v>
      </c>
      <c r="O66">
        <f t="shared" si="47"/>
        <v>1170.4937309603999</v>
      </c>
      <c r="P66">
        <f>M66+H66*(1-$A$44)*Parameters!$C$23</f>
        <v>430.27821752743529</v>
      </c>
      <c r="Q66">
        <f t="shared" si="48"/>
        <v>158.94262462310402</v>
      </c>
      <c r="R66">
        <f>Q66*Parameters!$C$24*10000000</f>
        <v>69934754834.165771</v>
      </c>
      <c r="S66">
        <f>F66*Y66+'Sensitivty analysis-'!K66+'Sensitivty analysis-'!L66*(1-Parameters!$C$23)+'Sensitivty analysis-'!I66*Parameters!$C$17+'Sensitivty analysis-'!H66*(1-$A$44)*(1-Parameters!$C$23)</f>
        <v>947.29387407816489</v>
      </c>
      <c r="T66">
        <f t="shared" si="49"/>
        <v>1409.2208768890609</v>
      </c>
      <c r="U66">
        <f>O66*Parameters!$C$27+'Sensitivty analysis-'!J66*Parameters!$C$22*Parameters!$C$26</f>
        <v>3545.0666330513282</v>
      </c>
      <c r="V66">
        <f>'Sensitivty analysis-'!O66*(Parameters!$C$28-Parameters!$C$27)</f>
        <v>3414.3302132114864</v>
      </c>
      <c r="W66">
        <f>J66*Parameters!$C$29</f>
        <v>248347850.97360006</v>
      </c>
      <c r="X66">
        <f t="shared" si="50"/>
        <v>248.34785097360006</v>
      </c>
      <c r="Y66">
        <v>0.25600000000000006</v>
      </c>
      <c r="Z66">
        <f>Z65-0.05</f>
        <v>0.30700000000000005</v>
      </c>
    </row>
    <row r="67" spans="1:26" s="29" customFormat="1" x14ac:dyDescent="0.25">
      <c r="A67" s="25"/>
      <c r="B67" s="25"/>
      <c r="C67" s="24" t="s">
        <v>45</v>
      </c>
      <c r="D67" s="24" t="s">
        <v>41</v>
      </c>
      <c r="E67" s="24" t="s">
        <v>44</v>
      </c>
      <c r="F67" s="24" t="s">
        <v>43</v>
      </c>
      <c r="G67" s="24" t="s">
        <v>46</v>
      </c>
      <c r="H67" s="24" t="s">
        <v>47</v>
      </c>
      <c r="I67" s="24" t="s">
        <v>42</v>
      </c>
      <c r="J67" s="24" t="s">
        <v>48</v>
      </c>
      <c r="K67" s="24" t="s">
        <v>50</v>
      </c>
      <c r="L67" s="24" t="s">
        <v>51</v>
      </c>
      <c r="M67" s="24" t="s">
        <v>52</v>
      </c>
      <c r="N67" s="24" t="s">
        <v>53</v>
      </c>
      <c r="O67" s="24" t="s">
        <v>54</v>
      </c>
      <c r="P67" s="24" t="s">
        <v>55</v>
      </c>
      <c r="Q67" s="24" t="s">
        <v>56</v>
      </c>
      <c r="R67" s="24" t="s">
        <v>68</v>
      </c>
      <c r="S67" s="24" t="s">
        <v>49</v>
      </c>
      <c r="T67" s="24" t="s">
        <v>57</v>
      </c>
      <c r="U67" s="24" t="s">
        <v>63</v>
      </c>
      <c r="V67" s="24" t="s">
        <v>64</v>
      </c>
      <c r="W67" s="24" t="s">
        <v>67</v>
      </c>
      <c r="X67" s="24" t="s">
        <v>66</v>
      </c>
      <c r="Y67" s="25"/>
      <c r="Z67" s="25"/>
    </row>
    <row r="68" spans="1:26" x14ac:dyDescent="0.25">
      <c r="A68" s="27">
        <v>0.4</v>
      </c>
      <c r="B68" s="27">
        <v>0.6</v>
      </c>
      <c r="C68">
        <f>'Waste plastic data in 2019'!$B$11*$A$2</f>
        <v>229.71690000000001</v>
      </c>
      <c r="D68">
        <f>'Waste plastic data in 2019'!$B$11*Parameters!$C$4</f>
        <v>194.96609999999998</v>
      </c>
      <c r="E68">
        <f>'Waste plastic data in 2019'!$B$9*Parameters!$C$8+Parameters!$C$11*'Waste plastic data in 2019'!$B$10</f>
        <v>206.74</v>
      </c>
      <c r="F68">
        <f>'Waste plastic data in 2019'!$B$11*$B$2+'Waste plastic data in 2019'!$B$9*$B$9+$B$16*'Waste plastic data in 2019'!$B$10</f>
        <v>1604.2120000000002</v>
      </c>
      <c r="G68">
        <f>F68*$A$58+'Sensitivty analysis-'!C68*(1-$A$23)+'Waste plastic data in 2019'!$B$9*$A$9+$A$16*'Waste plastic data in 2019'!$B$10</f>
        <v>1624.0792939999999</v>
      </c>
      <c r="H68">
        <f>G68*$A$30</f>
        <v>1023.1699552199999</v>
      </c>
      <c r="I68">
        <f>G68*(1-$A$30)</f>
        <v>600.90933877999998</v>
      </c>
      <c r="J68">
        <f>F68*$Z$58+'Sensitivty analysis-'!I68*A68</f>
        <v>1053.6992195120001</v>
      </c>
      <c r="K68">
        <f>J68*$Z$37</f>
        <v>31.610976585360003</v>
      </c>
      <c r="L68">
        <f>J68*$Y$37</f>
        <v>231.81382829264004</v>
      </c>
      <c r="M68">
        <f>L68*Parameters!$C$23</f>
        <v>227.17755172678724</v>
      </c>
      <c r="N68">
        <f>C68*$A$23</f>
        <v>114.85845</v>
      </c>
      <c r="O68">
        <f>H68*$A$44</f>
        <v>838.99936328039985</v>
      </c>
      <c r="P68">
        <f>M68+H68*(1-$A$44)*Parameters!$C$23</f>
        <v>407.66473182759523</v>
      </c>
      <c r="Q68">
        <f>J68*$A$37*$A$51</f>
        <v>202.31025014630404</v>
      </c>
      <c r="R68">
        <f>Q68*Parameters!$C$24*10000000</f>
        <v>89016510064.373779</v>
      </c>
      <c r="S68">
        <f>F68*$Y$58+'Sensitivty analysis-'!K68+'Sensitivty analysis-'!L68*(1-Parameters!$C$23)+'Sensitivty analysis-'!I68*B68+'Sensitivty analysis-'!H68*(1-$A$44)*(1-Parameters!$C$23)</f>
        <v>1131.9969402580048</v>
      </c>
      <c r="T68">
        <f>S68+J68*$A$37*(1-$A$51)</f>
        <v>1719.9611047457008</v>
      </c>
      <c r="U68">
        <f>O68*Parameters!$C$27+'Sensitivty analysis-'!J68*Parameters!$C$22*Parameters!$C$26</f>
        <v>3490.4836405937276</v>
      </c>
      <c r="V68">
        <f>'Sensitivty analysis-'!O68*(Parameters!$C$28-Parameters!$C$27)</f>
        <v>2447.3611426889261</v>
      </c>
      <c r="W68">
        <f>J68*Parameters!$C$29</f>
        <v>316109765.85360003</v>
      </c>
      <c r="X68">
        <f>W68/1000000</f>
        <v>316.10976585360004</v>
      </c>
    </row>
    <row r="69" spans="1:26" s="28" customFormat="1" x14ac:dyDescent="0.25">
      <c r="A69" s="27">
        <f>A68+0.05</f>
        <v>0.45</v>
      </c>
      <c r="B69" s="27">
        <f>B68-0.05</f>
        <v>0.54999999999999993</v>
      </c>
      <c r="C69">
        <f>'Waste plastic data in 2019'!$B$11*$A$2</f>
        <v>229.71690000000001</v>
      </c>
      <c r="D69">
        <f>'Waste plastic data in 2019'!$B$11*Parameters!$C$4</f>
        <v>194.96609999999998</v>
      </c>
      <c r="E69">
        <f>'Waste plastic data in 2019'!$B$9*Parameters!$C$8+Parameters!$C$11*'Waste plastic data in 2019'!$B$10</f>
        <v>206.74</v>
      </c>
      <c r="F69">
        <f>'Waste plastic data in 2019'!$B$11*$B$2+'Waste plastic data in 2019'!$B$9*$B$9+$B$16*'Waste plastic data in 2019'!$B$10</f>
        <v>1604.2120000000002</v>
      </c>
      <c r="G69">
        <f>F69*$A$58+'Sensitivty analysis-'!C69*(1-$A$23)+'Waste plastic data in 2019'!$B$9*$A$9+$A$16*'Waste plastic data in 2019'!$B$10</f>
        <v>1624.0792939999999</v>
      </c>
      <c r="H69">
        <f t="shared" ref="H69:H73" si="53">G69*$A$30</f>
        <v>1023.1699552199999</v>
      </c>
      <c r="I69">
        <f t="shared" ref="I69:I73" si="54">G69*(1-$A$30)</f>
        <v>600.90933877999998</v>
      </c>
      <c r="J69">
        <f>F69*$Z$58+'Sensitivty analysis-'!I69*A69</f>
        <v>1083.744686451</v>
      </c>
      <c r="K69">
        <f t="shared" ref="K69:K73" si="55">J69*$Z$37</f>
        <v>32.512340593529999</v>
      </c>
      <c r="L69">
        <f t="shared" ref="L69:L73" si="56">J69*$Y$37</f>
        <v>238.42383101921999</v>
      </c>
      <c r="M69">
        <f>L69*Parameters!$C$23</f>
        <v>233.65535439883558</v>
      </c>
      <c r="N69">
        <f t="shared" ref="N69:N73" si="57">C69*$A$23</f>
        <v>114.85845</v>
      </c>
      <c r="O69">
        <f t="shared" ref="O69:O73" si="58">H69*$A$44</f>
        <v>838.99936328039985</v>
      </c>
      <c r="P69">
        <f>M69+H69*(1-$A$44)*Parameters!$C$23</f>
        <v>414.1425344996436</v>
      </c>
      <c r="Q69">
        <f t="shared" ref="Q69:Q73" si="59">J69*$A$37*$A$51</f>
        <v>208.078979798592</v>
      </c>
      <c r="R69">
        <f>Q69*Parameters!$C$24*10000000</f>
        <v>91554751111.380478</v>
      </c>
      <c r="S69">
        <f>F69*$Y$58+'Sensitivty analysis-'!K69+'Sensitivty analysis-'!L69*(1-Parameters!$C$23)+'Sensitivty analysis-'!I69*B69+'Sensitivty analysis-'!H69*(1-$A$44)*(1-Parameters!$C$23)</f>
        <v>1102.9850373817062</v>
      </c>
      <c r="T69">
        <f t="shared" ref="T69:T73" si="60">S69+J69*$A$37*(1-$A$51)</f>
        <v>1707.7145724213642</v>
      </c>
      <c r="U69">
        <f>O69*Parameters!$C$27+'Sensitivty analysis-'!J69*Parameters!$C$22*Parameters!$C$26</f>
        <v>3552.4524161554154</v>
      </c>
      <c r="V69">
        <f>'Sensitivty analysis-'!O69*(Parameters!$C$28-Parameters!$C$27)</f>
        <v>2447.3611426889261</v>
      </c>
      <c r="W69">
        <f>J69*Parameters!$C$29</f>
        <v>325123405.93529999</v>
      </c>
      <c r="X69">
        <f t="shared" ref="X69:X73" si="61">W69/1000000</f>
        <v>325.12340593530001</v>
      </c>
    </row>
    <row r="70" spans="1:26" x14ac:dyDescent="0.25">
      <c r="A70" s="27">
        <f t="shared" ref="A70:A73" si="62">A69+0.05</f>
        <v>0.5</v>
      </c>
      <c r="B70" s="27">
        <f t="shared" ref="B70:B73" si="63">B69-0.05</f>
        <v>0.49999999999999994</v>
      </c>
      <c r="C70">
        <f>'Waste plastic data in 2019'!$B$11*$A$2</f>
        <v>229.71690000000001</v>
      </c>
      <c r="D70">
        <f>'Waste plastic data in 2019'!$B$11*Parameters!$C$4</f>
        <v>194.96609999999998</v>
      </c>
      <c r="E70">
        <f>'Waste plastic data in 2019'!$B$9*Parameters!$C$8+Parameters!$C$11*'Waste plastic data in 2019'!$B$10</f>
        <v>206.74</v>
      </c>
      <c r="F70">
        <f>'Waste plastic data in 2019'!$B$11*$B$2+'Waste plastic data in 2019'!$B$9*$B$9+$B$16*'Waste plastic data in 2019'!$B$10</f>
        <v>1604.2120000000002</v>
      </c>
      <c r="G70">
        <f>F70*$A$58+'Sensitivty analysis-'!C70*(1-$A$23)+'Waste plastic data in 2019'!$B$9*$A$9+$A$16*'Waste plastic data in 2019'!$B$10</f>
        <v>1624.0792939999999</v>
      </c>
      <c r="H70">
        <f t="shared" si="53"/>
        <v>1023.1699552199999</v>
      </c>
      <c r="I70">
        <f t="shared" si="54"/>
        <v>600.90933877999998</v>
      </c>
      <c r="J70">
        <f>F70*$Z$58+'Sensitivty analysis-'!I70*A70</f>
        <v>1113.7901533900001</v>
      </c>
      <c r="K70">
        <f t="shared" si="55"/>
        <v>33.413704601700005</v>
      </c>
      <c r="L70">
        <f t="shared" si="56"/>
        <v>245.03383374580002</v>
      </c>
      <c r="M70">
        <f>L70*Parameters!$C$23</f>
        <v>240.13315707088401</v>
      </c>
      <c r="N70">
        <f t="shared" si="57"/>
        <v>114.85845</v>
      </c>
      <c r="O70">
        <f t="shared" si="58"/>
        <v>838.99936328039985</v>
      </c>
      <c r="P70">
        <f>M70+H70*(1-$A$44)*Parameters!$C$23</f>
        <v>420.62033717169203</v>
      </c>
      <c r="Q70">
        <f t="shared" si="59"/>
        <v>213.84770945088002</v>
      </c>
      <c r="R70">
        <f>Q70*Parameters!$C$24*10000000</f>
        <v>94092992158.387207</v>
      </c>
      <c r="S70">
        <f>F70*$Y$58+'Sensitivty analysis-'!K70+'Sensitivty analysis-'!L70*(1-Parameters!$C$23)+'Sensitivty analysis-'!I70*B70+'Sensitivty analysis-'!H70*(1-$A$44)*(1-Parameters!$C$23)</f>
        <v>1073.9731345054079</v>
      </c>
      <c r="T70">
        <f t="shared" si="60"/>
        <v>1695.4680400970278</v>
      </c>
      <c r="U70">
        <f>O70*Parameters!$C$27+'Sensitivty analysis-'!J70*Parameters!$C$22*Parameters!$C$26</f>
        <v>3614.4211917171033</v>
      </c>
      <c r="V70">
        <f>'Sensitivty analysis-'!O70*(Parameters!$C$28-Parameters!$C$27)</f>
        <v>2447.3611426889261</v>
      </c>
      <c r="W70">
        <f>J70*Parameters!$C$29</f>
        <v>334137046.01700002</v>
      </c>
      <c r="X70">
        <f t="shared" si="61"/>
        <v>334.13704601700005</v>
      </c>
    </row>
    <row r="71" spans="1:26" x14ac:dyDescent="0.25">
      <c r="A71" s="27">
        <f t="shared" si="62"/>
        <v>0.55000000000000004</v>
      </c>
      <c r="B71" s="27">
        <f t="shared" si="63"/>
        <v>0.44999999999999996</v>
      </c>
      <c r="C71">
        <f>'Waste plastic data in 2019'!$B$11*$A$2</f>
        <v>229.71690000000001</v>
      </c>
      <c r="D71">
        <f>'Waste plastic data in 2019'!$B$11*Parameters!$C$4</f>
        <v>194.96609999999998</v>
      </c>
      <c r="E71">
        <f>'Waste plastic data in 2019'!$B$9*Parameters!$C$8+Parameters!$C$11*'Waste plastic data in 2019'!$B$10</f>
        <v>206.74</v>
      </c>
      <c r="F71">
        <f>'Waste plastic data in 2019'!$B$11*$B$2+'Waste plastic data in 2019'!$B$9*$B$9+$B$16*'Waste plastic data in 2019'!$B$10</f>
        <v>1604.2120000000002</v>
      </c>
      <c r="G71">
        <f>F71*$A$58+'Sensitivty analysis-'!C71*(1-$A$23)+'Waste plastic data in 2019'!$B$9*$A$9+$A$16*'Waste plastic data in 2019'!$B$10</f>
        <v>1624.0792939999999</v>
      </c>
      <c r="H71">
        <f t="shared" si="53"/>
        <v>1023.1699552199999</v>
      </c>
      <c r="I71">
        <f t="shared" si="54"/>
        <v>600.90933877999998</v>
      </c>
      <c r="J71">
        <f>F71*$Z$58+'Sensitivty analysis-'!I71*A71</f>
        <v>1143.835620329</v>
      </c>
      <c r="K71">
        <f t="shared" si="55"/>
        <v>34.315068609869996</v>
      </c>
      <c r="L71">
        <f t="shared" si="56"/>
        <v>251.64383647238</v>
      </c>
      <c r="M71">
        <f>L71*Parameters!$C$23</f>
        <v>246.61095974293241</v>
      </c>
      <c r="N71">
        <f t="shared" si="57"/>
        <v>114.85845</v>
      </c>
      <c r="O71">
        <f t="shared" si="58"/>
        <v>838.99936328039985</v>
      </c>
      <c r="P71">
        <f>M71+H71*(1-$A$44)*Parameters!$C$23</f>
        <v>427.09813984374046</v>
      </c>
      <c r="Q71">
        <f t="shared" si="59"/>
        <v>219.61643910316801</v>
      </c>
      <c r="R71">
        <f>Q71*Parameters!$C$24*10000000</f>
        <v>96631233205.393921</v>
      </c>
      <c r="S71">
        <f>F71*$Y$58+'Sensitivty analysis-'!K71+'Sensitivty analysis-'!L71*(1-Parameters!$C$23)+'Sensitivty analysis-'!I71*B71+'Sensitivty analysis-'!H71*(1-$A$44)*(1-Parameters!$C$23)</f>
        <v>1044.9612316291095</v>
      </c>
      <c r="T71">
        <f t="shared" si="60"/>
        <v>1683.2215077726914</v>
      </c>
      <c r="U71">
        <f>O71*Parameters!$C$27+'Sensitivty analysis-'!J71*Parameters!$C$22*Parameters!$C$26</f>
        <v>3676.3899672787902</v>
      </c>
      <c r="V71">
        <f>'Sensitivty analysis-'!O71*(Parameters!$C$28-Parameters!$C$27)</f>
        <v>2447.3611426889261</v>
      </c>
      <c r="W71">
        <f>J71*Parameters!$C$29</f>
        <v>343150686.09869999</v>
      </c>
      <c r="X71">
        <f t="shared" si="61"/>
        <v>343.15068609869996</v>
      </c>
    </row>
    <row r="72" spans="1:26" x14ac:dyDescent="0.25">
      <c r="A72" s="27">
        <f t="shared" si="62"/>
        <v>0.60000000000000009</v>
      </c>
      <c r="B72" s="27">
        <f t="shared" si="63"/>
        <v>0.39999999999999997</v>
      </c>
      <c r="C72">
        <f>'Waste plastic data in 2019'!$B$11*$A$2</f>
        <v>229.71690000000001</v>
      </c>
      <c r="D72">
        <f>'Waste plastic data in 2019'!$B$11*Parameters!$C$4</f>
        <v>194.96609999999998</v>
      </c>
      <c r="E72">
        <f>'Waste plastic data in 2019'!$B$9*Parameters!$C$8+Parameters!$C$11*'Waste plastic data in 2019'!$B$10</f>
        <v>206.74</v>
      </c>
      <c r="F72">
        <f>'Waste plastic data in 2019'!$B$11*$B$2+'Waste plastic data in 2019'!$B$9*$B$9+$B$16*'Waste plastic data in 2019'!$B$10</f>
        <v>1604.2120000000002</v>
      </c>
      <c r="G72">
        <f>F72*$A$58+'Sensitivty analysis-'!C72*(1-$A$23)+'Waste plastic data in 2019'!$B$9*$A$9+$A$16*'Waste plastic data in 2019'!$B$10</f>
        <v>1624.0792939999999</v>
      </c>
      <c r="H72">
        <f t="shared" si="53"/>
        <v>1023.1699552199999</v>
      </c>
      <c r="I72">
        <f t="shared" si="54"/>
        <v>600.90933877999998</v>
      </c>
      <c r="J72">
        <f>F72*$Z$58+'Sensitivty analysis-'!I72*A72</f>
        <v>1173.8810872680001</v>
      </c>
      <c r="K72">
        <f t="shared" si="55"/>
        <v>35.216432618040002</v>
      </c>
      <c r="L72">
        <f t="shared" si="56"/>
        <v>258.25383919896001</v>
      </c>
      <c r="M72">
        <f>L72*Parameters!$C$23</f>
        <v>253.08876241498081</v>
      </c>
      <c r="N72">
        <f t="shared" si="57"/>
        <v>114.85845</v>
      </c>
      <c r="O72">
        <f t="shared" si="58"/>
        <v>838.99936328039985</v>
      </c>
      <c r="P72">
        <f>M72+H72*(1-$A$44)*Parameters!$C$23</f>
        <v>433.57594251578882</v>
      </c>
      <c r="Q72">
        <f t="shared" si="59"/>
        <v>225.38516875545602</v>
      </c>
      <c r="R72">
        <f>Q72*Parameters!$C$24*10000000</f>
        <v>99169474252.40065</v>
      </c>
      <c r="S72">
        <f>F72*$Y$58+'Sensitivty analysis-'!K72+'Sensitivty analysis-'!L72*(1-Parameters!$C$23)+'Sensitivty analysis-'!I72*B72+'Sensitivty analysis-'!H72*(1-$A$44)*(1-Parameters!$C$23)</f>
        <v>1015.9493287528113</v>
      </c>
      <c r="T72">
        <f t="shared" si="60"/>
        <v>1670.9749754483555</v>
      </c>
      <c r="U72">
        <f>O72*Parameters!$C$27+'Sensitivty analysis-'!J72*Parameters!$C$22*Parameters!$C$26</f>
        <v>3738.358742840478</v>
      </c>
      <c r="V72">
        <f>'Sensitivty analysis-'!O72*(Parameters!$C$28-Parameters!$C$27)</f>
        <v>2447.3611426889261</v>
      </c>
      <c r="W72">
        <f>J72*Parameters!$C$29</f>
        <v>352164326.18040001</v>
      </c>
      <c r="X72">
        <f t="shared" si="61"/>
        <v>352.1643261804</v>
      </c>
    </row>
    <row r="73" spans="1:26" x14ac:dyDescent="0.25">
      <c r="A73" s="27">
        <f t="shared" si="62"/>
        <v>0.65000000000000013</v>
      </c>
      <c r="B73" s="27">
        <f t="shared" si="63"/>
        <v>0.35</v>
      </c>
      <c r="C73">
        <f>'Waste plastic data in 2019'!$B$11*$A$2</f>
        <v>229.71690000000001</v>
      </c>
      <c r="D73">
        <f>'Waste plastic data in 2019'!$B$11*Parameters!$C$4</f>
        <v>194.96609999999998</v>
      </c>
      <c r="E73">
        <f>'Waste plastic data in 2019'!$B$9*Parameters!$C$8+Parameters!$C$11*'Waste plastic data in 2019'!$B$10</f>
        <v>206.74</v>
      </c>
      <c r="F73">
        <f>'Waste plastic data in 2019'!$B$11*$B$2+'Waste plastic data in 2019'!$B$9*$B$9+$B$16*'Waste plastic data in 2019'!$B$10</f>
        <v>1604.2120000000002</v>
      </c>
      <c r="G73">
        <f>F73*$A$58+'Sensitivty analysis-'!C73*(1-$A$23)+'Waste plastic data in 2019'!$B$9*$A$9+$A$16*'Waste plastic data in 2019'!$B$10</f>
        <v>1624.0792939999999</v>
      </c>
      <c r="H73">
        <f t="shared" si="53"/>
        <v>1023.1699552199999</v>
      </c>
      <c r="I73">
        <f t="shared" si="54"/>
        <v>600.90933877999998</v>
      </c>
      <c r="J73">
        <f>F73*$Z$58+'Sensitivty analysis-'!I73*A73</f>
        <v>1203.9265542070002</v>
      </c>
      <c r="K73">
        <f t="shared" si="55"/>
        <v>36.117796626210001</v>
      </c>
      <c r="L73">
        <f t="shared" si="56"/>
        <v>264.86384192554004</v>
      </c>
      <c r="M73">
        <f>L73*Parameters!$C$23</f>
        <v>259.56656508702923</v>
      </c>
      <c r="N73">
        <f t="shared" si="57"/>
        <v>114.85845</v>
      </c>
      <c r="O73">
        <f t="shared" si="58"/>
        <v>838.99936328039985</v>
      </c>
      <c r="P73">
        <f>M73+H73*(1-$A$44)*Parameters!$C$23</f>
        <v>440.05374518783725</v>
      </c>
      <c r="Q73">
        <f t="shared" si="59"/>
        <v>231.15389840774404</v>
      </c>
      <c r="R73">
        <f>Q73*Parameters!$C$24*10000000</f>
        <v>101707715299.40738</v>
      </c>
      <c r="S73">
        <f>F73*$Y$58+'Sensitivty analysis-'!K73+'Sensitivty analysis-'!L73*(1-Parameters!$C$23)+'Sensitivty analysis-'!I73*B73+'Sensitivty analysis-'!H73*(1-$A$44)*(1-Parameters!$C$23)</f>
        <v>986.93742587651286</v>
      </c>
      <c r="T73">
        <f t="shared" si="60"/>
        <v>1658.7284431240191</v>
      </c>
      <c r="U73">
        <f>O73*Parameters!$C$27+'Sensitivty analysis-'!J73*Parameters!$C$22*Parameters!$C$26</f>
        <v>3800.3275184021659</v>
      </c>
      <c r="V73">
        <f>'Sensitivty analysis-'!O73*(Parameters!$C$28-Parameters!$C$27)</f>
        <v>2447.3611426889261</v>
      </c>
      <c r="W73">
        <f>J73*Parameters!$C$29</f>
        <v>361177966.26210004</v>
      </c>
      <c r="X73">
        <f t="shared" si="61"/>
        <v>361.17796626210003</v>
      </c>
    </row>
    <row r="74" spans="1:26" s="25" customFormat="1" x14ac:dyDescent="0.25">
      <c r="A74" s="32"/>
      <c r="B74" s="32"/>
      <c r="C74" s="24" t="s">
        <v>45</v>
      </c>
      <c r="D74" s="24" t="s">
        <v>41</v>
      </c>
      <c r="E74" s="24" t="s">
        <v>44</v>
      </c>
      <c r="F74" s="24" t="s">
        <v>43</v>
      </c>
      <c r="G74" s="24" t="s">
        <v>46</v>
      </c>
      <c r="H74" s="24" t="s">
        <v>47</v>
      </c>
      <c r="I74" s="24" t="s">
        <v>42</v>
      </c>
      <c r="J74" s="24" t="s">
        <v>48</v>
      </c>
      <c r="K74" s="24" t="s">
        <v>50</v>
      </c>
      <c r="L74" s="24" t="s">
        <v>51</v>
      </c>
      <c r="M74" s="24" t="s">
        <v>52</v>
      </c>
      <c r="N74" s="24" t="s">
        <v>53</v>
      </c>
      <c r="O74" s="24" t="s">
        <v>54</v>
      </c>
      <c r="P74" s="24" t="s">
        <v>55</v>
      </c>
      <c r="Q74" s="24" t="s">
        <v>56</v>
      </c>
      <c r="R74" s="24" t="s">
        <v>68</v>
      </c>
      <c r="S74" s="24" t="s">
        <v>49</v>
      </c>
      <c r="T74" s="24" t="s">
        <v>57</v>
      </c>
      <c r="U74" s="24" t="s">
        <v>63</v>
      </c>
      <c r="V74" s="24" t="s">
        <v>64</v>
      </c>
      <c r="W74" s="24" t="s">
        <v>67</v>
      </c>
      <c r="X74" s="24" t="s">
        <v>66</v>
      </c>
    </row>
    <row r="75" spans="1:26" x14ac:dyDescent="0.25">
      <c r="A75" s="33">
        <v>0.50700000000000001</v>
      </c>
      <c r="B75" s="33">
        <v>0.45600000000000002</v>
      </c>
      <c r="C75">
        <f>'Waste plastic data in 2019'!$B$11*$A$2</f>
        <v>229.71690000000001</v>
      </c>
      <c r="D75">
        <f>'Waste plastic data in 2019'!$B$11*Parameters!$C$4</f>
        <v>194.96609999999998</v>
      </c>
      <c r="E75">
        <f>'Waste plastic data in 2019'!$B$9*Parameters!$C$8+Parameters!$C$11*'Waste plastic data in 2019'!$B$10</f>
        <v>206.74</v>
      </c>
      <c r="F75">
        <f>'Waste plastic data in 2019'!$B$11*$B$2+'Waste plastic data in 2019'!$B$9*$B$9+$B$16*'Waste plastic data in 2019'!$B$10</f>
        <v>1604.2120000000002</v>
      </c>
      <c r="G75">
        <f>F75*$A$58+'Sensitivty analysis-'!C75*(1-$A$23)+'Waste plastic data in 2019'!$B$9*$A$9+$A$16*'Waste plastic data in 2019'!$B$10</f>
        <v>1624.0792939999999</v>
      </c>
      <c r="H75">
        <f>G75*$A$30</f>
        <v>1023.1699552199999</v>
      </c>
      <c r="I75">
        <f>G75*(1-$A$30)</f>
        <v>600.90933877999998</v>
      </c>
      <c r="J75">
        <f>F75*A75+'Sensitivty analysis-'!I75*$A$68</f>
        <v>1053.6992195120001</v>
      </c>
      <c r="K75">
        <f>J75*$Z$37</f>
        <v>31.610976585360003</v>
      </c>
      <c r="L75">
        <f>J75*$Y$37</f>
        <v>231.81382829264004</v>
      </c>
      <c r="M75">
        <f>L75*Parameters!$C$23</f>
        <v>227.17755172678724</v>
      </c>
      <c r="N75">
        <f>C75*$A$23</f>
        <v>114.85845</v>
      </c>
      <c r="O75">
        <f>H75*$A$44</f>
        <v>838.99936328039985</v>
      </c>
      <c r="P75">
        <f>M75+H75*(1-$A$44)*Parameters!$C$23</f>
        <v>407.66473182759523</v>
      </c>
      <c r="Q75">
        <f>J75*$A$37*$A$51</f>
        <v>202.31025014630404</v>
      </c>
      <c r="R75">
        <f>Q75*Parameters!$C$24*10000000</f>
        <v>89016510064.373779</v>
      </c>
      <c r="S75">
        <f>F75*B75+'Sensitivty analysis-'!K75+'Sensitivty analysis-'!L75*(1-Parameters!$C$23)+'Sensitivty analysis-'!I75*$B$68+'Sensitivty analysis-'!H75*(1-$A$44)*(1-Parameters!$C$23)</f>
        <v>1131.9969402580048</v>
      </c>
      <c r="T75">
        <f>S75+J75*$A$37*(1-$A$51)</f>
        <v>1719.9611047457008</v>
      </c>
      <c r="U75">
        <f>O75*Parameters!$C$27+'Sensitivty analysis-'!J75*Parameters!$C$22*Parameters!$C$26</f>
        <v>3490.4836405937276</v>
      </c>
      <c r="V75">
        <f>'Sensitivty analysis-'!O75*(Parameters!$C$28-Parameters!$C$27)</f>
        <v>2447.3611426889261</v>
      </c>
      <c r="W75">
        <f>J75*Parameters!$C$29</f>
        <v>316109765.85360003</v>
      </c>
      <c r="X75">
        <f>W75/1000000</f>
        <v>316.10976585360004</v>
      </c>
      <c r="Y75" s="33"/>
      <c r="Z75" s="33"/>
    </row>
    <row r="76" spans="1:26" x14ac:dyDescent="0.25">
      <c r="A76" s="33">
        <f>A75+0.05</f>
        <v>0.55700000000000005</v>
      </c>
      <c r="B76" s="33">
        <f>B75-0.05</f>
        <v>0.40600000000000003</v>
      </c>
      <c r="C76">
        <f>'Waste plastic data in 2019'!$B$11*$A$2</f>
        <v>229.71690000000001</v>
      </c>
      <c r="D76">
        <f>'Waste plastic data in 2019'!$B$11*Parameters!$C$4</f>
        <v>194.96609999999998</v>
      </c>
      <c r="E76">
        <f>'Waste plastic data in 2019'!$B$9*Parameters!$C$8+Parameters!$C$11*'Waste plastic data in 2019'!$B$10</f>
        <v>206.74</v>
      </c>
      <c r="F76">
        <f>'Waste plastic data in 2019'!$B$11*$B$2+'Waste plastic data in 2019'!$B$9*$B$9+$B$16*'Waste plastic data in 2019'!$B$10</f>
        <v>1604.2120000000002</v>
      </c>
      <c r="G76">
        <f>F76*$A$58+'Sensitivty analysis-'!C76*(1-$A$23)+'Waste plastic data in 2019'!$B$9*$A$9+$A$16*'Waste plastic data in 2019'!$B$10</f>
        <v>1624.0792939999999</v>
      </c>
      <c r="H76">
        <f t="shared" ref="H76:H80" si="64">G76*$A$30</f>
        <v>1023.1699552199999</v>
      </c>
      <c r="I76">
        <f t="shared" ref="I76:I80" si="65">G76*(1-$A$30)</f>
        <v>600.90933877999998</v>
      </c>
      <c r="J76">
        <f>F76*A76+'Sensitivty analysis-'!I76*$A$68</f>
        <v>1133.9098195120002</v>
      </c>
      <c r="K76">
        <f t="shared" ref="K76:K80" si="66">J76*$Z$37</f>
        <v>34.017294585360005</v>
      </c>
      <c r="L76">
        <f t="shared" ref="L76:L80" si="67">J76*$Y$37</f>
        <v>249.46016029264004</v>
      </c>
      <c r="M76">
        <f>L76*Parameters!$C$23</f>
        <v>244.47095708678722</v>
      </c>
      <c r="N76">
        <f t="shared" ref="N76:N80" si="68">C76*$A$23</f>
        <v>114.85845</v>
      </c>
      <c r="O76">
        <f t="shared" ref="O76:O80" si="69">H76*$A$44</f>
        <v>838.99936328039985</v>
      </c>
      <c r="P76">
        <f>M76+H76*(1-$A$44)*Parameters!$C$23</f>
        <v>424.95813718759524</v>
      </c>
      <c r="Q76">
        <f t="shared" ref="Q76:Q80" si="70">J76*$A$37*$A$51</f>
        <v>217.71068534630405</v>
      </c>
      <c r="R76">
        <f>Q76*Parameters!$C$24*10000000</f>
        <v>95792701552.373779</v>
      </c>
      <c r="S76">
        <f>F76*B76+'Sensitivty analysis-'!K76+'Sensitivty analysis-'!L76*(1-Parameters!$C$23)+'Sensitivty analysis-'!I76*$B$68+'Sensitivty analysis-'!H76*(1-$A$44)*(1-Parameters!$C$23)</f>
        <v>1054.5455848980048</v>
      </c>
      <c r="T76">
        <f t="shared" ref="T76:T80" si="71">S76+J76*$A$37*(1-$A$51)</f>
        <v>1687.2672641857009</v>
      </c>
      <c r="U76">
        <f>O76*Parameters!$C$27+'Sensitivty analysis-'!J76*Parameters!$C$22*Parameters!$C$26</f>
        <v>3655.9180030937277</v>
      </c>
      <c r="V76">
        <f>'Sensitivty analysis-'!O76*(Parameters!$C$28-Parameters!$C$27)</f>
        <v>2447.3611426889261</v>
      </c>
      <c r="W76">
        <f>J76*Parameters!$C$29</f>
        <v>340172945.85360008</v>
      </c>
      <c r="X76">
        <f t="shared" ref="X76:X80" si="72">W76/1000000</f>
        <v>340.17294585360008</v>
      </c>
      <c r="Y76" s="33"/>
      <c r="Z76" s="33"/>
    </row>
    <row r="77" spans="1:26" x14ac:dyDescent="0.25">
      <c r="A77" s="33">
        <f t="shared" ref="A77:A80" si="73">A76+0.05</f>
        <v>0.6070000000000001</v>
      </c>
      <c r="B77" s="33">
        <f t="shared" ref="B77:B80" si="74">B76-0.05</f>
        <v>0.35600000000000004</v>
      </c>
      <c r="C77">
        <f>'Waste plastic data in 2019'!$B$11*$A$2</f>
        <v>229.71690000000001</v>
      </c>
      <c r="D77">
        <f>'Waste plastic data in 2019'!$B$11*Parameters!$C$4</f>
        <v>194.96609999999998</v>
      </c>
      <c r="E77">
        <f>'Waste plastic data in 2019'!$B$9*Parameters!$C$8+Parameters!$C$11*'Waste plastic data in 2019'!$B$10</f>
        <v>206.74</v>
      </c>
      <c r="F77">
        <f>'Waste plastic data in 2019'!$B$11*$B$2+'Waste plastic data in 2019'!$B$9*$B$9+$B$16*'Waste plastic data in 2019'!$B$10</f>
        <v>1604.2120000000002</v>
      </c>
      <c r="G77">
        <f>F77*$A$58+'Sensitivty analysis-'!C77*(1-$A$23)+'Waste plastic data in 2019'!$B$9*$A$9+$A$16*'Waste plastic data in 2019'!$B$10</f>
        <v>1624.0792939999999</v>
      </c>
      <c r="H77">
        <f t="shared" si="64"/>
        <v>1023.1699552199999</v>
      </c>
      <c r="I77">
        <f t="shared" si="65"/>
        <v>600.90933877999998</v>
      </c>
      <c r="J77">
        <f>F77*A77+'Sensitivty analysis-'!I77*$A$68</f>
        <v>1214.1204195120004</v>
      </c>
      <c r="K77">
        <f t="shared" si="66"/>
        <v>36.423612585360011</v>
      </c>
      <c r="L77">
        <f t="shared" si="67"/>
        <v>267.1064922926401</v>
      </c>
      <c r="M77">
        <f>L77*Parameters!$C$23</f>
        <v>261.76436244678729</v>
      </c>
      <c r="N77">
        <f t="shared" si="68"/>
        <v>114.85845</v>
      </c>
      <c r="O77">
        <f t="shared" si="69"/>
        <v>838.99936328039985</v>
      </c>
      <c r="P77">
        <f>M77+H77*(1-$A$44)*Parameters!$C$23</f>
        <v>442.25154254759531</v>
      </c>
      <c r="Q77">
        <f t="shared" si="70"/>
        <v>233.11112054630408</v>
      </c>
      <c r="R77">
        <f>Q77*Parameters!$C$24*10000000</f>
        <v>102568893040.37378</v>
      </c>
      <c r="S77">
        <f>F77*B77+'Sensitivty analysis-'!K77+'Sensitivty analysis-'!L77*(1-Parameters!$C$23)+'Sensitivty analysis-'!I77*$B$68+'Sensitivty analysis-'!H77*(1-$A$44)*(1-Parameters!$C$23)</f>
        <v>977.09422953800492</v>
      </c>
      <c r="T77">
        <f t="shared" si="71"/>
        <v>1654.5734236257013</v>
      </c>
      <c r="U77">
        <f>O77*Parameters!$C$27+'Sensitivty analysis-'!J77*Parameters!$C$22*Parameters!$C$26</f>
        <v>3821.3523655937288</v>
      </c>
      <c r="V77">
        <f>'Sensitivty analysis-'!O77*(Parameters!$C$28-Parameters!$C$27)</f>
        <v>2447.3611426889261</v>
      </c>
      <c r="W77">
        <f>J77*Parameters!$C$29</f>
        <v>364236125.85360008</v>
      </c>
      <c r="X77">
        <f t="shared" si="72"/>
        <v>364.23612585360007</v>
      </c>
      <c r="Y77" s="33"/>
      <c r="Z77" s="33"/>
    </row>
    <row r="78" spans="1:26" x14ac:dyDescent="0.25">
      <c r="A78" s="33">
        <f t="shared" si="73"/>
        <v>0.65700000000000014</v>
      </c>
      <c r="B78" s="33">
        <f t="shared" si="74"/>
        <v>0.30600000000000005</v>
      </c>
      <c r="C78">
        <f>'Waste plastic data in 2019'!$B$11*$A$2</f>
        <v>229.71690000000001</v>
      </c>
      <c r="D78">
        <f>'Waste plastic data in 2019'!$B$11*Parameters!$C$4</f>
        <v>194.96609999999998</v>
      </c>
      <c r="E78">
        <f>'Waste plastic data in 2019'!$B$9*Parameters!$C$8+Parameters!$C$11*'Waste plastic data in 2019'!$B$10</f>
        <v>206.74</v>
      </c>
      <c r="F78">
        <f>'Waste plastic data in 2019'!$B$11*$B$2+'Waste plastic data in 2019'!$B$9*$B$9+$B$16*'Waste plastic data in 2019'!$B$10</f>
        <v>1604.2120000000002</v>
      </c>
      <c r="G78">
        <f>F78*$A$58+'Sensitivty analysis-'!C78*(1-$A$23)+'Waste plastic data in 2019'!$B$9*$A$9+$A$16*'Waste plastic data in 2019'!$B$10</f>
        <v>1624.0792939999999</v>
      </c>
      <c r="H78">
        <f t="shared" si="64"/>
        <v>1023.1699552199999</v>
      </c>
      <c r="I78">
        <f t="shared" si="65"/>
        <v>600.90933877999998</v>
      </c>
      <c r="J78">
        <f>F78*A78+'Sensitivty analysis-'!I78*$A$68</f>
        <v>1294.3310195120002</v>
      </c>
      <c r="K78">
        <f t="shared" si="66"/>
        <v>38.829930585360003</v>
      </c>
      <c r="L78">
        <f t="shared" si="67"/>
        <v>284.75282429264007</v>
      </c>
      <c r="M78">
        <f>L78*Parameters!$C$23</f>
        <v>279.05776780678724</v>
      </c>
      <c r="N78">
        <f t="shared" si="68"/>
        <v>114.85845</v>
      </c>
      <c r="O78">
        <f t="shared" si="69"/>
        <v>838.99936328039985</v>
      </c>
      <c r="P78">
        <f>M78+H78*(1-$A$44)*Parameters!$C$23</f>
        <v>459.54494790759526</v>
      </c>
      <c r="Q78">
        <f t="shared" si="70"/>
        <v>248.51155574630405</v>
      </c>
      <c r="R78">
        <f>Q78*Parameters!$C$24*10000000</f>
        <v>109345084528.37379</v>
      </c>
      <c r="S78">
        <f>F78*B78+'Sensitivty analysis-'!K78+'Sensitivty analysis-'!L78*(1-Parameters!$C$23)+'Sensitivty analysis-'!I78*$B$68+'Sensitivty analysis-'!H78*(1-$A$44)*(1-Parameters!$C$23)</f>
        <v>899.64287417800494</v>
      </c>
      <c r="T78">
        <f t="shared" si="71"/>
        <v>1621.8795830657011</v>
      </c>
      <c r="U78">
        <f>O78*Parameters!$C$27+'Sensitivty analysis-'!J78*Parameters!$C$22*Parameters!$C$26</f>
        <v>3986.786728093728</v>
      </c>
      <c r="V78">
        <f>'Sensitivty analysis-'!O78*(Parameters!$C$28-Parameters!$C$27)</f>
        <v>2447.3611426889261</v>
      </c>
      <c r="W78">
        <f>J78*Parameters!$C$29</f>
        <v>388299305.85360008</v>
      </c>
      <c r="X78">
        <f t="shared" si="72"/>
        <v>388.29930585360006</v>
      </c>
      <c r="Y78" s="33"/>
      <c r="Z78" s="33"/>
    </row>
    <row r="79" spans="1:26" x14ac:dyDescent="0.25">
      <c r="A79" s="33">
        <f t="shared" si="73"/>
        <v>0.70700000000000018</v>
      </c>
      <c r="B79" s="33">
        <f t="shared" si="74"/>
        <v>0.25600000000000006</v>
      </c>
      <c r="C79">
        <f>'Waste plastic data in 2019'!$B$11*$A$2</f>
        <v>229.71690000000001</v>
      </c>
      <c r="D79">
        <f>'Waste plastic data in 2019'!$B$11*Parameters!$C$4</f>
        <v>194.96609999999998</v>
      </c>
      <c r="E79">
        <f>'Waste plastic data in 2019'!$B$9*Parameters!$C$8+Parameters!$C$11*'Waste plastic data in 2019'!$B$10</f>
        <v>206.74</v>
      </c>
      <c r="F79">
        <f>'Waste plastic data in 2019'!$B$11*$B$2+'Waste plastic data in 2019'!$B$9*$B$9+$B$16*'Waste plastic data in 2019'!$B$10</f>
        <v>1604.2120000000002</v>
      </c>
      <c r="G79">
        <f>F79*$A$58+'Sensitivty analysis-'!C79*(1-$A$23)+'Waste plastic data in 2019'!$B$9*$A$9+$A$16*'Waste plastic data in 2019'!$B$10</f>
        <v>1624.0792939999999</v>
      </c>
      <c r="H79">
        <f t="shared" si="64"/>
        <v>1023.1699552199999</v>
      </c>
      <c r="I79">
        <f t="shared" si="65"/>
        <v>600.90933877999998</v>
      </c>
      <c r="J79">
        <f>F79*A79+'Sensitivty analysis-'!I79*$A$68</f>
        <v>1374.5416195120004</v>
      </c>
      <c r="K79">
        <f t="shared" si="66"/>
        <v>41.236248585360009</v>
      </c>
      <c r="L79">
        <f t="shared" si="67"/>
        <v>302.3991562926401</v>
      </c>
      <c r="M79">
        <f>L79*Parameters!$C$23</f>
        <v>296.35117316678731</v>
      </c>
      <c r="N79">
        <f t="shared" si="68"/>
        <v>114.85845</v>
      </c>
      <c r="O79">
        <f t="shared" si="69"/>
        <v>838.99936328039985</v>
      </c>
      <c r="P79">
        <f>M79+H79*(1-$A$44)*Parameters!$C$23</f>
        <v>476.83835326759532</v>
      </c>
      <c r="Q79">
        <f t="shared" si="70"/>
        <v>263.91199094630406</v>
      </c>
      <c r="R79">
        <f>Q79*Parameters!$C$24*10000000</f>
        <v>116121276016.37378</v>
      </c>
      <c r="S79">
        <f>F79*B79+'Sensitivty analysis-'!K79+'Sensitivty analysis-'!L79*(1-Parameters!$C$23)+'Sensitivty analysis-'!I79*$B$68+'Sensitivty analysis-'!H79*(1-$A$44)*(1-Parameters!$C$23)</f>
        <v>822.19151881800497</v>
      </c>
      <c r="T79">
        <f t="shared" si="71"/>
        <v>1589.185742505701</v>
      </c>
      <c r="U79">
        <f>O79*Parameters!$C$27+'Sensitivty analysis-'!J79*Parameters!$C$22*Parameters!$C$26</f>
        <v>4152.2210905937281</v>
      </c>
      <c r="V79">
        <f>'Sensitivty analysis-'!O79*(Parameters!$C$28-Parameters!$C$27)</f>
        <v>2447.3611426889261</v>
      </c>
      <c r="W79">
        <f>J79*Parameters!$C$29</f>
        <v>412362485.85360008</v>
      </c>
      <c r="X79">
        <f t="shared" si="72"/>
        <v>412.36248585360011</v>
      </c>
      <c r="Y79" s="33"/>
      <c r="Z79" s="33"/>
    </row>
    <row r="80" spans="1:26" x14ac:dyDescent="0.25">
      <c r="A80" s="33">
        <f t="shared" si="73"/>
        <v>0.75700000000000023</v>
      </c>
      <c r="B80" s="33">
        <f t="shared" si="74"/>
        <v>0.20600000000000007</v>
      </c>
      <c r="C80">
        <f>'Waste plastic data in 2019'!$B$11*$A$2</f>
        <v>229.71690000000001</v>
      </c>
      <c r="D80">
        <f>'Waste plastic data in 2019'!$B$11*Parameters!$C$4</f>
        <v>194.96609999999998</v>
      </c>
      <c r="E80">
        <f>'Waste plastic data in 2019'!$B$9*Parameters!$C$8+Parameters!$C$11*'Waste plastic data in 2019'!$B$10</f>
        <v>206.74</v>
      </c>
      <c r="F80">
        <f>'Waste plastic data in 2019'!$B$11*$B$2+'Waste plastic data in 2019'!$B$9*$B$9+$B$16*'Waste plastic data in 2019'!$B$10</f>
        <v>1604.2120000000002</v>
      </c>
      <c r="G80">
        <f>F80*$A$58+'Sensitivty analysis-'!C80*(1-$A$23)+'Waste plastic data in 2019'!$B$9*$A$9+$A$16*'Waste plastic data in 2019'!$B$10</f>
        <v>1624.0792939999999</v>
      </c>
      <c r="H80">
        <f t="shared" si="64"/>
        <v>1023.1699552199999</v>
      </c>
      <c r="I80">
        <f t="shared" si="65"/>
        <v>600.90933877999998</v>
      </c>
      <c r="J80">
        <f>F80*A80+'Sensitivty analysis-'!I80*$A$68</f>
        <v>1454.7522195120005</v>
      </c>
      <c r="K80">
        <f t="shared" si="66"/>
        <v>43.642566585360015</v>
      </c>
      <c r="L80">
        <f t="shared" si="67"/>
        <v>320.04548829264013</v>
      </c>
      <c r="M80">
        <f>L80*Parameters!$C$23</f>
        <v>313.64457852678731</v>
      </c>
      <c r="N80">
        <f t="shared" si="68"/>
        <v>114.85845</v>
      </c>
      <c r="O80">
        <f t="shared" si="69"/>
        <v>838.99936328039985</v>
      </c>
      <c r="P80">
        <f>M80+H80*(1-$A$44)*Parameters!$C$23</f>
        <v>494.13175862759533</v>
      </c>
      <c r="Q80">
        <f t="shared" si="70"/>
        <v>279.31242614630412</v>
      </c>
      <c r="R80">
        <f>Q80*Parameters!$C$24*10000000</f>
        <v>122897467504.37381</v>
      </c>
      <c r="S80">
        <f>F80*B80+'Sensitivty analysis-'!K80+'Sensitivty analysis-'!L80*(1-Parameters!$C$23)+'Sensitivty analysis-'!I80*$B$68+'Sensitivty analysis-'!H80*(1-$A$44)*(1-Parameters!$C$23)</f>
        <v>744.74016345800499</v>
      </c>
      <c r="T80">
        <f t="shared" si="71"/>
        <v>1556.4919019457013</v>
      </c>
      <c r="U80">
        <f>O80*Parameters!$C$27+'Sensitivty analysis-'!J80*Parameters!$C$22*Parameters!$C$26</f>
        <v>4317.6554530937292</v>
      </c>
      <c r="V80">
        <f>'Sensitivty analysis-'!O80*(Parameters!$C$28-Parameters!$C$27)</f>
        <v>2447.3611426889261</v>
      </c>
      <c r="W80">
        <f>J80*Parameters!$C$29</f>
        <v>436425665.85360014</v>
      </c>
      <c r="X80">
        <f t="shared" si="72"/>
        <v>436.42566585360015</v>
      </c>
      <c r="Y80" s="33"/>
      <c r="Z80" s="33"/>
    </row>
    <row r="81" spans="1:20" s="46" customFormat="1" x14ac:dyDescent="0.25"/>
    <row r="82" spans="1:20" s="27" customFormat="1" x14ac:dyDescent="0.25">
      <c r="L82" s="33"/>
    </row>
    <row r="83" spans="1:20" s="27" customFormat="1" x14ac:dyDescent="0.25">
      <c r="L83" s="33"/>
    </row>
    <row r="84" spans="1:20" s="27" customFormat="1" x14ac:dyDescent="0.25">
      <c r="L84" s="33"/>
    </row>
    <row r="85" spans="1:20" s="27" customFormat="1" x14ac:dyDescent="0.25">
      <c r="L85" s="33"/>
    </row>
    <row r="86" spans="1:20" s="27" customFormat="1" x14ac:dyDescent="0.25">
      <c r="L86" s="33"/>
    </row>
    <row r="87" spans="1:20" s="27" customFormat="1" x14ac:dyDescent="0.25">
      <c r="L87" s="33"/>
    </row>
    <row r="88" spans="1:20" s="27" customFormat="1" x14ac:dyDescent="0.25">
      <c r="L88" s="33"/>
    </row>
    <row r="89" spans="1:20" s="27" customFormat="1" x14ac:dyDescent="0.25">
      <c r="L89" s="33"/>
    </row>
    <row r="90" spans="1:20" s="27" customFormat="1" x14ac:dyDescent="0.25">
      <c r="L90" s="33"/>
    </row>
    <row r="91" spans="1:20" s="27" customFormat="1" x14ac:dyDescent="0.25"/>
    <row r="92" spans="1:20" s="27" customFormat="1" x14ac:dyDescent="0.25"/>
    <row r="93" spans="1:20" s="27" customFormat="1" x14ac:dyDescent="0.25"/>
    <row r="94" spans="1:20" s="27" customFormat="1" x14ac:dyDescent="0.25"/>
    <row r="95" spans="1:20" s="27" customFormat="1" x14ac:dyDescent="0.25">
      <c r="K95" s="34"/>
      <c r="L95" s="33"/>
      <c r="M95" s="33"/>
      <c r="N95" s="33"/>
      <c r="O95" s="33"/>
      <c r="P95" s="33"/>
      <c r="Q95" s="33"/>
      <c r="R95" s="33"/>
      <c r="S95" s="33"/>
      <c r="T95" s="33"/>
    </row>
    <row r="96" spans="1:20" s="27" customFormat="1" x14ac:dyDescent="0.25">
      <c r="A96" s="35"/>
      <c r="K96" s="35"/>
      <c r="L96" s="31"/>
      <c r="M96" s="31"/>
      <c r="N96" s="31"/>
      <c r="O96" s="31"/>
      <c r="P96" s="31"/>
      <c r="Q96" s="31"/>
      <c r="R96" s="31"/>
      <c r="S96" s="31"/>
      <c r="T96" s="31"/>
    </row>
    <row r="97" spans="1:20" s="27" customFormat="1" x14ac:dyDescent="0.25">
      <c r="A97" s="35"/>
      <c r="K97" s="35"/>
      <c r="L97" s="31"/>
      <c r="M97" s="31"/>
      <c r="N97" s="31"/>
      <c r="O97" s="31"/>
      <c r="P97" s="31"/>
      <c r="Q97" s="31"/>
      <c r="R97" s="31"/>
      <c r="S97" s="31"/>
      <c r="T97" s="31"/>
    </row>
    <row r="98" spans="1:20" s="27" customFormat="1" x14ac:dyDescent="0.25">
      <c r="A98" s="35"/>
      <c r="K98" s="35"/>
      <c r="L98" s="31"/>
      <c r="M98" s="31"/>
      <c r="N98" s="31"/>
      <c r="O98" s="31"/>
      <c r="P98" s="31"/>
      <c r="Q98" s="31"/>
      <c r="R98" s="31"/>
      <c r="S98" s="31"/>
      <c r="T98" s="31"/>
    </row>
    <row r="99" spans="1:20" s="27" customFormat="1" x14ac:dyDescent="0.25">
      <c r="A99" s="35"/>
      <c r="K99" s="35"/>
    </row>
    <row r="100" spans="1:20" s="27" customFormat="1" x14ac:dyDescent="0.25">
      <c r="A100" s="35"/>
      <c r="K100" s="35"/>
      <c r="L100" s="30"/>
      <c r="M100" s="30"/>
      <c r="N100" s="30"/>
      <c r="O100" s="30"/>
      <c r="P100" s="30"/>
      <c r="Q100" s="30"/>
      <c r="R100" s="30"/>
      <c r="S100" s="30"/>
      <c r="T100" s="30"/>
    </row>
    <row r="101" spans="1:20" s="27" customFormat="1" x14ac:dyDescent="0.25">
      <c r="A101" s="35"/>
      <c r="K101" s="35"/>
      <c r="L101" s="31"/>
      <c r="M101" s="31"/>
      <c r="N101" s="31"/>
      <c r="O101" s="31"/>
      <c r="P101" s="31"/>
      <c r="Q101" s="31"/>
    </row>
    <row r="102" spans="1:20" s="27" customFormat="1" x14ac:dyDescent="0.25">
      <c r="A102" s="35"/>
      <c r="K102" s="35"/>
      <c r="L102" s="31"/>
      <c r="M102" s="31"/>
      <c r="N102" s="31"/>
      <c r="O102" s="31"/>
      <c r="P102" s="31"/>
      <c r="Q102" s="31"/>
      <c r="R102" s="31"/>
      <c r="S102" s="31"/>
      <c r="T102" s="31"/>
    </row>
    <row r="103" spans="1:20" s="27" customFormat="1" x14ac:dyDescent="0.25">
      <c r="A103" s="35"/>
      <c r="K103" s="35"/>
      <c r="L103" s="31"/>
      <c r="M103" s="31"/>
      <c r="N103" s="31"/>
      <c r="O103" s="31"/>
      <c r="P103" s="31"/>
      <c r="Q103" s="31"/>
      <c r="R103" s="31"/>
      <c r="S103" s="31"/>
      <c r="T103" s="31"/>
    </row>
    <row r="104" spans="1:20" s="27" customFormat="1" x14ac:dyDescent="0.25">
      <c r="A104" s="35"/>
      <c r="K104" s="35"/>
      <c r="L104" s="31"/>
      <c r="M104" s="31"/>
      <c r="N104" s="31"/>
      <c r="O104" s="31"/>
      <c r="P104" s="31"/>
      <c r="Q104" s="31"/>
      <c r="R104" s="31"/>
      <c r="S104" s="31"/>
      <c r="T104" s="31"/>
    </row>
    <row r="105" spans="1:20" s="27" customFormat="1" x14ac:dyDescent="0.25">
      <c r="A105" s="35"/>
      <c r="K105" s="35"/>
      <c r="L105" s="31"/>
      <c r="M105" s="31"/>
      <c r="N105" s="31"/>
      <c r="O105" s="31"/>
      <c r="P105" s="31"/>
      <c r="Q105" s="31"/>
    </row>
    <row r="106" spans="1:20" s="27" customFormat="1" x14ac:dyDescent="0.25">
      <c r="A106" s="35"/>
      <c r="K106" s="35"/>
    </row>
    <row r="107" spans="1:20" s="27" customFormat="1" x14ac:dyDescent="0.25"/>
    <row r="108" spans="1:20" s="27" customFormat="1" x14ac:dyDescent="0.25"/>
    <row r="109" spans="1:20" s="27" customFormat="1" x14ac:dyDescent="0.25"/>
    <row r="110" spans="1:20" s="27" customFormat="1" x14ac:dyDescent="0.25"/>
    <row r="111" spans="1:20" s="27" customFormat="1" x14ac:dyDescent="0.25"/>
    <row r="112" spans="1:20" s="27" customFormat="1" x14ac:dyDescent="0.25"/>
    <row r="113" s="27" customFormat="1" x14ac:dyDescent="0.25"/>
    <row r="114" s="27" customFormat="1" x14ac:dyDescent="0.25"/>
    <row r="115" s="27" customFormat="1" x14ac:dyDescent="0.25"/>
    <row r="116" s="27" customFormat="1" x14ac:dyDescent="0.25"/>
    <row r="117" s="27" customFormat="1" x14ac:dyDescent="0.25"/>
    <row r="118" s="27" customFormat="1" x14ac:dyDescent="0.25"/>
    <row r="119" s="27" customFormat="1" x14ac:dyDescent="0.25"/>
    <row r="120" s="27" customFormat="1" x14ac:dyDescent="0.25"/>
    <row r="121" s="27" customFormat="1" x14ac:dyDescent="0.25"/>
    <row r="122" s="27" customFormat="1" x14ac:dyDescent="0.25"/>
    <row r="123" s="27" customFormat="1" x14ac:dyDescent="0.25"/>
    <row r="124" s="27" customFormat="1" x14ac:dyDescent="0.25"/>
    <row r="125" s="27" customFormat="1" x14ac:dyDescent="0.25"/>
    <row r="126" s="27" customFormat="1" x14ac:dyDescent="0.25"/>
    <row r="127" s="27" customFormat="1" x14ac:dyDescent="0.25"/>
    <row r="128" s="27" customFormat="1" x14ac:dyDescent="0.25"/>
    <row r="129" s="27" customFormat="1" x14ac:dyDescent="0.25"/>
    <row r="130" s="27" customFormat="1" x14ac:dyDescent="0.25"/>
    <row r="131" s="27" customFormat="1" x14ac:dyDescent="0.25"/>
    <row r="132" s="27" customFormat="1" x14ac:dyDescent="0.25"/>
    <row r="133" s="27" customFormat="1" x14ac:dyDescent="0.25"/>
    <row r="134" s="27" customFormat="1" x14ac:dyDescent="0.25"/>
    <row r="135" s="27" customFormat="1" x14ac:dyDescent="0.25"/>
    <row r="136" s="27" customFormat="1" x14ac:dyDescent="0.25"/>
    <row r="137" s="27" customFormat="1" x14ac:dyDescent="0.25"/>
    <row r="138" s="27" customFormat="1" x14ac:dyDescent="0.25"/>
    <row r="139" s="27" customFormat="1" x14ac:dyDescent="0.25"/>
    <row r="140" s="27" customFormat="1" x14ac:dyDescent="0.25"/>
    <row r="141" s="27" customFormat="1" x14ac:dyDescent="0.25"/>
    <row r="142" s="27" customFormat="1" x14ac:dyDescent="0.25"/>
    <row r="143" s="27" customFormat="1" x14ac:dyDescent="0.25"/>
    <row r="144" s="27" customFormat="1" x14ac:dyDescent="0.25"/>
    <row r="145" s="27" customFormat="1" x14ac:dyDescent="0.25"/>
    <row r="146" s="27" customFormat="1" x14ac:dyDescent="0.25"/>
    <row r="147" s="27" customFormat="1" x14ac:dyDescent="0.25"/>
    <row r="148" s="27" customFormat="1" x14ac:dyDescent="0.25"/>
    <row r="149" s="27" customFormat="1" x14ac:dyDescent="0.25"/>
    <row r="150" s="27" customFormat="1" x14ac:dyDescent="0.25"/>
    <row r="151" s="27" customFormat="1" x14ac:dyDescent="0.25"/>
    <row r="152" s="27" customFormat="1" x14ac:dyDescent="0.25"/>
    <row r="153" s="27" customFormat="1" x14ac:dyDescent="0.25"/>
    <row r="154" s="27" customFormat="1" x14ac:dyDescent="0.25"/>
    <row r="155" s="27" customFormat="1" x14ac:dyDescent="0.25"/>
    <row r="156" s="27" customFormat="1" x14ac:dyDescent="0.25"/>
    <row r="157" s="27" customFormat="1" x14ac:dyDescent="0.25"/>
    <row r="158" s="27" customFormat="1" x14ac:dyDescent="0.25"/>
    <row r="159" s="27" customFormat="1" x14ac:dyDescent="0.25"/>
    <row r="160" s="27" customFormat="1" x14ac:dyDescent="0.25"/>
    <row r="161" s="27" customFormat="1" x14ac:dyDescent="0.25"/>
    <row r="162" s="27" customFormat="1" x14ac:dyDescent="0.25"/>
    <row r="163" s="27" customFormat="1" x14ac:dyDescent="0.25"/>
    <row r="164" s="27" customFormat="1" x14ac:dyDescent="0.25"/>
    <row r="165" s="27" customFormat="1" x14ac:dyDescent="0.25"/>
    <row r="166" s="27" customFormat="1" x14ac:dyDescent="0.25"/>
    <row r="167" s="27" customFormat="1" x14ac:dyDescent="0.25"/>
    <row r="168" s="27" customFormat="1" x14ac:dyDescent="0.25"/>
    <row r="169" s="27" customFormat="1" x14ac:dyDescent="0.25"/>
    <row r="170" s="27" customFormat="1" x14ac:dyDescent="0.25"/>
    <row r="171" s="27" customFormat="1" x14ac:dyDescent="0.25"/>
    <row r="172" s="27" customFormat="1" x14ac:dyDescent="0.25"/>
    <row r="173" s="27" customFormat="1" x14ac:dyDescent="0.25"/>
    <row r="174" s="27" customFormat="1" x14ac:dyDescent="0.25"/>
    <row r="175" s="27" customFormat="1" x14ac:dyDescent="0.25"/>
    <row r="176" s="27" customFormat="1" x14ac:dyDescent="0.25"/>
    <row r="177" s="27" customFormat="1" x14ac:dyDescent="0.25"/>
    <row r="178" s="27" customFormat="1" x14ac:dyDescent="0.25"/>
    <row r="179" s="27" customFormat="1" x14ac:dyDescent="0.25"/>
    <row r="180" s="27" customFormat="1" x14ac:dyDescent="0.25"/>
    <row r="181" s="27" customFormat="1" x14ac:dyDescent="0.25"/>
    <row r="182" s="27" customFormat="1" x14ac:dyDescent="0.25"/>
    <row r="183" s="27" customFormat="1" x14ac:dyDescent="0.25"/>
    <row r="184" s="27" customFormat="1" x14ac:dyDescent="0.25"/>
    <row r="185" s="27" customFormat="1" x14ac:dyDescent="0.25"/>
    <row r="186" s="27" customFormat="1" x14ac:dyDescent="0.25"/>
    <row r="187" s="27" customFormat="1" x14ac:dyDescent="0.25"/>
    <row r="188" s="27" customFormat="1" x14ac:dyDescent="0.25"/>
    <row r="189" s="27" customFormat="1" x14ac:dyDescent="0.25"/>
    <row r="190" s="27" customFormat="1" x14ac:dyDescent="0.25"/>
    <row r="191" s="27" customFormat="1" x14ac:dyDescent="0.25"/>
    <row r="192" s="27" customFormat="1" x14ac:dyDescent="0.25"/>
    <row r="193" s="27" customFormat="1" x14ac:dyDescent="0.25"/>
    <row r="194" s="27" customFormat="1" x14ac:dyDescent="0.25"/>
    <row r="195" s="27" customFormat="1" x14ac:dyDescent="0.25"/>
    <row r="196" s="27" customFormat="1" x14ac:dyDescent="0.25"/>
    <row r="197" s="27" customFormat="1" x14ac:dyDescent="0.25"/>
    <row r="198" s="27" customFormat="1" x14ac:dyDescent="0.25"/>
    <row r="199" s="27" customFormat="1" x14ac:dyDescent="0.25"/>
    <row r="200" s="27" customFormat="1" x14ac:dyDescent="0.25"/>
    <row r="201" s="27" customFormat="1" x14ac:dyDescent="0.25"/>
    <row r="202" s="27" customFormat="1" x14ac:dyDescent="0.25"/>
    <row r="203" s="27" customFormat="1" x14ac:dyDescent="0.25"/>
    <row r="204" s="27" customFormat="1" x14ac:dyDescent="0.25"/>
    <row r="205" s="27" customFormat="1" x14ac:dyDescent="0.25"/>
    <row r="206" s="27" customFormat="1" x14ac:dyDescent="0.25"/>
    <row r="207" s="27" customFormat="1" x14ac:dyDescent="0.25"/>
    <row r="208" s="27" customFormat="1" x14ac:dyDescent="0.25"/>
    <row r="209" s="27" customFormat="1" x14ac:dyDescent="0.25"/>
    <row r="210" s="27" customFormat="1" x14ac:dyDescent="0.25"/>
    <row r="211" s="27" customFormat="1" x14ac:dyDescent="0.25"/>
    <row r="212" s="27" customFormat="1" x14ac:dyDescent="0.25"/>
    <row r="213" s="27" customFormat="1" x14ac:dyDescent="0.25"/>
    <row r="214" s="27" customFormat="1" x14ac:dyDescent="0.25"/>
    <row r="215" s="27" customFormat="1" x14ac:dyDescent="0.25"/>
    <row r="216" s="27" customFormat="1" x14ac:dyDescent="0.25"/>
    <row r="217" s="27" customFormat="1" x14ac:dyDescent="0.25"/>
    <row r="218" s="27" customFormat="1" x14ac:dyDescent="0.25"/>
    <row r="219" s="27" customFormat="1" x14ac:dyDescent="0.25"/>
    <row r="220" s="27" customFormat="1" x14ac:dyDescent="0.25"/>
    <row r="221" s="27" customFormat="1" x14ac:dyDescent="0.25"/>
    <row r="222" s="27" customFormat="1" x14ac:dyDescent="0.25"/>
    <row r="223" s="27" customFormat="1" x14ac:dyDescent="0.25"/>
    <row r="224" s="27" customFormat="1" x14ac:dyDescent="0.25"/>
    <row r="225" s="27" customFormat="1" x14ac:dyDescent="0.25"/>
    <row r="226" s="27" customFormat="1" x14ac:dyDescent="0.25"/>
    <row r="227" s="27" customFormat="1" x14ac:dyDescent="0.25"/>
    <row r="228" s="27" customFormat="1" x14ac:dyDescent="0.25"/>
    <row r="229" s="27" customFormat="1" x14ac:dyDescent="0.25"/>
    <row r="230" s="27" customFormat="1" x14ac:dyDescent="0.25"/>
    <row r="231" s="27" customFormat="1" x14ac:dyDescent="0.25"/>
    <row r="232" s="27" customFormat="1" x14ac:dyDescent="0.25"/>
    <row r="233" s="27" customFormat="1" x14ac:dyDescent="0.25"/>
    <row r="234" s="27" customFormat="1" x14ac:dyDescent="0.25"/>
    <row r="235" s="27" customFormat="1" x14ac:dyDescent="0.25"/>
    <row r="236" s="27" customFormat="1" x14ac:dyDescent="0.25"/>
    <row r="237" s="27" customFormat="1" x14ac:dyDescent="0.25"/>
    <row r="238" s="27" customFormat="1" x14ac:dyDescent="0.25"/>
    <row r="239" s="27" customFormat="1" x14ac:dyDescent="0.25"/>
    <row r="240" s="27" customFormat="1" x14ac:dyDescent="0.25"/>
    <row r="241" s="27" customFormat="1" x14ac:dyDescent="0.25"/>
    <row r="242" s="27" customFormat="1" x14ac:dyDescent="0.25"/>
    <row r="243" s="27" customFormat="1" x14ac:dyDescent="0.25"/>
    <row r="244" s="27" customFormat="1" x14ac:dyDescent="0.25"/>
    <row r="245" s="27" customFormat="1" x14ac:dyDescent="0.25"/>
    <row r="246" s="27" customFormat="1" x14ac:dyDescent="0.25"/>
    <row r="247" s="27" customFormat="1" x14ac:dyDescent="0.25"/>
    <row r="248" s="27" customFormat="1" x14ac:dyDescent="0.25"/>
    <row r="249" s="27" customFormat="1" x14ac:dyDescent="0.25"/>
    <row r="250" s="27" customFormat="1" x14ac:dyDescent="0.25"/>
    <row r="251" s="27" customFormat="1" x14ac:dyDescent="0.25"/>
    <row r="252" s="27" customFormat="1" x14ac:dyDescent="0.25"/>
    <row r="253" s="27" customFormat="1" x14ac:dyDescent="0.25"/>
    <row r="254" s="27" customFormat="1" x14ac:dyDescent="0.25"/>
    <row r="255" s="27" customFormat="1" x14ac:dyDescent="0.25"/>
    <row r="256" s="27" customFormat="1" x14ac:dyDescent="0.25"/>
    <row r="257" s="27" customFormat="1" x14ac:dyDescent="0.25"/>
    <row r="258" s="27" customFormat="1" x14ac:dyDescent="0.25"/>
    <row r="259" s="27" customFormat="1" x14ac:dyDescent="0.25"/>
    <row r="260" s="27" customFormat="1" x14ac:dyDescent="0.25"/>
    <row r="261" s="27" customFormat="1" x14ac:dyDescent="0.25"/>
    <row r="262" s="27" customFormat="1" x14ac:dyDescent="0.25"/>
    <row r="263" s="27" customFormat="1" x14ac:dyDescent="0.25"/>
    <row r="264" s="27" customFormat="1" x14ac:dyDescent="0.25"/>
    <row r="265" s="27" customFormat="1" x14ac:dyDescent="0.25"/>
    <row r="266" s="27" customFormat="1" x14ac:dyDescent="0.25"/>
    <row r="267" s="27" customFormat="1" x14ac:dyDescent="0.25"/>
    <row r="268" s="27" customFormat="1" x14ac:dyDescent="0.25"/>
    <row r="269" s="27" customFormat="1" x14ac:dyDescent="0.25"/>
    <row r="270" s="27" customFormat="1" x14ac:dyDescent="0.25"/>
    <row r="271" s="27" customFormat="1" x14ac:dyDescent="0.25"/>
    <row r="272" s="27" customFormat="1" x14ac:dyDescent="0.25"/>
    <row r="273" s="27" customFormat="1" x14ac:dyDescent="0.25"/>
    <row r="274" s="27" customFormat="1" x14ac:dyDescent="0.25"/>
    <row r="275" s="27" customFormat="1" x14ac:dyDescent="0.25"/>
    <row r="276" s="27" customFormat="1" x14ac:dyDescent="0.25"/>
    <row r="277" s="27" customFormat="1" x14ac:dyDescent="0.25"/>
    <row r="278" s="27" customFormat="1" x14ac:dyDescent="0.25"/>
    <row r="279" s="27" customFormat="1" x14ac:dyDescent="0.25"/>
    <row r="280" s="27" customFormat="1" x14ac:dyDescent="0.25"/>
    <row r="281" s="27" customFormat="1" x14ac:dyDescent="0.25"/>
    <row r="282" s="27" customFormat="1" x14ac:dyDescent="0.25"/>
    <row r="283" s="27" customFormat="1" x14ac:dyDescent="0.25"/>
    <row r="284" s="27" customFormat="1" x14ac:dyDescent="0.25"/>
    <row r="285" s="27" customFormat="1" x14ac:dyDescent="0.25"/>
    <row r="286" s="27" customFormat="1" x14ac:dyDescent="0.25"/>
    <row r="287" s="27" customFormat="1" x14ac:dyDescent="0.25"/>
    <row r="288" s="27" customFormat="1" x14ac:dyDescent="0.25"/>
    <row r="289" s="27" customFormat="1" x14ac:dyDescent="0.25"/>
    <row r="290" s="27" customFormat="1" x14ac:dyDescent="0.25"/>
    <row r="291" s="27" customFormat="1" x14ac:dyDescent="0.25"/>
    <row r="292" s="27" customFormat="1" x14ac:dyDescent="0.25"/>
    <row r="293" s="27" customFormat="1" x14ac:dyDescent="0.25"/>
    <row r="294" s="27" customFormat="1" x14ac:dyDescent="0.25"/>
    <row r="295" s="27" customFormat="1" x14ac:dyDescent="0.25"/>
    <row r="296" s="27" customFormat="1" x14ac:dyDescent="0.25"/>
    <row r="297" s="27" customFormat="1" x14ac:dyDescent="0.25"/>
    <row r="298" s="27" customFormat="1" x14ac:dyDescent="0.25"/>
    <row r="299" s="27" customFormat="1" x14ac:dyDescent="0.25"/>
    <row r="300" s="27" customFormat="1" x14ac:dyDescent="0.25"/>
    <row r="301" s="27" customFormat="1" x14ac:dyDescent="0.25"/>
    <row r="302" s="27" customFormat="1" x14ac:dyDescent="0.25"/>
    <row r="303" s="27" customFormat="1" x14ac:dyDescent="0.25"/>
    <row r="304" s="27" customFormat="1" x14ac:dyDescent="0.25"/>
    <row r="305" s="27" customFormat="1" x14ac:dyDescent="0.25"/>
    <row r="306" s="27" customFormat="1" x14ac:dyDescent="0.25"/>
    <row r="307" s="27" customFormat="1" x14ac:dyDescent="0.25"/>
    <row r="308" s="27" customFormat="1" x14ac:dyDescent="0.25"/>
    <row r="309" s="27" customFormat="1" x14ac:dyDescent="0.25"/>
    <row r="310" s="27" customFormat="1" x14ac:dyDescent="0.25"/>
    <row r="311" s="27" customFormat="1" x14ac:dyDescent="0.25"/>
    <row r="312" s="27" customFormat="1" x14ac:dyDescent="0.25"/>
    <row r="313" s="27" customFormat="1" x14ac:dyDescent="0.25"/>
    <row r="314" s="27" customFormat="1" x14ac:dyDescent="0.25"/>
    <row r="315" s="27" customFormat="1" x14ac:dyDescent="0.25"/>
    <row r="316" s="27" customFormat="1" x14ac:dyDescent="0.25"/>
    <row r="317" s="27" customFormat="1" x14ac:dyDescent="0.25"/>
    <row r="318" s="27" customFormat="1" x14ac:dyDescent="0.25"/>
    <row r="319" s="27" customFormat="1" x14ac:dyDescent="0.25"/>
    <row r="320" s="27" customFormat="1" x14ac:dyDescent="0.25"/>
    <row r="321" s="27" customFormat="1" x14ac:dyDescent="0.25"/>
    <row r="322" s="27" customFormat="1" x14ac:dyDescent="0.25"/>
    <row r="323" s="27" customFormat="1" x14ac:dyDescent="0.25"/>
    <row r="324" s="27" customFormat="1" x14ac:dyDescent="0.25"/>
    <row r="325" s="27" customFormat="1" x14ac:dyDescent="0.25"/>
    <row r="326" s="27" customFormat="1" x14ac:dyDescent="0.25"/>
    <row r="327" s="27" customFormat="1" x14ac:dyDescent="0.25"/>
    <row r="328" s="27" customFormat="1" x14ac:dyDescent="0.25"/>
    <row r="329" s="27" customFormat="1" x14ac:dyDescent="0.25"/>
    <row r="330" s="27" customFormat="1" x14ac:dyDescent="0.25"/>
    <row r="331" s="27" customFormat="1" x14ac:dyDescent="0.25"/>
    <row r="332" s="27" customFormat="1" x14ac:dyDescent="0.25"/>
    <row r="333" s="27" customFormat="1" x14ac:dyDescent="0.25"/>
    <row r="334" s="27" customFormat="1" x14ac:dyDescent="0.25"/>
    <row r="335" s="27" customFormat="1" x14ac:dyDescent="0.25"/>
    <row r="336" s="27" customFormat="1" x14ac:dyDescent="0.25"/>
    <row r="337" s="27" customFormat="1" x14ac:dyDescent="0.25"/>
    <row r="338" s="27" customFormat="1" x14ac:dyDescent="0.25"/>
    <row r="339" s="27" customFormat="1" x14ac:dyDescent="0.25"/>
    <row r="340" s="27" customFormat="1" x14ac:dyDescent="0.25"/>
    <row r="341" s="27" customFormat="1" x14ac:dyDescent="0.25"/>
    <row r="342" s="27" customFormat="1" x14ac:dyDescent="0.25"/>
    <row r="343" s="27" customFormat="1" x14ac:dyDescent="0.25"/>
    <row r="344" s="27" customFormat="1" x14ac:dyDescent="0.25"/>
    <row r="345" s="27" customFormat="1" x14ac:dyDescent="0.25"/>
    <row r="346" s="27" customFormat="1" x14ac:dyDescent="0.25"/>
    <row r="347" s="27" customFormat="1" x14ac:dyDescent="0.25"/>
    <row r="348" s="27" customFormat="1" x14ac:dyDescent="0.25"/>
    <row r="349" s="27" customFormat="1" x14ac:dyDescent="0.25"/>
    <row r="350" s="27" customFormat="1" x14ac:dyDescent="0.25"/>
    <row r="351" s="27" customFormat="1" x14ac:dyDescent="0.25"/>
    <row r="352" s="27" customFormat="1" x14ac:dyDescent="0.25"/>
    <row r="353" s="27" customFormat="1" x14ac:dyDescent="0.25"/>
    <row r="354" s="27" customFormat="1" x14ac:dyDescent="0.25"/>
    <row r="355" s="27" customFormat="1" x14ac:dyDescent="0.25"/>
    <row r="356" s="27" customFormat="1" x14ac:dyDescent="0.25"/>
    <row r="357" s="27" customFormat="1" x14ac:dyDescent="0.25"/>
    <row r="358" s="27" customFormat="1" x14ac:dyDescent="0.25"/>
    <row r="359" s="27" customFormat="1" x14ac:dyDescent="0.25"/>
    <row r="360" s="27" customFormat="1" x14ac:dyDescent="0.25"/>
  </sheetData>
  <phoneticPr fontId="1" type="noConversion"/>
  <pageMargins left="0.7" right="0.7" top="0.75" bottom="0.75" header="0.3" footer="0.3"/>
  <pageSetup paperSize="9" orientation="portrait" r:id="rId1"/>
  <ignoredErrors>
    <ignoredError sqref="Z64" formula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196E46-701D-4ED6-A92F-BC5B8E6DF935}">
  <dimension ref="A1:N41"/>
  <sheetViews>
    <sheetView workbookViewId="0"/>
  </sheetViews>
  <sheetFormatPr defaultRowHeight="13.8" x14ac:dyDescent="0.25"/>
  <cols>
    <col min="2" max="2" width="19.6640625" customWidth="1"/>
    <col min="3" max="3" width="8.21875" customWidth="1"/>
    <col min="5" max="5" width="12.88671875" customWidth="1"/>
    <col min="6" max="6" width="27.5546875" customWidth="1"/>
    <col min="7" max="7" width="29.77734375" customWidth="1"/>
  </cols>
  <sheetData>
    <row r="1" spans="1:7" s="24" customFormat="1" x14ac:dyDescent="0.25">
      <c r="A1" s="24" t="s">
        <v>81</v>
      </c>
      <c r="B1" s="24" t="s">
        <v>80</v>
      </c>
      <c r="C1" s="24" t="s">
        <v>82</v>
      </c>
      <c r="D1" s="24" t="s">
        <v>83</v>
      </c>
      <c r="E1" s="24" t="s">
        <v>84</v>
      </c>
      <c r="F1" s="24" t="s">
        <v>85</v>
      </c>
      <c r="G1" s="24" t="s">
        <v>86</v>
      </c>
    </row>
    <row r="2" spans="1:7" x14ac:dyDescent="0.25">
      <c r="A2">
        <v>2019</v>
      </c>
      <c r="B2">
        <v>6300</v>
      </c>
      <c r="C2">
        <v>1.0249999999999999</v>
      </c>
      <c r="D2">
        <f>B2*('Waste plastic data in 2019'!$B$11/'Waste plastic data in 2019'!$B$12)</f>
        <v>441.00000000000006</v>
      </c>
      <c r="E2">
        <f>B2*('Waste plastic data in 2019'!$B$8/'Waste plastic data in 2019'!$B$12)</f>
        <v>3244.5</v>
      </c>
      <c r="F2">
        <f>E2*('Waste plastic data in 2019'!$B$9/'Waste plastic data in 2019'!$B$8)</f>
        <v>1320.5</v>
      </c>
      <c r="G2">
        <f>E2*('Waste plastic data in 2019'!$B$10/'Waste plastic data in 2019'!$B$8)</f>
        <v>1924</v>
      </c>
    </row>
    <row r="3" spans="1:7" x14ac:dyDescent="0.25">
      <c r="A3">
        <v>2020</v>
      </c>
      <c r="B3">
        <f>B2*C2</f>
        <v>6457.4999999999991</v>
      </c>
      <c r="C3">
        <v>1.0249999999999999</v>
      </c>
      <c r="D3">
        <f>B3*('Waste plastic data in 2019'!$B$11/'Waste plastic data in 2019'!$B$12)</f>
        <v>452.02499999999998</v>
      </c>
      <c r="E3">
        <f>B3*('Waste plastic data in 2019'!$B$8/'Waste plastic data in 2019'!$B$12)</f>
        <v>3325.6124999999997</v>
      </c>
      <c r="F3">
        <f>E3*('Waste plastic data in 2019'!$B$9/'Waste plastic data in 2019'!$B$8)</f>
        <v>1353.5124999999998</v>
      </c>
      <c r="G3">
        <f>E3*('Waste plastic data in 2019'!$B$10/'Waste plastic data in 2019'!$B$8)</f>
        <v>1972.1</v>
      </c>
    </row>
    <row r="4" spans="1:7" x14ac:dyDescent="0.25">
      <c r="A4">
        <v>2021</v>
      </c>
      <c r="B4">
        <f t="shared" ref="B4:B18" si="0">B3*C3</f>
        <v>6618.9374999999982</v>
      </c>
      <c r="C4">
        <v>1.0249999999999999</v>
      </c>
      <c r="D4">
        <f>B4*('Waste plastic data in 2019'!$B$11/'Waste plastic data in 2019'!$B$12)</f>
        <v>463.32562499999989</v>
      </c>
      <c r="E4">
        <f>B4*('Waste plastic data in 2019'!$B$8/'Waste plastic data in 2019'!$B$12)</f>
        <v>3408.752812499999</v>
      </c>
      <c r="F4">
        <f>E4*('Waste plastic data in 2019'!$B$9/'Waste plastic data in 2019'!$B$8)</f>
        <v>1387.3503124999995</v>
      </c>
      <c r="G4">
        <f>E4*('Waste plastic data in 2019'!$B$10/'Waste plastic data in 2019'!$B$8)</f>
        <v>2021.4024999999995</v>
      </c>
    </row>
    <row r="5" spans="1:7" x14ac:dyDescent="0.25">
      <c r="A5">
        <v>2022</v>
      </c>
      <c r="B5">
        <f t="shared" si="0"/>
        <v>6784.410937499998</v>
      </c>
      <c r="C5">
        <v>1.0249999999999999</v>
      </c>
      <c r="D5">
        <f>B5*('Waste plastic data in 2019'!$B$11/'Waste plastic data in 2019'!$B$12)</f>
        <v>474.90876562499989</v>
      </c>
      <c r="E5">
        <f>B5*('Waste plastic data in 2019'!$B$8/'Waste plastic data in 2019'!$B$12)</f>
        <v>3493.9716328124991</v>
      </c>
      <c r="F5">
        <f>E5*('Waste plastic data in 2019'!$B$9/'Waste plastic data in 2019'!$B$8)</f>
        <v>1422.0340703124996</v>
      </c>
      <c r="G5">
        <f>E5*('Waste plastic data in 2019'!$B$10/'Waste plastic data in 2019'!$B$8)</f>
        <v>2071.9375624999993</v>
      </c>
    </row>
    <row r="6" spans="1:7" x14ac:dyDescent="0.25">
      <c r="A6">
        <v>2023</v>
      </c>
      <c r="B6">
        <f t="shared" si="0"/>
        <v>6954.021210937497</v>
      </c>
      <c r="C6">
        <v>1.0249999999999999</v>
      </c>
      <c r="D6">
        <f>B6*('Waste plastic data in 2019'!$B$11/'Waste plastic data in 2019'!$B$12)</f>
        <v>486.78148476562484</v>
      </c>
      <c r="E6">
        <f>B6*('Waste plastic data in 2019'!$B$8/'Waste plastic data in 2019'!$B$12)</f>
        <v>3581.3209236328112</v>
      </c>
      <c r="F6">
        <f>E6*('Waste plastic data in 2019'!$B$9/'Waste plastic data in 2019'!$B$8)</f>
        <v>1457.5849220703119</v>
      </c>
      <c r="G6">
        <f>E6*('Waste plastic data in 2019'!$B$10/'Waste plastic data in 2019'!$B$8)</f>
        <v>2123.736001562499</v>
      </c>
    </row>
    <row r="7" spans="1:7" x14ac:dyDescent="0.25">
      <c r="A7">
        <v>2024</v>
      </c>
      <c r="B7">
        <f t="shared" si="0"/>
        <v>7127.8717412109336</v>
      </c>
      <c r="C7">
        <v>1.0249999999999999</v>
      </c>
      <c r="D7">
        <f>B7*('Waste plastic data in 2019'!$B$11/'Waste plastic data in 2019'!$B$12)</f>
        <v>498.9510218847654</v>
      </c>
      <c r="E7">
        <f>B7*('Waste plastic data in 2019'!$B$8/'Waste plastic data in 2019'!$B$12)</f>
        <v>3670.853946723631</v>
      </c>
      <c r="F7">
        <f>E7*('Waste plastic data in 2019'!$B$9/'Waste plastic data in 2019'!$B$8)</f>
        <v>1494.0245451220696</v>
      </c>
      <c r="G7">
        <f>E7*('Waste plastic data in 2019'!$B$10/'Waste plastic data in 2019'!$B$8)</f>
        <v>2176.8294016015616</v>
      </c>
    </row>
    <row r="8" spans="1:7" x14ac:dyDescent="0.25">
      <c r="A8">
        <v>2025</v>
      </c>
      <c r="B8">
        <f t="shared" si="0"/>
        <v>7306.0685347412063</v>
      </c>
      <c r="C8">
        <v>1.0249999999999999</v>
      </c>
      <c r="D8">
        <f>B8*('Waste plastic data in 2019'!$B$11/'Waste plastic data in 2019'!$B$12)</f>
        <v>511.42479743188449</v>
      </c>
      <c r="E8">
        <f>B8*('Waste plastic data in 2019'!$B$8/'Waste plastic data in 2019'!$B$12)</f>
        <v>3762.6252953917215</v>
      </c>
      <c r="F8">
        <f>E8*('Waste plastic data in 2019'!$B$9/'Waste plastic data in 2019'!$B$8)</f>
        <v>1531.375158750121</v>
      </c>
      <c r="G8">
        <f>E8*('Waste plastic data in 2019'!$B$10/'Waste plastic data in 2019'!$B$8)</f>
        <v>2231.2501366416004</v>
      </c>
    </row>
    <row r="9" spans="1:7" x14ac:dyDescent="0.25">
      <c r="A9">
        <v>2026</v>
      </c>
      <c r="B9">
        <f t="shared" si="0"/>
        <v>7488.7202481097356</v>
      </c>
      <c r="C9">
        <v>1.0249999999999999</v>
      </c>
      <c r="D9">
        <f>B9*('Waste plastic data in 2019'!$B$11/'Waste plastic data in 2019'!$B$12)</f>
        <v>524.21041736768154</v>
      </c>
      <c r="E9">
        <f>B9*('Waste plastic data in 2019'!$B$8/'Waste plastic data in 2019'!$B$12)</f>
        <v>3856.6909277765139</v>
      </c>
      <c r="F9">
        <f>E9*('Waste plastic data in 2019'!$B$9/'Waste plastic data in 2019'!$B$8)</f>
        <v>1569.6595377188739</v>
      </c>
      <c r="G9">
        <f>E9*('Waste plastic data in 2019'!$B$10/'Waste plastic data in 2019'!$B$8)</f>
        <v>2287.0313900576398</v>
      </c>
    </row>
    <row r="10" spans="1:7" x14ac:dyDescent="0.25">
      <c r="A10">
        <v>2027</v>
      </c>
      <c r="B10">
        <f t="shared" si="0"/>
        <v>7675.9382543124784</v>
      </c>
      <c r="C10">
        <v>1.0249999999999999</v>
      </c>
      <c r="D10">
        <f>B10*('Waste plastic data in 2019'!$B$11/'Waste plastic data in 2019'!$B$12)</f>
        <v>537.31567780187356</v>
      </c>
      <c r="E10">
        <f>B10*('Waste plastic data in 2019'!$B$8/'Waste plastic data in 2019'!$B$12)</f>
        <v>3953.1082009709266</v>
      </c>
      <c r="F10">
        <f>E10*('Waste plastic data in 2019'!$B$9/'Waste plastic data in 2019'!$B$8)</f>
        <v>1608.9010261618457</v>
      </c>
      <c r="G10">
        <f>E10*('Waste plastic data in 2019'!$B$10/'Waste plastic data in 2019'!$B$8)</f>
        <v>2344.2071748090807</v>
      </c>
    </row>
    <row r="11" spans="1:7" x14ac:dyDescent="0.25">
      <c r="A11">
        <v>2028</v>
      </c>
      <c r="B11">
        <f t="shared" si="0"/>
        <v>7867.8367106702899</v>
      </c>
      <c r="C11">
        <v>1.0249999999999999</v>
      </c>
      <c r="D11">
        <f>B11*('Waste plastic data in 2019'!$B$11/'Waste plastic data in 2019'!$B$12)</f>
        <v>550.74856974692034</v>
      </c>
      <c r="E11">
        <f>B11*('Waste plastic data in 2019'!$B$8/'Waste plastic data in 2019'!$B$12)</f>
        <v>4051.9359059951994</v>
      </c>
      <c r="F11">
        <f>E11*('Waste plastic data in 2019'!$B$9/'Waste plastic data in 2019'!$B$8)</f>
        <v>1649.1235518158917</v>
      </c>
      <c r="G11">
        <f>E11*('Waste plastic data in 2019'!$B$10/'Waste plastic data in 2019'!$B$8)</f>
        <v>2402.8123541793075</v>
      </c>
    </row>
    <row r="12" spans="1:7" x14ac:dyDescent="0.25">
      <c r="A12">
        <v>2029</v>
      </c>
      <c r="B12">
        <f t="shared" si="0"/>
        <v>8064.5326284370467</v>
      </c>
      <c r="C12">
        <v>1.0249999999999999</v>
      </c>
      <c r="D12">
        <f>B12*('Waste plastic data in 2019'!$B$11/'Waste plastic data in 2019'!$B$12)</f>
        <v>564.51728399059334</v>
      </c>
      <c r="E12">
        <f>B12*('Waste plastic data in 2019'!$B$8/'Waste plastic data in 2019'!$B$12)</f>
        <v>4153.2343036450793</v>
      </c>
      <c r="F12">
        <f>E12*('Waste plastic data in 2019'!$B$9/'Waste plastic data in 2019'!$B$8)</f>
        <v>1690.351640611289</v>
      </c>
      <c r="G12">
        <f>E12*('Waste plastic data in 2019'!$B$10/'Waste plastic data in 2019'!$B$8)</f>
        <v>2462.8826630337903</v>
      </c>
    </row>
    <row r="13" spans="1:7" x14ac:dyDescent="0.25">
      <c r="A13">
        <v>2030</v>
      </c>
      <c r="B13">
        <f t="shared" si="0"/>
        <v>8266.1459441479728</v>
      </c>
      <c r="C13">
        <v>1.0249999999999999</v>
      </c>
      <c r="D13">
        <f>B13*('Waste plastic data in 2019'!$B$11/'Waste plastic data in 2019'!$B$12)</f>
        <v>578.6302160903582</v>
      </c>
      <c r="E13">
        <f>B13*('Waste plastic data in 2019'!$B$8/'Waste plastic data in 2019'!$B$12)</f>
        <v>4257.0651612362062</v>
      </c>
      <c r="F13">
        <f>E13*('Waste plastic data in 2019'!$B$9/'Waste plastic data in 2019'!$B$8)</f>
        <v>1732.6104316265712</v>
      </c>
      <c r="G13">
        <f>E13*('Waste plastic data in 2019'!$B$10/'Waste plastic data in 2019'!$B$8)</f>
        <v>2524.4547296096353</v>
      </c>
    </row>
    <row r="14" spans="1:7" x14ac:dyDescent="0.25">
      <c r="A14">
        <v>2031</v>
      </c>
      <c r="B14">
        <f t="shared" si="0"/>
        <v>8472.7995927516713</v>
      </c>
      <c r="C14">
        <v>1.0249999999999999</v>
      </c>
      <c r="D14">
        <f>B14*('Waste plastic data in 2019'!$B$11/'Waste plastic data in 2019'!$B$12)</f>
        <v>593.09597149261708</v>
      </c>
      <c r="E14">
        <f>B14*('Waste plastic data in 2019'!$B$8/'Waste plastic data in 2019'!$B$12)</f>
        <v>4363.4917902671104</v>
      </c>
      <c r="F14">
        <f>E14*('Waste plastic data in 2019'!$B$9/'Waste plastic data in 2019'!$B$8)</f>
        <v>1775.925692417235</v>
      </c>
      <c r="G14">
        <f>E14*('Waste plastic data in 2019'!$B$10/'Waste plastic data in 2019'!$B$8)</f>
        <v>2587.5660978498754</v>
      </c>
    </row>
    <row r="15" spans="1:7" x14ac:dyDescent="0.25">
      <c r="A15">
        <v>2032</v>
      </c>
      <c r="B15">
        <f t="shared" si="0"/>
        <v>8684.6195825704617</v>
      </c>
      <c r="C15">
        <v>1.0249999999999999</v>
      </c>
      <c r="D15">
        <f>B15*('Waste plastic data in 2019'!$B$11/'Waste plastic data in 2019'!$B$12)</f>
        <v>607.92337077993238</v>
      </c>
      <c r="E15">
        <f>B15*('Waste plastic data in 2019'!$B$8/'Waste plastic data in 2019'!$B$12)</f>
        <v>4472.5790850237881</v>
      </c>
      <c r="F15">
        <f>E15*('Waste plastic data in 2019'!$B$9/'Waste plastic data in 2019'!$B$8)</f>
        <v>1820.3238347276658</v>
      </c>
      <c r="G15">
        <f>E15*('Waste plastic data in 2019'!$B$10/'Waste plastic data in 2019'!$B$8)</f>
        <v>2652.2552502961221</v>
      </c>
    </row>
    <row r="16" spans="1:7" x14ac:dyDescent="0.25">
      <c r="A16">
        <v>2033</v>
      </c>
      <c r="B16">
        <f t="shared" si="0"/>
        <v>8901.7350721347229</v>
      </c>
      <c r="C16">
        <v>1.0249999999999999</v>
      </c>
      <c r="D16">
        <f>B16*('Waste plastic data in 2019'!$B$11/'Waste plastic data in 2019'!$B$12)</f>
        <v>623.12145504943066</v>
      </c>
      <c r="E16">
        <f>B16*('Waste plastic data in 2019'!$B$8/'Waste plastic data in 2019'!$B$12)</f>
        <v>4584.3935621493829</v>
      </c>
      <c r="F16">
        <f>E16*('Waste plastic data in 2019'!$B$9/'Waste plastic data in 2019'!$B$8)</f>
        <v>1865.8319305958576</v>
      </c>
      <c r="G16">
        <f>E16*('Waste plastic data in 2019'!$B$10/'Waste plastic data in 2019'!$B$8)</f>
        <v>2718.5616315535253</v>
      </c>
    </row>
    <row r="17" spans="1:14" x14ac:dyDescent="0.25">
      <c r="A17">
        <v>2034</v>
      </c>
      <c r="B17">
        <f t="shared" si="0"/>
        <v>9124.2784489380902</v>
      </c>
      <c r="C17">
        <v>1.0249999999999999</v>
      </c>
      <c r="D17">
        <f>B17*('Waste plastic data in 2019'!$B$11/'Waste plastic data in 2019'!$B$12)</f>
        <v>638.69949142566634</v>
      </c>
      <c r="E17">
        <f>B17*('Waste plastic data in 2019'!$B$8/'Waste plastic data in 2019'!$B$12)</f>
        <v>4699.0034012031165</v>
      </c>
      <c r="F17">
        <f>E17*('Waste plastic data in 2019'!$B$9/'Waste plastic data in 2019'!$B$8)</f>
        <v>1912.4777288607536</v>
      </c>
      <c r="G17">
        <f>E17*('Waste plastic data in 2019'!$B$10/'Waste plastic data in 2019'!$B$8)</f>
        <v>2786.5256723423627</v>
      </c>
    </row>
    <row r="18" spans="1:14" x14ac:dyDescent="0.25">
      <c r="A18">
        <v>2035</v>
      </c>
      <c r="B18">
        <f t="shared" si="0"/>
        <v>9352.3854101615416</v>
      </c>
      <c r="D18">
        <f>B18*('Waste plastic data in 2019'!$B$11/'Waste plastic data in 2019'!$B$12)</f>
        <v>654.66697871130793</v>
      </c>
      <c r="E18">
        <f>B18*('Waste plastic data in 2019'!$B$8/'Waste plastic data in 2019'!$B$12)</f>
        <v>4816.4784862331944</v>
      </c>
      <c r="F18">
        <f>E18*('Waste plastic data in 2019'!$B$9/'Waste plastic data in 2019'!$B$8)</f>
        <v>1960.2896720822725</v>
      </c>
      <c r="G18">
        <f>E18*('Waste plastic data in 2019'!$B$10/'Waste plastic data in 2019'!$B$8)</f>
        <v>2856.1888141509221</v>
      </c>
    </row>
    <row r="25" spans="1:14" x14ac:dyDescent="0.25">
      <c r="B25" s="26"/>
      <c r="C25" s="26"/>
      <c r="D25" s="26"/>
      <c r="E25" s="26"/>
      <c r="F25" s="36"/>
      <c r="G25" s="36"/>
      <c r="H25" s="36"/>
      <c r="I25" s="36"/>
      <c r="J25" s="36"/>
      <c r="K25" s="36"/>
      <c r="L25" s="36"/>
      <c r="M25" s="36"/>
      <c r="N25" s="36"/>
    </row>
    <row r="26" spans="1:14" x14ac:dyDescent="0.25">
      <c r="B26" s="26"/>
      <c r="C26" s="26"/>
      <c r="D26" s="26"/>
      <c r="E26" s="26"/>
      <c r="F26" s="36"/>
      <c r="G26" s="36"/>
      <c r="H26" s="36"/>
      <c r="I26" s="36"/>
      <c r="J26" s="36"/>
      <c r="K26" s="36"/>
      <c r="L26" s="36"/>
      <c r="M26" s="36"/>
      <c r="N26" s="36"/>
    </row>
    <row r="27" spans="1:14" x14ac:dyDescent="0.25">
      <c r="B27" s="26"/>
      <c r="C27" s="26"/>
      <c r="D27" s="26"/>
      <c r="E27" s="26"/>
      <c r="F27" s="36"/>
      <c r="G27" s="36"/>
      <c r="H27" s="36"/>
      <c r="I27" s="36"/>
      <c r="J27" s="36"/>
      <c r="K27" s="36"/>
      <c r="L27" s="36"/>
      <c r="M27" s="36"/>
      <c r="N27" s="36"/>
    </row>
    <row r="28" spans="1:14" x14ac:dyDescent="0.25">
      <c r="B28" s="26"/>
      <c r="C28" s="26"/>
      <c r="D28" s="26"/>
      <c r="E28" s="26"/>
      <c r="F28" s="36"/>
      <c r="G28" s="36"/>
      <c r="H28" s="36"/>
      <c r="I28" s="36"/>
      <c r="J28" s="36"/>
      <c r="K28" s="36"/>
      <c r="L28" s="36"/>
      <c r="M28" s="36"/>
      <c r="N28" s="36"/>
    </row>
    <row r="29" spans="1:14" x14ac:dyDescent="0.25">
      <c r="B29" s="26"/>
      <c r="C29" s="26"/>
      <c r="D29" s="26"/>
      <c r="E29" s="26"/>
    </row>
    <row r="30" spans="1:14" x14ac:dyDescent="0.25">
      <c r="B30" s="26"/>
      <c r="C30" s="26"/>
      <c r="D30" s="26"/>
      <c r="E30" s="26"/>
    </row>
    <row r="31" spans="1:14" x14ac:dyDescent="0.25">
      <c r="B31" s="26"/>
      <c r="C31" s="26"/>
      <c r="D31" s="26"/>
      <c r="E31" s="26"/>
    </row>
    <row r="32" spans="1:14" x14ac:dyDescent="0.25">
      <c r="B32" s="26"/>
      <c r="C32" s="26"/>
      <c r="D32" s="26"/>
      <c r="E32" s="26"/>
    </row>
    <row r="33" spans="2:5" x14ac:dyDescent="0.25">
      <c r="B33" s="26"/>
      <c r="C33" s="26"/>
      <c r="D33" s="26"/>
      <c r="E33" s="26"/>
    </row>
    <row r="34" spans="2:5" x14ac:dyDescent="0.25">
      <c r="B34" s="26"/>
      <c r="C34" s="26"/>
      <c r="D34" s="26"/>
      <c r="E34" s="26"/>
    </row>
    <row r="35" spans="2:5" x14ac:dyDescent="0.25">
      <c r="B35" s="26"/>
      <c r="C35" s="26"/>
      <c r="D35" s="26"/>
      <c r="E35" s="26"/>
    </row>
    <row r="36" spans="2:5" x14ac:dyDescent="0.25">
      <c r="B36" s="26"/>
      <c r="C36" s="26"/>
      <c r="D36" s="26"/>
      <c r="E36" s="26"/>
    </row>
    <row r="37" spans="2:5" x14ac:dyDescent="0.25">
      <c r="B37" s="26"/>
      <c r="C37" s="26"/>
      <c r="D37" s="26"/>
      <c r="E37" s="26"/>
    </row>
    <row r="38" spans="2:5" x14ac:dyDescent="0.25">
      <c r="B38" s="26"/>
      <c r="C38" s="26"/>
      <c r="D38" s="26"/>
      <c r="E38" s="26"/>
    </row>
    <row r="39" spans="2:5" x14ac:dyDescent="0.25">
      <c r="B39" s="26"/>
      <c r="C39" s="26"/>
      <c r="D39" s="26"/>
      <c r="E39" s="26"/>
    </row>
    <row r="40" spans="2:5" x14ac:dyDescent="0.25">
      <c r="B40" s="26"/>
      <c r="C40" s="26"/>
      <c r="D40" s="26"/>
      <c r="E40" s="26"/>
    </row>
    <row r="41" spans="2:5" x14ac:dyDescent="0.25">
      <c r="B41" s="26"/>
      <c r="C41" s="26"/>
      <c r="D41" s="26"/>
      <c r="E41" s="26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0A0AA3-BD8F-487C-9135-872360DFB041}">
  <dimension ref="A1:AB135"/>
  <sheetViews>
    <sheetView workbookViewId="0">
      <selection activeCell="K97" sqref="K97"/>
    </sheetView>
  </sheetViews>
  <sheetFormatPr defaultRowHeight="13.8" x14ac:dyDescent="0.25"/>
  <cols>
    <col min="1" max="1" width="12.33203125" customWidth="1"/>
    <col min="3" max="3" width="31.88671875" customWidth="1"/>
    <col min="4" max="4" width="31.5546875" customWidth="1"/>
    <col min="5" max="5" width="8.88671875" customWidth="1"/>
    <col min="6" max="6" width="11.6640625" customWidth="1"/>
    <col min="11" max="11" width="9.109375" bestFit="1" customWidth="1"/>
    <col min="12" max="12" width="9.33203125" bestFit="1" customWidth="1"/>
    <col min="14" max="14" width="9.109375" bestFit="1" customWidth="1"/>
    <col min="17" max="17" width="16.109375" bestFit="1" customWidth="1"/>
    <col min="18" max="18" width="11.6640625" bestFit="1" customWidth="1"/>
    <col min="22" max="22" width="13.88671875" bestFit="1" customWidth="1"/>
  </cols>
  <sheetData>
    <row r="1" spans="1:15" s="25" customFormat="1" ht="15.6" x14ac:dyDescent="0.25">
      <c r="A1" s="24" t="s">
        <v>81</v>
      </c>
      <c r="B1" s="24" t="s">
        <v>76</v>
      </c>
      <c r="C1" s="24" t="s">
        <v>77</v>
      </c>
      <c r="D1" s="24" t="s">
        <v>78</v>
      </c>
      <c r="G1" s="37"/>
      <c r="H1" s="37"/>
      <c r="N1" s="38"/>
      <c r="O1" s="39"/>
    </row>
    <row r="2" spans="1:15" x14ac:dyDescent="0.25">
      <c r="A2">
        <v>2019</v>
      </c>
      <c r="B2">
        <v>441.00000000000006</v>
      </c>
      <c r="C2">
        <v>1320.5</v>
      </c>
      <c r="D2">
        <v>1924</v>
      </c>
      <c r="E2">
        <v>0.52090000000000003</v>
      </c>
      <c r="F2">
        <v>3.6999999999999998E-2</v>
      </c>
      <c r="G2">
        <v>0.69</v>
      </c>
      <c r="H2">
        <v>0.27</v>
      </c>
      <c r="I2">
        <v>0.28000000000000003</v>
      </c>
      <c r="J2">
        <v>0.64</v>
      </c>
      <c r="K2">
        <v>3.6999999999999998E-2</v>
      </c>
      <c r="L2">
        <v>0.50700000000000001</v>
      </c>
      <c r="M2">
        <v>0.45600000000000002</v>
      </c>
      <c r="N2">
        <v>0.63</v>
      </c>
      <c r="O2">
        <v>0.4</v>
      </c>
    </row>
    <row r="3" spans="1:15" x14ac:dyDescent="0.25">
      <c r="A3">
        <v>2020</v>
      </c>
      <c r="B3">
        <v>452.02499999999998</v>
      </c>
      <c r="C3">
        <v>1353.5124999999998</v>
      </c>
      <c r="D3">
        <v>1972.1</v>
      </c>
      <c r="E3">
        <f>E2+0.005</f>
        <v>0.52590000000000003</v>
      </c>
      <c r="F3">
        <f>F2-0.005</f>
        <v>3.2000000000000001E-2</v>
      </c>
      <c r="G3">
        <v>0.71</v>
      </c>
      <c r="H3">
        <v>0.25</v>
      </c>
      <c r="I3">
        <f t="shared" ref="I3:I8" si="0">I2+0.05</f>
        <v>0.33</v>
      </c>
      <c r="J3">
        <f>J2-0.05</f>
        <v>0.59</v>
      </c>
      <c r="K3">
        <f>K2+0.15</f>
        <v>0.187</v>
      </c>
      <c r="L3">
        <f>L2-0.05</f>
        <v>0.45700000000000002</v>
      </c>
      <c r="M3">
        <f>M2-0.1</f>
        <v>0.35599999999999998</v>
      </c>
      <c r="N3">
        <f>N2+0.04</f>
        <v>0.67</v>
      </c>
      <c r="O3">
        <v>1</v>
      </c>
    </row>
    <row r="4" spans="1:15" x14ac:dyDescent="0.25">
      <c r="A4">
        <v>2021</v>
      </c>
      <c r="B4">
        <v>463.32562499999989</v>
      </c>
      <c r="C4">
        <v>1387.3503124999995</v>
      </c>
      <c r="D4">
        <v>2021.4024999999995</v>
      </c>
      <c r="E4">
        <f t="shared" ref="E4:E5" si="1">E3+0.005</f>
        <v>0.53090000000000004</v>
      </c>
      <c r="F4">
        <f t="shared" ref="F4:F7" si="2">F3-0.005</f>
        <v>2.7E-2</v>
      </c>
      <c r="G4">
        <v>0.73</v>
      </c>
      <c r="H4">
        <v>0.23</v>
      </c>
      <c r="I4">
        <f t="shared" si="0"/>
        <v>0.38</v>
      </c>
      <c r="J4">
        <f t="shared" ref="J4:J8" si="3">J3-0.05</f>
        <v>0.53999999999999992</v>
      </c>
      <c r="K4">
        <f t="shared" ref="K4:K6" si="4">K3+0.15</f>
        <v>0.33699999999999997</v>
      </c>
      <c r="L4">
        <f t="shared" ref="L4:L6" si="5">L3-0.05</f>
        <v>0.40700000000000003</v>
      </c>
      <c r="M4">
        <f t="shared" ref="M4:M6" si="6">M3-0.1</f>
        <v>0.25600000000000001</v>
      </c>
      <c r="N4">
        <f>N3+0.04</f>
        <v>0.71000000000000008</v>
      </c>
      <c r="O4">
        <v>1</v>
      </c>
    </row>
    <row r="5" spans="1:15" x14ac:dyDescent="0.25">
      <c r="A5">
        <v>2022</v>
      </c>
      <c r="B5">
        <v>474.90876562499989</v>
      </c>
      <c r="C5">
        <v>1422.0340703124996</v>
      </c>
      <c r="D5">
        <v>2071.9375624999993</v>
      </c>
      <c r="E5">
        <f t="shared" si="1"/>
        <v>0.53590000000000004</v>
      </c>
      <c r="F5">
        <f t="shared" si="2"/>
        <v>2.1999999999999999E-2</v>
      </c>
      <c r="G5">
        <v>0.75</v>
      </c>
      <c r="H5">
        <v>0.21</v>
      </c>
      <c r="I5">
        <f t="shared" si="0"/>
        <v>0.43</v>
      </c>
      <c r="J5">
        <f t="shared" si="3"/>
        <v>0.48999999999999994</v>
      </c>
      <c r="K5">
        <f t="shared" si="4"/>
        <v>0.48699999999999999</v>
      </c>
      <c r="L5">
        <f t="shared" si="5"/>
        <v>0.35700000000000004</v>
      </c>
      <c r="M5">
        <f t="shared" si="6"/>
        <v>0.156</v>
      </c>
      <c r="N5">
        <f>N4+0.04</f>
        <v>0.75000000000000011</v>
      </c>
      <c r="O5">
        <v>1</v>
      </c>
    </row>
    <row r="6" spans="1:15" x14ac:dyDescent="0.25">
      <c r="A6">
        <v>2023</v>
      </c>
      <c r="B6">
        <v>486.78148476562484</v>
      </c>
      <c r="C6">
        <v>1457.5849220703119</v>
      </c>
      <c r="D6">
        <v>2123.736001562499</v>
      </c>
      <c r="E6">
        <f>E5+0.005</f>
        <v>0.54090000000000005</v>
      </c>
      <c r="F6">
        <f t="shared" si="2"/>
        <v>1.6999999999999998E-2</v>
      </c>
      <c r="G6">
        <v>0.77</v>
      </c>
      <c r="H6">
        <v>0.19</v>
      </c>
      <c r="I6">
        <f t="shared" si="0"/>
        <v>0.48</v>
      </c>
      <c r="J6">
        <f t="shared" si="3"/>
        <v>0.43999999999999995</v>
      </c>
      <c r="K6">
        <f t="shared" si="4"/>
        <v>0.63700000000000001</v>
      </c>
      <c r="L6">
        <f t="shared" si="5"/>
        <v>0.30700000000000005</v>
      </c>
      <c r="M6">
        <f t="shared" si="6"/>
        <v>5.5999999999999994E-2</v>
      </c>
      <c r="N6">
        <f>N5+0.02</f>
        <v>0.77000000000000013</v>
      </c>
      <c r="O6">
        <v>1</v>
      </c>
    </row>
    <row r="7" spans="1:15" x14ac:dyDescent="0.25">
      <c r="A7">
        <v>2024</v>
      </c>
      <c r="B7">
        <v>498.9510218847654</v>
      </c>
      <c r="C7">
        <v>1494.0245451220696</v>
      </c>
      <c r="D7">
        <v>2176.8294016015616</v>
      </c>
      <c r="E7">
        <f>E6+0.005</f>
        <v>0.54590000000000005</v>
      </c>
      <c r="F7">
        <f t="shared" si="2"/>
        <v>1.1999999999999997E-2</v>
      </c>
      <c r="G7">
        <v>0.79</v>
      </c>
      <c r="H7">
        <v>0.17</v>
      </c>
      <c r="I7">
        <f t="shared" si="0"/>
        <v>0.53</v>
      </c>
      <c r="J7">
        <f t="shared" si="3"/>
        <v>0.38999999999999996</v>
      </c>
      <c r="K7">
        <f>K6+0.07</f>
        <v>0.70700000000000007</v>
      </c>
      <c r="L7">
        <f>L6-0.02</f>
        <v>0.28700000000000003</v>
      </c>
      <c r="M7">
        <f>M6-0.05</f>
        <v>5.9999999999999915E-3</v>
      </c>
      <c r="N7">
        <f>N6+0.02</f>
        <v>0.79000000000000015</v>
      </c>
      <c r="O7">
        <v>1</v>
      </c>
    </row>
    <row r="8" spans="1:15" x14ac:dyDescent="0.25">
      <c r="A8">
        <v>2025</v>
      </c>
      <c r="B8">
        <v>511.42479743188449</v>
      </c>
      <c r="C8">
        <v>1531.375158750121</v>
      </c>
      <c r="D8">
        <v>2231.2501366416004</v>
      </c>
      <c r="E8">
        <f>E7+0.001</f>
        <v>0.54690000000000005</v>
      </c>
      <c r="F8">
        <f>F7-0.001</f>
        <v>1.0999999999999996E-2</v>
      </c>
      <c r="G8">
        <v>0.8</v>
      </c>
      <c r="H8">
        <v>0.16</v>
      </c>
      <c r="I8">
        <f t="shared" si="0"/>
        <v>0.58000000000000007</v>
      </c>
      <c r="J8">
        <f t="shared" si="3"/>
        <v>0.33999999999999997</v>
      </c>
      <c r="K8">
        <f>K7+0.026</f>
        <v>0.7330000000000001</v>
      </c>
      <c r="L8">
        <f>L7-0.02</f>
        <v>0.26700000000000002</v>
      </c>
      <c r="M8">
        <v>0</v>
      </c>
      <c r="N8">
        <f>N7+0.02</f>
        <v>0.81000000000000016</v>
      </c>
      <c r="O8">
        <v>1</v>
      </c>
    </row>
    <row r="9" spans="1:15" x14ac:dyDescent="0.25">
      <c r="A9">
        <v>2026</v>
      </c>
      <c r="B9">
        <v>524.21041736768154</v>
      </c>
      <c r="C9">
        <v>1569.6595377188739</v>
      </c>
      <c r="D9">
        <v>2287.0313900576398</v>
      </c>
      <c r="E9">
        <f t="shared" ref="E9:E10" si="7">E8+0.001</f>
        <v>0.54790000000000005</v>
      </c>
      <c r="F9">
        <f t="shared" ref="F9:F11" si="8">F8-0.001</f>
        <v>9.999999999999995E-3</v>
      </c>
      <c r="G9">
        <v>0.81</v>
      </c>
      <c r="H9">
        <v>0.15</v>
      </c>
      <c r="I9">
        <f>I8+0.03</f>
        <v>0.6100000000000001</v>
      </c>
      <c r="J9">
        <f>J8-0.03</f>
        <v>0.30999999999999994</v>
      </c>
      <c r="K9">
        <f>K8+0.02</f>
        <v>0.75300000000000011</v>
      </c>
      <c r="L9">
        <f>L8-0.02</f>
        <v>0.24700000000000003</v>
      </c>
      <c r="M9">
        <v>0</v>
      </c>
      <c r="N9">
        <f>N8+0.01</f>
        <v>0.82000000000000017</v>
      </c>
      <c r="O9">
        <v>1</v>
      </c>
    </row>
    <row r="10" spans="1:15" x14ac:dyDescent="0.25">
      <c r="A10">
        <v>2027</v>
      </c>
      <c r="B10">
        <v>537.31567780187356</v>
      </c>
      <c r="C10">
        <v>1608.9010261618457</v>
      </c>
      <c r="D10">
        <v>2344.2071748090807</v>
      </c>
      <c r="E10">
        <f t="shared" si="7"/>
        <v>0.54890000000000005</v>
      </c>
      <c r="F10">
        <f t="shared" si="8"/>
        <v>8.9999999999999941E-3</v>
      </c>
      <c r="G10">
        <v>0.82</v>
      </c>
      <c r="H10">
        <v>0.14000000000000001</v>
      </c>
      <c r="I10">
        <f t="shared" ref="I10:I14" si="9">I9+0.03</f>
        <v>0.64000000000000012</v>
      </c>
      <c r="J10">
        <f>J9-0.03</f>
        <v>0.27999999999999992</v>
      </c>
      <c r="K10">
        <f>K9+0.01</f>
        <v>0.76300000000000012</v>
      </c>
      <c r="L10">
        <f>L9-0.01</f>
        <v>0.23700000000000002</v>
      </c>
      <c r="M10">
        <v>0</v>
      </c>
      <c r="N10">
        <f t="shared" ref="N10:N15" si="10">N9+0.01</f>
        <v>0.83000000000000018</v>
      </c>
      <c r="O10">
        <v>1</v>
      </c>
    </row>
    <row r="11" spans="1:15" x14ac:dyDescent="0.25">
      <c r="A11">
        <v>2028</v>
      </c>
      <c r="B11">
        <v>550.74856974692034</v>
      </c>
      <c r="C11">
        <v>1649.1235518158917</v>
      </c>
      <c r="D11">
        <v>2402.8123541793075</v>
      </c>
      <c r="E11">
        <f>E10+0.001</f>
        <v>0.54990000000000006</v>
      </c>
      <c r="F11">
        <f t="shared" si="8"/>
        <v>7.9999999999999932E-3</v>
      </c>
      <c r="G11">
        <v>0.83</v>
      </c>
      <c r="H11">
        <v>0.13</v>
      </c>
      <c r="I11">
        <f t="shared" si="9"/>
        <v>0.67000000000000015</v>
      </c>
      <c r="J11">
        <f t="shared" ref="J11:J14" si="11">J10-0.03</f>
        <v>0.24999999999999992</v>
      </c>
      <c r="K11">
        <f>K10+0.01</f>
        <v>0.77300000000000013</v>
      </c>
      <c r="L11">
        <f>L10-0.01</f>
        <v>0.22700000000000001</v>
      </c>
      <c r="M11">
        <v>0</v>
      </c>
      <c r="N11">
        <f t="shared" si="10"/>
        <v>0.84000000000000019</v>
      </c>
      <c r="O11">
        <v>1</v>
      </c>
    </row>
    <row r="12" spans="1:15" x14ac:dyDescent="0.25">
      <c r="A12">
        <v>2029</v>
      </c>
      <c r="B12">
        <v>564.51728399059334</v>
      </c>
      <c r="C12">
        <v>1690.351640611289</v>
      </c>
      <c r="D12">
        <v>2462.8826630337903</v>
      </c>
      <c r="E12">
        <f>E11+0.0001</f>
        <v>0.55000000000000004</v>
      </c>
      <c r="F12">
        <v>7.9000000000000008E-3</v>
      </c>
      <c r="G12">
        <v>0.84</v>
      </c>
      <c r="H12">
        <v>0.12</v>
      </c>
      <c r="I12">
        <f t="shared" si="9"/>
        <v>0.70000000000000018</v>
      </c>
      <c r="J12">
        <f t="shared" si="11"/>
        <v>0.21999999999999992</v>
      </c>
      <c r="K12">
        <f>K11+0.01</f>
        <v>0.78300000000000014</v>
      </c>
      <c r="L12">
        <f>L11-0.01</f>
        <v>0.217</v>
      </c>
      <c r="M12">
        <v>0</v>
      </c>
      <c r="N12">
        <f t="shared" si="10"/>
        <v>0.8500000000000002</v>
      </c>
      <c r="O12">
        <v>1</v>
      </c>
    </row>
    <row r="13" spans="1:15" x14ac:dyDescent="0.25">
      <c r="A13">
        <v>2030</v>
      </c>
      <c r="B13">
        <v>578.6302160903582</v>
      </c>
      <c r="C13">
        <v>1732.6104316265712</v>
      </c>
      <c r="D13">
        <v>2524.4547296096353</v>
      </c>
      <c r="E13">
        <v>0.55000000000000004</v>
      </c>
      <c r="F13">
        <v>7.9000000000000008E-3</v>
      </c>
      <c r="G13">
        <v>0.85</v>
      </c>
      <c r="H13">
        <v>0.11</v>
      </c>
      <c r="I13">
        <f t="shared" si="9"/>
        <v>0.7300000000000002</v>
      </c>
      <c r="J13">
        <f t="shared" si="11"/>
        <v>0.18999999999999992</v>
      </c>
      <c r="K13">
        <f>K12+0.01</f>
        <v>0.79300000000000015</v>
      </c>
      <c r="L13">
        <f>L12-0.01</f>
        <v>0.20699999999999999</v>
      </c>
      <c r="M13">
        <v>0</v>
      </c>
      <c r="N13">
        <f t="shared" si="10"/>
        <v>0.86000000000000021</v>
      </c>
      <c r="O13">
        <v>1</v>
      </c>
    </row>
    <row r="14" spans="1:15" x14ac:dyDescent="0.25">
      <c r="A14">
        <v>2031</v>
      </c>
      <c r="B14">
        <v>593.09597149261708</v>
      </c>
      <c r="C14">
        <v>1775.925692417235</v>
      </c>
      <c r="D14">
        <v>2587.5660978498754</v>
      </c>
      <c r="E14">
        <v>0.55000000000000004</v>
      </c>
      <c r="F14">
        <v>7.9000000000000008E-3</v>
      </c>
      <c r="G14">
        <v>0.86</v>
      </c>
      <c r="H14">
        <v>0.1</v>
      </c>
      <c r="I14">
        <f t="shared" si="9"/>
        <v>0.76000000000000023</v>
      </c>
      <c r="J14">
        <f t="shared" si="11"/>
        <v>0.15999999999999992</v>
      </c>
      <c r="K14">
        <f>K13+0.002</f>
        <v>0.79500000000000015</v>
      </c>
      <c r="L14">
        <f>L13-0.002</f>
        <v>0.20499999999999999</v>
      </c>
      <c r="M14">
        <v>0</v>
      </c>
      <c r="N14">
        <f t="shared" si="10"/>
        <v>0.87000000000000022</v>
      </c>
      <c r="O14">
        <v>1</v>
      </c>
    </row>
    <row r="15" spans="1:15" x14ac:dyDescent="0.25">
      <c r="A15">
        <v>2032</v>
      </c>
      <c r="B15">
        <v>607.92337077993238</v>
      </c>
      <c r="C15">
        <v>1820.3238347276658</v>
      </c>
      <c r="D15">
        <v>2652.2552502961221</v>
      </c>
      <c r="E15">
        <v>0.55000000000000004</v>
      </c>
      <c r="F15">
        <v>7.9000000000000008E-3</v>
      </c>
      <c r="G15">
        <v>0.87</v>
      </c>
      <c r="H15">
        <v>0.09</v>
      </c>
      <c r="I15">
        <f>I14+0.01</f>
        <v>0.77000000000000024</v>
      </c>
      <c r="J15">
        <f>J14-0.01</f>
        <v>0.14999999999999991</v>
      </c>
      <c r="K15">
        <f>K14+0.002</f>
        <v>0.79700000000000015</v>
      </c>
      <c r="L15">
        <f>L14-0.002</f>
        <v>0.20299999999999999</v>
      </c>
      <c r="M15">
        <v>0</v>
      </c>
      <c r="N15">
        <f t="shared" si="10"/>
        <v>0.88000000000000023</v>
      </c>
      <c r="O15">
        <v>1</v>
      </c>
    </row>
    <row r="16" spans="1:15" x14ac:dyDescent="0.25">
      <c r="A16">
        <v>2033</v>
      </c>
      <c r="B16">
        <v>623.12145504943066</v>
      </c>
      <c r="C16">
        <v>1865.8319305958576</v>
      </c>
      <c r="D16">
        <v>2718.5616315535253</v>
      </c>
      <c r="E16">
        <v>0.55000000000000004</v>
      </c>
      <c r="F16">
        <v>7.9000000000000008E-3</v>
      </c>
      <c r="G16">
        <v>0.88</v>
      </c>
      <c r="H16">
        <v>0.08</v>
      </c>
      <c r="I16">
        <f>I15+0.01</f>
        <v>0.78000000000000025</v>
      </c>
      <c r="J16">
        <f t="shared" ref="J16:J17" si="12">J15-0.01</f>
        <v>0.1399999999999999</v>
      </c>
      <c r="K16">
        <f>K15+0.001</f>
        <v>0.79800000000000015</v>
      </c>
      <c r="L16">
        <f>L15-0.001</f>
        <v>0.20199999999999999</v>
      </c>
      <c r="M16">
        <v>0</v>
      </c>
      <c r="N16">
        <f>N15+0.005</f>
        <v>0.88500000000000023</v>
      </c>
      <c r="O16">
        <v>1</v>
      </c>
    </row>
    <row r="17" spans="1:23" x14ac:dyDescent="0.25">
      <c r="A17">
        <v>2034</v>
      </c>
      <c r="B17">
        <v>638.69949142566634</v>
      </c>
      <c r="C17">
        <v>1912.4777288607536</v>
      </c>
      <c r="D17">
        <v>2786.5256723423627</v>
      </c>
      <c r="E17">
        <v>0.55000000000000004</v>
      </c>
      <c r="F17">
        <v>7.9000000000000008E-3</v>
      </c>
      <c r="G17">
        <v>0.89</v>
      </c>
      <c r="H17">
        <v>7.0000000000000007E-2</v>
      </c>
      <c r="I17">
        <f>I16+0.01</f>
        <v>0.79000000000000026</v>
      </c>
      <c r="J17">
        <f t="shared" si="12"/>
        <v>0.12999999999999989</v>
      </c>
      <c r="K17">
        <f>K16+0.001</f>
        <v>0.79900000000000015</v>
      </c>
      <c r="L17">
        <f>L16-0.001</f>
        <v>0.20099999999999998</v>
      </c>
      <c r="M17">
        <v>0</v>
      </c>
      <c r="N17">
        <f>N16+0.01</f>
        <v>0.89500000000000024</v>
      </c>
      <c r="O17">
        <v>1</v>
      </c>
    </row>
    <row r="18" spans="1:23" x14ac:dyDescent="0.25">
      <c r="A18">
        <v>2035</v>
      </c>
      <c r="B18">
        <v>654.66697871130793</v>
      </c>
      <c r="C18">
        <v>1960.2896720822725</v>
      </c>
      <c r="D18">
        <v>2856.1888141509221</v>
      </c>
      <c r="E18">
        <v>0.55000000000000004</v>
      </c>
      <c r="F18">
        <v>7.9000000000000008E-3</v>
      </c>
      <c r="G18">
        <v>0.9</v>
      </c>
      <c r="H18">
        <v>0.06</v>
      </c>
      <c r="I18">
        <v>0.8</v>
      </c>
      <c r="J18">
        <v>0.12</v>
      </c>
      <c r="K18">
        <v>0.8</v>
      </c>
      <c r="L18">
        <v>0.2</v>
      </c>
      <c r="M18">
        <v>0</v>
      </c>
      <c r="N18">
        <v>0.9</v>
      </c>
      <c r="O18">
        <v>1</v>
      </c>
    </row>
    <row r="19" spans="1:23" x14ac:dyDescent="0.25">
      <c r="A19" s="40" t="s">
        <v>87</v>
      </c>
      <c r="B19" s="36"/>
      <c r="C19" s="36"/>
      <c r="D19" s="36"/>
    </row>
    <row r="20" spans="1:23" s="25" customFormat="1" x14ac:dyDescent="0.25">
      <c r="A20" s="24" t="s">
        <v>81</v>
      </c>
      <c r="B20" s="24" t="s">
        <v>45</v>
      </c>
      <c r="C20" s="24" t="s">
        <v>41</v>
      </c>
      <c r="D20" s="24" t="s">
        <v>44</v>
      </c>
      <c r="E20" s="24" t="s">
        <v>43</v>
      </c>
      <c r="F20" s="24" t="s">
        <v>46</v>
      </c>
      <c r="G20" s="24" t="s">
        <v>47</v>
      </c>
      <c r="H20" s="24" t="s">
        <v>42</v>
      </c>
      <c r="I20" s="24" t="s">
        <v>48</v>
      </c>
      <c r="J20" s="24" t="s">
        <v>50</v>
      </c>
      <c r="K20" s="24" t="s">
        <v>51</v>
      </c>
      <c r="L20" s="24" t="s">
        <v>52</v>
      </c>
      <c r="M20" s="24" t="s">
        <v>53</v>
      </c>
      <c r="N20" s="24" t="s">
        <v>54</v>
      </c>
      <c r="O20" s="24" t="s">
        <v>55</v>
      </c>
      <c r="P20" s="24" t="s">
        <v>56</v>
      </c>
      <c r="Q20" s="24" t="s">
        <v>68</v>
      </c>
      <c r="R20" s="24" t="s">
        <v>49</v>
      </c>
      <c r="S20" s="24" t="s">
        <v>57</v>
      </c>
      <c r="T20" s="24" t="s">
        <v>63</v>
      </c>
      <c r="U20" s="24" t="s">
        <v>64</v>
      </c>
      <c r="V20" s="24" t="s">
        <v>67</v>
      </c>
      <c r="W20" s="24" t="s">
        <v>66</v>
      </c>
    </row>
    <row r="21" spans="1:23" x14ac:dyDescent="0.25">
      <c r="A21">
        <v>2019</v>
      </c>
      <c r="B21" s="26">
        <f>B2*E2</f>
        <v>229.71690000000004</v>
      </c>
      <c r="C21" s="26">
        <f>B2*Parameters!$C$4</f>
        <v>194.96610000000001</v>
      </c>
      <c r="D21" s="26">
        <f>C2*Parameters!$C$8+D2*Parameters!$C$11</f>
        <v>206.74</v>
      </c>
      <c r="E21" s="26">
        <f>B2*F2+H2*C2+J2*D2</f>
        <v>1604.2120000000002</v>
      </c>
      <c r="F21" s="26">
        <f>B21*(1-Parameters!$C$15)+E21*$K$2+C2*G2+D2*I2</f>
        <v>1624.0792940000001</v>
      </c>
      <c r="G21" s="26">
        <f>F21*$N$2</f>
        <v>1023.1699552200001</v>
      </c>
      <c r="H21" s="26">
        <f>F21*(1-$N$2)</f>
        <v>600.90933877999998</v>
      </c>
      <c r="I21" s="26">
        <f>E21*$L$2+H21*$O$2</f>
        <v>1053.6992195120001</v>
      </c>
      <c r="J21" s="26">
        <f>I21*Parameters!$C$20</f>
        <v>31.610976585360003</v>
      </c>
      <c r="K21" s="26">
        <f>I21*Parameters!$C$19</f>
        <v>231.81382829264004</v>
      </c>
      <c r="L21" s="26">
        <f>K21*Parameters!$C$23</f>
        <v>227.17755172678724</v>
      </c>
      <c r="M21" s="26">
        <f>B21*Parameters!$C$15</f>
        <v>114.85845000000002</v>
      </c>
      <c r="N21" s="26">
        <f>G21*Parameters!$C$21</f>
        <v>838.99936328040008</v>
      </c>
      <c r="O21" s="26">
        <f>L21+G21*(1-Parameters!$C$21)*Parameters!$C$23</f>
        <v>407.66473182759535</v>
      </c>
      <c r="P21" s="26">
        <f>I21*Parameters!$C$22*Parameters!$C$25</f>
        <v>202.31025014630404</v>
      </c>
      <c r="Q21" s="26">
        <f>P21*Parameters!$C$24*10000000</f>
        <v>89016510064.373779</v>
      </c>
      <c r="R21" s="26">
        <f>E21*$M$2+J21+H21*(1-$O$2)+K21*(1-Parameters!$C$23)+'Scenario prediction'!G21*(1-Parameters!$C$21)*(1-Parameters!$C$23)</f>
        <v>1131.9969402580048</v>
      </c>
      <c r="S21" s="26">
        <f>R21+I21*Parameters!$C$22*(1-Parameters!$C$25)</f>
        <v>1719.9611047457008</v>
      </c>
      <c r="T21" s="26">
        <f>N21*Parameters!$C$27+Parameters!$C$26*Parameters!$C$22*'Scenario prediction'!I21</f>
        <v>3490.4836405937285</v>
      </c>
      <c r="U21" s="26">
        <f>N21*(Parameters!$C$28-Parameters!$C$27)</f>
        <v>2447.361142688927</v>
      </c>
      <c r="V21" s="26">
        <f>I21*Parameters!$C$29</f>
        <v>316109765.85360003</v>
      </c>
      <c r="W21" s="26">
        <f>V21/1000000</f>
        <v>316.10976585360004</v>
      </c>
    </row>
    <row r="22" spans="1:23" x14ac:dyDescent="0.25">
      <c r="A22">
        <v>2020</v>
      </c>
      <c r="B22" s="26">
        <f t="shared" ref="B22:B37" si="13">B3*E3</f>
        <v>237.71994749999999</v>
      </c>
      <c r="C22" s="26">
        <f>B3*Parameters!$C$4</f>
        <v>199.84025249999999</v>
      </c>
      <c r="D22" s="26">
        <f>C3*Parameters!$C$8+D3*Parameters!$C$11</f>
        <v>211.9085</v>
      </c>
      <c r="E22" s="26">
        <f t="shared" ref="E22:E37" si="14">B3*F3+H3*C3+J3*D3</f>
        <v>1516.3819249999999</v>
      </c>
      <c r="F22" s="26">
        <f>B22*(1-Parameters!$C$15)+E22*$K$2+C3*G3+D3*I3</f>
        <v>1786.7529799749996</v>
      </c>
      <c r="G22" s="26">
        <f t="shared" ref="G22:G37" si="15">F22*$N$2</f>
        <v>1125.6543773842498</v>
      </c>
      <c r="H22" s="26">
        <f t="shared" ref="H22:H37" si="16">F22*(1-$N$2)</f>
        <v>661.09860259074981</v>
      </c>
      <c r="I22" s="26">
        <f t="shared" ref="I22:I37" si="17">E22*$L$2+H22*$O$2</f>
        <v>1033.2450770112998</v>
      </c>
      <c r="J22" s="26">
        <f>I22*Parameters!$C$20</f>
        <v>30.997352310338993</v>
      </c>
      <c r="K22" s="26">
        <f>I22*Parameters!$C$19</f>
        <v>227.31391694248597</v>
      </c>
      <c r="L22" s="26">
        <f>K22*Parameters!$C$23</f>
        <v>222.76763860363624</v>
      </c>
      <c r="M22" s="26">
        <f>B22*Parameters!$C$15</f>
        <v>118.85997374999999</v>
      </c>
      <c r="N22" s="26">
        <f>G22*Parameters!$C$21</f>
        <v>923.03658945508471</v>
      </c>
      <c r="O22" s="26">
        <f>L22+G22*(1-Parameters!$C$21)*Parameters!$C$23</f>
        <v>421.33307077421796</v>
      </c>
      <c r="P22" s="26">
        <f>I22*Parameters!$C$22*Parameters!$C$25</f>
        <v>198.38305478616957</v>
      </c>
      <c r="Q22" s="26">
        <f>P22*Parameters!$C$24*10000000</f>
        <v>87288544105.914612</v>
      </c>
      <c r="R22" s="26">
        <f>E22*$M$2+J22+H22*(1-$O$2)+K22*(1-Parameters!$C$23)+'Scenario prediction'!G22*(1-Parameters!$C$21)*(1-Parameters!$C$23)</f>
        <v>1127.7253057622222</v>
      </c>
      <c r="S22" s="26">
        <f>R22+I22*Parameters!$C$22*(1-Parameters!$C$25)</f>
        <v>1704.2760587345274</v>
      </c>
      <c r="T22" s="26">
        <f>N22*Parameters!$C$27+Parameters!$C$26*Parameters!$C$22*'Scenario prediction'!I22</f>
        <v>3580.2354167802887</v>
      </c>
      <c r="U22" s="26">
        <f>N22*(Parameters!$C$28-Parameters!$C$27)</f>
        <v>2692.4977314404819</v>
      </c>
      <c r="V22" s="26">
        <f>I22*Parameters!$C$29</f>
        <v>309973523.10338992</v>
      </c>
      <c r="W22" s="26">
        <f t="shared" ref="W22:W37" si="18">V22/1000000</f>
        <v>309.97352310338994</v>
      </c>
    </row>
    <row r="23" spans="1:23" x14ac:dyDescent="0.25">
      <c r="A23">
        <v>2021</v>
      </c>
      <c r="B23" s="26">
        <f t="shared" si="13"/>
        <v>245.97957431249995</v>
      </c>
      <c r="C23" s="26">
        <f>B4*Parameters!$C$4</f>
        <v>204.83625881249995</v>
      </c>
      <c r="D23" s="26">
        <f>C4*Parameters!$C$8+D4*Parameters!$C$11</f>
        <v>217.20621249999994</v>
      </c>
      <c r="E23" s="26">
        <f t="shared" si="14"/>
        <v>1423.1577137499994</v>
      </c>
      <c r="F23" s="26">
        <f>B23*(1-Parameters!$C$15)+E23*$K$2+C4*G4+D4*I4</f>
        <v>1956.5453006899993</v>
      </c>
      <c r="G23" s="26">
        <f t="shared" si="15"/>
        <v>1232.6235394346995</v>
      </c>
      <c r="H23" s="26">
        <f t="shared" si="16"/>
        <v>723.92176125529977</v>
      </c>
      <c r="I23" s="26">
        <f t="shared" si="17"/>
        <v>1011.1096653733696</v>
      </c>
      <c r="J23" s="26">
        <f>I23*Parameters!$C$20</f>
        <v>30.333289961201086</v>
      </c>
      <c r="K23" s="26">
        <f>I23*Parameters!$C$19</f>
        <v>222.44412638214132</v>
      </c>
      <c r="L23" s="26">
        <f>K23*Parameters!$C$23</f>
        <v>217.99524385449848</v>
      </c>
      <c r="M23" s="26">
        <f>B23*Parameters!$C$15</f>
        <v>122.98978715624997</v>
      </c>
      <c r="N23" s="26">
        <f>G23*Parameters!$C$21</f>
        <v>1010.7513023364536</v>
      </c>
      <c r="O23" s="26">
        <f>L23+G23*(1-Parameters!$C$21)*Parameters!$C$23</f>
        <v>435.43003621077952</v>
      </c>
      <c r="P23" s="26">
        <f>I23*Parameters!$C$22*Parameters!$C$25</f>
        <v>194.13305575168698</v>
      </c>
      <c r="Q23" s="26">
        <f>P23*Parameters!$C$24*10000000</f>
        <v>85418544530.742279</v>
      </c>
      <c r="R23" s="26">
        <f>E23*$M$2+J23+H23*(1-$O$2)+K23*(1-Parameters!$C$23)+'Scenario prediction'!G23*(1-Parameters!$C$21)*(1-Parameters!$C$23)</f>
        <v>1122.5325914539885</v>
      </c>
      <c r="S23" s="26">
        <f>R23+I23*Parameters!$C$22*(1-Parameters!$C$25)</f>
        <v>1686.7317847323288</v>
      </c>
      <c r="T23" s="26">
        <f>N23*Parameters!$C$27+Parameters!$C$26*Parameters!$C$22*'Scenario prediction'!I23</f>
        <v>3672.2932295008068</v>
      </c>
      <c r="U23" s="26">
        <f>N23*(Parameters!$C$28-Parameters!$C$27)</f>
        <v>2948.3615489154349</v>
      </c>
      <c r="V23" s="26">
        <f>I23*Parameters!$C$29</f>
        <v>303332899.6120109</v>
      </c>
      <c r="W23" s="26">
        <f t="shared" si="18"/>
        <v>303.33289961201092</v>
      </c>
    </row>
    <row r="24" spans="1:23" x14ac:dyDescent="0.25">
      <c r="A24">
        <v>2022</v>
      </c>
      <c r="B24" s="26">
        <f t="shared" si="13"/>
        <v>254.50360749843745</v>
      </c>
      <c r="C24" s="26">
        <f>B5*Parameters!$C$4</f>
        <v>209.95716528281244</v>
      </c>
      <c r="D24" s="26">
        <f>C5*Parameters!$C$8+D5*Parameters!$C$11</f>
        <v>222.63636781249994</v>
      </c>
      <c r="E24" s="26">
        <f t="shared" si="14"/>
        <v>1324.3245532343744</v>
      </c>
      <c r="F24" s="26">
        <f>B24*(1-Parameters!$C$15)+E24*$K$2+C5*G5+D5*I5</f>
        <v>2133.7105168282651</v>
      </c>
      <c r="G24" s="26">
        <f t="shared" si="15"/>
        <v>1344.2376256018069</v>
      </c>
      <c r="H24" s="26">
        <f t="shared" si="16"/>
        <v>789.47289122645805</v>
      </c>
      <c r="I24" s="26">
        <f t="shared" si="17"/>
        <v>987.221704980411</v>
      </c>
      <c r="J24" s="26">
        <f>I24*Parameters!$C$20</f>
        <v>29.616651149412331</v>
      </c>
      <c r="K24" s="26">
        <f>I24*Parameters!$C$19</f>
        <v>217.18877509569043</v>
      </c>
      <c r="L24" s="26">
        <f>K24*Parameters!$C$23</f>
        <v>212.84499959377661</v>
      </c>
      <c r="M24" s="26">
        <f>B24*Parameters!$C$15</f>
        <v>127.25180374921872</v>
      </c>
      <c r="N24" s="26">
        <f>G24*Parameters!$C$21</f>
        <v>1102.2748529934815</v>
      </c>
      <c r="O24" s="26">
        <f>L24+G24*(1-Parameters!$C$21)*Parameters!$C$23</f>
        <v>449.96851674993542</v>
      </c>
      <c r="P24" s="26">
        <f>I24*Parameters!$C$22*Parameters!$C$25</f>
        <v>189.54656735623891</v>
      </c>
      <c r="Q24" s="26">
        <f>P24*Parameters!$C$24*10000000</f>
        <v>83400489636.745117</v>
      </c>
      <c r="R24" s="26">
        <f>E24*$M$2+J24+H24*(1-$O$2)+K24*(1-Parameters!$C$23)+'Scenario prediction'!G24*(1-Parameters!$C$21)*(1-Parameters!$C$23)</f>
        <v>1116.3754131142421</v>
      </c>
      <c r="S24" s="26">
        <f>R24+I24*Parameters!$C$22*(1-Parameters!$C$25)</f>
        <v>1667.2451244933113</v>
      </c>
      <c r="T24" s="26">
        <f>N24*Parameters!$C$27+Parameters!$C$26*Parameters!$C$22*'Scenario prediction'!I24</f>
        <v>3766.7162857218636</v>
      </c>
      <c r="U24" s="26">
        <f>N24*(Parameters!$C$28-Parameters!$C$27)</f>
        <v>3215.3357461819855</v>
      </c>
      <c r="V24" s="26">
        <f>I24*Parameters!$C$29</f>
        <v>296166511.49412328</v>
      </c>
      <c r="W24" s="26">
        <f t="shared" si="18"/>
        <v>296.16651149412326</v>
      </c>
    </row>
    <row r="25" spans="1:23" x14ac:dyDescent="0.25">
      <c r="A25">
        <v>2023</v>
      </c>
      <c r="B25" s="26">
        <f t="shared" si="13"/>
        <v>263.30010510972647</v>
      </c>
      <c r="C25" s="26">
        <f>B6*Parameters!$C$4</f>
        <v>215.20609441488273</v>
      </c>
      <c r="D25" s="26">
        <f>C6*Parameters!$C$8+D6*Parameters!$C$11</f>
        <v>228.2022770078124</v>
      </c>
      <c r="E25" s="26">
        <f t="shared" si="14"/>
        <v>1219.6602611218743</v>
      </c>
      <c r="F25" s="26">
        <f>B25*(1-Parameters!$C$15)+E25*$K$2+C6*G6+D6*I6</f>
        <v>2318.5111529605124</v>
      </c>
      <c r="G25" s="26">
        <f t="shared" si="15"/>
        <v>1460.6620263651228</v>
      </c>
      <c r="H25" s="26">
        <f t="shared" si="16"/>
        <v>857.84912659538952</v>
      </c>
      <c r="I25" s="26">
        <f t="shared" si="17"/>
        <v>961.50740302694612</v>
      </c>
      <c r="J25" s="26">
        <f>I25*Parameters!$C$20</f>
        <v>28.845222090808381</v>
      </c>
      <c r="K25" s="26">
        <f>I25*Parameters!$C$19</f>
        <v>211.53162866592814</v>
      </c>
      <c r="L25" s="26">
        <f>K25*Parameters!$C$23</f>
        <v>207.30099609260958</v>
      </c>
      <c r="M25" s="26">
        <f>B25*Parameters!$C$15</f>
        <v>131.65005255486324</v>
      </c>
      <c r="N25" s="26">
        <f>G25*Parameters!$C$21</f>
        <v>1197.7428616194006</v>
      </c>
      <c r="O25" s="26">
        <f>L25+G25*(1-Parameters!$C$21)*Parameters!$C$23</f>
        <v>464.96177754341733</v>
      </c>
      <c r="P25" s="26">
        <f>I25*Parameters!$C$22*Parameters!$C$25</f>
        <v>184.60942138117366</v>
      </c>
      <c r="Q25" s="26">
        <f>P25*Parameters!$C$24*10000000</f>
        <v>81228145407.716415</v>
      </c>
      <c r="R25" s="26">
        <f>E25*$M$2+J25+H25*(1-$O$2)+K25*(1-Parameters!$C$23)+'Scenario prediction'!G25*(1-Parameters!$C$21)*(1-Parameters!$C$23)</f>
        <v>1109.2087929878501</v>
      </c>
      <c r="S25" s="26">
        <f>R25+I25*Parameters!$C$22*(1-Parameters!$C$25)</f>
        <v>1645.729923876886</v>
      </c>
      <c r="T25" s="26">
        <f>N25*Parameters!$C$27+Parameters!$C$26*Parameters!$C$22*'Scenario prediction'!I25</f>
        <v>3863.5653114855354</v>
      </c>
      <c r="U25" s="26">
        <f>N25*(Parameters!$C$28-Parameters!$C$27)</f>
        <v>3493.8159273437914</v>
      </c>
      <c r="V25" s="26">
        <f>I25*Parameters!$C$29</f>
        <v>288452220.90808386</v>
      </c>
      <c r="W25" s="26">
        <f t="shared" si="18"/>
        <v>288.45222090808386</v>
      </c>
    </row>
    <row r="26" spans="1:23" x14ac:dyDescent="0.25">
      <c r="A26">
        <v>2024</v>
      </c>
      <c r="B26" s="26">
        <f t="shared" si="13"/>
        <v>272.37736284689345</v>
      </c>
      <c r="C26" s="26">
        <f>B7*Parameters!$C$4</f>
        <v>220.58624677525478</v>
      </c>
      <c r="D26" s="26">
        <f>C7*Parameters!$C$8+D7*Parameters!$C$11</f>
        <v>233.90733393300772</v>
      </c>
      <c r="E26" s="26">
        <f t="shared" si="14"/>
        <v>1108.9350515579781</v>
      </c>
      <c r="F26" s="26">
        <f>B26*(1-Parameters!$C$15)+E26*$K$2+C7*G7+D7*I7</f>
        <v>2511.2182518263544</v>
      </c>
      <c r="G26" s="26">
        <f t="shared" si="15"/>
        <v>1582.0674986506033</v>
      </c>
      <c r="H26" s="26">
        <f t="shared" si="16"/>
        <v>929.15075317575111</v>
      </c>
      <c r="I26" s="26">
        <f t="shared" si="17"/>
        <v>933.89037241019537</v>
      </c>
      <c r="J26" s="26">
        <f>I26*Parameters!$C$20</f>
        <v>28.016711172305861</v>
      </c>
      <c r="K26" s="26">
        <f>I26*Parameters!$C$19</f>
        <v>205.45588193024298</v>
      </c>
      <c r="L26" s="26">
        <f>K26*Parameters!$C$23</f>
        <v>201.34676429163812</v>
      </c>
      <c r="M26" s="26">
        <f>B26*Parameters!$C$15</f>
        <v>136.18868142344672</v>
      </c>
      <c r="N26" s="26">
        <f>G26*Parameters!$C$21</f>
        <v>1297.2953488934945</v>
      </c>
      <c r="O26" s="26">
        <f>L26+G26*(1-Parameters!$C$21)*Parameters!$C$23</f>
        <v>480.4234710536046</v>
      </c>
      <c r="P26" s="26">
        <f>I26*Parameters!$C$22*Parameters!$C$25</f>
        <v>179.3069515027575</v>
      </c>
      <c r="Q26" s="26">
        <f>P26*Parameters!$C$24*10000000</f>
        <v>78895058661.213303</v>
      </c>
      <c r="R26" s="26">
        <f>E26*$M$2+J26+H26*(1-$O$2)+K26*(1-Parameters!$C$23)+'Scenario prediction'!G26*(1-Parameters!$C$21)*(1-Parameters!$C$23)</f>
        <v>1100.9861072219417</v>
      </c>
      <c r="S26" s="26">
        <f>R26+I26*Parameters!$C$22*(1-Parameters!$C$25)</f>
        <v>1622.0969350268306</v>
      </c>
      <c r="T26" s="26">
        <f>N26*Parameters!$C$27+Parameters!$C$26*Parameters!$C$22*'Scenario prediction'!I26</f>
        <v>3962.9025908588146</v>
      </c>
      <c r="U26" s="26">
        <f>N26*(Parameters!$C$28-Parameters!$C$27)</f>
        <v>3784.2105327223235</v>
      </c>
      <c r="V26" s="26">
        <f>I26*Parameters!$C$29</f>
        <v>280167111.72305858</v>
      </c>
      <c r="W26" s="26">
        <f t="shared" si="18"/>
        <v>280.16711172305855</v>
      </c>
    </row>
    <row r="27" spans="1:23" x14ac:dyDescent="0.25">
      <c r="A27">
        <v>2025</v>
      </c>
      <c r="B27" s="26">
        <f t="shared" si="13"/>
        <v>279.69822171549765</v>
      </c>
      <c r="C27" s="26">
        <f>B8*Parameters!$C$4</f>
        <v>226.10090294463612</v>
      </c>
      <c r="D27" s="26">
        <f>C8*Parameters!$C$8+D8*Parameters!$C$11</f>
        <v>239.75501728133287</v>
      </c>
      <c r="E27" s="26">
        <f t="shared" si="14"/>
        <v>1009.2707446299141</v>
      </c>
      <c r="F27" s="26">
        <f>B27*(1-Parameters!$C$15)+E27*$K$2+C8*G8+D8*I8</f>
        <v>2696.4173346612806</v>
      </c>
      <c r="G27" s="26">
        <f t="shared" si="15"/>
        <v>1698.7429208366068</v>
      </c>
      <c r="H27" s="26">
        <f t="shared" si="16"/>
        <v>997.67441382467382</v>
      </c>
      <c r="I27" s="26">
        <f t="shared" si="17"/>
        <v>910.77003305723599</v>
      </c>
      <c r="J27" s="26">
        <f>I27*Parameters!$C$20</f>
        <v>27.32310099171708</v>
      </c>
      <c r="K27" s="26">
        <f>I27*Parameters!$C$19</f>
        <v>200.36940727259193</v>
      </c>
      <c r="L27" s="26">
        <f>K27*Parameters!$C$23</f>
        <v>196.36201912714009</v>
      </c>
      <c r="M27" s="26">
        <f>B27*Parameters!$C$15</f>
        <v>139.84911085774883</v>
      </c>
      <c r="N27" s="26">
        <f>G27*Parameters!$C$21</f>
        <v>1392.9691950860174</v>
      </c>
      <c r="O27" s="26">
        <f>L27+G27*(1-Parameters!$C$21)*Parameters!$C$23</f>
        <v>496.02027036271761</v>
      </c>
      <c r="P27" s="26">
        <f>I27*Parameters!$C$22*Parameters!$C$25</f>
        <v>174.8678463469893</v>
      </c>
      <c r="Q27" s="26">
        <f>P27*Parameters!$C$24*10000000</f>
        <v>76941852392.675293</v>
      </c>
      <c r="R27" s="26">
        <f>E27*$M$2+J27+H27*(1-$O$2)+K27*(1-Parameters!$C$23)+'Scenario prediction'!G27*(1-Parameters!$C$21)*(1-Parameters!$C$23)</f>
        <v>1096.2780714982259</v>
      </c>
      <c r="S27" s="26">
        <f>R27+I27*Parameters!$C$22*(1-Parameters!$C$25)</f>
        <v>1604.4877499441636</v>
      </c>
      <c r="T27" s="26">
        <f>N27*Parameters!$C$27+Parameters!$C$26*Parameters!$C$22*'Scenario prediction'!I27</f>
        <v>4065.4248294655968</v>
      </c>
      <c r="U27" s="26">
        <f>N27*(Parameters!$C$28-Parameters!$C$27)</f>
        <v>4063.2911420659125</v>
      </c>
      <c r="V27" s="26">
        <f>I27*Parameters!$C$29</f>
        <v>273231009.91717082</v>
      </c>
      <c r="W27" s="26">
        <f t="shared" si="18"/>
        <v>273.23100991717081</v>
      </c>
    </row>
    <row r="28" spans="1:23" x14ac:dyDescent="0.25">
      <c r="A28">
        <v>2026</v>
      </c>
      <c r="B28" s="26">
        <f t="shared" si="13"/>
        <v>287.21488767575272</v>
      </c>
      <c r="C28" s="26">
        <f>B9*Parameters!$C$4</f>
        <v>231.75342551825202</v>
      </c>
      <c r="D28" s="26">
        <f>C9*Parameters!$C$8+D9*Parameters!$C$11</f>
        <v>245.74889271336616</v>
      </c>
      <c r="E28" s="26">
        <f t="shared" si="14"/>
        <v>949.67076574937607</v>
      </c>
      <c r="F28" s="26">
        <f>B28*(1-Parameters!$C$15)+E28*$K$2+C9*G9+D9*I9</f>
        <v>2845.2586356580514</v>
      </c>
      <c r="G28" s="26">
        <f t="shared" si="15"/>
        <v>1792.5129404645725</v>
      </c>
      <c r="H28" s="26">
        <f t="shared" si="16"/>
        <v>1052.7456951934789</v>
      </c>
      <c r="I28" s="26">
        <f t="shared" si="17"/>
        <v>902.58135631232517</v>
      </c>
      <c r="J28" s="26">
        <f>I28*Parameters!$C$20</f>
        <v>27.077440689369755</v>
      </c>
      <c r="K28" s="26">
        <f>I28*Parameters!$C$19</f>
        <v>198.56789838871154</v>
      </c>
      <c r="L28" s="26">
        <f>K28*Parameters!$C$23</f>
        <v>194.59654042093732</v>
      </c>
      <c r="M28" s="26">
        <f>B28*Parameters!$C$15</f>
        <v>143.60744383787636</v>
      </c>
      <c r="N28" s="26">
        <f>G28*Parameters!$C$21</f>
        <v>1469.8606111809493</v>
      </c>
      <c r="O28" s="26">
        <f>L28+G28*(1-Parameters!$C$21)*Parameters!$C$23</f>
        <v>510.79582311888794</v>
      </c>
      <c r="P28" s="26">
        <f>I28*Parameters!$C$22*Parameters!$C$25</f>
        <v>173.29562041196644</v>
      </c>
      <c r="Q28" s="26">
        <f>P28*Parameters!$C$24*10000000</f>
        <v>76250072981.265228</v>
      </c>
      <c r="R28" s="26">
        <f>E28*$M$2+J28+H28*(1-$O$2)+K28*(1-Parameters!$C$23)+'Scenario prediction'!G28*(1-Parameters!$C$21)*(1-Parameters!$C$23)</f>
        <v>1102.1991315406194</v>
      </c>
      <c r="S28" s="26">
        <f>R28+I28*Parameters!$C$22*(1-Parameters!$C$25)</f>
        <v>1605.839528362897</v>
      </c>
      <c r="T28" s="26">
        <f>N28*Parameters!$C$27+Parameters!$C$26*Parameters!$C$22*'Scenario prediction'!I28</f>
        <v>4169.2552069482608</v>
      </c>
      <c r="U28" s="26">
        <f>N28*(Parameters!$C$28-Parameters!$C$27)</f>
        <v>4287.5834028148283</v>
      </c>
      <c r="V28" s="26">
        <f>I28*Parameters!$C$29</f>
        <v>270774406.89369756</v>
      </c>
      <c r="W28" s="26">
        <f t="shared" si="18"/>
        <v>270.77440689369757</v>
      </c>
    </row>
    <row r="29" spans="1:23" x14ac:dyDescent="0.25">
      <c r="A29">
        <v>2027</v>
      </c>
      <c r="B29" s="26">
        <f t="shared" si="13"/>
        <v>294.9325755454484</v>
      </c>
      <c r="C29" s="26">
        <f>B10*Parameters!$C$4</f>
        <v>237.54726115620829</v>
      </c>
      <c r="D29" s="26">
        <f>C10*Parameters!$C$8+D10*Parameters!$C$11</f>
        <v>251.89261503120031</v>
      </c>
      <c r="E29" s="26">
        <f t="shared" si="14"/>
        <v>886.45999370941774</v>
      </c>
      <c r="F29" s="26">
        <f>B29*(1-Parameters!$C$15)+E29*$K$2+C10*G10+D10*I10</f>
        <v>2999.8567408704976</v>
      </c>
      <c r="G29" s="26">
        <f t="shared" si="15"/>
        <v>1889.9097467484135</v>
      </c>
      <c r="H29" s="26">
        <f t="shared" si="16"/>
        <v>1109.9469941220841</v>
      </c>
      <c r="I29" s="26">
        <f t="shared" si="17"/>
        <v>893.41401445950851</v>
      </c>
      <c r="J29" s="26">
        <f>I29*Parameters!$C$20</f>
        <v>26.802420433785255</v>
      </c>
      <c r="K29" s="26">
        <f>I29*Parameters!$C$19</f>
        <v>196.55108318109188</v>
      </c>
      <c r="L29" s="26">
        <f>K29*Parameters!$C$23</f>
        <v>192.62006151747005</v>
      </c>
      <c r="M29" s="26">
        <f>B29*Parameters!$C$15</f>
        <v>147.4662877727242</v>
      </c>
      <c r="N29" s="26">
        <f>G29*Parameters!$C$21</f>
        <v>1549.725992333699</v>
      </c>
      <c r="O29" s="26">
        <f>L29+G29*(1-Parameters!$C$21)*Parameters!$C$23</f>
        <v>526.00014084389022</v>
      </c>
      <c r="P29" s="26">
        <f>I29*Parameters!$C$22*Parameters!$C$25</f>
        <v>171.53549077622563</v>
      </c>
      <c r="Q29" s="26">
        <f>P29*Parameters!$C$24*10000000</f>
        <v>75475615941.539276</v>
      </c>
      <c r="R29" s="26">
        <f>E29*$M$2+J29+H29*(1-$O$2)+K29*(1-Parameters!$C$23)+'Scenario prediction'!G29*(1-Parameters!$C$21)*(1-Parameters!$C$23)</f>
        <v>1107.7310707904462</v>
      </c>
      <c r="S29" s="26">
        <f>R29+I29*Parameters!$C$22*(1-Parameters!$C$25)</f>
        <v>1606.2560908588521</v>
      </c>
      <c r="T29" s="26">
        <f>N29*Parameters!$C$27+Parameters!$C$26*Parameters!$C$22*'Scenario prediction'!I29</f>
        <v>4275.7362127866436</v>
      </c>
      <c r="U29" s="26">
        <f>N29*(Parameters!$C$28-Parameters!$C$27)</f>
        <v>4520.5507196373992</v>
      </c>
      <c r="V29" s="26">
        <f>I29*Parameters!$C$29</f>
        <v>268024204.33785254</v>
      </c>
      <c r="W29" s="26">
        <f t="shared" si="18"/>
        <v>268.02420433785255</v>
      </c>
    </row>
    <row r="30" spans="1:23" x14ac:dyDescent="0.25">
      <c r="A30">
        <v>2028</v>
      </c>
      <c r="B30" s="26">
        <f t="shared" si="13"/>
        <v>302.8566385038315</v>
      </c>
      <c r="C30" s="26">
        <f>B11*Parameters!$C$4</f>
        <v>243.48594268511349</v>
      </c>
      <c r="D30" s="26">
        <f>C11*Parameters!$C$8+D11*Parameters!$C$11</f>
        <v>258.18993040698024</v>
      </c>
      <c r="E30" s="26">
        <f t="shared" si="14"/>
        <v>819.49513883886789</v>
      </c>
      <c r="F30" s="26">
        <f>B30*(1-Parameters!$C$15)+E30*$K$2+C11*G11+D11*I11</f>
        <v>3160.4064646962802</v>
      </c>
      <c r="G30" s="26">
        <f t="shared" si="15"/>
        <v>1991.0560727586565</v>
      </c>
      <c r="H30" s="26">
        <f t="shared" si="16"/>
        <v>1169.3503919376237</v>
      </c>
      <c r="I30" s="26">
        <f t="shared" si="17"/>
        <v>883.22419216635558</v>
      </c>
      <c r="J30" s="26">
        <f>I30*Parameters!$C$20</f>
        <v>26.496725764990668</v>
      </c>
      <c r="K30" s="26">
        <f>I30*Parameters!$C$19</f>
        <v>194.30932227659824</v>
      </c>
      <c r="L30" s="26">
        <f>K30*Parameters!$C$23</f>
        <v>190.42313583106628</v>
      </c>
      <c r="M30" s="26">
        <f>B30*Parameters!$C$15</f>
        <v>151.42831925191575</v>
      </c>
      <c r="N30" s="26">
        <f>G30*Parameters!$C$21</f>
        <v>1632.6659796620982</v>
      </c>
      <c r="O30" s="26">
        <f>L30+G30*(1-Parameters!$C$21)*Parameters!$C$23</f>
        <v>541.6454270656933</v>
      </c>
      <c r="P30" s="26">
        <f>I30*Parameters!$C$22*Parameters!$C$25</f>
        <v>169.57904489594029</v>
      </c>
      <c r="Q30" s="26">
        <f>P30*Parameters!$C$24*10000000</f>
        <v>74614779754.21373</v>
      </c>
      <c r="R30" s="26">
        <f>E30*$M$2+J30+H30*(1-$O$2)+K30*(1-Parameters!$C$23)+'Scenario prediction'!G30*(1-Parameters!$C$21)*(1-Parameters!$C$23)</f>
        <v>1112.8507325455519</v>
      </c>
      <c r="S30" s="26">
        <f>R30+I30*Parameters!$C$22*(1-Parameters!$C$25)</f>
        <v>1605.6898317743783</v>
      </c>
      <c r="T30" s="26">
        <f>N30*Parameters!$C$27+Parameters!$C$26*Parameters!$C$22*'Scenario prediction'!I30</f>
        <v>4384.9354844126028</v>
      </c>
      <c r="U30" s="26">
        <f>N30*(Parameters!$C$28-Parameters!$C$27)</f>
        <v>4762.4866626743396</v>
      </c>
      <c r="V30" s="26">
        <f>I30*Parameters!$C$29</f>
        <v>264967257.64990667</v>
      </c>
      <c r="W30" s="26">
        <f t="shared" si="18"/>
        <v>264.96725764990668</v>
      </c>
    </row>
    <row r="31" spans="1:23" x14ac:dyDescent="0.25">
      <c r="A31">
        <v>2029</v>
      </c>
      <c r="B31" s="26">
        <f t="shared" si="13"/>
        <v>310.48450619482634</v>
      </c>
      <c r="C31" s="26">
        <f>B12*Parameters!$C$4</f>
        <v>249.57309125224131</v>
      </c>
      <c r="D31" s="26">
        <f>C12*Parameters!$C$8+D12*Parameters!$C$11</f>
        <v>264.64467866715478</v>
      </c>
      <c r="E31" s="26">
        <f t="shared" si="14"/>
        <v>749.13606928431409</v>
      </c>
      <c r="F31" s="26">
        <f>B31*(1-Parameters!$C$15)+E31*$K$2+C12*G12+D12*I12</f>
        <v>3326.8735298980691</v>
      </c>
      <c r="G31" s="26">
        <f t="shared" si="15"/>
        <v>2095.9303238357834</v>
      </c>
      <c r="H31" s="26">
        <f t="shared" si="16"/>
        <v>1230.9432060622855</v>
      </c>
      <c r="I31" s="26">
        <f t="shared" si="17"/>
        <v>872.18926955206143</v>
      </c>
      <c r="J31" s="26">
        <f>I31*Parameters!$C$20</f>
        <v>26.165678086561844</v>
      </c>
      <c r="K31" s="26">
        <f>I31*Parameters!$C$19</f>
        <v>191.8816393014535</v>
      </c>
      <c r="L31" s="26">
        <f>K31*Parameters!$C$23</f>
        <v>188.04400651542443</v>
      </c>
      <c r="M31" s="26">
        <f>B31*Parameters!$C$15</f>
        <v>155.24225309741317</v>
      </c>
      <c r="N31" s="26">
        <f>G31*Parameters!$C$21</f>
        <v>1718.6628655453424</v>
      </c>
      <c r="O31" s="26">
        <f>L31+G31*(1-Parameters!$C$21)*Parameters!$C$23</f>
        <v>557.76611564005668</v>
      </c>
      <c r="P31" s="26">
        <f>I31*Parameters!$C$22*Parameters!$C$25</f>
        <v>167.46033975399581</v>
      </c>
      <c r="Q31" s="26">
        <f>P31*Parameters!$C$24*10000000</f>
        <v>73682549491.758148</v>
      </c>
      <c r="R31" s="26">
        <f>E31*$M$2+J31+H31*(1-$O$2)+K31*(1-Parameters!$C$23)+'Scenario prediction'!G31*(1-Parameters!$C$21)*(1-Parameters!$C$23)</f>
        <v>1117.7206312694182</v>
      </c>
      <c r="S31" s="26">
        <f>R31+I31*Parameters!$C$22*(1-Parameters!$C$25)</f>
        <v>1604.4022436794685</v>
      </c>
      <c r="T31" s="26">
        <f>N31*Parameters!$C$27+Parameters!$C$26*Parameters!$C$22*'Scenario prediction'!I31</f>
        <v>4497.1910673573148</v>
      </c>
      <c r="U31" s="26">
        <f>N31*(Parameters!$C$28-Parameters!$C$27)</f>
        <v>5013.3395787957634</v>
      </c>
      <c r="V31" s="26">
        <f>I31*Parameters!$C$29</f>
        <v>261656780.86561844</v>
      </c>
      <c r="W31" s="26">
        <f t="shared" si="18"/>
        <v>261.65678086561843</v>
      </c>
    </row>
    <row r="32" spans="1:23" x14ac:dyDescent="0.25">
      <c r="A32">
        <v>2030</v>
      </c>
      <c r="B32" s="26">
        <f t="shared" si="13"/>
        <v>318.24661884969703</v>
      </c>
      <c r="C32" s="26">
        <f>B13*Parameters!$C$4</f>
        <v>255.81241853354734</v>
      </c>
      <c r="D32" s="26">
        <f>C13*Parameters!$C$8+D13*Parameters!$C$11</f>
        <v>271.26079563383371</v>
      </c>
      <c r="E32" s="26">
        <f t="shared" si="14"/>
        <v>674.80472481186712</v>
      </c>
      <c r="F32" s="26">
        <f>B32*(1-Parameters!$C$15)+E32*$K$2+C13*G13+D13*I13</f>
        <v>3499.6619037405071</v>
      </c>
      <c r="G32" s="26">
        <f t="shared" si="15"/>
        <v>2204.7869993565196</v>
      </c>
      <c r="H32" s="26">
        <f t="shared" si="16"/>
        <v>1294.8749043839875</v>
      </c>
      <c r="I32" s="26">
        <f t="shared" si="17"/>
        <v>860.07595723321174</v>
      </c>
      <c r="J32" s="26">
        <f>I32*Parameters!$C$20</f>
        <v>25.802278716996351</v>
      </c>
      <c r="K32" s="26">
        <f>I32*Parameters!$C$19</f>
        <v>189.21671059130659</v>
      </c>
      <c r="L32" s="26">
        <f>K32*Parameters!$C$23</f>
        <v>185.43237637948044</v>
      </c>
      <c r="M32" s="26">
        <f>B32*Parameters!$C$15</f>
        <v>159.12330942484851</v>
      </c>
      <c r="N32" s="26">
        <f>G32*Parameters!$C$21</f>
        <v>1807.925339472346</v>
      </c>
      <c r="O32" s="26">
        <f>L32+G32*(1-Parameters!$C$21)*Parameters!$C$23</f>
        <v>574.35680306597055</v>
      </c>
      <c r="P32" s="26">
        <f>I32*Parameters!$C$22*Parameters!$C$25</f>
        <v>165.13458378877667</v>
      </c>
      <c r="Q32" s="26">
        <f>P32*Parameters!$C$24*10000000</f>
        <v>72659216867.061737</v>
      </c>
      <c r="R32" s="26">
        <f>E32*$M$2+J32+H32*(1-$O$2)+K32*(1-Parameters!$C$23)+'Scenario prediction'!G32*(1-Parameters!$C$21)*(1-Parameters!$C$23)</f>
        <v>1122.1597432711098</v>
      </c>
      <c r="S32" s="26">
        <f>R32+I32*Parameters!$C$22*(1-Parameters!$C$25)</f>
        <v>1602.0821274072421</v>
      </c>
      <c r="T32" s="26">
        <f>N32*Parameters!$C$27+Parameters!$C$26*Parameters!$C$22*'Scenario prediction'!I32</f>
        <v>4612.3494447650828</v>
      </c>
      <c r="U32" s="26">
        <f>N32*(Parameters!$C$28-Parameters!$C$27)</f>
        <v>5273.7182152408332</v>
      </c>
      <c r="V32" s="26">
        <f>I32*Parameters!$C$29</f>
        <v>258022787.16996351</v>
      </c>
      <c r="W32" s="26">
        <f t="shared" si="18"/>
        <v>258.02278716996352</v>
      </c>
    </row>
    <row r="33" spans="1:23" x14ac:dyDescent="0.25">
      <c r="A33">
        <v>2031</v>
      </c>
      <c r="B33" s="26">
        <f t="shared" si="13"/>
        <v>326.20278432093943</v>
      </c>
      <c r="C33" s="26">
        <f>B14*Parameters!$C$4</f>
        <v>262.20772899688603</v>
      </c>
      <c r="D33" s="26">
        <f>C14*Parameters!$C$8+D14*Parameters!$C$11</f>
        <v>278.04231552467945</v>
      </c>
      <c r="E33" s="26">
        <f t="shared" si="14"/>
        <v>596.28860307249499</v>
      </c>
      <c r="F33" s="26">
        <f>B33*(1-Parameters!$C$15)+E33*$K$2+C14*G14+D14*I14</f>
        <v>3679.0104003188799</v>
      </c>
      <c r="G33" s="26">
        <f t="shared" si="15"/>
        <v>2317.7765522008945</v>
      </c>
      <c r="H33" s="26">
        <f t="shared" si="16"/>
        <v>1361.2338481179856</v>
      </c>
      <c r="I33" s="26">
        <f t="shared" si="17"/>
        <v>846.81186100494915</v>
      </c>
      <c r="J33" s="26">
        <f>I33*Parameters!$C$20</f>
        <v>25.404355830148475</v>
      </c>
      <c r="K33" s="26">
        <f>I33*Parameters!$C$19</f>
        <v>186.29860942108883</v>
      </c>
      <c r="L33" s="26">
        <f>K33*Parameters!$C$23</f>
        <v>182.57263723266703</v>
      </c>
      <c r="M33" s="26">
        <f>B33*Parameters!$C$15</f>
        <v>163.10139216046971</v>
      </c>
      <c r="N33" s="26">
        <f>G33*Parameters!$C$21</f>
        <v>1900.5767728047333</v>
      </c>
      <c r="O33" s="26">
        <f>L33+G33*(1-Parameters!$C$21)*Parameters!$C$23</f>
        <v>591.42842104090482</v>
      </c>
      <c r="P33" s="26">
        <f>I33*Parameters!$C$22*Parameters!$C$25</f>
        <v>162.58787731295024</v>
      </c>
      <c r="Q33" s="26">
        <f>P33*Parameters!$C$24*10000000</f>
        <v>71538666017.698105</v>
      </c>
      <c r="R33" s="26">
        <f>E33*$M$2+J33+H33*(1-$O$2)+K33*(1-Parameters!$C$23)+'Scenario prediction'!G33*(1-Parameters!$C$21)*(1-Parameters!$C$23)</f>
        <v>1126.1222354783426</v>
      </c>
      <c r="S33" s="26">
        <f>R33+I33*Parameters!$C$22*(1-Parameters!$C$25)</f>
        <v>1598.6432539191042</v>
      </c>
      <c r="T33" s="26">
        <f>N33*Parameters!$C$27+Parameters!$C$26*Parameters!$C$22*'Scenario prediction'!I33</f>
        <v>4730.4549966261393</v>
      </c>
      <c r="U33" s="26">
        <f>N33*(Parameters!$C$28-Parameters!$C$27)</f>
        <v>5543.9824462714068</v>
      </c>
      <c r="V33" s="26">
        <f>I33*Parameters!$C$29</f>
        <v>254043558.30148473</v>
      </c>
      <c r="W33" s="26">
        <f t="shared" si="18"/>
        <v>254.04355830148472</v>
      </c>
    </row>
    <row r="34" spans="1:23" x14ac:dyDescent="0.25">
      <c r="A34">
        <v>2032</v>
      </c>
      <c r="B34" s="26">
        <f t="shared" si="13"/>
        <v>334.35785392896281</v>
      </c>
      <c r="C34" s="26">
        <f>B15*Parameters!$C$4</f>
        <v>268.76292222180808</v>
      </c>
      <c r="D34" s="26">
        <f>C15*Parameters!$C$8+D15*Parameters!$C$11</f>
        <v>284.99337341279642</v>
      </c>
      <c r="E34" s="26">
        <f t="shared" si="14"/>
        <v>566.47002729906944</v>
      </c>
      <c r="F34" s="26">
        <f>B34*(1-Parameters!$C$15)+E34*$K$2+C15*G15+D15*I15</f>
        <v>3814.056596915631</v>
      </c>
      <c r="G34" s="26">
        <f t="shared" si="15"/>
        <v>2402.8556560568477</v>
      </c>
      <c r="H34" s="26">
        <f t="shared" si="16"/>
        <v>1411.2009408587835</v>
      </c>
      <c r="I34" s="26">
        <f t="shared" si="17"/>
        <v>851.68068018414169</v>
      </c>
      <c r="J34" s="26">
        <f>I34*Parameters!$C$20</f>
        <v>25.55042040552425</v>
      </c>
      <c r="K34" s="26">
        <f>I34*Parameters!$C$19</f>
        <v>187.36974964051117</v>
      </c>
      <c r="L34" s="26">
        <f>K34*Parameters!$C$23</f>
        <v>183.62235464770094</v>
      </c>
      <c r="M34" s="26">
        <f>B34*Parameters!$C$15</f>
        <v>167.17892696448141</v>
      </c>
      <c r="N34" s="26">
        <f>G34*Parameters!$C$21</f>
        <v>1970.3416379666151</v>
      </c>
      <c r="O34" s="26">
        <f>L34+G34*(1-Parameters!$C$21)*Parameters!$C$23</f>
        <v>607.48609237612891</v>
      </c>
      <c r="P34" s="26">
        <f>I34*Parameters!$C$22*Parameters!$C$25</f>
        <v>163.52269059535521</v>
      </c>
      <c r="Q34" s="26">
        <f>P34*Parameters!$C$24*10000000</f>
        <v>71949983861.956299</v>
      </c>
      <c r="R34" s="26">
        <f>E34*$M$2+J34+H34*(1-$O$2)+K34*(1-Parameters!$C$23)+'Scenario prediction'!G34*(1-Parameters!$C$21)*(1-Parameters!$C$23)</f>
        <v>1142.9789927237848</v>
      </c>
      <c r="S34" s="26">
        <f>R34+I34*Parameters!$C$22*(1-Parameters!$C$25)</f>
        <v>1618.216812266536</v>
      </c>
      <c r="T34" s="26">
        <f>N34*Parameters!$C$27+Parameters!$C$26*Parameters!$C$22*'Scenario prediction'!I34</f>
        <v>4850.0277744873783</v>
      </c>
      <c r="U34" s="26">
        <f>N34*(Parameters!$C$28-Parameters!$C$27)</f>
        <v>5747.4865579486159</v>
      </c>
      <c r="V34" s="26">
        <f>I34*Parameters!$C$29</f>
        <v>255504204.05524251</v>
      </c>
      <c r="W34" s="26">
        <f t="shared" si="18"/>
        <v>255.5042040552425</v>
      </c>
    </row>
    <row r="35" spans="1:23" x14ac:dyDescent="0.25">
      <c r="A35">
        <v>2033</v>
      </c>
      <c r="B35" s="26">
        <f t="shared" si="13"/>
        <v>342.71680027718691</v>
      </c>
      <c r="C35" s="26">
        <f>B16*Parameters!$C$4</f>
        <v>275.48199527735329</v>
      </c>
      <c r="D35" s="26">
        <f>C16*Parameters!$C$8+D16*Parameters!$C$11</f>
        <v>292.11820774811633</v>
      </c>
      <c r="E35" s="26">
        <f t="shared" si="14"/>
        <v>534.78784236005231</v>
      </c>
      <c r="F35" s="26">
        <f>B35*(1-Parameters!$C$15)+E35*$K$2+C16*G16+D16*I16</f>
        <v>3953.5557218420208</v>
      </c>
      <c r="G35" s="26">
        <f t="shared" si="15"/>
        <v>2490.7401047604731</v>
      </c>
      <c r="H35" s="26">
        <f t="shared" si="16"/>
        <v>1462.8156170815478</v>
      </c>
      <c r="I35" s="26">
        <f t="shared" si="17"/>
        <v>856.26368290916571</v>
      </c>
      <c r="J35" s="26">
        <f>I35*Parameters!$C$20</f>
        <v>25.687910487274969</v>
      </c>
      <c r="K35" s="26">
        <f>I35*Parameters!$C$19</f>
        <v>188.37801024001647</v>
      </c>
      <c r="L35" s="26">
        <f>K35*Parameters!$C$23</f>
        <v>184.61045003521613</v>
      </c>
      <c r="M35" s="26">
        <f>B35*Parameters!$C$15</f>
        <v>171.35840013859345</v>
      </c>
      <c r="N35" s="26">
        <f>G35*Parameters!$C$21</f>
        <v>2042.4068859035879</v>
      </c>
      <c r="O35" s="26">
        <f>L35+G35*(1-Parameters!$C$21)*Parameters!$C$23</f>
        <v>623.97700451496371</v>
      </c>
      <c r="P35" s="26">
        <f>I35*Parameters!$C$22*Parameters!$C$25</f>
        <v>164.40262711855982</v>
      </c>
      <c r="Q35" s="26">
        <f>P35*Parameters!$C$24*10000000</f>
        <v>72337155932.166321</v>
      </c>
      <c r="R35" s="26">
        <f>E35*$M$2+J35+H35*(1-$O$2)+K35*(1-Parameters!$C$23)+'Scenario prediction'!G35*(1-Parameters!$C$21)*(1-Parameters!$C$23)</f>
        <v>1159.9747614343255</v>
      </c>
      <c r="S35" s="26">
        <f>R35+I35*Parameters!$C$22*(1-Parameters!$C$25)</f>
        <v>1637.76989649764</v>
      </c>
      <c r="T35" s="26">
        <f>N35*Parameters!$C$27+Parameters!$C$26*Parameters!$C$22*'Scenario prediction'!I35</f>
        <v>4972.6226568687871</v>
      </c>
      <c r="U35" s="26">
        <f>N35*(Parameters!$C$28-Parameters!$C$27)</f>
        <v>5957.7008861807653</v>
      </c>
      <c r="V35" s="26">
        <f>I35*Parameters!$C$29</f>
        <v>256879104.87274972</v>
      </c>
      <c r="W35" s="26">
        <f t="shared" si="18"/>
        <v>256.87910487274974</v>
      </c>
    </row>
    <row r="36" spans="1:23" x14ac:dyDescent="0.25">
      <c r="A36">
        <v>2034</v>
      </c>
      <c r="B36" s="26">
        <f t="shared" si="13"/>
        <v>351.28472028411653</v>
      </c>
      <c r="C36" s="26">
        <f>B17*Parameters!$C$4</f>
        <v>282.36904515928711</v>
      </c>
      <c r="D36" s="26">
        <f>C17*Parameters!$C$8+D17*Parameters!$C$11</f>
        <v>299.42116294181915</v>
      </c>
      <c r="E36" s="26">
        <f t="shared" si="14"/>
        <v>501.16750440702236</v>
      </c>
      <c r="F36" s="26">
        <f>B36*(1-Parameters!$C$15)+E36*$K$2+C17*G17+D17*I17</f>
        <v>4097.6460176416567</v>
      </c>
      <c r="G36" s="26">
        <f t="shared" si="15"/>
        <v>2581.5169911142439</v>
      </c>
      <c r="H36" s="26">
        <f t="shared" si="16"/>
        <v>1516.1290265274129</v>
      </c>
      <c r="I36" s="26">
        <f t="shared" si="17"/>
        <v>860.54353534532549</v>
      </c>
      <c r="J36" s="26">
        <f>I36*Parameters!$C$20</f>
        <v>25.816306060359764</v>
      </c>
      <c r="K36" s="26">
        <f>I36*Parameters!$C$19</f>
        <v>189.31957777597162</v>
      </c>
      <c r="L36" s="26">
        <f>K36*Parameters!$C$23</f>
        <v>185.53318622045219</v>
      </c>
      <c r="M36" s="26">
        <f>B36*Parameters!$C$15</f>
        <v>175.64236014205827</v>
      </c>
      <c r="N36" s="26">
        <f>G36*Parameters!$C$21</f>
        <v>2116.8439327136798</v>
      </c>
      <c r="O36" s="26">
        <f>L36+G36*(1-Parameters!$C$21)*Parameters!$C$23</f>
        <v>640.91278345300498</v>
      </c>
      <c r="P36" s="26">
        <f>I36*Parameters!$C$22*Parameters!$C$25</f>
        <v>165.2243587863025</v>
      </c>
      <c r="Q36" s="26">
        <f>P36*Parameters!$C$24*10000000</f>
        <v>72698717865.973099</v>
      </c>
      <c r="R36" s="26">
        <f>E36*$M$2+J36+H36*(1-$O$2)+K36*(1-Parameters!$C$23)+'Scenario prediction'!G36*(1-Parameters!$C$21)*(1-Parameters!$C$23)</f>
        <v>1177.1059567099405</v>
      </c>
      <c r="S36" s="26">
        <f>R36+I36*Parameters!$C$22*(1-Parameters!$C$25)</f>
        <v>1657.2892494326322</v>
      </c>
      <c r="T36" s="26">
        <f>N36*Parameters!$C$27+Parameters!$C$26*Parameters!$C$22*'Scenario prediction'!I36</f>
        <v>5098.3160160102107</v>
      </c>
      <c r="U36" s="26">
        <f>N36*(Parameters!$C$28-Parameters!$C$27)</f>
        <v>6174.8337517258033</v>
      </c>
      <c r="V36" s="26">
        <f>I36*Parameters!$C$29</f>
        <v>258163060.60359764</v>
      </c>
      <c r="W36" s="26">
        <f t="shared" si="18"/>
        <v>258.16306060359761</v>
      </c>
    </row>
    <row r="37" spans="1:23" x14ac:dyDescent="0.25">
      <c r="A37">
        <v>2035</v>
      </c>
      <c r="B37" s="26">
        <f t="shared" si="13"/>
        <v>360.06683829121937</v>
      </c>
      <c r="C37" s="26">
        <f>B18*Parameters!$C$4</f>
        <v>289.42827128826923</v>
      </c>
      <c r="D37" s="26">
        <f>C18*Parameters!$C$8+D18*Parameters!$C$11</f>
        <v>306.90669201536468</v>
      </c>
      <c r="E37" s="26">
        <f t="shared" si="14"/>
        <v>465.5319071548663</v>
      </c>
      <c r="F37" s="26">
        <f>B37*(1-Parameters!$C$15)+E37*$K$2+C18*G18+D18*I18</f>
        <v>4246.469855905123</v>
      </c>
      <c r="G37" s="26">
        <f t="shared" si="15"/>
        <v>2675.2760092202275</v>
      </c>
      <c r="H37" s="26">
        <f t="shared" si="16"/>
        <v>1571.1938466848956</v>
      </c>
      <c r="I37" s="26">
        <f t="shared" si="17"/>
        <v>864.50221560147554</v>
      </c>
      <c r="J37" s="26">
        <f>I37*Parameters!$C$20</f>
        <v>25.935066468044266</v>
      </c>
      <c r="K37" s="26">
        <f>I37*Parameters!$C$19</f>
        <v>190.19048743232463</v>
      </c>
      <c r="L37" s="26">
        <f>K37*Parameters!$C$23</f>
        <v>186.38667768367813</v>
      </c>
      <c r="M37" s="26">
        <f>B37*Parameters!$C$15</f>
        <v>180.03341914560968</v>
      </c>
      <c r="N37" s="26">
        <f>G37*Parameters!$C$21</f>
        <v>2193.7263275605865</v>
      </c>
      <c r="O37" s="26">
        <f>L37+G37*(1-Parameters!$C$21)*Parameters!$C$23</f>
        <v>658.30536571012635</v>
      </c>
      <c r="P37" s="26">
        <f>I37*Parameters!$C$22*Parameters!$C$25</f>
        <v>165.9844253954833</v>
      </c>
      <c r="Q37" s="26">
        <f>P37*Parameters!$C$24*10000000</f>
        <v>73033147174.01265</v>
      </c>
      <c r="R37" s="26">
        <f>E37*$M$2+J37+H37*(1-$O$2)+K37*(1-Parameters!$C$23)+'Scenario prediction'!G37*(1-Parameters!$C$21)*(1-Parameters!$C$23)</f>
        <v>1194.3687275234399</v>
      </c>
      <c r="S37" s="26">
        <f>R37+I37*Parameters!$C$22*(1-Parameters!$C$25)</f>
        <v>1676.7609638290633</v>
      </c>
      <c r="T37" s="26">
        <f>N37*Parameters!$C$27+Parameters!$C$26*Parameters!$C$22*'Scenario prediction'!I37</f>
        <v>5227.1861539481642</v>
      </c>
      <c r="U37" s="26">
        <f>N37*(Parameters!$C$28-Parameters!$C$27)</f>
        <v>6399.09969749423</v>
      </c>
      <c r="V37" s="26">
        <f>I37*Parameters!$C$29</f>
        <v>259350664.68044266</v>
      </c>
      <c r="W37" s="26">
        <f t="shared" si="18"/>
        <v>259.35066468044266</v>
      </c>
    </row>
    <row r="38" spans="1:23" x14ac:dyDescent="0.25">
      <c r="A38" s="40" t="s">
        <v>88</v>
      </c>
    </row>
    <row r="39" spans="1:23" s="25" customFormat="1" x14ac:dyDescent="0.25">
      <c r="A39" s="24" t="s">
        <v>81</v>
      </c>
      <c r="B39" s="24" t="s">
        <v>45</v>
      </c>
      <c r="C39" s="24" t="s">
        <v>41</v>
      </c>
      <c r="D39" s="24" t="s">
        <v>44</v>
      </c>
      <c r="E39" s="24" t="s">
        <v>43</v>
      </c>
      <c r="F39" s="24" t="s">
        <v>46</v>
      </c>
      <c r="G39" s="24" t="s">
        <v>47</v>
      </c>
      <c r="H39" s="24" t="s">
        <v>42</v>
      </c>
      <c r="I39" s="24" t="s">
        <v>48</v>
      </c>
      <c r="J39" s="24" t="s">
        <v>50</v>
      </c>
      <c r="K39" s="24" t="s">
        <v>51</v>
      </c>
      <c r="L39" s="24" t="s">
        <v>52</v>
      </c>
      <c r="M39" s="24" t="s">
        <v>53</v>
      </c>
      <c r="N39" s="24" t="s">
        <v>54</v>
      </c>
      <c r="O39" s="24" t="s">
        <v>55</v>
      </c>
      <c r="P39" s="24" t="s">
        <v>56</v>
      </c>
      <c r="Q39" s="24" t="s">
        <v>68</v>
      </c>
      <c r="R39" s="24" t="s">
        <v>49</v>
      </c>
      <c r="S39" s="24" t="s">
        <v>57</v>
      </c>
      <c r="T39" s="24" t="s">
        <v>63</v>
      </c>
      <c r="U39" s="24" t="s">
        <v>64</v>
      </c>
      <c r="V39" s="24" t="s">
        <v>67</v>
      </c>
      <c r="W39" s="24" t="s">
        <v>66</v>
      </c>
    </row>
    <row r="40" spans="1:23" x14ac:dyDescent="0.25">
      <c r="A40">
        <v>2019</v>
      </c>
      <c r="B40" s="26">
        <f>B2*$E$2</f>
        <v>229.71690000000004</v>
      </c>
      <c r="C40" s="26">
        <f>B2*Parameters!$C$4</f>
        <v>194.96610000000001</v>
      </c>
      <c r="D40" s="26">
        <f>C2*Parameters!$C$8+D2*Parameters!$C$11</f>
        <v>206.74</v>
      </c>
      <c r="E40" s="26">
        <f>B2*$F$2+$H$2*C2+$J$2*D2</f>
        <v>1604.2120000000002</v>
      </c>
      <c r="F40" s="26">
        <f>B40*(1-Parameters!$C$15)+E40*K2+C2*$G$2+D2*$I$2</f>
        <v>1624.0792940000001</v>
      </c>
      <c r="G40" s="26">
        <f>F40*$N$2</f>
        <v>1023.1699552200001</v>
      </c>
      <c r="H40" s="26">
        <f>F40*(1-$N$2)</f>
        <v>600.90933877999998</v>
      </c>
      <c r="I40" s="26">
        <f>E40*L2+H40*O2</f>
        <v>1053.6992195120001</v>
      </c>
      <c r="J40" s="26">
        <f>I40*Parameters!$C$20</f>
        <v>31.610976585360003</v>
      </c>
      <c r="K40" s="26">
        <f>I40*Parameters!$C$19</f>
        <v>231.81382829264004</v>
      </c>
      <c r="L40" s="26">
        <f>K40*Parameters!$C$23</f>
        <v>227.17755172678724</v>
      </c>
      <c r="M40" s="26">
        <f>B40*Parameters!$C$15</f>
        <v>114.85845000000002</v>
      </c>
      <c r="N40" s="26">
        <f>G40*Parameters!$C$21</f>
        <v>838.99936328040008</v>
      </c>
      <c r="O40" s="26">
        <f>L40+G40*(1-Parameters!$C$21)*Parameters!$C$23</f>
        <v>407.66473182759535</v>
      </c>
      <c r="P40" s="26">
        <f>I40*Parameters!$C$22*Parameters!$C$25</f>
        <v>202.31025014630404</v>
      </c>
      <c r="Q40" s="26">
        <f>P40*Parameters!$C$24*10000000</f>
        <v>89016510064.373779</v>
      </c>
      <c r="R40" s="26">
        <f>E40*M2+J40+H40*(1-O2)+K40*(1-Parameters!$C$23)+'Scenario prediction'!G40*(1-Parameters!$C$21)*(1-Parameters!$C$23)</f>
        <v>1131.9969402580048</v>
      </c>
      <c r="S40" s="26">
        <f>R40+I40*Parameters!$C$22*(1-Parameters!$C$25)</f>
        <v>1719.9611047457008</v>
      </c>
      <c r="T40" s="26">
        <f>N40*Parameters!$C$27+Parameters!$C$26*Parameters!$C$22*'Scenario prediction'!I40</f>
        <v>3490.4836405937285</v>
      </c>
      <c r="U40" s="26">
        <f>N40*(Parameters!$C$28-Parameters!$C$27)</f>
        <v>2447.361142688927</v>
      </c>
      <c r="V40" s="26">
        <f>I40*Parameters!$C$29</f>
        <v>316109765.85360003</v>
      </c>
      <c r="W40" s="26">
        <f>V40/1000000</f>
        <v>316.10976585360004</v>
      </c>
    </row>
    <row r="41" spans="1:23" x14ac:dyDescent="0.25">
      <c r="A41">
        <v>2020</v>
      </c>
      <c r="B41" s="26">
        <f t="shared" ref="B41:B56" si="19">B3*$E$2</f>
        <v>235.4598225</v>
      </c>
      <c r="C41" s="26">
        <f>B3*Parameters!$C$4</f>
        <v>199.84025249999999</v>
      </c>
      <c r="D41" s="26">
        <f>C3*Parameters!$C$8+D3*Parameters!$C$11</f>
        <v>211.9085</v>
      </c>
      <c r="E41" s="26">
        <f t="shared" ref="E41:E56" si="20">B3*$F$2+$H$2*C3+$J$2*D3</f>
        <v>1644.3172999999999</v>
      </c>
      <c r="F41" s="26">
        <f>B41*(1-Parameters!$C$15)+E41*K3+C3*$G$2+D3*$I$2</f>
        <v>1911.3288713499996</v>
      </c>
      <c r="G41" s="26">
        <f t="shared" ref="G41:G56" si="21">F41*$N$2</f>
        <v>1204.1371889504999</v>
      </c>
      <c r="H41" s="26">
        <f t="shared" ref="H41:H56" si="22">F41*(1-$N$2)</f>
        <v>707.19168239949988</v>
      </c>
      <c r="I41" s="26">
        <f t="shared" ref="I41:I56" si="23">E41*L3+H41*O3</f>
        <v>1458.6446884994998</v>
      </c>
      <c r="J41" s="26">
        <f>I41*Parameters!$C$20</f>
        <v>43.759340654984996</v>
      </c>
      <c r="K41" s="26">
        <f>I41*Parameters!$C$19</f>
        <v>320.90183146988994</v>
      </c>
      <c r="L41" s="26">
        <f>K41*Parameters!$C$23</f>
        <v>314.48379484049212</v>
      </c>
      <c r="M41" s="26">
        <f>B41*Parameters!$C$15</f>
        <v>117.72991125</v>
      </c>
      <c r="N41" s="26">
        <f>G41*Parameters!$C$21</f>
        <v>987.39249493940986</v>
      </c>
      <c r="O41" s="26">
        <f>L41+G41*(1-Parameters!$C$21)*Parameters!$C$23</f>
        <v>526.89359497136036</v>
      </c>
      <c r="P41" s="26">
        <f>I41*Parameters!$C$22*Parameters!$C$25</f>
        <v>280.05978019190394</v>
      </c>
      <c r="Q41" s="26">
        <f>P41*Parameters!$C$24*10000000</f>
        <v>123226303284.43773</v>
      </c>
      <c r="R41" s="26">
        <f>E41*M3+J41+H41*(1-O3)+K41*(1-Parameters!$C$23)+'Scenario prediction'!G41*(1-Parameters!$C$21)*(1-Parameters!$C$23)</f>
        <v>639.8892299646044</v>
      </c>
      <c r="S41" s="26">
        <f>R41+I41*Parameters!$C$22*(1-Parameters!$C$25)</f>
        <v>1453.8129661473254</v>
      </c>
      <c r="T41" s="26">
        <f>N41*Parameters!$C$27+Parameters!$C$26*Parameters!$C$22*'Scenario prediction'!I41</f>
        <v>4558.6608870850923</v>
      </c>
      <c r="U41" s="26">
        <f>N41*(Parameters!$C$28-Parameters!$C$27)</f>
        <v>2880.2239077382583</v>
      </c>
      <c r="V41" s="26">
        <f>I41*Parameters!$C$29</f>
        <v>437593406.54984993</v>
      </c>
      <c r="W41" s="26">
        <f t="shared" ref="W41:W56" si="24">V41/1000000</f>
        <v>437.59340654984993</v>
      </c>
    </row>
    <row r="42" spans="1:23" x14ac:dyDescent="0.25">
      <c r="A42">
        <v>2021</v>
      </c>
      <c r="B42" s="26">
        <f t="shared" si="19"/>
        <v>241.34631806249996</v>
      </c>
      <c r="C42" s="26">
        <f>B4*Parameters!$C$4</f>
        <v>204.83625881249995</v>
      </c>
      <c r="D42" s="26">
        <f>C4*Parameters!$C$8+D4*Parameters!$C$11</f>
        <v>217.20621249999994</v>
      </c>
      <c r="E42" s="26">
        <f t="shared" si="20"/>
        <v>1685.4252324999998</v>
      </c>
      <c r="F42" s="26">
        <f>B42*(1-Parameters!$C$15)+E42*K4+C4*$G$2+D4*$I$2</f>
        <v>2211.9258780087494</v>
      </c>
      <c r="G42" s="26">
        <f t="shared" si="21"/>
        <v>1393.5133031455121</v>
      </c>
      <c r="H42" s="26">
        <f t="shared" si="22"/>
        <v>818.4125748632373</v>
      </c>
      <c r="I42" s="26">
        <f t="shared" si="23"/>
        <v>1504.3806444907373</v>
      </c>
      <c r="J42" s="26">
        <f>I42*Parameters!$C$20</f>
        <v>45.131419334722118</v>
      </c>
      <c r="K42" s="26">
        <f>I42*Parameters!$C$19</f>
        <v>330.96374178796219</v>
      </c>
      <c r="L42" s="26">
        <f>K42*Parameters!$C$23</f>
        <v>324.34446695220294</v>
      </c>
      <c r="M42" s="26">
        <f>B42*Parameters!$C$15</f>
        <v>120.67315903124998</v>
      </c>
      <c r="N42" s="26">
        <f>G42*Parameters!$C$21</f>
        <v>1142.6809085793197</v>
      </c>
      <c r="O42" s="26">
        <f>L42+G42*(1-Parameters!$C$21)*Parameters!$C$23</f>
        <v>570.16021362707136</v>
      </c>
      <c r="P42" s="26">
        <f>I42*Parameters!$C$22*Parameters!$C$25</f>
        <v>288.8410837422216</v>
      </c>
      <c r="Q42" s="26">
        <f>P42*Parameters!$C$24*10000000</f>
        <v>127090076846.5775</v>
      </c>
      <c r="R42" s="26">
        <f>E42*M4+J42+H42*(1-O4)+K42*(1-Parameters!$C$23)+'Scenario prediction'!G42*(1-Parameters!$C$21)*(1-Parameters!$C$23)</f>
        <v>488.23620158180518</v>
      </c>
      <c r="S42" s="26">
        <f>R42+I42*Parameters!$C$22*(1-Parameters!$C$25)</f>
        <v>1327.6806012076368</v>
      </c>
      <c r="T42" s="26">
        <f>N42*Parameters!$C$27+Parameters!$C$26*Parameters!$C$22*'Scenario prediction'!I42</f>
        <v>4896.7941057316775</v>
      </c>
      <c r="U42" s="26">
        <f>N42*(Parameters!$C$28-Parameters!$C$27)</f>
        <v>3333.2002103258756</v>
      </c>
      <c r="V42" s="26">
        <f>I42*Parameters!$C$29</f>
        <v>451314193.3472212</v>
      </c>
      <c r="W42" s="26">
        <f t="shared" si="24"/>
        <v>451.31419334722119</v>
      </c>
    </row>
    <row r="43" spans="1:23" x14ac:dyDescent="0.25">
      <c r="A43">
        <v>2022</v>
      </c>
      <c r="B43" s="26">
        <f t="shared" si="19"/>
        <v>247.37997601406246</v>
      </c>
      <c r="C43" s="26">
        <f>B5*Parameters!$C$4</f>
        <v>209.95716528281244</v>
      </c>
      <c r="D43" s="26">
        <f>C5*Parameters!$C$8+D5*Parameters!$C$11</f>
        <v>222.63636781249994</v>
      </c>
      <c r="E43" s="26">
        <f t="shared" si="20"/>
        <v>1727.5608633124996</v>
      </c>
      <c r="F43" s="26">
        <f>B43*(1-Parameters!$C$15)+E43*K5+C5*$G$2+D5*$I$2</f>
        <v>2526.3581544558433</v>
      </c>
      <c r="G43" s="26">
        <f t="shared" si="21"/>
        <v>1591.6056373071813</v>
      </c>
      <c r="H43" s="26">
        <f t="shared" si="22"/>
        <v>934.75251714866204</v>
      </c>
      <c r="I43" s="26">
        <f t="shared" si="23"/>
        <v>1551.4917453512244</v>
      </c>
      <c r="J43" s="26">
        <f>I43*Parameters!$C$20</f>
        <v>46.544752360536727</v>
      </c>
      <c r="K43" s="26">
        <f>I43*Parameters!$C$19</f>
        <v>341.32818397726936</v>
      </c>
      <c r="L43" s="26">
        <f>K43*Parameters!$C$23</f>
        <v>334.50162029772395</v>
      </c>
      <c r="M43" s="26">
        <f>B43*Parameters!$C$15</f>
        <v>123.68998800703123</v>
      </c>
      <c r="N43" s="26">
        <f>G43*Parameters!$C$21</f>
        <v>1305.1166225918885</v>
      </c>
      <c r="O43" s="26">
        <f>L43+G43*(1-Parameters!$C$21)*Parameters!$C$23</f>
        <v>615.26085471871079</v>
      </c>
      <c r="P43" s="26">
        <f>I43*Parameters!$C$22*Parameters!$C$25</f>
        <v>297.88641510743508</v>
      </c>
      <c r="Q43" s="26">
        <f>P43*Parameters!$C$24*10000000</f>
        <v>131070022647.27144</v>
      </c>
      <c r="R43" s="26">
        <f>E43*M5+J43+H43*(1-O5)+K43*(1-Parameters!$C$23)+'Scenario prediction'!G43*(1-Parameters!$C$21)*(1-Parameters!$C$23)</f>
        <v>328.60059101113791</v>
      </c>
      <c r="S43" s="26">
        <f>R43+I43*Parameters!$C$22*(1-Parameters!$C$25)</f>
        <v>1194.3329849171209</v>
      </c>
      <c r="T43" s="26">
        <f>N43*Parameters!$C$27+Parameters!$C$26*Parameters!$C$22*'Scenario prediction'!I43</f>
        <v>5248.984822256165</v>
      </c>
      <c r="U43" s="26">
        <f>N43*(Parameters!$C$28-Parameters!$C$27)</f>
        <v>3807.0251881005383</v>
      </c>
      <c r="V43" s="26">
        <f>I43*Parameters!$C$29</f>
        <v>465447523.6053673</v>
      </c>
      <c r="W43" s="26">
        <f t="shared" si="24"/>
        <v>465.44752360536728</v>
      </c>
    </row>
    <row r="44" spans="1:23" x14ac:dyDescent="0.25">
      <c r="A44">
        <v>2023</v>
      </c>
      <c r="B44" s="26">
        <f t="shared" si="19"/>
        <v>253.56447541441401</v>
      </c>
      <c r="C44" s="26">
        <f>B6*Parameters!$C$4</f>
        <v>215.20609441488273</v>
      </c>
      <c r="D44" s="26">
        <f>C6*Parameters!$C$8+D6*Parameters!$C$11</f>
        <v>228.2022770078124</v>
      </c>
      <c r="E44" s="26">
        <f t="shared" si="20"/>
        <v>1770.7498848953117</v>
      </c>
      <c r="F44" s="26">
        <f>B44*(1-Parameters!$C$15)+E44*K6+C6*$G$2+D6*$I$2</f>
        <v>2855.1295910515355</v>
      </c>
      <c r="G44" s="26">
        <f t="shared" si="21"/>
        <v>1798.7316423624675</v>
      </c>
      <c r="H44" s="26">
        <f t="shared" si="22"/>
        <v>1056.397948689068</v>
      </c>
      <c r="I44" s="26">
        <f t="shared" si="23"/>
        <v>1600.0181633519287</v>
      </c>
      <c r="J44" s="26">
        <f>I44*Parameters!$C$20</f>
        <v>48.000544900557863</v>
      </c>
      <c r="K44" s="26">
        <f>I44*Parameters!$C$19</f>
        <v>352.00399593742429</v>
      </c>
      <c r="L44" s="26">
        <f>K44*Parameters!$C$23</f>
        <v>344.96391601867577</v>
      </c>
      <c r="M44" s="26">
        <f>B44*Parameters!$C$15</f>
        <v>126.782237707207</v>
      </c>
      <c r="N44" s="26">
        <f>G44*Parameters!$C$21</f>
        <v>1474.9599467372232</v>
      </c>
      <c r="O44" s="26">
        <f>L44+G44*(1-Parameters!$C$21)*Parameters!$C$23</f>
        <v>662.26017773141507</v>
      </c>
      <c r="P44" s="26">
        <f>I44*Parameters!$C$22*Parameters!$C$25</f>
        <v>307.20348736357033</v>
      </c>
      <c r="Q44" s="26">
        <f>P44*Parameters!$C$24*10000000</f>
        <v>135169534439.97093</v>
      </c>
      <c r="R44" s="26">
        <f>E44*M6+J44+H44*(1-O6)+K44*(1-Parameters!$C$23)+'Scenario prediction'!G44*(1-Parameters!$C$21)*(1-Parameters!$C$23)</f>
        <v>160.67805228594867</v>
      </c>
      <c r="S44" s="26">
        <f>R44+I44*Parameters!$C$22*(1-Parameters!$C$25)</f>
        <v>1053.488187436325</v>
      </c>
      <c r="T44" s="26">
        <f>N44*Parameters!$C$27+Parameters!$C$26*Parameters!$C$22*'Scenario prediction'!I44</f>
        <v>5615.7245782907939</v>
      </c>
      <c r="U44" s="26">
        <f>N44*(Parameters!$C$28-Parameters!$C$27)</f>
        <v>4302.4581646324796</v>
      </c>
      <c r="V44" s="26">
        <f>I44*Parameters!$C$29</f>
        <v>480005449.00557864</v>
      </c>
      <c r="W44" s="26">
        <f t="shared" si="24"/>
        <v>480.00544900557861</v>
      </c>
    </row>
    <row r="45" spans="1:23" x14ac:dyDescent="0.25">
      <c r="A45">
        <v>2024</v>
      </c>
      <c r="B45" s="26">
        <f t="shared" si="19"/>
        <v>259.9035872997743</v>
      </c>
      <c r="C45" s="26">
        <f>B7*Parameters!$C$4</f>
        <v>220.58624677525478</v>
      </c>
      <c r="D45" s="26">
        <f>C7*Parameters!$C$8+D7*Parameters!$C$11</f>
        <v>233.90733393300772</v>
      </c>
      <c r="E45" s="26">
        <f t="shared" si="20"/>
        <v>1815.0186320176945</v>
      </c>
      <c r="F45" s="26">
        <f>B45*(1-Parameters!$C$15)+E45*K7+C7*$G$2+D7*$I$2</f>
        <v>3053.5591350690624</v>
      </c>
      <c r="G45" s="26">
        <f t="shared" si="21"/>
        <v>1923.7422550935094</v>
      </c>
      <c r="H45" s="26">
        <f t="shared" si="22"/>
        <v>1129.8168799755531</v>
      </c>
      <c r="I45" s="26">
        <f t="shared" si="23"/>
        <v>1650.7272273646315</v>
      </c>
      <c r="J45" s="26">
        <f>I45*Parameters!$C$20</f>
        <v>49.521816820938945</v>
      </c>
      <c r="K45" s="26">
        <f>I45*Parameters!$C$19</f>
        <v>363.15999002021891</v>
      </c>
      <c r="L45" s="26">
        <f>K45*Parameters!$C$23</f>
        <v>355.89679021981453</v>
      </c>
      <c r="M45" s="26">
        <f>B45*Parameters!$C$15</f>
        <v>129.95179364988715</v>
      </c>
      <c r="N45" s="26">
        <f>G45*Parameters!$C$21</f>
        <v>1577.4686491766777</v>
      </c>
      <c r="O45" s="26">
        <f>L45+G45*(1-Parameters!$C$21)*Parameters!$C$23</f>
        <v>695.24492401830969</v>
      </c>
      <c r="P45" s="26">
        <f>I45*Parameters!$C$22*Parameters!$C$25</f>
        <v>316.93962765400926</v>
      </c>
      <c r="Q45" s="26">
        <f>P45*Parameters!$C$24*10000000</f>
        <v>139453436167.76407</v>
      </c>
      <c r="R45" s="26">
        <f>E45*M7+J45+H45*(1-O7)+K45*(1-Parameters!$C$23)+'Scenario prediction'!G45*(1-Parameters!$C$21)*(1-Parameters!$C$23)</f>
        <v>74.600600531786114</v>
      </c>
      <c r="S45" s="26">
        <f>R45+I45*Parameters!$C$22*(1-Parameters!$C$25)</f>
        <v>995.70639340125047</v>
      </c>
      <c r="T45" s="26">
        <f>N45*Parameters!$C$27+Parameters!$C$26*Parameters!$C$22*'Scenario prediction'!I45</f>
        <v>5881.2506856469363</v>
      </c>
      <c r="U45" s="26">
        <f>N45*(Parameters!$C$28-Parameters!$C$27)</f>
        <v>4601.4760496483686</v>
      </c>
      <c r="V45" s="26">
        <f>I45*Parameters!$C$29</f>
        <v>495218168.20938945</v>
      </c>
      <c r="W45" s="26">
        <f t="shared" si="24"/>
        <v>495.21816820938943</v>
      </c>
    </row>
    <row r="46" spans="1:23" x14ac:dyDescent="0.25">
      <c r="A46">
        <v>2025</v>
      </c>
      <c r="B46" s="26">
        <f t="shared" si="19"/>
        <v>266.40117698226862</v>
      </c>
      <c r="C46" s="26">
        <f>B8*Parameters!$C$4</f>
        <v>226.10090294463612</v>
      </c>
      <c r="D46" s="26">
        <f>C8*Parameters!$C$8+D8*Parameters!$C$11</f>
        <v>239.75501728133287</v>
      </c>
      <c r="E46" s="26">
        <f t="shared" si="20"/>
        <v>1860.3940978181367</v>
      </c>
      <c r="F46" s="26">
        <f>B46*(1-Parameters!$C$15)+E46*K8+C8*$G$2+D8*$I$2</f>
        <v>3178.2683599890602</v>
      </c>
      <c r="G46" s="26">
        <f t="shared" si="21"/>
        <v>2002.3090667931078</v>
      </c>
      <c r="H46" s="26">
        <f t="shared" si="22"/>
        <v>1175.9592931959523</v>
      </c>
      <c r="I46" s="26">
        <f t="shared" si="23"/>
        <v>1672.684517313395</v>
      </c>
      <c r="J46" s="26">
        <f>I46*Parameters!$C$20</f>
        <v>50.18053551940185</v>
      </c>
      <c r="K46" s="26">
        <f>I46*Parameters!$C$19</f>
        <v>367.99059380894687</v>
      </c>
      <c r="L46" s="26">
        <f>K46*Parameters!$C$23</f>
        <v>360.63078193276795</v>
      </c>
      <c r="M46" s="26">
        <f>B46*Parameters!$C$15</f>
        <v>133.20058849113431</v>
      </c>
      <c r="N46" s="26">
        <f>G46*Parameters!$C$21</f>
        <v>1641.8934347703482</v>
      </c>
      <c r="O46" s="26">
        <f>L46+G46*(1-Parameters!$C$21)*Parameters!$C$23</f>
        <v>713.83810131507221</v>
      </c>
      <c r="P46" s="26">
        <f>I46*Parameters!$C$22*Parameters!$C$25</f>
        <v>321.15542732417185</v>
      </c>
      <c r="Q46" s="26">
        <f>P46*Parameters!$C$24*10000000</f>
        <v>141308388022.63562</v>
      </c>
      <c r="R46" s="26">
        <f>E46*M8+J46+H46*(1-O8)+K46*(1-Parameters!$C$23)+'Scenario prediction'!G46*(1-Parameters!$C$21)*(1-Parameters!$C$23)</f>
        <v>64.748660036035986</v>
      </c>
      <c r="S46" s="26">
        <f>R46+I46*Parameters!$C$22*(1-Parameters!$C$25)</f>
        <v>998.10662069691034</v>
      </c>
      <c r="T46" s="26">
        <f>N46*Parameters!$C$27+Parameters!$C$26*Parameters!$C$22*'Scenario prediction'!I46</f>
        <v>6027.6845095483241</v>
      </c>
      <c r="U46" s="26">
        <f>N46*(Parameters!$C$28-Parameters!$C$27)</f>
        <v>4789.4031492251052</v>
      </c>
      <c r="V46" s="26">
        <f>I46*Parameters!$C$29</f>
        <v>501805355.19401848</v>
      </c>
      <c r="W46" s="26">
        <f t="shared" si="24"/>
        <v>501.80535519401849</v>
      </c>
    </row>
    <row r="47" spans="1:23" x14ac:dyDescent="0.25">
      <c r="A47">
        <v>2026</v>
      </c>
      <c r="B47" s="26">
        <f t="shared" si="19"/>
        <v>273.06120640682531</v>
      </c>
      <c r="C47" s="26">
        <f>B9*Parameters!$C$4</f>
        <v>231.75342551825202</v>
      </c>
      <c r="D47" s="26">
        <f>C9*Parameters!$C$8+D9*Parameters!$C$11</f>
        <v>245.74889271336616</v>
      </c>
      <c r="E47" s="26">
        <f t="shared" si="20"/>
        <v>1906.9039502635896</v>
      </c>
      <c r="F47" s="26">
        <f>B47*(1-Parameters!$C$15)+E47*K9+C9*$G$2+D9*$I$2</f>
        <v>3295.8631479940582</v>
      </c>
      <c r="G47" s="26">
        <f t="shared" si="21"/>
        <v>2076.3937832362567</v>
      </c>
      <c r="H47" s="26">
        <f t="shared" si="22"/>
        <v>1219.4693647578015</v>
      </c>
      <c r="I47" s="26">
        <f t="shared" si="23"/>
        <v>1690.474640472908</v>
      </c>
      <c r="J47" s="26">
        <f>I47*Parameters!$C$20</f>
        <v>50.714239214187238</v>
      </c>
      <c r="K47" s="26">
        <f>I47*Parameters!$C$19</f>
        <v>371.9044209040398</v>
      </c>
      <c r="L47" s="26">
        <f>K47*Parameters!$C$23</f>
        <v>364.46633248595901</v>
      </c>
      <c r="M47" s="26">
        <f>B47*Parameters!$C$15</f>
        <v>136.53060320341265</v>
      </c>
      <c r="N47" s="26">
        <f>G47*Parameters!$C$21</f>
        <v>1702.6429022537304</v>
      </c>
      <c r="O47" s="26">
        <f>L47+G47*(1-Parameters!$C$21)*Parameters!$C$23</f>
        <v>730.74219584883485</v>
      </c>
      <c r="P47" s="26">
        <f>I47*Parameters!$C$22*Parameters!$C$25</f>
        <v>324.57113097079832</v>
      </c>
      <c r="Q47" s="26">
        <f>P47*Parameters!$C$24*10000000</f>
        <v>142811297627.15125</v>
      </c>
      <c r="R47" s="26">
        <f>E47*M9+J47+H47*(1-O9)+K47*(1-Parameters!$C$23)+'Scenario prediction'!G47*(1-Parameters!$C$21)*(1-Parameters!$C$23)</f>
        <v>65.62734525191857</v>
      </c>
      <c r="S47" s="26">
        <f>R47+I47*Parameters!$C$22*(1-Parameters!$C$25)</f>
        <v>1008.9121946358011</v>
      </c>
      <c r="T47" s="26">
        <f>N47*Parameters!$C$27+Parameters!$C$26*Parameters!$C$22*'Scenario prediction'!I47</f>
        <v>6159.75330251373</v>
      </c>
      <c r="U47" s="26">
        <f>N47*(Parameters!$C$28-Parameters!$C$27)</f>
        <v>4966.6093458741316</v>
      </c>
      <c r="V47" s="26">
        <f>I47*Parameters!$C$29</f>
        <v>507142392.14187241</v>
      </c>
      <c r="W47" s="26">
        <f t="shared" si="24"/>
        <v>507.14239214187239</v>
      </c>
    </row>
    <row r="48" spans="1:23" x14ac:dyDescent="0.25">
      <c r="A48">
        <v>2027</v>
      </c>
      <c r="B48" s="26">
        <f t="shared" si="19"/>
        <v>279.88773656699595</v>
      </c>
      <c r="C48" s="26">
        <f>B10*Parameters!$C$4</f>
        <v>237.54726115620829</v>
      </c>
      <c r="D48" s="26">
        <f>C10*Parameters!$C$8+D10*Parameters!$C$11</f>
        <v>251.89261503120031</v>
      </c>
      <c r="E48" s="26">
        <f t="shared" si="20"/>
        <v>1954.5765490201793</v>
      </c>
      <c r="F48" s="26">
        <f>B48*(1-Parameters!$C$15)+E48*K10+C10*$G$2+D10*$I$2</f>
        <v>3397.8054921841112</v>
      </c>
      <c r="G48" s="26">
        <f t="shared" si="21"/>
        <v>2140.61746007599</v>
      </c>
      <c r="H48" s="26">
        <f t="shared" si="22"/>
        <v>1257.1880321081212</v>
      </c>
      <c r="I48" s="26">
        <f t="shared" si="23"/>
        <v>1720.4226742259038</v>
      </c>
      <c r="J48" s="26">
        <f>I48*Parameters!$C$20</f>
        <v>51.612680226777115</v>
      </c>
      <c r="K48" s="26">
        <f>I48*Parameters!$C$19</f>
        <v>378.49298832969885</v>
      </c>
      <c r="L48" s="26">
        <f>K48*Parameters!$C$23</f>
        <v>370.92312856310485</v>
      </c>
      <c r="M48" s="26">
        <f>B48*Parameters!$C$15</f>
        <v>139.94386828349798</v>
      </c>
      <c r="N48" s="26">
        <f>G48*Parameters!$C$21</f>
        <v>1755.3063172623117</v>
      </c>
      <c r="O48" s="26">
        <f>L48+G48*(1-Parameters!$C$21)*Parameters!$C$23</f>
        <v>748.52804852050963</v>
      </c>
      <c r="P48" s="26">
        <f>I48*Parameters!$C$22*Parameters!$C$25</f>
        <v>330.32115345137356</v>
      </c>
      <c r="Q48" s="26">
        <f>P48*Parameters!$C$24*10000000</f>
        <v>145341307518.60437</v>
      </c>
      <c r="R48" s="26">
        <f>E48*M10+J48+H48*(1-O10)+K48*(1-Parameters!$C$23)+'Scenario prediction'!G48*(1-Parameters!$C$21)*(1-Parameters!$C$23)</f>
        <v>66.888762849644678</v>
      </c>
      <c r="S48" s="26">
        <f>R48+I48*Parameters!$C$22*(1-Parameters!$C$25)</f>
        <v>1026.8846150676991</v>
      </c>
      <c r="T48" s="26">
        <f>N48*Parameters!$C$27+Parameters!$C$26*Parameters!$C$22*'Scenario prediction'!I48</f>
        <v>6304.2026836927562</v>
      </c>
      <c r="U48" s="26">
        <f>N48*(Parameters!$C$28-Parameters!$C$27)</f>
        <v>5120.2285274541628</v>
      </c>
      <c r="V48" s="26">
        <f>I48*Parameters!$C$29</f>
        <v>516126802.26777112</v>
      </c>
      <c r="W48" s="26">
        <f t="shared" si="24"/>
        <v>516.12680226777115</v>
      </c>
    </row>
    <row r="49" spans="1:23" x14ac:dyDescent="0.25">
      <c r="A49">
        <v>2028</v>
      </c>
      <c r="B49" s="26">
        <f t="shared" si="19"/>
        <v>286.88492998117084</v>
      </c>
      <c r="C49" s="26">
        <f>B11*Parameters!$C$4</f>
        <v>243.48594268511349</v>
      </c>
      <c r="D49" s="26">
        <f>C11*Parameters!$C$8+D11*Parameters!$C$11</f>
        <v>258.18993040698024</v>
      </c>
      <c r="E49" s="26">
        <f t="shared" si="20"/>
        <v>2003.4409627456837</v>
      </c>
      <c r="F49" s="26">
        <f>B49*(1-Parameters!$C$15)+E49*K11+C11*$G$2+D11*$I$2</f>
        <v>3502.7850391161705</v>
      </c>
      <c r="G49" s="26">
        <f t="shared" si="21"/>
        <v>2206.7545746431874</v>
      </c>
      <c r="H49" s="26">
        <f t="shared" si="22"/>
        <v>1296.0304644729831</v>
      </c>
      <c r="I49" s="26">
        <f t="shared" si="23"/>
        <v>1750.8115630162533</v>
      </c>
      <c r="J49" s="26">
        <f>I49*Parameters!$C$20</f>
        <v>52.5243468904876</v>
      </c>
      <c r="K49" s="26">
        <f>I49*Parameters!$C$19</f>
        <v>385.17854386357573</v>
      </c>
      <c r="L49" s="26">
        <f>K49*Parameters!$C$23</f>
        <v>377.47497298630418</v>
      </c>
      <c r="M49" s="26">
        <f>B49*Parameters!$C$15</f>
        <v>143.44246499058542</v>
      </c>
      <c r="N49" s="26">
        <f>G49*Parameters!$C$21</f>
        <v>1809.5387512074135</v>
      </c>
      <c r="O49" s="26">
        <f>L49+G49*(1-Parameters!$C$21)*Parameters!$C$23</f>
        <v>766.7464799533625</v>
      </c>
      <c r="P49" s="26">
        <f>I49*Parameters!$C$22*Parameters!$C$25</f>
        <v>336.1558200991206</v>
      </c>
      <c r="Q49" s="26">
        <f>P49*Parameters!$C$24*10000000</f>
        <v>147908560843.61307</v>
      </c>
      <c r="R49" s="26">
        <f>E49*M11+J49+H49*(1-O11)+K49*(1-Parameters!$C$23)+'Scenario prediction'!G49*(1-Parameters!$C$21)*(1-Parameters!$C$23)</f>
        <v>68.172234236474608</v>
      </c>
      <c r="S49" s="26">
        <f>R49+I49*Parameters!$C$22*(1-Parameters!$C$25)</f>
        <v>1045.1250863995438</v>
      </c>
      <c r="T49" s="26">
        <f>N49*Parameters!$C$27+Parameters!$C$26*Parameters!$C$22*'Scenario prediction'!I49</f>
        <v>6452.0246881166622</v>
      </c>
      <c r="U49" s="26">
        <f>N49*(Parameters!$C$28-Parameters!$C$27)</f>
        <v>5278.4245372720252</v>
      </c>
      <c r="V49" s="26">
        <f>I49*Parameters!$C$29</f>
        <v>525243468.90487599</v>
      </c>
      <c r="W49" s="26">
        <f t="shared" si="24"/>
        <v>525.24346890487595</v>
      </c>
    </row>
    <row r="50" spans="1:23" x14ac:dyDescent="0.25">
      <c r="A50">
        <v>2029</v>
      </c>
      <c r="B50" s="26">
        <f t="shared" si="19"/>
        <v>294.05705323070009</v>
      </c>
      <c r="C50" s="26">
        <f>B12*Parameters!$C$4</f>
        <v>249.57309125224131</v>
      </c>
      <c r="D50" s="26">
        <f>C12*Parameters!$C$8+D12*Parameters!$C$11</f>
        <v>264.64467866715478</v>
      </c>
      <c r="E50" s="26">
        <f t="shared" si="20"/>
        <v>2053.5269868143259</v>
      </c>
      <c r="F50" s="26">
        <f>B50*(1-Parameters!$C$15)+E50*K12+C12*$G$2+D12*$I$2</f>
        <v>3610.8899349622184</v>
      </c>
      <c r="G50" s="26">
        <f t="shared" si="21"/>
        <v>2274.8606590261975</v>
      </c>
      <c r="H50" s="26">
        <f t="shared" si="22"/>
        <v>1336.0292759360209</v>
      </c>
      <c r="I50" s="26">
        <f t="shared" si="23"/>
        <v>1781.6446320747295</v>
      </c>
      <c r="J50" s="26">
        <f>I50*Parameters!$C$20</f>
        <v>53.449338962241882</v>
      </c>
      <c r="K50" s="26">
        <f>I50*Parameters!$C$19</f>
        <v>391.9618190564405</v>
      </c>
      <c r="L50" s="26">
        <f>K50*Parameters!$C$23</f>
        <v>384.12258267531166</v>
      </c>
      <c r="M50" s="26">
        <f>B50*Parameters!$C$15</f>
        <v>147.02852661535005</v>
      </c>
      <c r="N50" s="26">
        <f>G50*Parameters!$C$21</f>
        <v>1865.3857404014818</v>
      </c>
      <c r="O50" s="26">
        <f>L50+G50*(1-Parameters!$C$21)*Parameters!$C$23</f>
        <v>785.40800292753306</v>
      </c>
      <c r="P50" s="26">
        <f>I50*Parameters!$C$22*Parameters!$C$25</f>
        <v>342.07576935834811</v>
      </c>
      <c r="Q50" s="26">
        <f>P50*Parameters!$C$24*10000000</f>
        <v>150513338517.67316</v>
      </c>
      <c r="R50" s="26">
        <f>E50*M12+J50+H50*(1-O12)+K50*(1-Parameters!$C$23)+'Scenario prediction'!G50*(1-Parameters!$C$21)*(1-Parameters!$C$23)</f>
        <v>69.478073715865008</v>
      </c>
      <c r="S50" s="26">
        <f>R50+I50*Parameters!$C$22*(1-Parameters!$C$25)</f>
        <v>1063.6357784135641</v>
      </c>
      <c r="T50" s="26">
        <f>N50*Parameters!$C$27+Parameters!$C$26*Parameters!$C$22*'Scenario prediction'!I50</f>
        <v>6603.2976660844561</v>
      </c>
      <c r="U50" s="26">
        <f>N50*(Parameters!$C$28-Parameters!$C$27)</f>
        <v>5441.3302047511224</v>
      </c>
      <c r="V50" s="26">
        <f>I50*Parameters!$C$29</f>
        <v>534493389.62241888</v>
      </c>
      <c r="W50" s="26">
        <f t="shared" si="24"/>
        <v>534.49338962241893</v>
      </c>
    </row>
    <row r="51" spans="1:23" x14ac:dyDescent="0.25">
      <c r="A51">
        <v>2030</v>
      </c>
      <c r="B51" s="26">
        <f t="shared" si="19"/>
        <v>301.40847956146763</v>
      </c>
      <c r="C51" s="26">
        <f>B13*Parameters!$C$4</f>
        <v>255.81241853354734</v>
      </c>
      <c r="D51" s="26">
        <f>C13*Parameters!$C$8+D13*Parameters!$C$11</f>
        <v>271.26079563383371</v>
      </c>
      <c r="E51" s="26">
        <f t="shared" si="20"/>
        <v>2104.865161484684</v>
      </c>
      <c r="F51" s="26">
        <f>B51*(1-Parameters!$C$15)+E51*K13+C13*$G$2+D13*$I$2</f>
        <v>3722.2108349511204</v>
      </c>
      <c r="G51" s="26">
        <f t="shared" si="21"/>
        <v>2344.9928260192059</v>
      </c>
      <c r="H51" s="26">
        <f t="shared" si="22"/>
        <v>1377.2180089319145</v>
      </c>
      <c r="I51" s="26">
        <f t="shared" si="23"/>
        <v>1812.9250973592441</v>
      </c>
      <c r="J51" s="26">
        <f>I51*Parameters!$C$20</f>
        <v>54.387752920777324</v>
      </c>
      <c r="K51" s="26">
        <f>I51*Parameters!$C$19</f>
        <v>398.84352141903372</v>
      </c>
      <c r="L51" s="26">
        <f>K51*Parameters!$C$23</f>
        <v>390.86665099065306</v>
      </c>
      <c r="M51" s="26">
        <f>B51*Parameters!$C$15</f>
        <v>150.70423978073381</v>
      </c>
      <c r="N51" s="26">
        <f>G51*Parameters!$C$21</f>
        <v>1922.8941173357487</v>
      </c>
      <c r="O51" s="26">
        <f>L51+G51*(1-Parameters!$C$21)*Parameters!$C$23</f>
        <v>804.52338550044101</v>
      </c>
      <c r="P51" s="26">
        <f>I51*Parameters!$C$22*Parameters!$C$25</f>
        <v>348.08161869297487</v>
      </c>
      <c r="Q51" s="26">
        <f>P51*Parameters!$C$24*10000000</f>
        <v>153155912224.90894</v>
      </c>
      <c r="R51" s="26">
        <f>E51*M13+J51+H51*(1-O13)+K51*(1-Parameters!$C$23)+'Scenario prediction'!G51*(1-Parameters!$C$21)*(1-Parameters!$C$23)</f>
        <v>70.806597522827147</v>
      </c>
      <c r="S51" s="26">
        <f>R51+I51*Parameters!$C$22*(1-Parameters!$C$25)</f>
        <v>1082.4188018492853</v>
      </c>
      <c r="T51" s="26">
        <f>N51*Parameters!$C$27+Parameters!$C$26*Parameters!$C$22*'Scenario prediction'!I51</f>
        <v>6758.1017775205664</v>
      </c>
      <c r="U51" s="26">
        <f>N51*(Parameters!$C$28-Parameters!$C$27)</f>
        <v>5609.0821402683787</v>
      </c>
      <c r="V51" s="26">
        <f>I51*Parameters!$C$29</f>
        <v>543877529.20777321</v>
      </c>
      <c r="W51" s="26">
        <f t="shared" si="24"/>
        <v>543.87752920777325</v>
      </c>
    </row>
    <row r="52" spans="1:23" x14ac:dyDescent="0.25">
      <c r="A52">
        <v>2031</v>
      </c>
      <c r="B52" s="26">
        <f t="shared" si="19"/>
        <v>308.94369155050424</v>
      </c>
      <c r="C52" s="26">
        <f>B14*Parameters!$C$4</f>
        <v>262.20772899688603</v>
      </c>
      <c r="D52" s="26">
        <f>C14*Parameters!$C$8+D14*Parameters!$C$11</f>
        <v>278.04231552467945</v>
      </c>
      <c r="E52" s="26">
        <f t="shared" si="20"/>
        <v>2157.4867905218007</v>
      </c>
      <c r="F52" s="26">
        <f>B52*(1-Parameters!$C$15)+E52*K14+C14*$G$2+D14*$I$2</f>
        <v>3819.5810794059412</v>
      </c>
      <c r="G52" s="26">
        <f t="shared" si="21"/>
        <v>2406.3360800257428</v>
      </c>
      <c r="H52" s="26">
        <f t="shared" si="22"/>
        <v>1413.2449993801981</v>
      </c>
      <c r="I52" s="26">
        <f t="shared" si="23"/>
        <v>1855.5297914371672</v>
      </c>
      <c r="J52" s="26">
        <f>I52*Parameters!$C$20</f>
        <v>55.665893743115014</v>
      </c>
      <c r="K52" s="26">
        <f>I52*Parameters!$C$19</f>
        <v>408.21655411617678</v>
      </c>
      <c r="L52" s="26">
        <f>K52*Parameters!$C$23</f>
        <v>400.05222303385324</v>
      </c>
      <c r="M52" s="26">
        <f>B52*Parameters!$C$15</f>
        <v>154.47184577525212</v>
      </c>
      <c r="N52" s="26">
        <f>G52*Parameters!$C$21</f>
        <v>1973.1955856211091</v>
      </c>
      <c r="O52" s="26">
        <f>L52+G52*(1-Parameters!$C$21)*Parameters!$C$23</f>
        <v>824.52990755039446</v>
      </c>
      <c r="P52" s="26">
        <f>I52*Parameters!$C$22*Parameters!$C$25</f>
        <v>356.26171995593609</v>
      </c>
      <c r="Q52" s="26">
        <f>P52*Parameters!$C$24*10000000</f>
        <v>156755156780.61188</v>
      </c>
      <c r="R52" s="26">
        <f>E52*M14+J52+H52*(1-O14)+K52*(1-Parameters!$C$23)+'Scenario prediction'!G52*(1-Parameters!$C$21)*(1-Parameters!$C$23)</f>
        <v>72.493034713531245</v>
      </c>
      <c r="S52" s="26">
        <f>R52+I52*Parameters!$C$22*(1-Parameters!$C$25)</f>
        <v>1107.8786583354704</v>
      </c>
      <c r="T52" s="26">
        <f>N52*Parameters!$C$27+Parameters!$C$26*Parameters!$C$22*'Scenario prediction'!I52</f>
        <v>6924.9472642642995</v>
      </c>
      <c r="U52" s="26">
        <f>N52*(Parameters!$C$28-Parameters!$C$27)</f>
        <v>5755.8115232567752</v>
      </c>
      <c r="V52" s="26">
        <f>I52*Parameters!$C$29</f>
        <v>556658937.4311502</v>
      </c>
      <c r="W52" s="26">
        <f t="shared" si="24"/>
        <v>556.65893743115021</v>
      </c>
    </row>
    <row r="53" spans="1:23" x14ac:dyDescent="0.25">
      <c r="A53">
        <v>2032</v>
      </c>
      <c r="B53" s="26">
        <f t="shared" si="19"/>
        <v>316.66728383926682</v>
      </c>
      <c r="C53" s="26">
        <f>B15*Parameters!$C$4</f>
        <v>268.76292222180808</v>
      </c>
      <c r="D53" s="26">
        <f>C15*Parameters!$C$8+D15*Parameters!$C$11</f>
        <v>284.99337341279642</v>
      </c>
      <c r="E53" s="26">
        <f t="shared" si="20"/>
        <v>2211.4239602848456</v>
      </c>
      <c r="F53" s="26">
        <f>B53*(1-Parameters!$C$15)+E53*K15+C15*$G$2+D15*$I$2</f>
        <v>3919.4934543116597</v>
      </c>
      <c r="G53" s="26">
        <f t="shared" si="21"/>
        <v>2469.2808762163454</v>
      </c>
      <c r="H53" s="26">
        <f t="shared" si="22"/>
        <v>1450.212578095314</v>
      </c>
      <c r="I53" s="26">
        <f t="shared" si="23"/>
        <v>1899.1316420331377</v>
      </c>
      <c r="J53" s="26">
        <f>I53*Parameters!$C$20</f>
        <v>56.973949260994132</v>
      </c>
      <c r="K53" s="26">
        <f>I53*Parameters!$C$19</f>
        <v>417.80896124729031</v>
      </c>
      <c r="L53" s="26">
        <f>K53*Parameters!$C$23</f>
        <v>409.45278202234448</v>
      </c>
      <c r="M53" s="26">
        <f>B53*Parameters!$C$15</f>
        <v>158.33364191963341</v>
      </c>
      <c r="N53" s="26">
        <f>G53*Parameters!$C$21</f>
        <v>2024.8103184974032</v>
      </c>
      <c r="O53" s="26">
        <f>L53+G53*(1-Parameters!$C$21)*Parameters!$C$23</f>
        <v>845.0339285869079</v>
      </c>
      <c r="P53" s="26">
        <f>I53*Parameters!$C$22*Parameters!$C$25</f>
        <v>364.63327527036245</v>
      </c>
      <c r="Q53" s="26">
        <f>P53*Parameters!$C$24*10000000</f>
        <v>160438641118.95947</v>
      </c>
      <c r="R53" s="26">
        <f>E53*M15+J53+H53*(1-O15)+K53*(1-Parameters!$C$23)+'Scenario prediction'!G53*(1-Parameters!$C$21)*(1-Parameters!$C$23)</f>
        <v>74.2195396403188</v>
      </c>
      <c r="S53" s="26">
        <f>R53+I53*Parameters!$C$22*(1-Parameters!$C$25)</f>
        <v>1133.9349958948096</v>
      </c>
      <c r="T53" s="26">
        <f>N53*Parameters!$C$27+Parameters!$C$26*Parameters!$C$22*'Scenario prediction'!I53</f>
        <v>7095.9112117342693</v>
      </c>
      <c r="U53" s="26">
        <f>N53*(Parameters!$C$28-Parameters!$C$27)</f>
        <v>5906.3716990569246</v>
      </c>
      <c r="V53" s="26">
        <f>I53*Parameters!$C$29</f>
        <v>569739492.60994136</v>
      </c>
      <c r="W53" s="26">
        <f t="shared" si="24"/>
        <v>569.73949260994141</v>
      </c>
    </row>
    <row r="54" spans="1:23" x14ac:dyDescent="0.25">
      <c r="A54">
        <v>2033</v>
      </c>
      <c r="B54" s="26">
        <f t="shared" si="19"/>
        <v>324.58396593524844</v>
      </c>
      <c r="C54" s="26">
        <f>B16*Parameters!$C$4</f>
        <v>275.48199527735329</v>
      </c>
      <c r="D54" s="26">
        <f>C16*Parameters!$C$8+D16*Parameters!$C$11</f>
        <v>292.11820774811633</v>
      </c>
      <c r="E54" s="26">
        <f t="shared" si="20"/>
        <v>2266.7095592919668</v>
      </c>
      <c r="F54" s="26">
        <f>B54*(1-Parameters!$C$15)+E54*K16+C16*$G$2+D16*$I$2</f>
        <v>4019.7475002287424</v>
      </c>
      <c r="G54" s="26">
        <f t="shared" si="21"/>
        <v>2532.440925144108</v>
      </c>
      <c r="H54" s="26">
        <f t="shared" si="22"/>
        <v>1487.3065750846347</v>
      </c>
      <c r="I54" s="26">
        <f t="shared" si="23"/>
        <v>1945.1819060616119</v>
      </c>
      <c r="J54" s="26">
        <f>I54*Parameters!$C$20</f>
        <v>58.355457181848358</v>
      </c>
      <c r="K54" s="26">
        <f>I54*Parameters!$C$19</f>
        <v>427.94001933355463</v>
      </c>
      <c r="L54" s="26">
        <f>K54*Parameters!$C$23</f>
        <v>419.38121894688351</v>
      </c>
      <c r="M54" s="26">
        <f>B54*Parameters!$C$15</f>
        <v>162.29198296762422</v>
      </c>
      <c r="N54" s="26">
        <f>G54*Parameters!$C$21</f>
        <v>2076.6015586181684</v>
      </c>
      <c r="O54" s="26">
        <f>L54+G54*(1-Parameters!$C$21)*Parameters!$C$23</f>
        <v>866.1037981423043</v>
      </c>
      <c r="P54" s="26">
        <f>I54*Parameters!$C$22*Parameters!$C$25</f>
        <v>373.47492596382949</v>
      </c>
      <c r="Q54" s="26">
        <f>P54*Parameters!$C$24*10000000</f>
        <v>164328967424.08499</v>
      </c>
      <c r="R54" s="26">
        <f>E54*M16+J54+H54*(1-O16)+K54*(1-Parameters!$C$23)+'Scenario prediction'!G54*(1-Parameters!$C$21)*(1-Parameters!$C$23)</f>
        <v>76.031044899038264</v>
      </c>
      <c r="S54" s="26">
        <f>R54+I54*Parameters!$C$22*(1-Parameters!$C$25)</f>
        <v>1161.4425484814178</v>
      </c>
      <c r="T54" s="26">
        <f>N54*Parameters!$C$27+Parameters!$C$26*Parameters!$C$22*'Scenario prediction'!I54</f>
        <v>7272.202128282599</v>
      </c>
      <c r="U54" s="26">
        <f>N54*(Parameters!$C$28-Parameters!$C$27)</f>
        <v>6057.4467464891968</v>
      </c>
      <c r="V54" s="26">
        <f>I54*Parameters!$C$29</f>
        <v>583554571.81848359</v>
      </c>
      <c r="W54" s="26">
        <f t="shared" si="24"/>
        <v>583.55457181848362</v>
      </c>
    </row>
    <row r="55" spans="1:23" x14ac:dyDescent="0.25">
      <c r="A55">
        <v>2034</v>
      </c>
      <c r="B55" s="26">
        <f t="shared" si="19"/>
        <v>332.6985650836296</v>
      </c>
      <c r="C55" s="26">
        <f>B17*Parameters!$C$4</f>
        <v>282.36904515928711</v>
      </c>
      <c r="D55" s="26">
        <f>C17*Parameters!$C$8+D17*Parameters!$C$11</f>
        <v>299.42116294181915</v>
      </c>
      <c r="E55" s="26">
        <f t="shared" si="20"/>
        <v>2323.3772982742653</v>
      </c>
      <c r="F55" s="26">
        <f>B55*(1-Parameters!$C$15)+E55*K17+C17*$G$2+D17*$I$2</f>
        <v>4122.5645650327342</v>
      </c>
      <c r="G55" s="26">
        <f t="shared" si="21"/>
        <v>2597.2156759706227</v>
      </c>
      <c r="H55" s="26">
        <f t="shared" si="22"/>
        <v>1525.3488890621115</v>
      </c>
      <c r="I55" s="26">
        <f t="shared" si="23"/>
        <v>1992.3477260152388</v>
      </c>
      <c r="J55" s="26">
        <f>I55*Parameters!$C$20</f>
        <v>59.770431780457159</v>
      </c>
      <c r="K55" s="26">
        <f>I55*Parameters!$C$19</f>
        <v>438.31649972335254</v>
      </c>
      <c r="L55" s="26">
        <f>K55*Parameters!$C$23</f>
        <v>429.55016972888546</v>
      </c>
      <c r="M55" s="26">
        <f>B55*Parameters!$C$15</f>
        <v>166.3492825418148</v>
      </c>
      <c r="N55" s="26">
        <f>G55*Parameters!$C$21</f>
        <v>2129.7168542959103</v>
      </c>
      <c r="O55" s="26">
        <f>L55+G55*(1-Parameters!$C$21)*Parameters!$C$23</f>
        <v>887.69901497010346</v>
      </c>
      <c r="P55" s="26">
        <f>I55*Parameters!$C$22*Parameters!$C$25</f>
        <v>382.53076339492588</v>
      </c>
      <c r="Q55" s="26">
        <f>P55*Parameters!$C$24*10000000</f>
        <v>168313535893.7674</v>
      </c>
      <c r="R55" s="26">
        <f>E55*M17+J55+H55*(1-O17)+K55*(1-Parameters!$C$23)+'Scenario prediction'!G55*(1-Parameters!$C$21)*(1-Parameters!$C$23)</f>
        <v>77.886738208418464</v>
      </c>
      <c r="S55" s="26">
        <f>R55+I55*Parameters!$C$22*(1-Parameters!$C$25)</f>
        <v>1189.6167693249217</v>
      </c>
      <c r="T55" s="26">
        <f>N55*Parameters!$C$27+Parameters!$C$26*Parameters!$C$22*'Scenario prediction'!I55</f>
        <v>7452.8726461510087</v>
      </c>
      <c r="U55" s="26">
        <f>N55*(Parameters!$C$28-Parameters!$C$27)</f>
        <v>6212.3840639811697</v>
      </c>
      <c r="V55" s="26">
        <f>I55*Parameters!$C$29</f>
        <v>597704317.80457163</v>
      </c>
      <c r="W55" s="26">
        <f t="shared" si="24"/>
        <v>597.70431780457159</v>
      </c>
    </row>
    <row r="56" spans="1:23" x14ac:dyDescent="0.25">
      <c r="A56">
        <v>2035</v>
      </c>
      <c r="B56" s="26">
        <f t="shared" si="19"/>
        <v>341.01602921072032</v>
      </c>
      <c r="C56" s="26">
        <f>B18*Parameters!$C$4</f>
        <v>289.42827128826923</v>
      </c>
      <c r="D56" s="26">
        <f>C18*Parameters!$C$8+D18*Parameters!$C$11</f>
        <v>306.90669201536468</v>
      </c>
      <c r="E56" s="26">
        <f t="shared" si="20"/>
        <v>2381.4617307311223</v>
      </c>
      <c r="F56" s="26">
        <f>B56*(1-Parameters!$C$15)+E56*K18+C18*$G$2+D18*$I$2</f>
        <v>4228.0101408892842</v>
      </c>
      <c r="G56" s="26">
        <f t="shared" si="21"/>
        <v>2663.646388760249</v>
      </c>
      <c r="H56" s="26">
        <f t="shared" si="22"/>
        <v>1564.3637521290352</v>
      </c>
      <c r="I56" s="26">
        <f t="shared" si="23"/>
        <v>2040.6560982752596</v>
      </c>
      <c r="J56" s="26">
        <f>I56*Parameters!$C$20</f>
        <v>61.219682948257784</v>
      </c>
      <c r="K56" s="26">
        <f>I56*Parameters!$C$19</f>
        <v>448.94434162055711</v>
      </c>
      <c r="L56" s="26">
        <f>K56*Parameters!$C$23</f>
        <v>439.96545478814596</v>
      </c>
      <c r="M56" s="26">
        <f>B56*Parameters!$C$15</f>
        <v>170.50801460536016</v>
      </c>
      <c r="N56" s="26">
        <f>G56*Parameters!$C$21</f>
        <v>2184.1900387834039</v>
      </c>
      <c r="O56" s="26">
        <f>L56+G56*(1-Parameters!$C$21)*Parameters!$C$23</f>
        <v>909.83267776545404</v>
      </c>
      <c r="P56" s="26">
        <f>I56*Parameters!$C$22*Parameters!$C$25</f>
        <v>391.80597086884984</v>
      </c>
      <c r="Q56" s="26">
        <f>P56*Parameters!$C$24*10000000</f>
        <v>172394627182.29391</v>
      </c>
      <c r="R56" s="26">
        <f>E56*M18+J56+H56*(1-O18)+K56*(1-Parameters!$C$23)+'Scenario prediction'!G56*(1-Parameters!$C$21)*(1-Parameters!$C$23)</f>
        <v>79.787696780205835</v>
      </c>
      <c r="S56" s="26">
        <f>R56+I56*Parameters!$C$22*(1-Parameters!$C$25)</f>
        <v>1218.4737996178005</v>
      </c>
      <c r="T56" s="26">
        <f>N56*Parameters!$C$27+Parameters!$C$26*Parameters!$C$22*'Scenario prediction'!I56</f>
        <v>7638.0315635826673</v>
      </c>
      <c r="U56" s="26">
        <f>N56*(Parameters!$C$28-Parameters!$C$27)</f>
        <v>6371.282343131189</v>
      </c>
      <c r="V56" s="26">
        <f>I56*Parameters!$C$29</f>
        <v>612196829.48257792</v>
      </c>
      <c r="W56" s="26">
        <f t="shared" si="24"/>
        <v>612.19682948257787</v>
      </c>
    </row>
    <row r="57" spans="1:23" x14ac:dyDescent="0.25">
      <c r="A57" s="40" t="s">
        <v>89</v>
      </c>
    </row>
    <row r="58" spans="1:23" s="25" customFormat="1" x14ac:dyDescent="0.25">
      <c r="A58" s="24" t="s">
        <v>81</v>
      </c>
      <c r="B58" s="24" t="s">
        <v>45</v>
      </c>
      <c r="C58" s="24" t="s">
        <v>41</v>
      </c>
      <c r="D58" s="24" t="s">
        <v>44</v>
      </c>
      <c r="E58" s="24" t="s">
        <v>43</v>
      </c>
      <c r="F58" s="24" t="s">
        <v>46</v>
      </c>
      <c r="G58" s="24" t="s">
        <v>47</v>
      </c>
      <c r="H58" s="24" t="s">
        <v>42</v>
      </c>
      <c r="I58" s="24" t="s">
        <v>48</v>
      </c>
      <c r="J58" s="24" t="s">
        <v>50</v>
      </c>
      <c r="K58" s="24" t="s">
        <v>51</v>
      </c>
      <c r="L58" s="24" t="s">
        <v>52</v>
      </c>
      <c r="M58" s="24" t="s">
        <v>53</v>
      </c>
      <c r="N58" s="24" t="s">
        <v>54</v>
      </c>
      <c r="O58" s="24" t="s">
        <v>55</v>
      </c>
      <c r="P58" s="24" t="s">
        <v>56</v>
      </c>
      <c r="Q58" s="24" t="s">
        <v>68</v>
      </c>
      <c r="R58" s="24" t="s">
        <v>49</v>
      </c>
      <c r="S58" s="24" t="s">
        <v>57</v>
      </c>
      <c r="T58" s="24" t="s">
        <v>63</v>
      </c>
      <c r="U58" s="24" t="s">
        <v>64</v>
      </c>
      <c r="V58" s="24" t="s">
        <v>67</v>
      </c>
      <c r="W58" s="24" t="s">
        <v>66</v>
      </c>
    </row>
    <row r="59" spans="1:23" x14ac:dyDescent="0.25">
      <c r="A59">
        <v>2019</v>
      </c>
      <c r="B59" s="26">
        <f>B2*$E$2</f>
        <v>229.71690000000004</v>
      </c>
      <c r="C59" s="26">
        <f>B2*Parameters!$C$4</f>
        <v>194.96610000000001</v>
      </c>
      <c r="D59" s="26">
        <f>C2*Parameters!$C$8+D2*Parameters!$C$11</f>
        <v>206.74</v>
      </c>
      <c r="E59" s="26">
        <f>B2*$F$2+$H$2*C2+$J$2*D2</f>
        <v>1604.2120000000002</v>
      </c>
      <c r="F59" s="26">
        <f>B59*(1-Parameters!$C$15)+E59*$K$2+C2*$G$2+D2*$I$2</f>
        <v>1624.0792940000001</v>
      </c>
      <c r="G59" s="26">
        <f>F59*N2</f>
        <v>1023.1699552200001</v>
      </c>
      <c r="H59" s="26">
        <f>F59*(1-N2)</f>
        <v>600.90933877999998</v>
      </c>
      <c r="I59" s="26">
        <f>E59*$L$2+H59*$O$2</f>
        <v>1053.6992195120001</v>
      </c>
      <c r="J59" s="26">
        <f>I59*Parameters!$C$20</f>
        <v>31.610976585360003</v>
      </c>
      <c r="K59" s="26">
        <f>I59*Parameters!$C$19</f>
        <v>231.81382829264004</v>
      </c>
      <c r="L59" s="26">
        <f>K59*Parameters!$C$23</f>
        <v>227.17755172678724</v>
      </c>
      <c r="M59" s="26">
        <f>B59*Parameters!$C$15</f>
        <v>114.85845000000002</v>
      </c>
      <c r="N59" s="26">
        <f>G59*Parameters!$C$21</f>
        <v>838.99936328040008</v>
      </c>
      <c r="O59" s="26">
        <f>L59+G59*(1-Parameters!$C$21)*Parameters!$C$23</f>
        <v>407.66473182759535</v>
      </c>
      <c r="P59" s="26">
        <f>I59*Parameters!$C$22*Parameters!$C$25</f>
        <v>202.31025014630404</v>
      </c>
      <c r="Q59" s="26">
        <f>P59*Parameters!$C$24*10000000</f>
        <v>89016510064.373779</v>
      </c>
      <c r="R59" s="26">
        <f>E59*$M$2+J59+H59*(1-$O$2)+K59*(1-Parameters!$C$23)+'Scenario prediction'!G59*(1-Parameters!$C$21)*(1-Parameters!$C$23)</f>
        <v>1131.9969402580048</v>
      </c>
      <c r="S59" s="26">
        <f>R59+I59*Parameters!$C$22*(1-Parameters!$C$25)</f>
        <v>1719.9611047457008</v>
      </c>
      <c r="T59" s="26">
        <f>N59*Parameters!$C$27+Parameters!$C$26*Parameters!$C$22*'Scenario prediction'!I59</f>
        <v>3490.4836405937285</v>
      </c>
      <c r="U59" s="26">
        <f>N59*(Parameters!$C$28-Parameters!$C$27)</f>
        <v>2447.361142688927</v>
      </c>
      <c r="V59" s="26">
        <f>I59*Parameters!$C$29</f>
        <v>316109765.85360003</v>
      </c>
      <c r="W59" s="26">
        <f>V59/1000000</f>
        <v>316.10976585360004</v>
      </c>
    </row>
    <row r="60" spans="1:23" x14ac:dyDescent="0.25">
      <c r="A60">
        <v>2020</v>
      </c>
      <c r="B60" s="26">
        <f t="shared" ref="B60:B75" si="25">B3*$E$2</f>
        <v>235.4598225</v>
      </c>
      <c r="C60" s="26">
        <f>B3*Parameters!$C$4</f>
        <v>199.84025249999999</v>
      </c>
      <c r="D60" s="26">
        <f>C3*Parameters!$C$8+D3*Parameters!$C$11</f>
        <v>211.9085</v>
      </c>
      <c r="E60" s="26">
        <f t="shared" ref="E60:E75" si="26">B3*$F$2+$H$2*C3+$J$2*D3</f>
        <v>1644.3172999999999</v>
      </c>
      <c r="F60" s="26">
        <f>B60*(1-Parameters!$C$15)+E60*$K$2+C3*$G$2+D3*$I$2</f>
        <v>1664.6812763499997</v>
      </c>
      <c r="G60" s="26">
        <f t="shared" ref="G60:G75" si="27">F60*N3</f>
        <v>1115.3364551544998</v>
      </c>
      <c r="H60" s="26">
        <f t="shared" ref="H60:H75" si="28">F60*(1-N3)</f>
        <v>549.34482119549989</v>
      </c>
      <c r="I60" s="26">
        <f t="shared" ref="I60:I75" si="29">E60*$L$2+H60*$O$2</f>
        <v>1053.4067995782</v>
      </c>
      <c r="J60" s="26">
        <f>I60*Parameters!$C$20</f>
        <v>31.602203987345998</v>
      </c>
      <c r="K60" s="26">
        <f>I60*Parameters!$C$19</f>
        <v>231.74949590720399</v>
      </c>
      <c r="L60" s="26">
        <f>K60*Parameters!$C$23</f>
        <v>227.11450598905992</v>
      </c>
      <c r="M60" s="26">
        <f>B60*Parameters!$C$15</f>
        <v>117.72991125</v>
      </c>
      <c r="N60" s="26">
        <f>G60*Parameters!$C$21</f>
        <v>914.5758932266898</v>
      </c>
      <c r="O60" s="26">
        <f>L60+G60*(1-Parameters!$C$21)*Parameters!$C$23</f>
        <v>423.85985667831375</v>
      </c>
      <c r="P60" s="26">
        <f>I60*Parameters!$C$22*Parameters!$C$25</f>
        <v>202.25410551901442</v>
      </c>
      <c r="Q60" s="26">
        <f>P60*Parameters!$C$24*10000000</f>
        <v>88991806428.366348</v>
      </c>
      <c r="R60" s="26">
        <f>E60*$M$2+J60+H60*(1-$O$2)+K60*(1-Parameters!$C$23)+'Scenario prediction'!G60*(1-Parameters!$C$21)*(1-Parameters!$C$23)</f>
        <v>1119.6679866613463</v>
      </c>
      <c r="S60" s="26">
        <f>R60+I60*Parameters!$C$22*(1-Parameters!$C$25)</f>
        <v>1707.4689808259818</v>
      </c>
      <c r="T60" s="26">
        <f>N60*Parameters!$C$27+Parameters!$C$26*Parameters!$C$22*'Scenario prediction'!I60</f>
        <v>3608.5356764959406</v>
      </c>
      <c r="U60" s="26">
        <f>N60*(Parameters!$C$28-Parameters!$C$27)</f>
        <v>2667.817880542254</v>
      </c>
      <c r="V60" s="26">
        <f>I60*Parameters!$C$29</f>
        <v>316022039.87345999</v>
      </c>
      <c r="W60" s="26">
        <f t="shared" ref="W60:W75" si="30">V60/1000000</f>
        <v>316.02203987346002</v>
      </c>
    </row>
    <row r="61" spans="1:23" x14ac:dyDescent="0.25">
      <c r="A61">
        <v>2021</v>
      </c>
      <c r="B61" s="26">
        <f t="shared" si="25"/>
        <v>241.34631806249996</v>
      </c>
      <c r="C61" s="26">
        <f>B4*Parameters!$C$4</f>
        <v>204.83625881249995</v>
      </c>
      <c r="D61" s="26">
        <f>C4*Parameters!$C$8+D4*Parameters!$C$11</f>
        <v>217.20621249999994</v>
      </c>
      <c r="E61" s="26">
        <f t="shared" si="26"/>
        <v>1685.4252324999998</v>
      </c>
      <c r="F61" s="26">
        <f>B61*(1-Parameters!$C$15)+E61*$K$2+C4*$G$2+D4*$I$2</f>
        <v>1706.2983082587493</v>
      </c>
      <c r="G61" s="26">
        <f t="shared" si="27"/>
        <v>1211.4717988637121</v>
      </c>
      <c r="H61" s="26">
        <f t="shared" si="28"/>
        <v>494.82650939503719</v>
      </c>
      <c r="I61" s="26">
        <f t="shared" si="29"/>
        <v>1052.4411966355149</v>
      </c>
      <c r="J61" s="26">
        <f>I61*Parameters!$C$20</f>
        <v>31.573235899065445</v>
      </c>
      <c r="K61" s="26">
        <f>I61*Parameters!$C$19</f>
        <v>231.53706325981327</v>
      </c>
      <c r="L61" s="26">
        <f>K61*Parameters!$C$23</f>
        <v>226.906321994617</v>
      </c>
      <c r="M61" s="26">
        <f>B61*Parameters!$C$15</f>
        <v>120.67315903124998</v>
      </c>
      <c r="N61" s="26">
        <f>G61*Parameters!$C$21</f>
        <v>993.40687506824395</v>
      </c>
      <c r="O61" s="26">
        <f>L61+G61*(1-Parameters!$C$21)*Parameters!$C$23</f>
        <v>440.60994731417588</v>
      </c>
      <c r="P61" s="26">
        <f>I61*Parameters!$C$22*Parameters!$C$25</f>
        <v>202.06870975401887</v>
      </c>
      <c r="Q61" s="26">
        <f>P61*Parameters!$C$24*10000000</f>
        <v>88910232291.768295</v>
      </c>
      <c r="R61" s="26">
        <f>E61*$M$2+J61+H61*(1-$O$2)+K61*(1-Parameters!$C$23)+'Scenario prediction'!G61*(1-Parameters!$C$21)*(1-Parameters!$C$23)</f>
        <v>1106.0150872971933</v>
      </c>
      <c r="S61" s="26">
        <f>R61+I61*Parameters!$C$22*(1-Parameters!$C$25)</f>
        <v>1693.2772750198105</v>
      </c>
      <c r="T61" s="26">
        <f>N61*Parameters!$C$27+Parameters!$C$26*Parameters!$C$22*'Scenario prediction'!I61</f>
        <v>3730.3087619178928</v>
      </c>
      <c r="U61" s="26">
        <f>N61*(Parameters!$C$28-Parameters!$C$27)</f>
        <v>2897.7678545740673</v>
      </c>
      <c r="V61" s="26">
        <f>I61*Parameters!$C$29</f>
        <v>315732358.99065447</v>
      </c>
      <c r="W61" s="26">
        <f t="shared" si="30"/>
        <v>315.73235899065446</v>
      </c>
    </row>
    <row r="62" spans="1:23" x14ac:dyDescent="0.25">
      <c r="A62">
        <v>2022</v>
      </c>
      <c r="B62" s="26">
        <f t="shared" si="25"/>
        <v>247.37997601406246</v>
      </c>
      <c r="C62" s="26">
        <f>B5*Parameters!$C$4</f>
        <v>209.95716528281244</v>
      </c>
      <c r="D62" s="26">
        <f>C5*Parameters!$C$8+D5*Parameters!$C$11</f>
        <v>222.63636781249994</v>
      </c>
      <c r="E62" s="26">
        <f t="shared" si="26"/>
        <v>1727.5608633124996</v>
      </c>
      <c r="F62" s="26">
        <f>B62*(1-Parameters!$C$15)+E62*$K$2+C5*$G$2+D5*$I$2</f>
        <v>1748.9557659652182</v>
      </c>
      <c r="G62" s="26">
        <f t="shared" si="27"/>
        <v>1311.7168244739139</v>
      </c>
      <c r="H62" s="26">
        <f t="shared" si="28"/>
        <v>437.23894149130439</v>
      </c>
      <c r="I62" s="26">
        <f t="shared" si="29"/>
        <v>1050.7689342959591</v>
      </c>
      <c r="J62" s="26">
        <f>I62*Parameters!$C$20</f>
        <v>31.523068028878772</v>
      </c>
      <c r="K62" s="26">
        <f>I62*Parameters!$C$19</f>
        <v>231.16916554511099</v>
      </c>
      <c r="L62" s="26">
        <f>K62*Parameters!$C$23</f>
        <v>226.54578223420876</v>
      </c>
      <c r="M62" s="26">
        <f>B62*Parameters!$C$15</f>
        <v>123.68998800703123</v>
      </c>
      <c r="N62" s="26">
        <f>G62*Parameters!$C$21</f>
        <v>1075.6077960686093</v>
      </c>
      <c r="O62" s="26">
        <f>L62+G62*(1-Parameters!$C$21)*Parameters!$C$23</f>
        <v>457.93263007140723</v>
      </c>
      <c r="P62" s="26">
        <f>I62*Parameters!$C$22*Parameters!$C$25</f>
        <v>201.74763538482412</v>
      </c>
      <c r="Q62" s="26">
        <f>P62*Parameters!$C$24*10000000</f>
        <v>88768959569.322617</v>
      </c>
      <c r="R62" s="26">
        <f>E62*$M$2+J62+H62*(1-$O$2)+K62*(1-Parameters!$C$23)+'Scenario prediction'!G62*(1-Parameters!$C$21)*(1-Parameters!$C$23)</f>
        <v>1090.9797504731696</v>
      </c>
      <c r="S62" s="26">
        <f>R62+I62*Parameters!$C$22*(1-Parameters!$C$25)</f>
        <v>1677.3088158103146</v>
      </c>
      <c r="T62" s="26">
        <f>N62*Parameters!$C$27+Parameters!$C$26*Parameters!$C$22*'Scenario prediction'!I62</f>
        <v>3855.9151668131321</v>
      </c>
      <c r="U62" s="26">
        <f>N62*(Parameters!$C$28-Parameters!$C$27)</f>
        <v>3137.547941132133</v>
      </c>
      <c r="V62" s="26">
        <f>I62*Parameters!$C$29</f>
        <v>315230680.28878772</v>
      </c>
      <c r="W62" s="26">
        <f t="shared" si="30"/>
        <v>315.23068028878771</v>
      </c>
    </row>
    <row r="63" spans="1:23" x14ac:dyDescent="0.25">
      <c r="A63">
        <v>2023</v>
      </c>
      <c r="B63" s="26">
        <f t="shared" si="25"/>
        <v>253.56447541441401</v>
      </c>
      <c r="C63" s="26">
        <f>B6*Parameters!$C$4</f>
        <v>215.20609441488273</v>
      </c>
      <c r="D63" s="26">
        <f>C6*Parameters!$C$8+D6*Parameters!$C$11</f>
        <v>228.2022770078124</v>
      </c>
      <c r="E63" s="26">
        <f t="shared" si="26"/>
        <v>1770.7498848953117</v>
      </c>
      <c r="F63" s="26">
        <f>B63*(1-Parameters!$C$15)+E63*$K$2+C6*$G$2+D6*$I$2</f>
        <v>1792.6796601143483</v>
      </c>
      <c r="G63" s="26">
        <f t="shared" si="27"/>
        <v>1380.3633382880485</v>
      </c>
      <c r="H63" s="26">
        <f t="shared" si="28"/>
        <v>412.31632182629988</v>
      </c>
      <c r="I63" s="26">
        <f t="shared" si="29"/>
        <v>1062.696720372443</v>
      </c>
      <c r="J63" s="26">
        <f>I63*Parameters!$C$20</f>
        <v>31.880901611173289</v>
      </c>
      <c r="K63" s="26">
        <f>I63*Parameters!$C$19</f>
        <v>233.79327848193745</v>
      </c>
      <c r="L63" s="26">
        <f>K63*Parameters!$C$23</f>
        <v>229.1174129122987</v>
      </c>
      <c r="M63" s="26">
        <f>B63*Parameters!$C$15</f>
        <v>126.782237707207</v>
      </c>
      <c r="N63" s="26">
        <f>G63*Parameters!$C$21</f>
        <v>1131.8979373961997</v>
      </c>
      <c r="O63" s="26">
        <f>L63+G63*(1-Parameters!$C$21)*Parameters!$C$23</f>
        <v>472.6135057863105</v>
      </c>
      <c r="P63" s="26">
        <f>I63*Parameters!$C$22*Parameters!$C$25</f>
        <v>204.03777031150906</v>
      </c>
      <c r="Q63" s="26">
        <f>P63*Parameters!$C$24*10000000</f>
        <v>89776618937.063995</v>
      </c>
      <c r="R63" s="26">
        <f>E63*$M$2+J63+H63*(1-$O$2)+K63*(1-Parameters!$C$23)+'Scenario prediction'!G63*(1-Parameters!$C$21)*(1-Parameters!$C$23)</f>
        <v>1096.3778158066909</v>
      </c>
      <c r="S63" s="26">
        <f>R63+I63*Parameters!$C$22*(1-Parameters!$C$25)</f>
        <v>1689.3625857745142</v>
      </c>
      <c r="T63" s="26">
        <f>N63*Parameters!$C$27+Parameters!$C$26*Parameters!$C$22*'Scenario prediction'!I63</f>
        <v>3968.8917474801974</v>
      </c>
      <c r="U63" s="26">
        <f>N63*(Parameters!$C$28-Parameters!$C$27)</f>
        <v>3301.7462833847144</v>
      </c>
      <c r="V63" s="26">
        <f>I63*Parameters!$C$29</f>
        <v>318809016.1117329</v>
      </c>
      <c r="W63" s="26">
        <f t="shared" si="30"/>
        <v>318.80901611173289</v>
      </c>
    </row>
    <row r="64" spans="1:23" x14ac:dyDescent="0.25">
      <c r="A64">
        <v>2024</v>
      </c>
      <c r="B64" s="26">
        <f t="shared" si="25"/>
        <v>259.9035872997743</v>
      </c>
      <c r="C64" s="26">
        <f>B7*Parameters!$C$4</f>
        <v>220.58624677525478</v>
      </c>
      <c r="D64" s="26">
        <f>C7*Parameters!$C$8+D7*Parameters!$C$11</f>
        <v>233.90733393300772</v>
      </c>
      <c r="E64" s="26">
        <f t="shared" si="26"/>
        <v>1815.0186320176945</v>
      </c>
      <c r="F64" s="26">
        <f>B64*(1-Parameters!$C$15)+E64*$K$2+C7*$G$2+D7*$I$2</f>
        <v>1837.4966516172071</v>
      </c>
      <c r="G64" s="26">
        <f t="shared" si="27"/>
        <v>1451.622354777594</v>
      </c>
      <c r="H64" s="26">
        <f t="shared" si="28"/>
        <v>385.87429683961324</v>
      </c>
      <c r="I64" s="26">
        <f t="shared" si="29"/>
        <v>1074.5641651688165</v>
      </c>
      <c r="J64" s="26">
        <f>I64*Parameters!$C$20</f>
        <v>32.236924955064495</v>
      </c>
      <c r="K64" s="26">
        <f>I64*Parameters!$C$19</f>
        <v>236.40411633713964</v>
      </c>
      <c r="L64" s="26">
        <f>K64*Parameters!$C$23</f>
        <v>231.67603401039685</v>
      </c>
      <c r="M64" s="26">
        <f>B64*Parameters!$C$15</f>
        <v>129.95179364988715</v>
      </c>
      <c r="N64" s="26">
        <f>G64*Parameters!$C$21</f>
        <v>1190.330330917627</v>
      </c>
      <c r="O64" s="26">
        <f>L64+G64*(1-Parameters!$C$21)*Parameters!$C$23</f>
        <v>487.74221739316448</v>
      </c>
      <c r="P64" s="26">
        <f>I64*Parameters!$C$22*Parameters!$C$25</f>
        <v>206.31631971241279</v>
      </c>
      <c r="Q64" s="26">
        <f>P64*Parameters!$C$24*10000000</f>
        <v>90779180673.461639</v>
      </c>
      <c r="R64" s="26">
        <f>E64*$M$2+J64+H64*(1-$O$2)+K64*(1-Parameters!$C$23)+'Scenario prediction'!G64*(1-Parameters!$C$21)*(1-Parameters!$C$23)</f>
        <v>1101.3639220628436</v>
      </c>
      <c r="S64" s="26">
        <f>R64+I64*Parameters!$C$22*(1-Parameters!$C$25)</f>
        <v>1700.9707262270431</v>
      </c>
      <c r="T64" s="26">
        <f>N64*Parameters!$C$27+Parameters!$C$26*Parameters!$C$22*'Scenario prediction'!I64</f>
        <v>4085.1072102013586</v>
      </c>
      <c r="U64" s="26">
        <f>N64*(Parameters!$C$28-Parameters!$C$27)</f>
        <v>3472.1935752867175</v>
      </c>
      <c r="V64" s="26">
        <f>I64*Parameters!$C$29</f>
        <v>322369249.55064493</v>
      </c>
      <c r="W64" s="26">
        <f t="shared" si="30"/>
        <v>322.36924955064495</v>
      </c>
    </row>
    <row r="65" spans="1:23" x14ac:dyDescent="0.25">
      <c r="A65">
        <v>2025</v>
      </c>
      <c r="B65" s="26">
        <f t="shared" si="25"/>
        <v>266.40117698226862</v>
      </c>
      <c r="C65" s="26">
        <f>B8*Parameters!$C$4</f>
        <v>226.10090294463612</v>
      </c>
      <c r="D65" s="26">
        <f>C8*Parameters!$C$8+D8*Parameters!$C$11</f>
        <v>239.75501728133287</v>
      </c>
      <c r="E65" s="26">
        <f t="shared" si="26"/>
        <v>1860.3940978181367</v>
      </c>
      <c r="F65" s="26">
        <f>B65*(1-Parameters!$C$15)+E65*$K$2+C8*$G$2+D8*$I$2</f>
        <v>1883.4340679076367</v>
      </c>
      <c r="G65" s="26">
        <f t="shared" si="27"/>
        <v>1525.581595005186</v>
      </c>
      <c r="H65" s="26">
        <f t="shared" si="28"/>
        <v>357.8524729024507</v>
      </c>
      <c r="I65" s="26">
        <f t="shared" si="29"/>
        <v>1086.3607967547757</v>
      </c>
      <c r="J65" s="26">
        <f>I65*Parameters!$C$20</f>
        <v>32.590823902643272</v>
      </c>
      <c r="K65" s="26">
        <f>I65*Parameters!$C$19</f>
        <v>238.99937528605065</v>
      </c>
      <c r="L65" s="26">
        <f>K65*Parameters!$C$23</f>
        <v>234.21938778032964</v>
      </c>
      <c r="M65" s="26">
        <f>B65*Parameters!$C$15</f>
        <v>133.20058849113431</v>
      </c>
      <c r="N65" s="26">
        <f>G65*Parameters!$C$21</f>
        <v>1250.9769079042526</v>
      </c>
      <c r="O65" s="26">
        <f>L65+G65*(1-Parameters!$C$21)*Parameters!$C$23</f>
        <v>503.33198113924459</v>
      </c>
      <c r="P65" s="26">
        <f>I65*Parameters!$C$22*Parameters!$C$25</f>
        <v>208.58127297691692</v>
      </c>
      <c r="Q65" s="26">
        <f>P65*Parameters!$C$24*10000000</f>
        <v>91775760109.843445</v>
      </c>
      <c r="R65" s="26">
        <f>E65*$M$2+J65+H65*(1-$O$2)+K65*(1-Parameters!$C$23)+'Scenario prediction'!G65*(1-Parameters!$C$21)*(1-Parameters!$C$23)</f>
        <v>1105.9140974969237</v>
      </c>
      <c r="S65" s="26">
        <f>R65+I65*Parameters!$C$22*(1-Parameters!$C$25)</f>
        <v>1712.1034220860884</v>
      </c>
      <c r="T65" s="26">
        <f>N65*Parameters!$C$27+Parameters!$C$26*Parameters!$C$22*'Scenario prediction'!I65</f>
        <v>4204.6528887164013</v>
      </c>
      <c r="U65" s="26">
        <f>N65*(Parameters!$C$28-Parameters!$C$27)</f>
        <v>3649.0996403567046</v>
      </c>
      <c r="V65" s="26">
        <f>I65*Parameters!$C$29</f>
        <v>325908239.02643269</v>
      </c>
      <c r="W65" s="26">
        <f t="shared" si="30"/>
        <v>325.90823902643268</v>
      </c>
    </row>
    <row r="66" spans="1:23" x14ac:dyDescent="0.25">
      <c r="A66">
        <v>2026</v>
      </c>
      <c r="B66" s="26">
        <f t="shared" si="25"/>
        <v>273.06120640682531</v>
      </c>
      <c r="C66" s="26">
        <f>B9*Parameters!$C$4</f>
        <v>231.75342551825202</v>
      </c>
      <c r="D66" s="26">
        <f>C9*Parameters!$C$8+D9*Parameters!$C$11</f>
        <v>245.74889271336616</v>
      </c>
      <c r="E66" s="26">
        <f t="shared" si="26"/>
        <v>1906.9039502635896</v>
      </c>
      <c r="F66" s="26">
        <f>B66*(1-Parameters!$C$15)+E66*$K$2+C9*$G$2+D9*$I$2</f>
        <v>1930.5199196053277</v>
      </c>
      <c r="G66" s="26">
        <f t="shared" si="27"/>
        <v>1583.026334076369</v>
      </c>
      <c r="H66" s="26">
        <f t="shared" si="28"/>
        <v>347.49358552895865</v>
      </c>
      <c r="I66" s="26">
        <f t="shared" si="29"/>
        <v>1105.7977369952234</v>
      </c>
      <c r="J66" s="26">
        <f>I66*Parameters!$C$20</f>
        <v>33.1739321098567</v>
      </c>
      <c r="K66" s="26">
        <f>I66*Parameters!$C$19</f>
        <v>243.27550213894915</v>
      </c>
      <c r="L66" s="26">
        <f>K66*Parameters!$C$23</f>
        <v>238.40999209617016</v>
      </c>
      <c r="M66" s="26">
        <f>B66*Parameters!$C$15</f>
        <v>136.53060320341265</v>
      </c>
      <c r="N66" s="26">
        <f>G66*Parameters!$C$21</f>
        <v>1298.0815939426225</v>
      </c>
      <c r="O66" s="26">
        <f>L66+G66*(1-Parameters!$C$21)*Parameters!$C$23</f>
        <v>517.65583742724175</v>
      </c>
      <c r="P66" s="26">
        <f>I66*Parameters!$C$22*Parameters!$C$25</f>
        <v>212.31316550308293</v>
      </c>
      <c r="Q66" s="26">
        <f>P66*Parameters!$C$24*10000000</f>
        <v>93417792821.356491</v>
      </c>
      <c r="R66" s="26">
        <f>E66*$M$2+J66+H66*(1-$O$2)+K66*(1-Parameters!$C$23)+'Scenario prediction'!G66*(1-Parameters!$C$21)*(1-Parameters!$C$23)</f>
        <v>1121.7826895928827</v>
      </c>
      <c r="S66" s="26">
        <f>R66+I66*Parameters!$C$22*(1-Parameters!$C$25)</f>
        <v>1738.8178268362174</v>
      </c>
      <c r="T66" s="26">
        <f>N66*Parameters!$C$27+Parameters!$C$26*Parameters!$C$22*'Scenario prediction'!I66</f>
        <v>4318.6959350425659</v>
      </c>
      <c r="U66" s="26">
        <f>N66*(Parameters!$C$28-Parameters!$C$27)</f>
        <v>3786.5040095306294</v>
      </c>
      <c r="V66" s="26">
        <f>I66*Parameters!$C$29</f>
        <v>331739321.09856701</v>
      </c>
      <c r="W66" s="26">
        <f t="shared" si="30"/>
        <v>331.73932109856702</v>
      </c>
    </row>
    <row r="67" spans="1:23" x14ac:dyDescent="0.25">
      <c r="A67">
        <v>2027</v>
      </c>
      <c r="B67" s="26">
        <f t="shared" si="25"/>
        <v>279.88773656699595</v>
      </c>
      <c r="C67" s="26">
        <f>B10*Parameters!$C$4</f>
        <v>237.54726115620829</v>
      </c>
      <c r="D67" s="26">
        <f>C10*Parameters!$C$8+D10*Parameters!$C$11</f>
        <v>251.89261503120031</v>
      </c>
      <c r="E67" s="26">
        <f t="shared" si="26"/>
        <v>1954.5765490201793</v>
      </c>
      <c r="F67" s="26">
        <f>B67*(1-Parameters!$C$15)+E67*$K$2+C10*$G$2+D10*$I$2</f>
        <v>1978.7829175954607</v>
      </c>
      <c r="G67" s="26">
        <f t="shared" si="27"/>
        <v>1642.3898216042328</v>
      </c>
      <c r="H67" s="26">
        <f t="shared" si="28"/>
        <v>336.39309599122794</v>
      </c>
      <c r="I67" s="26">
        <f t="shared" si="29"/>
        <v>1125.5275487497222</v>
      </c>
      <c r="J67" s="26">
        <f>I67*Parameters!$C$20</f>
        <v>33.765826462491667</v>
      </c>
      <c r="K67" s="26">
        <f>I67*Parameters!$C$19</f>
        <v>247.61606072493888</v>
      </c>
      <c r="L67" s="26">
        <f>K67*Parameters!$C$23</f>
        <v>242.66373951044008</v>
      </c>
      <c r="M67" s="26">
        <f>B67*Parameters!$C$15</f>
        <v>139.94386828349798</v>
      </c>
      <c r="N67" s="26">
        <f>G67*Parameters!$C$21</f>
        <v>1346.7596537154709</v>
      </c>
      <c r="O67" s="26">
        <f>L67+G67*(1-Parameters!$C$21)*Parameters!$C$23</f>
        <v>532.3813040414268</v>
      </c>
      <c r="P67" s="26">
        <f>I67*Parameters!$C$22*Parameters!$C$25</f>
        <v>216.10128935994669</v>
      </c>
      <c r="Q67" s="26">
        <f>P67*Parameters!$C$24*10000000</f>
        <v>95084567318.376541</v>
      </c>
      <c r="R67" s="26">
        <f>E67*$M$2+J67+H67*(1-$O$2)+K67*(1-Parameters!$C$23)+'Scenario prediction'!G67*(1-Parameters!$C$21)*(1-Parameters!$C$23)</f>
        <v>1137.7535149827042</v>
      </c>
      <c r="S67" s="26">
        <f>R67+I67*Parameters!$C$22*(1-Parameters!$C$25)</f>
        <v>1765.7978871850491</v>
      </c>
      <c r="T67" s="26">
        <f>N67*Parameters!$C$27+Parameters!$C$26*Parameters!$C$22*'Scenario prediction'!I67</f>
        <v>4435.8132256295912</v>
      </c>
      <c r="U67" s="26">
        <f>N67*(Parameters!$C$28-Parameters!$C$27)</f>
        <v>3928.4979098880285</v>
      </c>
      <c r="V67" s="26">
        <f>I67*Parameters!$C$29</f>
        <v>337658264.62491667</v>
      </c>
      <c r="W67" s="26">
        <f t="shared" si="30"/>
        <v>337.65826462491668</v>
      </c>
    </row>
    <row r="68" spans="1:23" x14ac:dyDescent="0.25">
      <c r="A68">
        <v>2028</v>
      </c>
      <c r="B68" s="26">
        <f t="shared" si="25"/>
        <v>286.88492998117084</v>
      </c>
      <c r="C68" s="26">
        <f>B11*Parameters!$C$4</f>
        <v>243.48594268511349</v>
      </c>
      <c r="D68" s="26">
        <f>C11*Parameters!$C$8+D11*Parameters!$C$11</f>
        <v>258.18993040698024</v>
      </c>
      <c r="E68" s="26">
        <f t="shared" si="26"/>
        <v>2003.4409627456837</v>
      </c>
      <c r="F68" s="26">
        <f>B68*(1-Parameters!$C$15)+E68*$K$2+C11*$G$2+D11*$I$2</f>
        <v>2028.2524905353471</v>
      </c>
      <c r="G68" s="26">
        <f t="shared" si="27"/>
        <v>1703.732092049692</v>
      </c>
      <c r="H68" s="26">
        <f t="shared" si="28"/>
        <v>324.52039848565516</v>
      </c>
      <c r="I68" s="26">
        <f t="shared" si="29"/>
        <v>1145.5527275063237</v>
      </c>
      <c r="J68" s="26">
        <f>I68*Parameters!$C$20</f>
        <v>34.366581825189712</v>
      </c>
      <c r="K68" s="26">
        <f>I68*Parameters!$C$19</f>
        <v>252.0216000513912</v>
      </c>
      <c r="L68" s="26">
        <f>K68*Parameters!$C$23</f>
        <v>246.98116805036338</v>
      </c>
      <c r="M68" s="26">
        <f>B68*Parameters!$C$15</f>
        <v>143.44246499058542</v>
      </c>
      <c r="N68" s="26">
        <f>G68*Parameters!$C$21</f>
        <v>1397.0603154807475</v>
      </c>
      <c r="O68" s="26">
        <f>L68+G68*(1-Parameters!$C$21)*Parameters!$C$23</f>
        <v>547.51950908792912</v>
      </c>
      <c r="P68" s="26">
        <f>I68*Parameters!$C$22*Parameters!$C$25</f>
        <v>219.94612368121415</v>
      </c>
      <c r="Q68" s="26">
        <f>P68*Parameters!$C$24*10000000</f>
        <v>96776294419.734222</v>
      </c>
      <c r="R68" s="26">
        <f>E68*$M$2+J68+H68*(1-$O$2)+K68*(1-Parameters!$C$23)+'Scenario prediction'!G68*(1-Parameters!$C$21)*(1-Parameters!$C$23)</f>
        <v>1153.8217674610212</v>
      </c>
      <c r="S68" s="26">
        <f>R68+I68*Parameters!$C$22*(1-Parameters!$C$25)</f>
        <v>1793.0401894095498</v>
      </c>
      <c r="T68" s="26">
        <f>N68*Parameters!$C$27+Parameters!$C$26*Parameters!$C$22*'Scenario prediction'!I68</f>
        <v>4556.0871957865656</v>
      </c>
      <c r="U68" s="26">
        <f>N68*(Parameters!$C$28-Parameters!$C$27)</f>
        <v>4075.2249402573402</v>
      </c>
      <c r="V68" s="26">
        <f>I68*Parameters!$C$29</f>
        <v>343665818.2518971</v>
      </c>
      <c r="W68" s="26">
        <f t="shared" si="30"/>
        <v>343.66581825189712</v>
      </c>
    </row>
    <row r="69" spans="1:23" x14ac:dyDescent="0.25">
      <c r="A69">
        <v>2029</v>
      </c>
      <c r="B69" s="26">
        <f t="shared" si="25"/>
        <v>294.05705323070009</v>
      </c>
      <c r="C69" s="26">
        <f>B12*Parameters!$C$4</f>
        <v>249.57309125224131</v>
      </c>
      <c r="D69" s="26">
        <f>C12*Parameters!$C$8+D12*Parameters!$C$11</f>
        <v>264.64467866715478</v>
      </c>
      <c r="E69" s="26">
        <f t="shared" si="26"/>
        <v>2053.5269868143259</v>
      </c>
      <c r="F69" s="26">
        <f>B69*(1-Parameters!$C$15)+E69*$K$2+C12*$G$2+D12*$I$2</f>
        <v>2078.9588027987306</v>
      </c>
      <c r="G69" s="26">
        <f t="shared" si="27"/>
        <v>1767.1149823789215</v>
      </c>
      <c r="H69" s="26">
        <f t="shared" si="28"/>
        <v>311.84382041980916</v>
      </c>
      <c r="I69" s="26">
        <f t="shared" si="29"/>
        <v>1165.8757104827871</v>
      </c>
      <c r="J69" s="26">
        <f>I69*Parameters!$C$20</f>
        <v>34.976271314483611</v>
      </c>
      <c r="K69" s="26">
        <f>I69*Parameters!$C$19</f>
        <v>256.49265630621318</v>
      </c>
      <c r="L69" s="26">
        <f>K69*Parameters!$C$23</f>
        <v>251.36280318008892</v>
      </c>
      <c r="M69" s="26">
        <f>B69*Parameters!$C$15</f>
        <v>147.02852661535005</v>
      </c>
      <c r="N69" s="26">
        <f>G69*Parameters!$C$21</f>
        <v>1449.0342855507156</v>
      </c>
      <c r="O69" s="26">
        <f>L69+G69*(1-Parameters!$C$21)*Parameters!$C$23</f>
        <v>563.08188607173065</v>
      </c>
      <c r="P69" s="26">
        <f>I69*Parameters!$C$22*Parameters!$C$25</f>
        <v>223.84813641269511</v>
      </c>
      <c r="Q69" s="26">
        <f>P69*Parameters!$C$24*10000000</f>
        <v>98493180021.585846</v>
      </c>
      <c r="R69" s="26">
        <f>E69*$M$2+J69+H69*(1-$O$2)+K69*(1-Parameters!$C$23)+'Scenario prediction'!G69*(1-Parameters!$C$21)*(1-Parameters!$C$23)</f>
        <v>1169.9823366163901</v>
      </c>
      <c r="S69" s="26">
        <f>R69+I69*Parameters!$C$22*(1-Parameters!$C$25)</f>
        <v>1820.5409830657852</v>
      </c>
      <c r="T69" s="26">
        <f>N69*Parameters!$C$27+Parameters!$C$26*Parameters!$C$22*'Scenario prediction'!I69</f>
        <v>4679.6024811853722</v>
      </c>
      <c r="U69" s="26">
        <f>N69*(Parameters!$C$28-Parameters!$C$27)</f>
        <v>4226.8330109514372</v>
      </c>
      <c r="V69" s="26">
        <f>I69*Parameters!$C$29</f>
        <v>349762713.14483613</v>
      </c>
      <c r="W69" s="26">
        <f t="shared" si="30"/>
        <v>349.76271314483614</v>
      </c>
    </row>
    <row r="70" spans="1:23" x14ac:dyDescent="0.25">
      <c r="A70">
        <v>2030</v>
      </c>
      <c r="B70" s="26">
        <f t="shared" si="25"/>
        <v>301.40847956146763</v>
      </c>
      <c r="C70" s="26">
        <f>B13*Parameters!$C$4</f>
        <v>255.81241853354734</v>
      </c>
      <c r="D70" s="26">
        <f>C13*Parameters!$C$8+D13*Parameters!$C$11</f>
        <v>271.26079563383371</v>
      </c>
      <c r="E70" s="26">
        <f t="shared" si="26"/>
        <v>2104.865161484684</v>
      </c>
      <c r="F70" s="26">
        <f>B70*(1-Parameters!$C$15)+E70*$K$2+C13*$G$2+D13*$I$2</f>
        <v>2130.932772868699</v>
      </c>
      <c r="G70" s="26">
        <f t="shared" si="27"/>
        <v>1832.6021846670815</v>
      </c>
      <c r="H70" s="26">
        <f t="shared" si="28"/>
        <v>298.33058820161739</v>
      </c>
      <c r="I70" s="26">
        <f t="shared" si="29"/>
        <v>1186.4988721533819</v>
      </c>
      <c r="J70" s="26">
        <f>I70*Parameters!$C$20</f>
        <v>35.594966164601452</v>
      </c>
      <c r="K70" s="26">
        <f>I70*Parameters!$C$19</f>
        <v>261.02975187374403</v>
      </c>
      <c r="L70" s="26">
        <f>K70*Parameters!$C$23</f>
        <v>255.80915683626915</v>
      </c>
      <c r="M70" s="26">
        <f>B70*Parameters!$C$15</f>
        <v>150.70423978073381</v>
      </c>
      <c r="N70" s="26">
        <f>G70*Parameters!$C$21</f>
        <v>1502.7337914270067</v>
      </c>
      <c r="O70" s="26">
        <f>L70+G70*(1-Parameters!$C$21)*Parameters!$C$23</f>
        <v>579.08018221154236</v>
      </c>
      <c r="P70" s="26">
        <f>I70*Parameters!$C$22*Parameters!$C$25</f>
        <v>227.80778345344933</v>
      </c>
      <c r="Q70" s="26">
        <f>P70*Parameters!$C$24*10000000</f>
        <v>100235424719.5177</v>
      </c>
      <c r="R70" s="26">
        <f>E70*$M$2+J70+H70*(1-$O$2)+K70*(1-Parameters!$C$23)+'Scenario prediction'!G70*(1-Parameters!$C$21)*(1-Parameters!$C$23)</f>
        <v>1186.2297956248642</v>
      </c>
      <c r="S70" s="26">
        <f>R70+I70*Parameters!$C$22*(1-Parameters!$C$25)</f>
        <v>1848.2961662864514</v>
      </c>
      <c r="T70" s="26">
        <f>N70*Parameters!$C$27+Parameters!$C$26*Parameters!$C$22*'Scenario prediction'!I70</f>
        <v>4806.4459763567502</v>
      </c>
      <c r="U70" s="26">
        <f>N70*(Parameters!$C$28-Parameters!$C$27)</f>
        <v>4383.4744695925783</v>
      </c>
      <c r="V70" s="26">
        <f>I70*Parameters!$C$29</f>
        <v>355949661.64601457</v>
      </c>
      <c r="W70" s="26">
        <f t="shared" si="30"/>
        <v>355.94966164601459</v>
      </c>
    </row>
    <row r="71" spans="1:23" x14ac:dyDescent="0.25">
      <c r="A71">
        <v>2031</v>
      </c>
      <c r="B71" s="26">
        <f t="shared" si="25"/>
        <v>308.94369155050424</v>
      </c>
      <c r="C71" s="26">
        <f>B14*Parameters!$C$4</f>
        <v>262.20772899688603</v>
      </c>
      <c r="D71" s="26">
        <f>C14*Parameters!$C$8+D14*Parameters!$C$11</f>
        <v>278.04231552467945</v>
      </c>
      <c r="E71" s="26">
        <f t="shared" si="26"/>
        <v>2157.4867905218007</v>
      </c>
      <c r="F71" s="26">
        <f>B71*(1-Parameters!$C$15)+E71*$K$2+C14*$G$2+D14*$I$2</f>
        <v>2184.2060921904158</v>
      </c>
      <c r="G71" s="26">
        <f t="shared" si="27"/>
        <v>1900.2593002056622</v>
      </c>
      <c r="H71" s="26">
        <f t="shared" si="28"/>
        <v>283.94679198475359</v>
      </c>
      <c r="I71" s="26">
        <f t="shared" si="29"/>
        <v>1207.4245195884546</v>
      </c>
      <c r="J71" s="26">
        <f>I71*Parameters!$C$20</f>
        <v>36.222735587653638</v>
      </c>
      <c r="K71" s="26">
        <f>I71*Parameters!$C$19</f>
        <v>265.63339430946002</v>
      </c>
      <c r="L71" s="26">
        <f>K71*Parameters!$C$23</f>
        <v>260.3207264232708</v>
      </c>
      <c r="M71" s="26">
        <f>B71*Parameters!$C$15</f>
        <v>154.47184577525212</v>
      </c>
      <c r="N71" s="26">
        <f>G71*Parameters!$C$21</f>
        <v>1558.2126261686428</v>
      </c>
      <c r="O71" s="26">
        <f>L71+G71*(1-Parameters!$C$21)*Parameters!$C$23</f>
        <v>595.5264669795497</v>
      </c>
      <c r="P71" s="26">
        <f>I71*Parameters!$C$22*Parameters!$C$25</f>
        <v>231.8255077609833</v>
      </c>
      <c r="Q71" s="26">
        <f>P71*Parameters!$C$24*10000000</f>
        <v>102003223414.83264</v>
      </c>
      <c r="R71" s="26">
        <f>E71*$M$2+J71+H71*(1-$O$2)+K71*(1-Parameters!$C$23)+'Scenario prediction'!G71*(1-Parameters!$C$21)*(1-Parameters!$C$23)</f>
        <v>1202.5583886233767</v>
      </c>
      <c r="S71" s="26">
        <f>R71+I71*Parameters!$C$22*(1-Parameters!$C$25)</f>
        <v>1876.3012705537344</v>
      </c>
      <c r="T71" s="26">
        <f>N71*Parameters!$C$27+Parameters!$C$26*Parameters!$C$22*'Scenario prediction'!I71</f>
        <v>4936.7068947359567</v>
      </c>
      <c r="U71" s="26">
        <f>N71*(Parameters!$C$28-Parameters!$C$27)</f>
        <v>4545.3062305339308</v>
      </c>
      <c r="V71" s="26">
        <f>I71*Parameters!$C$29</f>
        <v>362227355.87653637</v>
      </c>
      <c r="W71" s="26">
        <f t="shared" si="30"/>
        <v>362.22735587653636</v>
      </c>
    </row>
    <row r="72" spans="1:23" x14ac:dyDescent="0.25">
      <c r="A72">
        <v>2032</v>
      </c>
      <c r="B72" s="26">
        <f t="shared" si="25"/>
        <v>316.66728383926682</v>
      </c>
      <c r="C72" s="26">
        <f>B15*Parameters!$C$4</f>
        <v>268.76292222180808</v>
      </c>
      <c r="D72" s="26">
        <f>C15*Parameters!$C$8+D15*Parameters!$C$11</f>
        <v>284.99337341279642</v>
      </c>
      <c r="E72" s="26">
        <f t="shared" si="26"/>
        <v>2211.4239602848456</v>
      </c>
      <c r="F72" s="26">
        <f>B72*(1-Parameters!$C$15)+E72*$K$2+C15*$G$2+D15*$I$2</f>
        <v>2238.8112444951762</v>
      </c>
      <c r="G72" s="26">
        <f t="shared" si="27"/>
        <v>1970.1538951557557</v>
      </c>
      <c r="H72" s="26">
        <f t="shared" si="28"/>
        <v>268.65734933942065</v>
      </c>
      <c r="I72" s="26">
        <f t="shared" si="29"/>
        <v>1228.654887600185</v>
      </c>
      <c r="J72" s="26">
        <f>I72*Parameters!$C$20</f>
        <v>36.859646628005549</v>
      </c>
      <c r="K72" s="26">
        <f>I72*Parameters!$C$19</f>
        <v>270.30407527204073</v>
      </c>
      <c r="L72" s="26">
        <f>K72*Parameters!$C$23</f>
        <v>264.89799376659994</v>
      </c>
      <c r="M72" s="26">
        <f>B72*Parameters!$C$15</f>
        <v>158.33364191963341</v>
      </c>
      <c r="N72" s="26">
        <f>G72*Parameters!$C$21</f>
        <v>1615.5261940277196</v>
      </c>
      <c r="O72" s="26">
        <f>L72+G72*(1-Parameters!$C$21)*Parameters!$C$23</f>
        <v>612.43314087207534</v>
      </c>
      <c r="P72" s="26">
        <f>I72*Parameters!$C$22*Parameters!$C$25</f>
        <v>235.90173841923553</v>
      </c>
      <c r="Q72" s="26">
        <f>P72*Parameters!$C$24*10000000</f>
        <v>103796764904.46364</v>
      </c>
      <c r="R72" s="26">
        <f>E72*$M$2+J72+H72*(1-$O$2)+K72*(1-Parameters!$C$23)+'Scenario prediction'!G72*(1-Parameters!$C$21)*(1-Parameters!$C$23)</f>
        <v>1218.9620176495491</v>
      </c>
      <c r="S72" s="26">
        <f>R72+I72*Parameters!$C$22*(1-Parameters!$C$25)</f>
        <v>1904.5514449304524</v>
      </c>
      <c r="T72" s="26">
        <f>N72*Parameters!$C$27+Parameters!$C$26*Parameters!$C$22*'Scenario prediction'!I72</f>
        <v>5070.4768302989014</v>
      </c>
      <c r="U72" s="26">
        <f>N72*(Parameters!$C$28-Parameters!$C$27)</f>
        <v>4712.4899079788574</v>
      </c>
      <c r="V72" s="26">
        <f>I72*Parameters!$C$29</f>
        <v>368596466.28005552</v>
      </c>
      <c r="W72" s="26">
        <f t="shared" si="30"/>
        <v>368.59646628005549</v>
      </c>
    </row>
    <row r="73" spans="1:23" x14ac:dyDescent="0.25">
      <c r="A73">
        <v>2033</v>
      </c>
      <c r="B73" s="26">
        <f t="shared" si="25"/>
        <v>324.58396593524844</v>
      </c>
      <c r="C73" s="26">
        <f>B16*Parameters!$C$4</f>
        <v>275.48199527735329</v>
      </c>
      <c r="D73" s="26">
        <f>C16*Parameters!$C$8+D16*Parameters!$C$11</f>
        <v>292.11820774811633</v>
      </c>
      <c r="E73" s="26">
        <f t="shared" si="26"/>
        <v>2266.7095592919668</v>
      </c>
      <c r="F73" s="26">
        <f>B73*(1-Parameters!$C$15)+E73*$K$2+C16*$G$2+D16*$I$2</f>
        <v>2294.7815256075555</v>
      </c>
      <c r="G73" s="26">
        <f t="shared" si="27"/>
        <v>2030.8816501626873</v>
      </c>
      <c r="H73" s="26">
        <f t="shared" si="28"/>
        <v>263.89987544486837</v>
      </c>
      <c r="I73" s="26">
        <f t="shared" si="29"/>
        <v>1254.7816967389745</v>
      </c>
      <c r="J73" s="26">
        <f>I73*Parameters!$C$20</f>
        <v>37.643450902169235</v>
      </c>
      <c r="K73" s="26">
        <f>I73*Parameters!$C$19</f>
        <v>276.05197328257441</v>
      </c>
      <c r="L73" s="26">
        <f>K73*Parameters!$C$23</f>
        <v>270.53093381692292</v>
      </c>
      <c r="M73" s="26">
        <f>B73*Parameters!$C$15</f>
        <v>162.29198296762422</v>
      </c>
      <c r="N73" s="26">
        <f>G73*Parameters!$C$21</f>
        <v>1665.3229531334034</v>
      </c>
      <c r="O73" s="26">
        <f>L73+G73*(1-Parameters!$C$21)*Parameters!$C$23</f>
        <v>628.77845690562106</v>
      </c>
      <c r="P73" s="26">
        <f>I73*Parameters!$C$22*Parameters!$C$25</f>
        <v>240.91808577388309</v>
      </c>
      <c r="Q73" s="26">
        <f>P73*Parameters!$C$24*10000000</f>
        <v>106003957740.50856</v>
      </c>
      <c r="R73" s="26">
        <f>E73*$M$2+J73+H73*(1-$O$2)+K73*(1-Parameters!$C$23)+'Scenario prediction'!G73*(1-Parameters!$C$21)*(1-Parameters!$C$23)</f>
        <v>1242.4351486124642</v>
      </c>
      <c r="S73" s="26">
        <f>R73+I73*Parameters!$C$22*(1-Parameters!$C$25)</f>
        <v>1942.6033353928119</v>
      </c>
      <c r="T73" s="26">
        <f>N73*Parameters!$C$27+Parameters!$C$26*Parameters!$C$22*'Scenario prediction'!I73</f>
        <v>5202.5442859435789</v>
      </c>
      <c r="U73" s="26">
        <f>N73*(Parameters!$C$28-Parameters!$C$27)</f>
        <v>4857.7470542901374</v>
      </c>
      <c r="V73" s="26">
        <f>I73*Parameters!$C$29</f>
        <v>376434509.02169234</v>
      </c>
      <c r="W73" s="26">
        <f t="shared" si="30"/>
        <v>376.43450902169235</v>
      </c>
    </row>
    <row r="74" spans="1:23" x14ac:dyDescent="0.25">
      <c r="A74">
        <v>2034</v>
      </c>
      <c r="B74" s="26">
        <f t="shared" si="25"/>
        <v>332.6985650836296</v>
      </c>
      <c r="C74" s="26">
        <f>B17*Parameters!$C$4</f>
        <v>282.36904515928711</v>
      </c>
      <c r="D74" s="26">
        <f>C17*Parameters!$C$8+D17*Parameters!$C$11</f>
        <v>299.42116294181915</v>
      </c>
      <c r="E74" s="26">
        <f t="shared" si="26"/>
        <v>2323.3772982742653</v>
      </c>
      <c r="F74" s="26">
        <f>B74*(1-Parameters!$C$15)+E74*$K$2+C17*$G$2+D17*$I$2</f>
        <v>2352.151063747744</v>
      </c>
      <c r="G74" s="26">
        <f t="shared" si="27"/>
        <v>2105.1752020542317</v>
      </c>
      <c r="H74" s="26">
        <f t="shared" si="28"/>
        <v>246.97586169351257</v>
      </c>
      <c r="I74" s="26">
        <f t="shared" si="29"/>
        <v>1276.7426349024577</v>
      </c>
      <c r="J74" s="26">
        <f>I74*Parameters!$C$20</f>
        <v>38.302279047073732</v>
      </c>
      <c r="K74" s="26">
        <f>I74*Parameters!$C$19</f>
        <v>280.88337967854068</v>
      </c>
      <c r="L74" s="26">
        <f>K74*Parameters!$C$23</f>
        <v>275.26571208496983</v>
      </c>
      <c r="M74" s="26">
        <f>B74*Parameters!$C$15</f>
        <v>166.3492825418148</v>
      </c>
      <c r="N74" s="26">
        <f>G74*Parameters!$C$21</f>
        <v>1726.24366568447</v>
      </c>
      <c r="O74" s="26">
        <f>L74+G74*(1-Parameters!$C$21)*Parameters!$C$23</f>
        <v>646.61861772733641</v>
      </c>
      <c r="P74" s="26">
        <f>I74*Parameters!$C$22*Parameters!$C$25</f>
        <v>245.13458590127189</v>
      </c>
      <c r="Q74" s="26">
        <f>P74*Parameters!$C$24*10000000</f>
        <v>107859217796.55963</v>
      </c>
      <c r="R74" s="26">
        <f>E74*$M$2+J74+H74*(1-$O$2)+K74*(1-Parameters!$C$23)+'Scenario prediction'!G74*(1-Parameters!$C$21)*(1-Parameters!$C$23)</f>
        <v>1259.1441423972121</v>
      </c>
      <c r="S74" s="26">
        <f>R74+I74*Parameters!$C$22*(1-Parameters!$C$25)</f>
        <v>1971.5665326727835</v>
      </c>
      <c r="T74" s="26">
        <f>N74*Parameters!$C$27+Parameters!$C$26*Parameters!$C$22*'Scenario prediction'!I74</f>
        <v>5343.484239610937</v>
      </c>
      <c r="U74" s="26">
        <f>N74*(Parameters!$C$28-Parameters!$C$27)</f>
        <v>5035.4527728015983</v>
      </c>
      <c r="V74" s="26">
        <f>I74*Parameters!$C$29</f>
        <v>383022790.47073728</v>
      </c>
      <c r="W74" s="26">
        <f t="shared" si="30"/>
        <v>383.02279047073728</v>
      </c>
    </row>
    <row r="75" spans="1:23" x14ac:dyDescent="0.25">
      <c r="A75">
        <v>2035</v>
      </c>
      <c r="B75" s="26">
        <f t="shared" si="25"/>
        <v>341.01602921072032</v>
      </c>
      <c r="C75" s="26">
        <f>B18*Parameters!$C$4</f>
        <v>289.42827128826923</v>
      </c>
      <c r="D75" s="26">
        <f>C18*Parameters!$C$8+D18*Parameters!$C$11</f>
        <v>306.90669201536468</v>
      </c>
      <c r="E75" s="26">
        <f t="shared" si="26"/>
        <v>2381.4617307311223</v>
      </c>
      <c r="F75" s="26">
        <f>B75*(1-Parameters!$C$15)+E75*$K$2+C18*$G$2+D18*$I$2</f>
        <v>2410.9548403414378</v>
      </c>
      <c r="G75" s="26">
        <f t="shared" si="27"/>
        <v>2169.8593563072941</v>
      </c>
      <c r="H75" s="26">
        <f t="shared" si="28"/>
        <v>241.09548403414374</v>
      </c>
      <c r="I75" s="26">
        <f t="shared" si="29"/>
        <v>1303.8392910943364</v>
      </c>
      <c r="J75" s="26">
        <f>I75*Parameters!$C$20</f>
        <v>39.115178732830088</v>
      </c>
      <c r="K75" s="26">
        <f>I75*Parameters!$C$19</f>
        <v>286.84464404075402</v>
      </c>
      <c r="L75" s="26">
        <f>K75*Parameters!$C$23</f>
        <v>281.10775115993891</v>
      </c>
      <c r="M75" s="26">
        <f>B75*Parameters!$C$15</f>
        <v>170.50801460536016</v>
      </c>
      <c r="N75" s="26">
        <f>G75*Parameters!$C$21</f>
        <v>1779.2846721719811</v>
      </c>
      <c r="O75" s="26">
        <f>L75+G75*(1-Parameters!$C$21)*Parameters!$C$23</f>
        <v>663.87094161254572</v>
      </c>
      <c r="P75" s="26">
        <f>I75*Parameters!$C$22*Parameters!$C$25</f>
        <v>250.33714389011257</v>
      </c>
      <c r="Q75" s="26">
        <f>P75*Parameters!$C$24*10000000</f>
        <v>110148343311.64954</v>
      </c>
      <c r="R75" s="26">
        <f>E75*$M$2+J75+H75*(1-$O$2)+K75*(1-Parameters!$C$23)+'Scenario prediction'!G75*(1-Parameters!$C$21)*(1-Parameters!$C$23)</f>
        <v>1283.2674049302295</v>
      </c>
      <c r="S75" s="26">
        <f>R75+I75*Parameters!$C$22*(1-Parameters!$C$25)</f>
        <v>2010.8097293608694</v>
      </c>
      <c r="T75" s="26">
        <f>N75*Parameters!$C$27+Parameters!$C$26*Parameters!$C$22*'Scenario prediction'!I75</f>
        <v>5482.6454731920794</v>
      </c>
      <c r="U75" s="26">
        <f>N75*(Parameters!$C$28-Parameters!$C$27)</f>
        <v>5190.1733887256687</v>
      </c>
      <c r="V75" s="26">
        <f>I75*Parameters!$C$29</f>
        <v>391151787.32830095</v>
      </c>
      <c r="W75" s="26">
        <f t="shared" si="30"/>
        <v>391.15178732830094</v>
      </c>
    </row>
    <row r="76" spans="1:23" x14ac:dyDescent="0.25">
      <c r="A76" s="40" t="s">
        <v>90</v>
      </c>
    </row>
    <row r="77" spans="1:23" s="41" customFormat="1" x14ac:dyDescent="0.25">
      <c r="A77" s="24" t="s">
        <v>81</v>
      </c>
      <c r="B77" s="24" t="s">
        <v>45</v>
      </c>
      <c r="C77" s="24" t="s">
        <v>41</v>
      </c>
      <c r="D77" s="24" t="s">
        <v>44</v>
      </c>
      <c r="E77" s="24" t="s">
        <v>43</v>
      </c>
      <c r="F77" s="24" t="s">
        <v>46</v>
      </c>
      <c r="G77" s="24" t="s">
        <v>47</v>
      </c>
      <c r="H77" s="24" t="s">
        <v>42</v>
      </c>
      <c r="I77" s="24" t="s">
        <v>48</v>
      </c>
      <c r="J77" s="24" t="s">
        <v>50</v>
      </c>
      <c r="K77" s="24" t="s">
        <v>51</v>
      </c>
      <c r="L77" s="24" t="s">
        <v>52</v>
      </c>
      <c r="M77" s="24" t="s">
        <v>53</v>
      </c>
      <c r="N77" s="24" t="s">
        <v>54</v>
      </c>
      <c r="O77" s="24" t="s">
        <v>55</v>
      </c>
      <c r="P77" s="24" t="s">
        <v>56</v>
      </c>
      <c r="Q77" s="24" t="s">
        <v>68</v>
      </c>
      <c r="R77" s="24" t="s">
        <v>49</v>
      </c>
      <c r="S77" s="24" t="s">
        <v>57</v>
      </c>
      <c r="T77" s="24" t="s">
        <v>63</v>
      </c>
      <c r="U77" s="24" t="s">
        <v>64</v>
      </c>
      <c r="V77" s="24" t="s">
        <v>67</v>
      </c>
      <c r="W77" s="24" t="s">
        <v>66</v>
      </c>
    </row>
    <row r="78" spans="1:23" x14ac:dyDescent="0.25">
      <c r="A78">
        <v>2019</v>
      </c>
      <c r="B78" s="26">
        <f>B2*E2</f>
        <v>229.71690000000004</v>
      </c>
      <c r="C78" s="26">
        <f>B2*Parameters!$C$4</f>
        <v>194.96610000000001</v>
      </c>
      <c r="D78" s="26">
        <f>C2*Parameters!$C$8+D2*Parameters!$C$11</f>
        <v>206.74</v>
      </c>
      <c r="E78" s="26">
        <f>B2*F2+H2*C2+J2*D2</f>
        <v>1604.2120000000002</v>
      </c>
      <c r="F78" s="26">
        <f>B78*(1-Parameters!$C$15)+E78*K2+C2*G2+D2*I2</f>
        <v>1624.0792940000001</v>
      </c>
      <c r="G78" s="26">
        <f>F78*N2</f>
        <v>1023.1699552200001</v>
      </c>
      <c r="H78" s="26">
        <f>F78*(1-N2)</f>
        <v>600.90933877999998</v>
      </c>
      <c r="I78" s="26">
        <f>E78*L2+H78*O2</f>
        <v>1053.6992195120001</v>
      </c>
      <c r="J78" s="26">
        <f>I78*Parameters!$C$20</f>
        <v>31.610976585360003</v>
      </c>
      <c r="K78" s="26">
        <f>I78*Parameters!$C$19</f>
        <v>231.81382829264004</v>
      </c>
      <c r="L78" s="26">
        <f>K78*Parameters!$C$23</f>
        <v>227.17755172678724</v>
      </c>
      <c r="M78" s="26">
        <f>B78*Parameters!$C$15</f>
        <v>114.85845000000002</v>
      </c>
      <c r="N78" s="26">
        <f>G78*Parameters!$C$21</f>
        <v>838.99936328040008</v>
      </c>
      <c r="O78" s="26">
        <f>L78+G78*(1-Parameters!$C$21)*Parameters!$C$23</f>
        <v>407.66473182759535</v>
      </c>
      <c r="P78" s="26">
        <f>I78*Parameters!$C$22*Parameters!$C$25</f>
        <v>202.31025014630404</v>
      </c>
      <c r="Q78" s="26">
        <f>P78*Parameters!$C$24*10000000</f>
        <v>89016510064.373779</v>
      </c>
      <c r="R78" s="26">
        <f>E78*M2+J78+H78*(1-O2)+K78*(1-Parameters!$C$23)+'Scenario prediction'!G78*(1-Parameters!$C$21)*(1-Parameters!$C$23)</f>
        <v>1131.9969402580048</v>
      </c>
      <c r="S78" s="26">
        <f>R78+I78*Parameters!$C$22*(1-Parameters!$C$25)</f>
        <v>1719.9611047457008</v>
      </c>
      <c r="T78" s="26">
        <f>N78*Parameters!$C$27+Parameters!$C$26*Parameters!$C$22*'Scenario prediction'!I78</f>
        <v>3490.4836405937285</v>
      </c>
      <c r="U78" s="26">
        <f>N78*(Parameters!$C$28-Parameters!$C$27)</f>
        <v>2447.361142688927</v>
      </c>
      <c r="V78" s="26">
        <f>I78*Parameters!$C$29</f>
        <v>316109765.85360003</v>
      </c>
      <c r="W78" s="26">
        <f>V78/1000000</f>
        <v>316.10976585360004</v>
      </c>
    </row>
    <row r="79" spans="1:23" x14ac:dyDescent="0.25">
      <c r="A79">
        <v>2020</v>
      </c>
      <c r="B79" s="26">
        <f t="shared" ref="B79:B94" si="31">B3*E3</f>
        <v>237.71994749999999</v>
      </c>
      <c r="C79" s="26">
        <f>B3*Parameters!$C$4</f>
        <v>199.84025249999999</v>
      </c>
      <c r="D79" s="26">
        <f>C3*Parameters!$C$8+D3*Parameters!$C$11</f>
        <v>211.9085</v>
      </c>
      <c r="E79" s="26">
        <f t="shared" ref="E79:E94" si="32">B3*F3+H3*C3+J3*D3</f>
        <v>1516.3819249999999</v>
      </c>
      <c r="F79" s="26">
        <f>B79*(1-Parameters!$C$15)+E79*K3+C3*G3+D3*I3</f>
        <v>2014.2102687249999</v>
      </c>
      <c r="G79" s="26">
        <f t="shared" ref="G79:G94" si="33">F79*N3</f>
        <v>1349.5208800457499</v>
      </c>
      <c r="H79" s="26">
        <f t="shared" ref="H79:H93" si="34">F79*(1-N3)</f>
        <v>664.68938867924987</v>
      </c>
      <c r="I79" s="26">
        <f t="shared" ref="I79:I93" si="35">E79*L3+H79*O3</f>
        <v>1357.6759284042498</v>
      </c>
      <c r="J79" s="26">
        <f>I79*Parameters!$C$20</f>
        <v>40.730277852127493</v>
      </c>
      <c r="K79" s="26">
        <f>I79*Parameters!$C$19</f>
        <v>298.68870424893498</v>
      </c>
      <c r="L79" s="26">
        <f>K79*Parameters!$C$23</f>
        <v>292.7149301639563</v>
      </c>
      <c r="M79" s="26">
        <f>B79*Parameters!$C$15</f>
        <v>118.85997374999999</v>
      </c>
      <c r="N79" s="26">
        <f>G79*Parameters!$C$21</f>
        <v>1106.6071216375149</v>
      </c>
      <c r="O79" s="26">
        <f>L79+G79*(1-Parameters!$C$21)*Parameters!$C$23</f>
        <v>530.77041340402661</v>
      </c>
      <c r="P79" s="26">
        <f>I79*Parameters!$C$22*Parameters!$C$25</f>
        <v>260.67377825361598</v>
      </c>
      <c r="Q79" s="26">
        <f>P79*Parameters!$C$24*10000000</f>
        <v>114696462431.59102</v>
      </c>
      <c r="R79" s="26">
        <f>E79*M3+J79+H79*(1-O3)+K79*(1-Parameters!$C$23)+'Scenario prediction'!G79*(1-Parameters!$C$21)*(1-Parameters!$C$23)</f>
        <v>591.3942924052709</v>
      </c>
      <c r="S79" s="26">
        <f>R79+I79*Parameters!$C$22*(1-Parameters!$C$25)</f>
        <v>1348.9774604548422</v>
      </c>
      <c r="T79" s="26">
        <f>N79*Parameters!$C$27+Parameters!$C$26*Parameters!$C$22*'Scenario prediction'!I79</f>
        <v>4537.5797833046636</v>
      </c>
      <c r="U79" s="26">
        <f>N79*(Parameters!$C$28-Parameters!$C$27)</f>
        <v>3227.9729738166307</v>
      </c>
      <c r="V79" s="26">
        <f>I79*Parameters!$C$29</f>
        <v>407302778.52127492</v>
      </c>
      <c r="W79" s="26">
        <f t="shared" ref="W79:W94" si="36">V79/1000000</f>
        <v>407.30277852127494</v>
      </c>
    </row>
    <row r="80" spans="1:23" x14ac:dyDescent="0.25">
      <c r="A80">
        <v>2021</v>
      </c>
      <c r="B80" s="26">
        <f t="shared" si="31"/>
        <v>245.97957431249995</v>
      </c>
      <c r="C80" s="26">
        <f>B4*Parameters!$C$4</f>
        <v>204.83625881249995</v>
      </c>
      <c r="D80" s="26">
        <f>C4*Parameters!$C$8+D4*Parameters!$C$11</f>
        <v>217.20621249999994</v>
      </c>
      <c r="E80" s="26">
        <f t="shared" si="32"/>
        <v>1423.1577137499994</v>
      </c>
      <c r="F80" s="26">
        <f>B80*(1-Parameters!$C$15)+E80*K4+C4*G4+D4*I4</f>
        <v>2383.4926148149993</v>
      </c>
      <c r="G80" s="26">
        <f t="shared" si="33"/>
        <v>1692.2797565186497</v>
      </c>
      <c r="H80" s="26">
        <f t="shared" si="34"/>
        <v>691.21285829634962</v>
      </c>
      <c r="I80" s="26">
        <f t="shared" si="35"/>
        <v>1270.4380477925993</v>
      </c>
      <c r="J80" s="26">
        <f>I80*Parameters!$C$20</f>
        <v>38.113141433777976</v>
      </c>
      <c r="K80" s="26">
        <f>I80*Parameters!$C$19</f>
        <v>279.49637051437185</v>
      </c>
      <c r="L80" s="26">
        <f>K80*Parameters!$C$23</f>
        <v>273.90644310408442</v>
      </c>
      <c r="M80" s="26">
        <f>B80*Parameters!$C$15</f>
        <v>122.98978715624997</v>
      </c>
      <c r="N80" s="26">
        <f>G80*Parameters!$C$21</f>
        <v>1387.6694003452926</v>
      </c>
      <c r="O80" s="26">
        <f>L80+G80*(1-Parameters!$C$21)*Parameters!$C$23</f>
        <v>572.42459215397434</v>
      </c>
      <c r="P80" s="26">
        <f>I80*Parameters!$C$22*Parameters!$C$25</f>
        <v>243.92410517617907</v>
      </c>
      <c r="Q80" s="26">
        <f>P80*Parameters!$C$24*10000000</f>
        <v>107326606277.51878</v>
      </c>
      <c r="R80" s="26">
        <f>E80*M4+J80+H80*(1-O4)+K80*(1-Parameters!$C$23)+'Scenario prediction'!G80*(1-Parameters!$C$21)*(1-Parameters!$C$23)</f>
        <v>414.12365068753235</v>
      </c>
      <c r="S80" s="26">
        <f>R80+I80*Parameters!$C$22*(1-Parameters!$C$25)</f>
        <v>1123.0280813558027</v>
      </c>
      <c r="T80" s="26">
        <f>N80*Parameters!$C$27+Parameters!$C$26*Parameters!$C$22*'Scenario prediction'!I80</f>
        <v>4798.9194321143459</v>
      </c>
      <c r="U80" s="26">
        <f>N80*(Parameters!$C$28-Parameters!$C$27)</f>
        <v>4047.8316408072183</v>
      </c>
      <c r="V80" s="26">
        <f>I80*Parameters!$C$29</f>
        <v>381131414.33777976</v>
      </c>
      <c r="W80" s="26">
        <f t="shared" si="36"/>
        <v>381.13141433777974</v>
      </c>
    </row>
    <row r="81" spans="1:23" x14ac:dyDescent="0.25">
      <c r="A81">
        <v>2022</v>
      </c>
      <c r="B81" s="26">
        <f t="shared" si="31"/>
        <v>254.50360749843745</v>
      </c>
      <c r="C81" s="26">
        <f>B5*Parameters!$C$4</f>
        <v>209.95716528281244</v>
      </c>
      <c r="D81" s="26">
        <f>C5*Parameters!$C$8+D5*Parameters!$C$11</f>
        <v>222.63636781249994</v>
      </c>
      <c r="E81" s="26">
        <f t="shared" si="32"/>
        <v>1324.3245532343744</v>
      </c>
      <c r="F81" s="26">
        <f>B81*(1-Parameters!$C$15)+E81*K5+C5*G5+D5*I5</f>
        <v>2729.6565657837336</v>
      </c>
      <c r="G81" s="26">
        <f t="shared" si="33"/>
        <v>2047.2424243378005</v>
      </c>
      <c r="H81" s="26">
        <f t="shared" si="34"/>
        <v>682.41414144593307</v>
      </c>
      <c r="I81" s="26">
        <f t="shared" si="35"/>
        <v>1155.1980069506048</v>
      </c>
      <c r="J81" s="26">
        <f>I81*Parameters!$C$20</f>
        <v>34.655940208518146</v>
      </c>
      <c r="K81" s="26">
        <f>I81*Parameters!$C$19</f>
        <v>254.14356152913308</v>
      </c>
      <c r="L81" s="26">
        <f>K81*Parameters!$C$23</f>
        <v>249.06069029855041</v>
      </c>
      <c r="M81" s="26">
        <f>B81*Parameters!$C$15</f>
        <v>127.25180374921872</v>
      </c>
      <c r="N81" s="26">
        <f>G81*Parameters!$C$21</f>
        <v>1678.7387879569962</v>
      </c>
      <c r="O81" s="26">
        <f>L81+G81*(1-Parameters!$C$21)*Parameters!$C$23</f>
        <v>610.19425395173857</v>
      </c>
      <c r="P81" s="26">
        <f>I81*Parameters!$C$22*Parameters!$C$25</f>
        <v>221.79801733451615</v>
      </c>
      <c r="Q81" s="26">
        <f>P81*Parameters!$C$24*10000000</f>
        <v>97591127627.187103</v>
      </c>
      <c r="R81" s="26">
        <f>E81*M5+J81+H81*(1-O5)+K81*(1-Parameters!$C$23)+'Scenario prediction'!G81*(1-Parameters!$C$21)*(1-Parameters!$C$23)</f>
        <v>253.70351447127933</v>
      </c>
      <c r="S81" s="26">
        <f>R81+I81*Parameters!$C$22*(1-Parameters!$C$25)</f>
        <v>898.30400234971694</v>
      </c>
      <c r="T81" s="26">
        <f>N81*Parameters!$C$27+Parameters!$C$26*Parameters!$C$22*'Scenario prediction'!I81</f>
        <v>5018.2157864281071</v>
      </c>
      <c r="U81" s="26">
        <f>N81*(Parameters!$C$28-Parameters!$C$27)</f>
        <v>4896.8810444705578</v>
      </c>
      <c r="V81" s="26">
        <f>I81*Parameters!$C$29</f>
        <v>346559402.08518147</v>
      </c>
      <c r="W81" s="26">
        <f t="shared" si="36"/>
        <v>346.55940208518149</v>
      </c>
    </row>
    <row r="82" spans="1:23" x14ac:dyDescent="0.25">
      <c r="A82">
        <v>2023</v>
      </c>
      <c r="B82" s="26">
        <f t="shared" si="31"/>
        <v>263.30010510972647</v>
      </c>
      <c r="C82" s="26">
        <f>B6*Parameters!$C$4</f>
        <v>215.20609441488273</v>
      </c>
      <c r="D82" s="26">
        <f>C6*Parameters!$C$8+D6*Parameters!$C$11</f>
        <v>228.2022770078124</v>
      </c>
      <c r="E82" s="26">
        <f t="shared" si="32"/>
        <v>1219.6602611218743</v>
      </c>
      <c r="F82" s="26">
        <f>B82*(1-Parameters!$C$15)+E82*K6+C6*G6+D6*I6</f>
        <v>3050.307309633637</v>
      </c>
      <c r="G82" s="26">
        <f t="shared" si="33"/>
        <v>2348.7366284179011</v>
      </c>
      <c r="H82" s="26">
        <f t="shared" si="34"/>
        <v>701.57068121573616</v>
      </c>
      <c r="I82" s="26">
        <f t="shared" si="35"/>
        <v>1076.0063813801517</v>
      </c>
      <c r="J82" s="26">
        <f>I82*Parameters!$C$20</f>
        <v>32.280191441404547</v>
      </c>
      <c r="K82" s="26">
        <f>I82*Parameters!$C$19</f>
        <v>236.72140390363336</v>
      </c>
      <c r="L82" s="26">
        <f>K82*Parameters!$C$23</f>
        <v>231.98697582556068</v>
      </c>
      <c r="M82" s="26">
        <f>B82*Parameters!$C$15</f>
        <v>131.65005255486324</v>
      </c>
      <c r="N82" s="26">
        <f>G82*Parameters!$C$21</f>
        <v>1925.9640353026789</v>
      </c>
      <c r="O82" s="26">
        <f>L82+G82*(1-Parameters!$C$21)*Parameters!$C$23</f>
        <v>646.3041170784785</v>
      </c>
      <c r="P82" s="26">
        <f>I82*Parameters!$C$22*Parameters!$C$25</f>
        <v>206.59322522498911</v>
      </c>
      <c r="Q82" s="26">
        <f>P82*Parameters!$C$24*10000000</f>
        <v>90901019098.995209</v>
      </c>
      <c r="R82" s="26">
        <f>E82*M6+J82+H82*(1-O6)+K82*(1-Parameters!$C$23)+'Scenario prediction'!G82*(1-Parameters!$C$21)*(1-Parameters!$C$23)</f>
        <v>113.77104600460663</v>
      </c>
      <c r="S82" s="26">
        <f>R82+I82*Parameters!$C$22*(1-Parameters!$C$25)</f>
        <v>714.18260681473123</v>
      </c>
      <c r="T82" s="26">
        <f>N82*Parameters!$C$27+Parameters!$C$26*Parameters!$C$22*'Scenario prediction'!I82</f>
        <v>5243.026697021769</v>
      </c>
      <c r="U82" s="26">
        <f>N82*(Parameters!$C$28-Parameters!$C$27)</f>
        <v>5618.037090977914</v>
      </c>
      <c r="V82" s="26">
        <f>I82*Parameters!$C$29</f>
        <v>322801914.41404551</v>
      </c>
      <c r="W82" s="26">
        <f t="shared" si="36"/>
        <v>322.80191441404554</v>
      </c>
    </row>
    <row r="83" spans="1:23" x14ac:dyDescent="0.25">
      <c r="A83">
        <v>2024</v>
      </c>
      <c r="B83" s="26">
        <f t="shared" si="31"/>
        <v>272.37736284689345</v>
      </c>
      <c r="C83" s="26">
        <f>B7*Parameters!$C$4</f>
        <v>220.58624677525478</v>
      </c>
      <c r="D83" s="26">
        <f>C7*Parameters!$C$8+D7*Parameters!$C$11</f>
        <v>233.90733393300772</v>
      </c>
      <c r="E83" s="26">
        <f t="shared" si="32"/>
        <v>1108.9350515579781</v>
      </c>
      <c r="F83" s="26">
        <f>B83*(1-Parameters!$C$15)+E83*K7+C7*G7+D7*I7</f>
        <v>3254.2047363702004</v>
      </c>
      <c r="G83" s="26">
        <f t="shared" si="33"/>
        <v>2570.8217417324586</v>
      </c>
      <c r="H83" s="26">
        <f t="shared" si="34"/>
        <v>683.3829946377416</v>
      </c>
      <c r="I83" s="26">
        <f t="shared" si="35"/>
        <v>1001.6473544348814</v>
      </c>
      <c r="J83" s="26">
        <f>I83*Parameters!$C$20</f>
        <v>30.049420633046442</v>
      </c>
      <c r="K83" s="26">
        <f>I83*Parameters!$C$19</f>
        <v>220.36241797567391</v>
      </c>
      <c r="L83" s="26">
        <f>K83*Parameters!$C$23</f>
        <v>215.95516961616042</v>
      </c>
      <c r="M83" s="26">
        <f>B83*Parameters!$C$15</f>
        <v>136.18868142344672</v>
      </c>
      <c r="N83" s="26">
        <f>G83*Parameters!$C$21</f>
        <v>2108.0738282206157</v>
      </c>
      <c r="O83" s="26">
        <f>L83+G83*(1-Parameters!$C$21)*Parameters!$C$23</f>
        <v>669.44812485776629</v>
      </c>
      <c r="P83" s="26">
        <f>I83*Parameters!$C$22*Parameters!$C$25</f>
        <v>192.31629205149724</v>
      </c>
      <c r="Q83" s="26">
        <f>P83*Parameters!$C$24*10000000</f>
        <v>84619168502.658798</v>
      </c>
      <c r="R83" s="26">
        <f>E83*M7+J83+H83*(1-O7)+K83*(1-Parameters!$C$23)+'Scenario prediction'!G83*(1-Parameters!$C$21)*(1-Parameters!$C$23)</f>
        <v>50.365237572144643</v>
      </c>
      <c r="S83" s="26">
        <f>R83+I83*Parameters!$C$22*(1-Parameters!$C$25)</f>
        <v>609.28446134680848</v>
      </c>
      <c r="T83" s="26">
        <f>N83*Parameters!$C$27+Parameters!$C$26*Parameters!$C$22*'Scenario prediction'!I83</f>
        <v>5375.57357882831</v>
      </c>
      <c r="U83" s="26">
        <f>N83*(Parameters!$C$28-Parameters!$C$27)</f>
        <v>6149.2513569195353</v>
      </c>
      <c r="V83" s="26">
        <f>I83*Parameters!$C$29</f>
        <v>300494206.33046442</v>
      </c>
      <c r="W83" s="26">
        <f t="shared" si="36"/>
        <v>300.49420633046441</v>
      </c>
    </row>
    <row r="84" spans="1:23" x14ac:dyDescent="0.25">
      <c r="A84">
        <v>2025</v>
      </c>
      <c r="B84" s="26">
        <f t="shared" si="31"/>
        <v>279.69822171549765</v>
      </c>
      <c r="C84" s="26">
        <f>B8*Parameters!$C$4</f>
        <v>226.10090294463612</v>
      </c>
      <c r="D84" s="26">
        <f>C8*Parameters!$C$8+D8*Parameters!$C$11</f>
        <v>239.75501728133287</v>
      </c>
      <c r="E84" s="26">
        <f t="shared" si="32"/>
        <v>1009.2707446299141</v>
      </c>
      <c r="F84" s="26">
        <f>B84*(1-Parameters!$C$15)+E84*K8+C8*G8+D8*I8</f>
        <v>3398.869772923701</v>
      </c>
      <c r="G84" s="26">
        <f t="shared" si="33"/>
        <v>2753.0845160681984</v>
      </c>
      <c r="H84" s="26">
        <f t="shared" si="34"/>
        <v>645.78525685550267</v>
      </c>
      <c r="I84" s="26">
        <f t="shared" si="35"/>
        <v>915.26054567168978</v>
      </c>
      <c r="J84" s="26">
        <f>I84*Parameters!$C$20</f>
        <v>27.457816370150692</v>
      </c>
      <c r="K84" s="26">
        <f>I84*Parameters!$C$19</f>
        <v>201.35732004777176</v>
      </c>
      <c r="L84" s="26">
        <f>K84*Parameters!$C$23</f>
        <v>197.33017364681632</v>
      </c>
      <c r="M84" s="26">
        <f>B84*Parameters!$C$15</f>
        <v>139.84911085774883</v>
      </c>
      <c r="N84" s="26">
        <f>G84*Parameters!$C$21</f>
        <v>2257.5293031759225</v>
      </c>
      <c r="O84" s="26">
        <f>L84+G84*(1-Parameters!$C$21)*Parameters!$C$23</f>
        <v>682.97428228124659</v>
      </c>
      <c r="P84" s="26">
        <f>I84*Parameters!$C$22*Parameters!$C$25</f>
        <v>175.73002476896446</v>
      </c>
      <c r="Q84" s="26">
        <f>P84*Parameters!$C$24*10000000</f>
        <v>77321210898.34436</v>
      </c>
      <c r="R84" s="26">
        <f>E84*M8+J84+H84*(1-O8)+K84*(1-Parameters!$C$23)+'Scenario prediction'!G84*(1-Parameters!$C$21)*(1-Parameters!$C$23)</f>
        <v>41.396067028951656</v>
      </c>
      <c r="S84" s="26">
        <f>R84+I84*Parameters!$C$22*(1-Parameters!$C$25)</f>
        <v>552.11145151375456</v>
      </c>
      <c r="T84" s="26">
        <f>N84*Parameters!$C$27+Parameters!$C$26*Parameters!$C$22*'Scenario prediction'!I84</f>
        <v>5432.0458814340582</v>
      </c>
      <c r="U84" s="26">
        <f>N84*(Parameters!$C$28-Parameters!$C$27)</f>
        <v>6585.2129773641655</v>
      </c>
      <c r="V84" s="26">
        <f>I84*Parameters!$C$29</f>
        <v>274578163.70150691</v>
      </c>
      <c r="W84" s="26">
        <f t="shared" si="36"/>
        <v>274.57816370150692</v>
      </c>
    </row>
    <row r="85" spans="1:23" x14ac:dyDescent="0.25">
      <c r="A85">
        <v>2026</v>
      </c>
      <c r="B85" s="26">
        <f t="shared" si="31"/>
        <v>287.21488767575272</v>
      </c>
      <c r="C85" s="26">
        <f>B9*Parameters!$C$4</f>
        <v>231.75342551825202</v>
      </c>
      <c r="D85" s="26">
        <f>C9*Parameters!$C$8+D9*Parameters!$C$11</f>
        <v>245.74889271336616</v>
      </c>
      <c r="E85" s="26">
        <f t="shared" si="32"/>
        <v>949.67076574937607</v>
      </c>
      <c r="F85" s="26">
        <f>B85*(1-Parameters!$C$15)+E85*K9+C9*G9+D9*I9</f>
        <v>3525.2229039346048</v>
      </c>
      <c r="G85" s="26">
        <f t="shared" si="33"/>
        <v>2890.6827812263764</v>
      </c>
      <c r="H85" s="26">
        <f t="shared" si="34"/>
        <v>634.5401227082283</v>
      </c>
      <c r="I85" s="26">
        <f t="shared" si="35"/>
        <v>869.10880184832422</v>
      </c>
      <c r="J85" s="26">
        <f>I85*Parameters!$C$20</f>
        <v>26.073264055449727</v>
      </c>
      <c r="K85" s="26">
        <f>I85*Parameters!$C$19</f>
        <v>191.20393640663133</v>
      </c>
      <c r="L85" s="26">
        <f>K85*Parameters!$C$23</f>
        <v>187.37985767849869</v>
      </c>
      <c r="M85" s="26">
        <f>B85*Parameters!$C$15</f>
        <v>143.60744383787636</v>
      </c>
      <c r="N85" s="26">
        <f>G85*Parameters!$C$21</f>
        <v>2370.3598806056284</v>
      </c>
      <c r="O85" s="26">
        <f>L85+G85*(1-Parameters!$C$21)*Parameters!$C$23</f>
        <v>697.29630028683164</v>
      </c>
      <c r="P85" s="26">
        <f>I85*Parameters!$C$22*Parameters!$C$25</f>
        <v>166.86888995487826</v>
      </c>
      <c r="Q85" s="26">
        <f>P85*Parameters!$C$24*10000000</f>
        <v>73422311580.146439</v>
      </c>
      <c r="R85" s="26">
        <f>E85*M9+J85+H85*(1-O9)+K85*(1-Parameters!$C$23)+'Scenario prediction'!G85*(1-Parameters!$C$21)*(1-Parameters!$C$23)</f>
        <v>40.303800795997326</v>
      </c>
      <c r="S85" s="26">
        <f>R85+I85*Parameters!$C$22*(1-Parameters!$C$25)</f>
        <v>525.26651222736223</v>
      </c>
      <c r="T85" s="26">
        <f>N85*Parameters!$C$27+Parameters!$C$26*Parameters!$C$22*'Scenario prediction'!I85</f>
        <v>5514.0019163630059</v>
      </c>
      <c r="U85" s="26">
        <f>N85*(Parameters!$C$28-Parameters!$C$27)</f>
        <v>6914.339771726618</v>
      </c>
      <c r="V85" s="26">
        <f>I85*Parameters!$C$29</f>
        <v>260732640.55449727</v>
      </c>
      <c r="W85" s="26">
        <f t="shared" si="36"/>
        <v>260.73264055449727</v>
      </c>
    </row>
    <row r="86" spans="1:23" x14ac:dyDescent="0.25">
      <c r="A86">
        <v>2027</v>
      </c>
      <c r="B86" s="26">
        <f t="shared" si="31"/>
        <v>294.9325755454484</v>
      </c>
      <c r="C86" s="26">
        <f>B10*Parameters!$C$4</f>
        <v>237.54726115620829</v>
      </c>
      <c r="D86" s="26">
        <f>C10*Parameters!$C$8+D10*Parameters!$C$11</f>
        <v>251.89261503120031</v>
      </c>
      <c r="E86" s="26">
        <f t="shared" si="32"/>
        <v>886.45999370941774</v>
      </c>
      <c r="F86" s="26">
        <f>B86*(1-Parameters!$C$15)+E86*K10+C10*G10+D10*I10</f>
        <v>3643.4266963035352</v>
      </c>
      <c r="G86" s="26">
        <f t="shared" si="33"/>
        <v>3024.0441579319349</v>
      </c>
      <c r="H86" s="26">
        <f t="shared" si="34"/>
        <v>619.38253837160028</v>
      </c>
      <c r="I86" s="26">
        <f t="shared" si="35"/>
        <v>829.4735568807323</v>
      </c>
      <c r="J86" s="26">
        <f>I86*Parameters!$C$20</f>
        <v>24.884206706421967</v>
      </c>
      <c r="K86" s="26">
        <f>I86*Parameters!$C$19</f>
        <v>182.48418251376111</v>
      </c>
      <c r="L86" s="26">
        <f>K86*Parameters!$C$23</f>
        <v>178.83449886348589</v>
      </c>
      <c r="M86" s="26">
        <f>B86*Parameters!$C$15</f>
        <v>147.4662877727242</v>
      </c>
      <c r="N86" s="26">
        <f>G86*Parameters!$C$21</f>
        <v>2479.7162095041863</v>
      </c>
      <c r="O86" s="26">
        <f>L86+G86*(1-Parameters!$C$21)*Parameters!$C$23</f>
        <v>712.27588832267941</v>
      </c>
      <c r="P86" s="26">
        <f>I86*Parameters!$C$22*Parameters!$C$25</f>
        <v>159.25892292110061</v>
      </c>
      <c r="Q86" s="26">
        <f>P86*Parameters!$C$24*10000000</f>
        <v>70073926085.284271</v>
      </c>
      <c r="R86" s="26">
        <f>E86*M10+J86+H86*(1-O10)+K86*(1-Parameters!$C$23)+'Scenario prediction'!G86*(1-Parameters!$C$21)*(1-Parameters!$C$23)</f>
        <v>39.420449325252171</v>
      </c>
      <c r="S86" s="26">
        <f>R86+I86*Parameters!$C$22*(1-Parameters!$C$25)</f>
        <v>502.2666940647008</v>
      </c>
      <c r="T86" s="26">
        <f>N86*Parameters!$C$27+Parameters!$C$26*Parameters!$C$22*'Scenario prediction'!I86</f>
        <v>5603.9436599880828</v>
      </c>
      <c r="U86" s="26">
        <f>N86*(Parameters!$C$28-Parameters!$C$27)</f>
        <v>7233.3321831237108</v>
      </c>
      <c r="V86" s="26">
        <f>I86*Parameters!$C$29</f>
        <v>248842067.06421968</v>
      </c>
      <c r="W86" s="26">
        <f t="shared" si="36"/>
        <v>248.84206706421969</v>
      </c>
    </row>
    <row r="87" spans="1:23" x14ac:dyDescent="0.25">
      <c r="A87">
        <v>2028</v>
      </c>
      <c r="B87" s="26">
        <f t="shared" si="31"/>
        <v>302.8566385038315</v>
      </c>
      <c r="C87" s="26">
        <f>B11*Parameters!$C$4</f>
        <v>243.48594268511349</v>
      </c>
      <c r="D87" s="26">
        <f>C11*Parameters!$C$8+D11*Parameters!$C$11</f>
        <v>258.18993040698024</v>
      </c>
      <c r="E87" s="26">
        <f t="shared" si="32"/>
        <v>819.49513883886789</v>
      </c>
      <c r="F87" s="26">
        <f>B87*(1-Parameters!$C$15)+E87*K11+C11*G11+D11*I11</f>
        <v>3763.5548868816868</v>
      </c>
      <c r="G87" s="26">
        <f t="shared" si="33"/>
        <v>3161.3861049806178</v>
      </c>
      <c r="H87" s="26">
        <f t="shared" si="34"/>
        <v>602.16878190106922</v>
      </c>
      <c r="I87" s="26">
        <f t="shared" si="35"/>
        <v>788.19417841749225</v>
      </c>
      <c r="J87" s="26">
        <f>I87*Parameters!$C$20</f>
        <v>23.645825352524767</v>
      </c>
      <c r="K87" s="26">
        <f>I87*Parameters!$C$19</f>
        <v>173.40271925184831</v>
      </c>
      <c r="L87" s="26">
        <f>K87*Parameters!$C$23</f>
        <v>169.93466486681135</v>
      </c>
      <c r="M87" s="26">
        <f>B87*Parameters!$C$15</f>
        <v>151.42831925191575</v>
      </c>
      <c r="N87" s="26">
        <f>G87*Parameters!$C$21</f>
        <v>2592.3366060841063</v>
      </c>
      <c r="O87" s="26">
        <f>L87+G87*(1-Parameters!$C$21)*Parameters!$C$23</f>
        <v>727.60317378539253</v>
      </c>
      <c r="P87" s="26">
        <f>I87*Parameters!$C$22*Parameters!$C$25</f>
        <v>151.3332822561585</v>
      </c>
      <c r="Q87" s="26">
        <f>P87*Parameters!$C$24*10000000</f>
        <v>66586644192.70974</v>
      </c>
      <c r="R87" s="26">
        <f>E87*M11+J87+H87*(1-O11)+K87*(1-Parameters!$C$23)+'Scenario prediction'!G87*(1-Parameters!$C$21)*(1-Parameters!$C$23)</f>
        <v>38.494869715491973</v>
      </c>
      <c r="S87" s="26">
        <f>R87+I87*Parameters!$C$22*(1-Parameters!$C$25)</f>
        <v>478.30722127245264</v>
      </c>
      <c r="T87" s="26">
        <f>N87*Parameters!$C$27+Parameters!$C$26*Parameters!$C$22*'Scenario prediction'!I87</f>
        <v>5695.6189645381246</v>
      </c>
      <c r="U87" s="26">
        <f>N87*(Parameters!$C$28-Parameters!$C$27)</f>
        <v>7561.8458799473374</v>
      </c>
      <c r="V87" s="26">
        <f>I87*Parameters!$C$29</f>
        <v>236458253.52524766</v>
      </c>
      <c r="W87" s="26">
        <f t="shared" si="36"/>
        <v>236.45825352524767</v>
      </c>
    </row>
    <row r="88" spans="1:23" x14ac:dyDescent="0.25">
      <c r="A88">
        <v>2029</v>
      </c>
      <c r="B88" s="26">
        <f t="shared" si="31"/>
        <v>310.48450619482634</v>
      </c>
      <c r="C88" s="26">
        <f>B12*Parameters!$C$4</f>
        <v>249.57309125224131</v>
      </c>
      <c r="D88" s="26">
        <f>C12*Parameters!$C$8+D12*Parameters!$C$11</f>
        <v>264.64467866715478</v>
      </c>
      <c r="E88" s="26">
        <f t="shared" si="32"/>
        <v>749.13606928431409</v>
      </c>
      <c r="F88" s="26">
        <f>B88*(1-Parameters!$C$15)+E88*K12+C12*G12+D12*I12</f>
        <v>3885.7290375841676</v>
      </c>
      <c r="G88" s="26">
        <f t="shared" si="33"/>
        <v>3302.8696819465431</v>
      </c>
      <c r="H88" s="26">
        <f t="shared" si="34"/>
        <v>582.85935563762439</v>
      </c>
      <c r="I88" s="26">
        <f t="shared" si="35"/>
        <v>745.42188267232052</v>
      </c>
      <c r="J88" s="26">
        <f>I88*Parameters!$C$20</f>
        <v>22.362656480169615</v>
      </c>
      <c r="K88" s="26">
        <f>I88*Parameters!$C$19</f>
        <v>163.99281418791051</v>
      </c>
      <c r="L88" s="26">
        <f>K88*Parameters!$C$23</f>
        <v>160.71295790415229</v>
      </c>
      <c r="M88" s="26">
        <f>B88*Parameters!$C$15</f>
        <v>155.24225309741317</v>
      </c>
      <c r="N88" s="26">
        <f>G88*Parameters!$C$21</f>
        <v>2708.3531391961651</v>
      </c>
      <c r="O88" s="26">
        <f>L88+G88*(1-Parameters!$C$21)*Parameters!$C$23</f>
        <v>743.33916979952255</v>
      </c>
      <c r="P88" s="26">
        <f>I88*Parameters!$C$22*Parameters!$C$25</f>
        <v>143.12100147308556</v>
      </c>
      <c r="Q88" s="26">
        <f>P88*Parameters!$C$24*10000000</f>
        <v>62973240648.157646</v>
      </c>
      <c r="R88" s="26">
        <f>E88*M12+J88+H88*(1-O12)+K88*(1-Parameters!$C$23)+'Scenario prediction'!G88*(1-Parameters!$C$21)*(1-Parameters!$C$23)</f>
        <v>37.532843618935395</v>
      </c>
      <c r="S88" s="26">
        <f>R88+I88*Parameters!$C$22*(1-Parameters!$C$25)</f>
        <v>453.47825415009027</v>
      </c>
      <c r="T88" s="26">
        <f>N88*Parameters!$C$27+Parameters!$C$26*Parameters!$C$22*'Scenario prediction'!I88</f>
        <v>5789.5470615496406</v>
      </c>
      <c r="U88" s="26">
        <f>N88*(Parameters!$C$28-Parameters!$C$27)</f>
        <v>7900.2661070352133</v>
      </c>
      <c r="V88" s="26">
        <f>I88*Parameters!$C$29</f>
        <v>223626564.80169615</v>
      </c>
      <c r="W88" s="26">
        <f t="shared" si="36"/>
        <v>223.62656480169616</v>
      </c>
    </row>
    <row r="89" spans="1:23" x14ac:dyDescent="0.25">
      <c r="A89">
        <v>2030</v>
      </c>
      <c r="B89" s="26">
        <f t="shared" si="31"/>
        <v>318.24661884969703</v>
      </c>
      <c r="C89" s="26">
        <f>B13*Parameters!$C$4</f>
        <v>255.81241853354734</v>
      </c>
      <c r="D89" s="26">
        <f>C13*Parameters!$C$8+D13*Parameters!$C$11</f>
        <v>271.26079563383371</v>
      </c>
      <c r="E89" s="26">
        <f t="shared" si="32"/>
        <v>674.80472481186712</v>
      </c>
      <c r="F89" s="26">
        <f>B89*(1-Parameters!$C$15)+E89*K13+C13*G13+D13*I13</f>
        <v>4009.8142756982788</v>
      </c>
      <c r="G89" s="26">
        <f t="shared" si="33"/>
        <v>3448.4402771005207</v>
      </c>
      <c r="H89" s="26">
        <f t="shared" si="34"/>
        <v>561.37399859775815</v>
      </c>
      <c r="I89" s="26">
        <f t="shared" si="35"/>
        <v>701.0585766338146</v>
      </c>
      <c r="J89" s="26">
        <f>I89*Parameters!$C$20</f>
        <v>21.031757299014437</v>
      </c>
      <c r="K89" s="26">
        <f>I89*Parameters!$C$19</f>
        <v>154.23288685943922</v>
      </c>
      <c r="L89" s="26">
        <f>K89*Parameters!$C$23</f>
        <v>151.14822912225043</v>
      </c>
      <c r="M89" s="26">
        <f>B89*Parameters!$C$15</f>
        <v>159.12330942484851</v>
      </c>
      <c r="N89" s="26">
        <f>G89*Parameters!$C$21</f>
        <v>2827.721027222427</v>
      </c>
      <c r="O89" s="26">
        <f>L89+G89*(1-Parameters!$C$21)*Parameters!$C$23</f>
        <v>759.45309400278245</v>
      </c>
      <c r="P89" s="26">
        <f>I89*Parameters!$C$22*Parameters!$C$25</f>
        <v>134.60324671369241</v>
      </c>
      <c r="Q89" s="26">
        <f>P89*Parameters!$C$24*10000000</f>
        <v>59225428554.024666</v>
      </c>
      <c r="R89" s="26">
        <f>E89*M13+J89+H89*(1-O13)+K89*(1-Parameters!$C$23)+'Scenario prediction'!G89*(1-Parameters!$C$21)*(1-Parameters!$C$23)</f>
        <v>36.530800033765118</v>
      </c>
      <c r="S89" s="26">
        <f>R89+I89*Parameters!$C$22*(1-Parameters!$C$25)</f>
        <v>427.72148579543369</v>
      </c>
      <c r="T89" s="26">
        <f>N89*Parameters!$C$27+Parameters!$C$26*Parameters!$C$22*'Scenario prediction'!I89</f>
        <v>5885.455327046453</v>
      </c>
      <c r="U89" s="26">
        <f>N89*(Parameters!$C$28-Parameters!$C$27)</f>
        <v>8248.4622364078186</v>
      </c>
      <c r="V89" s="26">
        <f>I89*Parameters!$C$29</f>
        <v>210317572.99014437</v>
      </c>
      <c r="W89" s="26">
        <f t="shared" si="36"/>
        <v>210.31757299014438</v>
      </c>
    </row>
    <row r="90" spans="1:23" x14ac:dyDescent="0.25">
      <c r="A90">
        <v>2031</v>
      </c>
      <c r="B90" s="26">
        <f t="shared" si="31"/>
        <v>326.20278432093943</v>
      </c>
      <c r="C90" s="26">
        <f>B14*Parameters!$C$4</f>
        <v>262.20772899688603</v>
      </c>
      <c r="D90" s="26">
        <f>C14*Parameters!$C$8+D14*Parameters!$C$11</f>
        <v>278.04231552467945</v>
      </c>
      <c r="E90" s="26">
        <f t="shared" si="32"/>
        <v>596.28860307249499</v>
      </c>
      <c r="F90" s="26">
        <f>B90*(1-Parameters!$C$15)+E90*K14+C14*G14+D14*I14</f>
        <v>4130.9971614478309</v>
      </c>
      <c r="G90" s="26">
        <f t="shared" si="33"/>
        <v>3593.967530459614</v>
      </c>
      <c r="H90" s="26">
        <f t="shared" si="34"/>
        <v>537.02963098821715</v>
      </c>
      <c r="I90" s="26">
        <f t="shared" si="35"/>
        <v>659.26879461807857</v>
      </c>
      <c r="J90" s="26">
        <f>I90*Parameters!$C$20</f>
        <v>19.778063838542355</v>
      </c>
      <c r="K90" s="26">
        <f>I90*Parameters!$C$19</f>
        <v>145.03913481597729</v>
      </c>
      <c r="L90" s="26">
        <f>K90*Parameters!$C$23</f>
        <v>142.13835211965775</v>
      </c>
      <c r="M90" s="26">
        <f>B90*Parameters!$C$15</f>
        <v>163.10139216046971</v>
      </c>
      <c r="N90" s="26">
        <f>G90*Parameters!$C$21</f>
        <v>2947.0533749768833</v>
      </c>
      <c r="O90" s="26">
        <f>L90+G90*(1-Parameters!$C$21)*Parameters!$C$23</f>
        <v>776.1142244927338</v>
      </c>
      <c r="P90" s="26">
        <f>I90*Parameters!$C$22*Parameters!$C$25</f>
        <v>126.57960856667108</v>
      </c>
      <c r="Q90" s="26">
        <f>P90*Parameters!$C$24*10000000</f>
        <v>55695027769.335274</v>
      </c>
      <c r="R90" s="26">
        <f>E90*M14+J90+H90*(1-O14)+K90*(1-Parameters!$C$23)+'Scenario prediction'!G90*(1-Parameters!$C$21)*(1-Parameters!$C$23)</f>
        <v>35.617129644516531</v>
      </c>
      <c r="S90" s="26">
        <f>R90+I90*Parameters!$C$22*(1-Parameters!$C$25)</f>
        <v>403.48911704140437</v>
      </c>
      <c r="T90" s="26">
        <f>N90*Parameters!$C$27+Parameters!$C$26*Parameters!$C$22*'Scenario prediction'!I90</f>
        <v>5986.6156876134946</v>
      </c>
      <c r="U90" s="26">
        <f>N90*(Parameters!$C$28-Parameters!$C$27)</f>
        <v>8596.554694807568</v>
      </c>
      <c r="V90" s="26">
        <f>I90*Parameters!$C$29</f>
        <v>197780638.38542357</v>
      </c>
      <c r="W90" s="26">
        <f t="shared" si="36"/>
        <v>197.78063838542357</v>
      </c>
    </row>
    <row r="91" spans="1:23" x14ac:dyDescent="0.25">
      <c r="A91">
        <v>2032</v>
      </c>
      <c r="B91" s="26">
        <f t="shared" si="31"/>
        <v>334.35785392896281</v>
      </c>
      <c r="C91" s="26">
        <f>B15*Parameters!$C$4</f>
        <v>268.76292222180808</v>
      </c>
      <c r="D91" s="26">
        <f>C15*Parameters!$C$8+D15*Parameters!$C$11</f>
        <v>284.99337341279642</v>
      </c>
      <c r="E91" s="26">
        <f t="shared" si="32"/>
        <v>566.47002729906944</v>
      </c>
      <c r="F91" s="26">
        <f>B91*(1-Parameters!$C$15)+E91*K15+C15*G15+D15*I15</f>
        <v>4244.5738176629238</v>
      </c>
      <c r="G91" s="26">
        <f t="shared" si="33"/>
        <v>3735.2249595433741</v>
      </c>
      <c r="H91" s="26">
        <f t="shared" si="34"/>
        <v>509.3488581195499</v>
      </c>
      <c r="I91" s="26">
        <f t="shared" si="35"/>
        <v>624.34227366126095</v>
      </c>
      <c r="J91" s="26">
        <f>I91*Parameters!$C$20</f>
        <v>18.730268209837828</v>
      </c>
      <c r="K91" s="26">
        <f>I91*Parameters!$C$19</f>
        <v>137.35530020547742</v>
      </c>
      <c r="L91" s="26">
        <f>K91*Parameters!$C$23</f>
        <v>134.60819420136787</v>
      </c>
      <c r="M91" s="26">
        <f>B91*Parameters!$C$15</f>
        <v>167.17892696448141</v>
      </c>
      <c r="N91" s="26">
        <f>G91*Parameters!$C$21</f>
        <v>3062.8844668255665</v>
      </c>
      <c r="O91" s="26">
        <f>L91+G91*(1-Parameters!$C$21)*Parameters!$C$23</f>
        <v>793.50187706481915</v>
      </c>
      <c r="P91" s="26">
        <f>I91*Parameters!$C$22*Parameters!$C$25</f>
        <v>119.8737165429621</v>
      </c>
      <c r="Q91" s="26">
        <f>P91*Parameters!$C$24*10000000</f>
        <v>52744435278.90332</v>
      </c>
      <c r="R91" s="26">
        <f>E91*M15+J91+H91*(1-O15)+K91*(1-Parameters!$C$23)+'Scenario prediction'!G91*(1-Parameters!$C$21)*(1-Parameters!$C$23)</f>
        <v>34.924184068303539</v>
      </c>
      <c r="S91" s="26">
        <f>R91+I91*Parameters!$C$22*(1-Parameters!$C$25)</f>
        <v>383.30717277128713</v>
      </c>
      <c r="T91" s="26">
        <f>N91*Parameters!$C$27+Parameters!$C$26*Parameters!$C$22*'Scenario prediction'!I91</f>
        <v>6096.43455234249</v>
      </c>
      <c r="U91" s="26">
        <f>N91*(Parameters!$C$28-Parameters!$C$27)</f>
        <v>8934.4339897301761</v>
      </c>
      <c r="V91" s="26">
        <f>I91*Parameters!$C$29</f>
        <v>187302682.09837827</v>
      </c>
      <c r="W91" s="26">
        <f t="shared" si="36"/>
        <v>187.30268209837828</v>
      </c>
    </row>
    <row r="92" spans="1:23" x14ac:dyDescent="0.25">
      <c r="A92">
        <v>2033</v>
      </c>
      <c r="B92" s="26">
        <f t="shared" si="31"/>
        <v>342.71680027718691</v>
      </c>
      <c r="C92" s="26">
        <f>B16*Parameters!$C$4</f>
        <v>275.48199527735329</v>
      </c>
      <c r="D92" s="26">
        <f>C16*Parameters!$C$8+D16*Parameters!$C$11</f>
        <v>292.11820774811633</v>
      </c>
      <c r="E92" s="26">
        <f t="shared" si="32"/>
        <v>534.78784236005231</v>
      </c>
      <c r="F92" s="26">
        <f>B92*(1-Parameters!$C$15)+E92*K16+C16*G16+D16*I16</f>
        <v>4360.5292698780204</v>
      </c>
      <c r="G92" s="26">
        <f t="shared" si="33"/>
        <v>3859.0684038420491</v>
      </c>
      <c r="H92" s="26">
        <f t="shared" si="34"/>
        <v>501.46086603597132</v>
      </c>
      <c r="I92" s="26">
        <f t="shared" si="35"/>
        <v>609.48801019270184</v>
      </c>
      <c r="J92" s="26">
        <f>I92*Parameters!$C$20</f>
        <v>18.284640305781053</v>
      </c>
      <c r="K92" s="26">
        <f>I92*Parameters!$C$19</f>
        <v>134.08736224239439</v>
      </c>
      <c r="L92" s="26">
        <f>K92*Parameters!$C$23</f>
        <v>131.40561499754651</v>
      </c>
      <c r="M92" s="26">
        <f>B92*Parameters!$C$15</f>
        <v>171.35840013859345</v>
      </c>
      <c r="N92" s="26">
        <f>G92*Parameters!$C$21</f>
        <v>3164.43609115048</v>
      </c>
      <c r="O92" s="26">
        <f>L92+G92*(1-Parameters!$C$21)*Parameters!$C$23</f>
        <v>812.14528143528423</v>
      </c>
      <c r="P92" s="26">
        <f>I92*Parameters!$C$22*Parameters!$C$25</f>
        <v>117.02169795699875</v>
      </c>
      <c r="Q92" s="26">
        <f>P92*Parameters!$C$24*10000000</f>
        <v>51489547101.079453</v>
      </c>
      <c r="R92" s="26">
        <f>E92*M16+J92+H92*(1-O16)+K92*(1-Parameters!$C$23)+'Scenario prediction'!G92*(1-Parameters!$C$21)*(1-Parameters!$C$23)</f>
        <v>34.859033804460339</v>
      </c>
      <c r="S92" s="26">
        <f>R92+I92*Parameters!$C$22*(1-Parameters!$C$25)</f>
        <v>374.95334349198794</v>
      </c>
      <c r="T92" s="26">
        <f>N92*Parameters!$C$27+Parameters!$C$26*Parameters!$C$22*'Scenario prediction'!I92</f>
        <v>6225.2336841287015</v>
      </c>
      <c r="U92" s="26">
        <f>N92*(Parameters!$C$28-Parameters!$C$27)</f>
        <v>9230.6600778859502</v>
      </c>
      <c r="V92" s="26">
        <f>I92*Parameters!$C$29</f>
        <v>182846403.05781054</v>
      </c>
      <c r="W92" s="26">
        <f t="shared" si="36"/>
        <v>182.84640305781053</v>
      </c>
    </row>
    <row r="93" spans="1:23" x14ac:dyDescent="0.25">
      <c r="A93">
        <v>2034</v>
      </c>
      <c r="B93" s="26">
        <f t="shared" si="31"/>
        <v>351.28472028411653</v>
      </c>
      <c r="C93" s="26">
        <f>B17*Parameters!$C$4</f>
        <v>282.36904515928711</v>
      </c>
      <c r="D93" s="26">
        <f>C17*Parameters!$C$8+D17*Parameters!$C$11</f>
        <v>299.42116294181915</v>
      </c>
      <c r="E93" s="26">
        <f t="shared" si="32"/>
        <v>501.16750440702236</v>
      </c>
      <c r="F93" s="26">
        <f>B93*(1-Parameters!$C$15)+E93*K17+C17*G17+D17*I17</f>
        <v>4479.5356559998072</v>
      </c>
      <c r="G93" s="26">
        <f t="shared" si="33"/>
        <v>4009.1844121198287</v>
      </c>
      <c r="H93" s="26">
        <f t="shared" si="34"/>
        <v>470.35124387997871</v>
      </c>
      <c r="I93" s="26">
        <f t="shared" si="35"/>
        <v>571.08591226579017</v>
      </c>
      <c r="J93" s="26">
        <f>I93*Parameters!$C$20</f>
        <v>17.132577367973706</v>
      </c>
      <c r="K93" s="26">
        <f>I93*Parameters!$C$19</f>
        <v>125.63890069847383</v>
      </c>
      <c r="L93" s="26">
        <f>K93*Parameters!$C$23</f>
        <v>123.12612268450435</v>
      </c>
      <c r="M93" s="26">
        <f>B93*Parameters!$C$15</f>
        <v>175.64236014205827</v>
      </c>
      <c r="N93" s="26">
        <f>G93*Parameters!$C$21</f>
        <v>3287.5312179382595</v>
      </c>
      <c r="O93" s="26">
        <f>L93+G93*(1-Parameters!$C$21)*Parameters!$C$23</f>
        <v>830.34625298244237</v>
      </c>
      <c r="P93" s="26">
        <f>I93*Parameters!$C$22*Parameters!$C$25</f>
        <v>109.64849515503171</v>
      </c>
      <c r="Q93" s="26">
        <f>P93*Parameters!$C$24*10000000</f>
        <v>48245337868.213959</v>
      </c>
      <c r="R93" s="26">
        <f>E93*M17+J93+H93*(1-O17)+K93*(1-Parameters!$C$23)+'Scenario prediction'!G93*(1-Parameters!$C$21)*(1-Parameters!$C$23)</f>
        <v>34.078419265574581</v>
      </c>
      <c r="S93" s="26">
        <f>R93+I93*Parameters!$C$22*(1-Parameters!$C$25)</f>
        <v>352.74435830988546</v>
      </c>
      <c r="T93" s="26">
        <f>N93*Parameters!$C$27+Parameters!$C$26*Parameters!$C$22*'Scenario prediction'!I93</f>
        <v>6339.2887062112595</v>
      </c>
      <c r="U93" s="26">
        <f>N93*(Parameters!$C$28-Parameters!$C$27)</f>
        <v>9589.7285627259025</v>
      </c>
      <c r="V93" s="26">
        <f>I93*Parameters!$C$29</f>
        <v>171325773.67973706</v>
      </c>
      <c r="W93" s="26">
        <f t="shared" si="36"/>
        <v>171.32577367973707</v>
      </c>
    </row>
    <row r="94" spans="1:23" x14ac:dyDescent="0.25">
      <c r="A94">
        <v>2035</v>
      </c>
      <c r="B94" s="26">
        <f t="shared" si="31"/>
        <v>360.06683829121937</v>
      </c>
      <c r="C94" s="26">
        <f>B18*Parameters!$C$4</f>
        <v>289.42827128826923</v>
      </c>
      <c r="D94" s="26">
        <f>C18*Parameters!$C$8+D18*Parameters!$C$11</f>
        <v>306.90669201536468</v>
      </c>
      <c r="E94" s="26">
        <f t="shared" si="32"/>
        <v>465.5319071548663</v>
      </c>
      <c r="F94" s="26">
        <f>B94*(1-Parameters!$C$15)+E94*K18+C18*G18+D18*I18</f>
        <v>4601.6707010642858</v>
      </c>
      <c r="G94" s="26">
        <f t="shared" si="33"/>
        <v>4141.5036309578572</v>
      </c>
      <c r="H94" s="26">
        <f>F94*(1-N18)</f>
        <v>460.16707010642847</v>
      </c>
      <c r="I94" s="26">
        <f>E94*L18+H94*O18</f>
        <v>553.2734515374018</v>
      </c>
      <c r="J94" s="26">
        <f>I94*Parameters!$C$20</f>
        <v>16.598203546122054</v>
      </c>
      <c r="K94" s="26">
        <f>I94*Parameters!$C$19</f>
        <v>121.7201593382284</v>
      </c>
      <c r="L94" s="26">
        <f>K94*Parameters!$C$23</f>
        <v>119.28575615146383</v>
      </c>
      <c r="M94" s="26">
        <f>B94*Parameters!$C$15</f>
        <v>180.03341914560968</v>
      </c>
      <c r="N94" s="26">
        <f>G94*Parameters!$C$21</f>
        <v>3396.0329773854428</v>
      </c>
      <c r="O94" s="26">
        <f>L94+G94*(1-Parameters!$C$21)*Parameters!$C$23</f>
        <v>849.84699665242999</v>
      </c>
      <c r="P94" s="26">
        <f>I94*Parameters!$C$22*Parameters!$C$25</f>
        <v>106.22850269518115</v>
      </c>
      <c r="Q94" s="26">
        <f>P94*Parameters!$C$24*10000000</f>
        <v>46740541185.8797</v>
      </c>
      <c r="R94" s="26">
        <f>E94*M18+J94+H94*(1-O18)+K94*(1-Parameters!$C$23)+'Scenario prediction'!G94*(1-Parameters!$C$21)*(1-Parameters!$C$23)</f>
        <v>33.942019804334926</v>
      </c>
      <c r="S94" s="26">
        <f>R94+I94*Parameters!$C$22*(1-Parameters!$C$25)</f>
        <v>342.66860576220512</v>
      </c>
      <c r="T94" s="26">
        <f>N94*Parameters!$C$27+Parameters!$C$26*Parameters!$C$22*'Scenario prediction'!I94</f>
        <v>6472.8982682910364</v>
      </c>
      <c r="U94" s="26">
        <f>N94*(Parameters!$C$28-Parameters!$C$27)</f>
        <v>9906.2281950333363</v>
      </c>
      <c r="V94" s="26">
        <f>I94*Parameters!$C$29</f>
        <v>165982035.46122053</v>
      </c>
      <c r="W94" s="26">
        <f t="shared" si="36"/>
        <v>165.98203546122053</v>
      </c>
    </row>
    <row r="98" spans="26:28" x14ac:dyDescent="0.25">
      <c r="Z98" s="28"/>
      <c r="AA98" s="28"/>
      <c r="AB98" s="28"/>
    </row>
    <row r="99" spans="26:28" x14ac:dyDescent="0.25">
      <c r="Z99" s="28"/>
      <c r="AA99" s="28"/>
      <c r="AB99" s="28"/>
    </row>
    <row r="100" spans="26:28" x14ac:dyDescent="0.25">
      <c r="Z100" s="28"/>
      <c r="AA100" s="28"/>
      <c r="AB100" s="28"/>
    </row>
    <row r="101" spans="26:28" x14ac:dyDescent="0.25">
      <c r="Z101" s="28"/>
      <c r="AA101" s="28"/>
      <c r="AB101" s="28"/>
    </row>
    <row r="102" spans="26:28" x14ac:dyDescent="0.25">
      <c r="Z102" s="28"/>
      <c r="AA102" s="28"/>
      <c r="AB102" s="28"/>
    </row>
    <row r="103" spans="26:28" x14ac:dyDescent="0.25">
      <c r="Z103" s="28"/>
      <c r="AA103" s="28"/>
      <c r="AB103" s="28"/>
    </row>
    <row r="104" spans="26:28" x14ac:dyDescent="0.25">
      <c r="Z104" s="28"/>
      <c r="AA104" s="28"/>
      <c r="AB104" s="28"/>
    </row>
    <row r="105" spans="26:28" x14ac:dyDescent="0.25">
      <c r="Z105" s="28"/>
      <c r="AA105" s="28"/>
      <c r="AB105" s="28"/>
    </row>
    <row r="106" spans="26:28" x14ac:dyDescent="0.25">
      <c r="Z106" s="28"/>
      <c r="AA106" s="28"/>
      <c r="AB106" s="28"/>
    </row>
    <row r="107" spans="26:28" x14ac:dyDescent="0.25">
      <c r="Z107" s="28"/>
      <c r="AA107" s="28"/>
      <c r="AB107" s="28"/>
    </row>
    <row r="108" spans="26:28" x14ac:dyDescent="0.25">
      <c r="Z108" s="28"/>
      <c r="AA108" s="28"/>
      <c r="AB108" s="28"/>
    </row>
    <row r="109" spans="26:28" x14ac:dyDescent="0.25">
      <c r="Z109" s="28"/>
      <c r="AA109" s="28"/>
      <c r="AB109" s="28"/>
    </row>
    <row r="110" spans="26:28" x14ac:dyDescent="0.25">
      <c r="Z110" s="28"/>
      <c r="AA110" s="28"/>
      <c r="AB110" s="28"/>
    </row>
    <row r="111" spans="26:28" x14ac:dyDescent="0.25">
      <c r="Z111" s="28"/>
      <c r="AA111" s="28"/>
      <c r="AB111" s="28"/>
    </row>
    <row r="112" spans="26:28" x14ac:dyDescent="0.25">
      <c r="Z112" s="28"/>
      <c r="AA112" s="28"/>
      <c r="AB112" s="28"/>
    </row>
    <row r="113" spans="11:28" x14ac:dyDescent="0.25">
      <c r="Z113" s="28"/>
      <c r="AA113" s="28"/>
      <c r="AB113" s="28"/>
    </row>
    <row r="114" spans="11:28" x14ac:dyDescent="0.25">
      <c r="Z114" s="28"/>
      <c r="AA114" s="28"/>
      <c r="AB114" s="28"/>
    </row>
    <row r="115" spans="11:28" x14ac:dyDescent="0.25">
      <c r="Z115" s="28"/>
      <c r="AA115" s="28"/>
      <c r="AB115" s="28"/>
    </row>
    <row r="116" spans="11:28" x14ac:dyDescent="0.25">
      <c r="Z116" s="42"/>
      <c r="AA116" s="42"/>
      <c r="AB116" s="42"/>
    </row>
    <row r="117" spans="11:28" x14ac:dyDescent="0.25">
      <c r="K117" s="42"/>
      <c r="L117" s="28"/>
      <c r="M117" s="28"/>
      <c r="N117" s="28"/>
      <c r="O117" s="28"/>
      <c r="P117" s="28"/>
      <c r="Q117" s="28"/>
      <c r="R117" s="28"/>
      <c r="S117" s="28"/>
      <c r="T117" s="28"/>
      <c r="U117" s="28"/>
      <c r="V117" s="28"/>
      <c r="W117" s="28"/>
      <c r="X117" s="28"/>
      <c r="Y117" s="28"/>
      <c r="Z117" s="28"/>
      <c r="AA117" s="28"/>
      <c r="AB117" s="28"/>
    </row>
    <row r="118" spans="11:28" x14ac:dyDescent="0.25">
      <c r="K118" s="42"/>
      <c r="L118" s="28"/>
      <c r="M118" s="28"/>
      <c r="N118" s="28"/>
      <c r="O118" s="28"/>
      <c r="P118" s="28"/>
      <c r="Q118" s="28"/>
      <c r="R118" s="28"/>
      <c r="S118" s="28"/>
      <c r="T118" s="28"/>
      <c r="U118" s="28"/>
      <c r="V118" s="28"/>
      <c r="W118" s="28"/>
      <c r="X118" s="28"/>
      <c r="Y118" s="28"/>
      <c r="Z118" s="28"/>
      <c r="AA118" s="28"/>
      <c r="AB118" s="28"/>
    </row>
    <row r="119" spans="11:28" x14ac:dyDescent="0.25">
      <c r="K119" s="42"/>
      <c r="L119" s="28"/>
      <c r="M119" s="28"/>
      <c r="N119" s="28"/>
      <c r="O119" s="28"/>
      <c r="P119" s="28"/>
      <c r="Q119" s="28"/>
      <c r="R119" s="28"/>
      <c r="S119" s="28"/>
      <c r="T119" s="28"/>
      <c r="U119" s="28"/>
      <c r="V119" s="28"/>
      <c r="W119" s="28"/>
      <c r="X119" s="28"/>
      <c r="Y119" s="28"/>
      <c r="Z119" s="28"/>
      <c r="AA119" s="28"/>
      <c r="AB119" s="28"/>
    </row>
    <row r="120" spans="11:28" x14ac:dyDescent="0.25">
      <c r="K120" s="42"/>
      <c r="L120" s="28"/>
      <c r="M120" s="28"/>
      <c r="N120" s="28"/>
      <c r="O120" s="28"/>
      <c r="P120" s="28"/>
      <c r="Q120" s="28"/>
      <c r="R120" s="28"/>
      <c r="S120" s="28"/>
      <c r="T120" s="28"/>
      <c r="U120" s="28"/>
      <c r="V120" s="28"/>
      <c r="W120" s="28"/>
      <c r="X120" s="28"/>
      <c r="Y120" s="28"/>
      <c r="Z120" s="28"/>
      <c r="AA120" s="28"/>
      <c r="AB120" s="28"/>
    </row>
    <row r="121" spans="11:28" x14ac:dyDescent="0.25">
      <c r="K121" s="42"/>
      <c r="L121" s="28"/>
      <c r="M121" s="28"/>
      <c r="N121" s="28"/>
      <c r="O121" s="28"/>
      <c r="P121" s="28"/>
      <c r="Q121" s="28"/>
      <c r="R121" s="28"/>
      <c r="S121" s="28"/>
      <c r="T121" s="28"/>
      <c r="U121" s="28"/>
      <c r="V121" s="28"/>
      <c r="W121" s="28"/>
      <c r="X121" s="28"/>
      <c r="Y121" s="28"/>
      <c r="Z121" s="28"/>
      <c r="AA121" s="28"/>
      <c r="AB121" s="28"/>
    </row>
    <row r="122" spans="11:28" x14ac:dyDescent="0.25">
      <c r="K122" s="42"/>
      <c r="L122" s="28"/>
      <c r="M122" s="28"/>
      <c r="N122" s="28"/>
      <c r="O122" s="28"/>
      <c r="P122" s="28"/>
      <c r="Q122" s="28"/>
      <c r="R122" s="28"/>
      <c r="S122" s="28"/>
      <c r="T122" s="28"/>
      <c r="U122" s="28"/>
      <c r="V122" s="28"/>
      <c r="W122" s="28"/>
      <c r="X122" s="28"/>
      <c r="Y122" s="28"/>
      <c r="Z122" s="28"/>
      <c r="AA122" s="28"/>
      <c r="AB122" s="28"/>
    </row>
    <row r="123" spans="11:28" x14ac:dyDescent="0.25">
      <c r="K123" s="42"/>
      <c r="L123" s="28"/>
      <c r="M123" s="28"/>
      <c r="N123" s="28"/>
      <c r="O123" s="28"/>
      <c r="P123" s="28"/>
      <c r="Q123" s="28"/>
      <c r="R123" s="28"/>
      <c r="S123" s="28"/>
      <c r="T123" s="28"/>
      <c r="U123" s="28"/>
      <c r="V123" s="28"/>
      <c r="W123" s="28"/>
      <c r="X123" s="28"/>
      <c r="Y123" s="28"/>
      <c r="Z123" s="28"/>
      <c r="AA123" s="28"/>
      <c r="AB123" s="28"/>
    </row>
    <row r="124" spans="11:28" x14ac:dyDescent="0.25">
      <c r="K124" s="42"/>
      <c r="L124" s="28"/>
      <c r="M124" s="28"/>
      <c r="N124" s="28"/>
      <c r="O124" s="28"/>
      <c r="P124" s="28"/>
      <c r="Q124" s="28"/>
      <c r="R124" s="28"/>
      <c r="S124" s="28"/>
      <c r="T124" s="28"/>
      <c r="U124" s="28"/>
      <c r="V124" s="28"/>
      <c r="W124" s="28"/>
      <c r="X124" s="28"/>
      <c r="Y124" s="28"/>
      <c r="Z124" s="28"/>
      <c r="AA124" s="28"/>
      <c r="AB124" s="28"/>
    </row>
    <row r="125" spans="11:28" x14ac:dyDescent="0.25">
      <c r="K125" s="42"/>
      <c r="L125" s="28"/>
      <c r="M125" s="28"/>
      <c r="N125" s="28"/>
      <c r="O125" s="28"/>
      <c r="P125" s="28"/>
      <c r="Q125" s="28"/>
      <c r="R125" s="28"/>
      <c r="S125" s="28"/>
      <c r="T125" s="28"/>
      <c r="U125" s="28"/>
      <c r="V125" s="28"/>
      <c r="W125" s="28"/>
      <c r="X125" s="28"/>
      <c r="Y125" s="28"/>
      <c r="Z125" s="28"/>
      <c r="AA125" s="28"/>
      <c r="AB125" s="28"/>
    </row>
    <row r="126" spans="11:28" x14ac:dyDescent="0.25">
      <c r="K126" s="42"/>
      <c r="L126" s="28"/>
      <c r="M126" s="28"/>
      <c r="N126" s="28"/>
      <c r="O126" s="28"/>
      <c r="P126" s="28"/>
      <c r="Q126" s="28"/>
      <c r="R126" s="28"/>
      <c r="S126" s="28"/>
      <c r="T126" s="28"/>
      <c r="U126" s="28"/>
      <c r="V126" s="28"/>
      <c r="W126" s="28"/>
      <c r="X126" s="28"/>
      <c r="Y126" s="28"/>
      <c r="Z126" s="28"/>
      <c r="AA126" s="28"/>
      <c r="AB126" s="28"/>
    </row>
    <row r="127" spans="11:28" x14ac:dyDescent="0.25">
      <c r="K127" s="42"/>
      <c r="L127" s="28"/>
      <c r="M127" s="28"/>
      <c r="N127" s="28"/>
      <c r="O127" s="28"/>
      <c r="P127" s="28"/>
      <c r="Q127" s="28"/>
      <c r="R127" s="28"/>
      <c r="S127" s="28"/>
      <c r="T127" s="28"/>
      <c r="U127" s="28"/>
      <c r="V127" s="28"/>
      <c r="W127" s="28"/>
      <c r="X127" s="28"/>
      <c r="Y127" s="28"/>
      <c r="Z127" s="28"/>
      <c r="AA127" s="28"/>
      <c r="AB127" s="28"/>
    </row>
    <row r="128" spans="11:28" x14ac:dyDescent="0.25">
      <c r="K128" s="42"/>
      <c r="L128" s="43"/>
      <c r="M128" s="43"/>
      <c r="N128" s="43"/>
      <c r="O128" s="43"/>
      <c r="P128" s="43"/>
      <c r="Q128" s="43"/>
      <c r="R128" s="43"/>
      <c r="S128" s="43"/>
      <c r="T128" s="43"/>
      <c r="U128" s="43"/>
      <c r="V128" s="43"/>
      <c r="W128" s="43"/>
      <c r="X128" s="43"/>
      <c r="Y128" s="43"/>
      <c r="Z128" s="43"/>
      <c r="AA128" s="43"/>
      <c r="AB128" s="43"/>
    </row>
    <row r="129" spans="11:28" x14ac:dyDescent="0.25">
      <c r="K129" s="42"/>
      <c r="L129" s="43"/>
      <c r="M129" s="43"/>
      <c r="N129" s="43"/>
      <c r="O129" s="43"/>
      <c r="P129" s="43"/>
      <c r="Q129" s="43"/>
      <c r="R129" s="43"/>
      <c r="S129" s="43"/>
      <c r="T129" s="43"/>
      <c r="U129" s="43"/>
      <c r="V129" s="43"/>
      <c r="W129" s="43"/>
      <c r="X129" s="43"/>
      <c r="Y129" s="43"/>
      <c r="Z129" s="43"/>
      <c r="AA129" s="43"/>
      <c r="AB129" s="43"/>
    </row>
    <row r="130" spans="11:28" x14ac:dyDescent="0.25">
      <c r="K130" s="42"/>
      <c r="L130" s="43"/>
      <c r="M130" s="43"/>
      <c r="N130" s="43"/>
      <c r="O130" s="43"/>
      <c r="P130" s="43"/>
      <c r="Q130" s="43"/>
      <c r="R130" s="43"/>
      <c r="S130" s="43"/>
      <c r="T130" s="43"/>
      <c r="U130" s="43"/>
      <c r="V130" s="43"/>
      <c r="W130" s="43"/>
      <c r="X130" s="43"/>
      <c r="Y130" s="43"/>
      <c r="Z130" s="43"/>
      <c r="AA130" s="43"/>
      <c r="AB130" s="43"/>
    </row>
    <row r="131" spans="11:28" x14ac:dyDescent="0.25">
      <c r="K131" s="42"/>
      <c r="L131" s="44"/>
      <c r="M131" s="44"/>
      <c r="N131" s="44"/>
      <c r="O131" s="44"/>
      <c r="P131" s="44"/>
      <c r="Q131" s="44"/>
      <c r="R131" s="44"/>
      <c r="S131" s="44"/>
      <c r="T131" s="44"/>
      <c r="U131" s="44"/>
      <c r="V131" s="44"/>
      <c r="W131" s="44"/>
      <c r="X131" s="44"/>
      <c r="Y131" s="44"/>
      <c r="Z131" s="44"/>
      <c r="AA131" s="44"/>
      <c r="AB131" s="44"/>
    </row>
    <row r="132" spans="11:28" x14ac:dyDescent="0.25">
      <c r="K132" s="42"/>
      <c r="L132" s="43"/>
      <c r="M132" s="43"/>
      <c r="N132" s="43"/>
      <c r="O132" s="43"/>
      <c r="P132" s="43"/>
      <c r="Q132" s="43"/>
      <c r="R132" s="43"/>
      <c r="S132" s="43"/>
      <c r="T132" s="43"/>
      <c r="U132" s="43"/>
      <c r="V132" s="43"/>
      <c r="W132" s="43"/>
      <c r="X132" s="43"/>
      <c r="Y132" s="43"/>
      <c r="Z132" s="43"/>
      <c r="AA132" s="43"/>
      <c r="AB132" s="43"/>
    </row>
    <row r="133" spans="11:28" x14ac:dyDescent="0.25">
      <c r="K133" s="42"/>
      <c r="L133" s="43"/>
      <c r="M133" s="43"/>
      <c r="N133" s="43"/>
      <c r="O133" s="43"/>
      <c r="P133" s="43"/>
      <c r="Q133" s="43"/>
      <c r="R133" s="43"/>
      <c r="S133" s="43"/>
      <c r="T133" s="43"/>
      <c r="U133" s="43"/>
      <c r="V133" s="43"/>
      <c r="W133" s="43"/>
      <c r="X133" s="43"/>
      <c r="Y133" s="43"/>
      <c r="Z133" s="43"/>
      <c r="AA133" s="43"/>
      <c r="AB133" s="43"/>
    </row>
    <row r="134" spans="11:28" x14ac:dyDescent="0.25">
      <c r="K134" s="42"/>
      <c r="L134" s="43"/>
      <c r="M134" s="43"/>
      <c r="N134" s="43"/>
      <c r="O134" s="43"/>
      <c r="P134" s="43"/>
      <c r="Q134" s="43"/>
      <c r="R134" s="43"/>
      <c r="S134" s="43"/>
      <c r="T134" s="43"/>
      <c r="U134" s="43"/>
      <c r="V134" s="43"/>
      <c r="W134" s="43"/>
      <c r="X134" s="43"/>
      <c r="Y134" s="43"/>
      <c r="Z134" s="43"/>
      <c r="AA134" s="43"/>
      <c r="AB134" s="43"/>
    </row>
    <row r="135" spans="11:28" x14ac:dyDescent="0.25">
      <c r="K135" s="42"/>
      <c r="L135" s="45"/>
      <c r="M135" s="45"/>
      <c r="N135" s="45"/>
      <c r="O135" s="45"/>
      <c r="P135" s="45"/>
      <c r="Q135" s="45"/>
      <c r="R135" s="45"/>
      <c r="S135" s="45"/>
      <c r="T135" s="45"/>
      <c r="U135" s="45"/>
      <c r="V135" s="45"/>
      <c r="W135" s="45"/>
      <c r="X135" s="45"/>
      <c r="Y135" s="45"/>
      <c r="Z135" s="45"/>
      <c r="AA135" s="45"/>
      <c r="AB135" s="45"/>
    </row>
  </sheetData>
  <phoneticPr fontId="1" type="noConversion"/>
  <pageMargins left="0.7" right="0.7" top="0.75" bottom="0.75" header="0.3" footer="0.3"/>
  <pageSetup paperSize="9" orientation="portrait" r:id="rId1"/>
  <ignoredErrors>
    <ignoredError sqref="N16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6</vt:i4>
      </vt:variant>
      <vt:variant>
        <vt:lpstr>命名范围</vt:lpstr>
      </vt:variant>
      <vt:variant>
        <vt:i4>1</vt:i4>
      </vt:variant>
    </vt:vector>
  </HeadingPairs>
  <TitlesOfParts>
    <vt:vector size="7" baseType="lpstr">
      <vt:lpstr>Waste plastic data in 2019</vt:lpstr>
      <vt:lpstr>Parameters</vt:lpstr>
      <vt:lpstr>Base year analysis</vt:lpstr>
      <vt:lpstr>Sensitivty analysis-</vt:lpstr>
      <vt:lpstr>Forecast Output</vt:lpstr>
      <vt:lpstr>Scenario prediction</vt:lpstr>
      <vt:lpstr>Parameters!_Hlk79939650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2015-06-05T18:19:34Z</dcterms:created>
  <dcterms:modified xsi:type="dcterms:W3CDTF">2021-11-17T13:13:32Z</dcterms:modified>
</cp:coreProperties>
</file>