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0" windowWidth="23256" windowHeight="12912" tabRatio="696"/>
  </bookViews>
  <sheets>
    <sheet name="Amp (T-P-fO2 calculation)" sheetId="1" r:id="rId1"/>
    <sheet name="eq. coef." sheetId="12" state="hidden" r:id="rId2"/>
    <sheet name="stab.data" sheetId="3" state="hidden" r:id="rId3"/>
  </sheets>
  <calcPr calcId="145621"/>
</workbook>
</file>

<file path=xl/calcChain.xml><?xml version="1.0" encoding="utf-8"?>
<calcChain xmlns="http://schemas.openxmlformats.org/spreadsheetml/2006/main">
  <c r="V5" i="1" l="1"/>
  <c r="U5" i="1"/>
  <c r="W5" i="1"/>
  <c r="X5" i="1"/>
  <c r="Y5" i="1"/>
  <c r="Z5" i="1"/>
  <c r="AA5" i="1"/>
  <c r="AG5" i="1"/>
  <c r="AJ5" i="1"/>
  <c r="AI5" i="1"/>
  <c r="CG5" i="1"/>
  <c r="AK5" i="1"/>
  <c r="CH5" i="1"/>
  <c r="CI5" i="1"/>
  <c r="CM5" i="1"/>
  <c r="BV5" i="1"/>
  <c r="V6" i="1"/>
  <c r="U6" i="1"/>
  <c r="W6" i="1"/>
  <c r="X6" i="1"/>
  <c r="Y6" i="1"/>
  <c r="Z6" i="1"/>
  <c r="AA6" i="1"/>
  <c r="AG6" i="1"/>
  <c r="AJ6" i="1"/>
  <c r="AI6" i="1"/>
  <c r="CG6" i="1"/>
  <c r="AK6" i="1"/>
  <c r="CH6" i="1"/>
  <c r="CI6" i="1"/>
  <c r="CM6" i="1"/>
  <c r="BV6" i="1"/>
  <c r="V7" i="1"/>
  <c r="U7" i="1"/>
  <c r="W7" i="1"/>
  <c r="X7" i="1"/>
  <c r="Y7" i="1"/>
  <c r="Z7" i="1"/>
  <c r="AA7" i="1"/>
  <c r="AG7" i="1"/>
  <c r="AJ7" i="1"/>
  <c r="AI7" i="1"/>
  <c r="CG7" i="1"/>
  <c r="AK7" i="1"/>
  <c r="CH7" i="1"/>
  <c r="CI7" i="1"/>
  <c r="CM7" i="1"/>
  <c r="BV7" i="1"/>
  <c r="V8" i="1"/>
  <c r="U8" i="1"/>
  <c r="W8" i="1"/>
  <c r="X8" i="1"/>
  <c r="Y8" i="1"/>
  <c r="Z8" i="1"/>
  <c r="AA8" i="1"/>
  <c r="AG8" i="1"/>
  <c r="AJ8" i="1"/>
  <c r="AI8" i="1"/>
  <c r="CG8" i="1"/>
  <c r="AK8" i="1"/>
  <c r="CH8" i="1"/>
  <c r="CI8" i="1"/>
  <c r="CM8" i="1"/>
  <c r="BV8" i="1"/>
  <c r="V9" i="1"/>
  <c r="U9" i="1"/>
  <c r="W9" i="1"/>
  <c r="X9" i="1"/>
  <c r="Y9" i="1"/>
  <c r="Z9" i="1"/>
  <c r="AA9" i="1"/>
  <c r="AG9" i="1"/>
  <c r="AJ9" i="1"/>
  <c r="AI9" i="1"/>
  <c r="CG9" i="1"/>
  <c r="AK9" i="1"/>
  <c r="CH9" i="1"/>
  <c r="CI9" i="1"/>
  <c r="CM9" i="1"/>
  <c r="BV9" i="1"/>
  <c r="V10" i="1"/>
  <c r="U10" i="1"/>
  <c r="W10" i="1"/>
  <c r="X10" i="1"/>
  <c r="Y10" i="1"/>
  <c r="Z10" i="1"/>
  <c r="AA10" i="1"/>
  <c r="AG10" i="1"/>
  <c r="AJ10" i="1"/>
  <c r="AI10" i="1"/>
  <c r="CG10" i="1"/>
  <c r="AK10" i="1"/>
  <c r="CH10" i="1"/>
  <c r="CI10" i="1"/>
  <c r="CM10" i="1"/>
  <c r="BV10" i="1"/>
  <c r="V11" i="1"/>
  <c r="U11" i="1"/>
  <c r="W11" i="1"/>
  <c r="X11" i="1"/>
  <c r="Y11" i="1"/>
  <c r="Z11" i="1"/>
  <c r="AA11" i="1"/>
  <c r="AG11" i="1"/>
  <c r="AJ11" i="1"/>
  <c r="AI11" i="1"/>
  <c r="CG11" i="1"/>
  <c r="AK11" i="1"/>
  <c r="CH11" i="1"/>
  <c r="CI11" i="1"/>
  <c r="CM11" i="1"/>
  <c r="BV11" i="1"/>
  <c r="V12" i="1"/>
  <c r="U12" i="1"/>
  <c r="W12" i="1"/>
  <c r="X12" i="1"/>
  <c r="Y12" i="1"/>
  <c r="Z12" i="1"/>
  <c r="AA12" i="1"/>
  <c r="AG12" i="1"/>
  <c r="AJ12" i="1"/>
  <c r="AI12" i="1"/>
  <c r="CG12" i="1"/>
  <c r="AK12" i="1"/>
  <c r="CH12" i="1"/>
  <c r="CI12" i="1"/>
  <c r="CM12" i="1"/>
  <c r="BV12" i="1"/>
  <c r="V13" i="1"/>
  <c r="U13" i="1"/>
  <c r="W13" i="1"/>
  <c r="X13" i="1"/>
  <c r="Y13" i="1"/>
  <c r="Z13" i="1"/>
  <c r="AA13" i="1"/>
  <c r="AG13" i="1"/>
  <c r="AJ13" i="1"/>
  <c r="AI13" i="1"/>
  <c r="CG13" i="1"/>
  <c r="AK13" i="1"/>
  <c r="CH13" i="1"/>
  <c r="CI13" i="1"/>
  <c r="CM13" i="1"/>
  <c r="BV13" i="1"/>
  <c r="V14" i="1"/>
  <c r="U14" i="1"/>
  <c r="W14" i="1"/>
  <c r="X14" i="1"/>
  <c r="Y14" i="1"/>
  <c r="Z14" i="1"/>
  <c r="AA14" i="1"/>
  <c r="AG14" i="1"/>
  <c r="AJ14" i="1"/>
  <c r="AI14" i="1"/>
  <c r="CG14" i="1"/>
  <c r="AK14" i="1"/>
  <c r="CH14" i="1"/>
  <c r="CI14" i="1"/>
  <c r="CM14" i="1"/>
  <c r="BV14" i="1"/>
  <c r="V15" i="1"/>
  <c r="U15" i="1"/>
  <c r="W15" i="1"/>
  <c r="X15" i="1"/>
  <c r="Y15" i="1"/>
  <c r="Z15" i="1"/>
  <c r="AA15" i="1"/>
  <c r="AG15" i="1"/>
  <c r="AJ15" i="1"/>
  <c r="AI15" i="1"/>
  <c r="CG15" i="1"/>
  <c r="AK15" i="1"/>
  <c r="CH15" i="1"/>
  <c r="CI15" i="1"/>
  <c r="CM15" i="1"/>
  <c r="BV15" i="1"/>
  <c r="V16" i="1"/>
  <c r="U16" i="1"/>
  <c r="W16" i="1"/>
  <c r="X16" i="1"/>
  <c r="Y16" i="1"/>
  <c r="Z16" i="1"/>
  <c r="AA16" i="1"/>
  <c r="AG16" i="1"/>
  <c r="AJ16" i="1"/>
  <c r="AI16" i="1"/>
  <c r="CG16" i="1"/>
  <c r="AK16" i="1"/>
  <c r="CH16" i="1"/>
  <c r="CI16" i="1"/>
  <c r="CM16" i="1"/>
  <c r="BV16" i="1"/>
  <c r="V17" i="1"/>
  <c r="U17" i="1"/>
  <c r="W17" i="1"/>
  <c r="X17" i="1"/>
  <c r="Y17" i="1"/>
  <c r="Z17" i="1"/>
  <c r="AA17" i="1"/>
  <c r="AG17" i="1"/>
  <c r="AJ17" i="1"/>
  <c r="AI17" i="1"/>
  <c r="CG17" i="1"/>
  <c r="AK17" i="1"/>
  <c r="CH17" i="1"/>
  <c r="CI17" i="1"/>
  <c r="CM17" i="1"/>
  <c r="BV17" i="1"/>
  <c r="V18" i="1"/>
  <c r="U18" i="1"/>
  <c r="W18" i="1"/>
  <c r="X18" i="1"/>
  <c r="Y18" i="1"/>
  <c r="Z18" i="1"/>
  <c r="AA18" i="1"/>
  <c r="AG18" i="1"/>
  <c r="AJ18" i="1"/>
  <c r="AI18" i="1"/>
  <c r="CG18" i="1"/>
  <c r="AK18" i="1"/>
  <c r="CH18" i="1"/>
  <c r="CI18" i="1"/>
  <c r="CM18" i="1"/>
  <c r="BV18" i="1"/>
  <c r="V19" i="1"/>
  <c r="U19" i="1"/>
  <c r="W19" i="1"/>
  <c r="X19" i="1"/>
  <c r="Y19" i="1"/>
  <c r="Z19" i="1"/>
  <c r="AA19" i="1"/>
  <c r="AG19" i="1"/>
  <c r="AJ19" i="1"/>
  <c r="AI19" i="1"/>
  <c r="CG19" i="1"/>
  <c r="AK19" i="1"/>
  <c r="CH19" i="1"/>
  <c r="CI19" i="1"/>
  <c r="CM19" i="1"/>
  <c r="BV19" i="1"/>
  <c r="V20" i="1"/>
  <c r="U20" i="1"/>
  <c r="W20" i="1"/>
  <c r="X20" i="1"/>
  <c r="Y20" i="1"/>
  <c r="Z20" i="1"/>
  <c r="AA20" i="1"/>
  <c r="AG20" i="1"/>
  <c r="AJ20" i="1"/>
  <c r="AI20" i="1"/>
  <c r="CG20" i="1"/>
  <c r="AK20" i="1"/>
  <c r="CH20" i="1"/>
  <c r="CI20" i="1"/>
  <c r="CM20" i="1"/>
  <c r="BV20" i="1"/>
  <c r="V21" i="1"/>
  <c r="U21" i="1"/>
  <c r="W21" i="1"/>
  <c r="X21" i="1"/>
  <c r="Y21" i="1"/>
  <c r="Z21" i="1"/>
  <c r="AA21" i="1"/>
  <c r="AG21" i="1"/>
  <c r="AJ21" i="1"/>
  <c r="AI21" i="1"/>
  <c r="CG21" i="1"/>
  <c r="AK21" i="1"/>
  <c r="CH21" i="1"/>
  <c r="CI21" i="1"/>
  <c r="CM21" i="1"/>
  <c r="BV21" i="1"/>
  <c r="V22" i="1"/>
  <c r="U22" i="1"/>
  <c r="W22" i="1"/>
  <c r="X22" i="1"/>
  <c r="Y22" i="1"/>
  <c r="Z22" i="1"/>
  <c r="AA22" i="1"/>
  <c r="AG22" i="1"/>
  <c r="AJ22" i="1"/>
  <c r="AI22" i="1"/>
  <c r="CG22" i="1"/>
  <c r="AK22" i="1"/>
  <c r="CH22" i="1"/>
  <c r="CI22" i="1"/>
  <c r="CM22" i="1"/>
  <c r="BV22" i="1"/>
  <c r="V23" i="1"/>
  <c r="U23" i="1"/>
  <c r="W23" i="1"/>
  <c r="X23" i="1"/>
  <c r="Y23" i="1"/>
  <c r="Z23" i="1"/>
  <c r="AA23" i="1"/>
  <c r="AG23" i="1"/>
  <c r="AJ23" i="1"/>
  <c r="AI23" i="1"/>
  <c r="CG23" i="1"/>
  <c r="AK23" i="1"/>
  <c r="CH23" i="1"/>
  <c r="CI23" i="1"/>
  <c r="CM23" i="1"/>
  <c r="BV23" i="1"/>
  <c r="V24" i="1"/>
  <c r="U24" i="1"/>
  <c r="W24" i="1"/>
  <c r="X24" i="1"/>
  <c r="Y24" i="1"/>
  <c r="Z24" i="1"/>
  <c r="AA24" i="1"/>
  <c r="AG24" i="1"/>
  <c r="AJ24" i="1"/>
  <c r="AI24" i="1"/>
  <c r="CG24" i="1"/>
  <c r="AK24" i="1"/>
  <c r="CH24" i="1"/>
  <c r="CI24" i="1"/>
  <c r="CM24" i="1"/>
  <c r="BV24" i="1"/>
  <c r="V25" i="1"/>
  <c r="U25" i="1"/>
  <c r="W25" i="1"/>
  <c r="X25" i="1"/>
  <c r="Y25" i="1"/>
  <c r="Z25" i="1"/>
  <c r="AA25" i="1"/>
  <c r="AG25" i="1"/>
  <c r="AJ25" i="1"/>
  <c r="AI25" i="1"/>
  <c r="CG25" i="1"/>
  <c r="AK25" i="1"/>
  <c r="CH25" i="1"/>
  <c r="CI25" i="1"/>
  <c r="CM25" i="1"/>
  <c r="BV25" i="1"/>
  <c r="V26" i="1"/>
  <c r="U26" i="1"/>
  <c r="W26" i="1"/>
  <c r="X26" i="1"/>
  <c r="Y26" i="1"/>
  <c r="Z26" i="1"/>
  <c r="AA26" i="1"/>
  <c r="AG26" i="1"/>
  <c r="AJ26" i="1"/>
  <c r="AI26" i="1"/>
  <c r="CG26" i="1"/>
  <c r="AK26" i="1"/>
  <c r="CH26" i="1"/>
  <c r="CI26" i="1"/>
  <c r="CM26" i="1"/>
  <c r="BV26" i="1"/>
  <c r="V27" i="1"/>
  <c r="U27" i="1"/>
  <c r="W27" i="1"/>
  <c r="X27" i="1"/>
  <c r="Y27" i="1"/>
  <c r="Z27" i="1"/>
  <c r="AA27" i="1"/>
  <c r="AG27" i="1"/>
  <c r="AJ27" i="1"/>
  <c r="AI27" i="1"/>
  <c r="CG27" i="1"/>
  <c r="AK27" i="1"/>
  <c r="CH27" i="1"/>
  <c r="CI27" i="1"/>
  <c r="CM27" i="1"/>
  <c r="BV27" i="1"/>
  <c r="V28" i="1"/>
  <c r="U28" i="1"/>
  <c r="W28" i="1"/>
  <c r="X28" i="1"/>
  <c r="Y28" i="1"/>
  <c r="Z28" i="1"/>
  <c r="AA28" i="1"/>
  <c r="AG28" i="1"/>
  <c r="AJ28" i="1"/>
  <c r="AI28" i="1"/>
  <c r="CG28" i="1"/>
  <c r="AK28" i="1"/>
  <c r="CH28" i="1"/>
  <c r="CI28" i="1"/>
  <c r="CM28" i="1"/>
  <c r="BV28" i="1"/>
  <c r="V29" i="1"/>
  <c r="U29" i="1"/>
  <c r="W29" i="1"/>
  <c r="X29" i="1"/>
  <c r="Y29" i="1"/>
  <c r="Z29" i="1"/>
  <c r="AA29" i="1"/>
  <c r="AG29" i="1"/>
  <c r="AJ29" i="1"/>
  <c r="AI29" i="1"/>
  <c r="CG29" i="1"/>
  <c r="AK29" i="1"/>
  <c r="CH29" i="1"/>
  <c r="CI29" i="1"/>
  <c r="CM29" i="1"/>
  <c r="BV29" i="1"/>
  <c r="V30" i="1"/>
  <c r="U30" i="1"/>
  <c r="W30" i="1"/>
  <c r="X30" i="1"/>
  <c r="Y30" i="1"/>
  <c r="Z30" i="1"/>
  <c r="AA30" i="1"/>
  <c r="AG30" i="1"/>
  <c r="AJ30" i="1"/>
  <c r="AI30" i="1"/>
  <c r="CG30" i="1"/>
  <c r="AK30" i="1"/>
  <c r="CH30" i="1"/>
  <c r="CI30" i="1"/>
  <c r="CM30" i="1"/>
  <c r="BV30" i="1"/>
  <c r="V31" i="1"/>
  <c r="U31" i="1"/>
  <c r="W31" i="1"/>
  <c r="X31" i="1"/>
  <c r="Y31" i="1"/>
  <c r="Z31" i="1"/>
  <c r="AA31" i="1"/>
  <c r="AG31" i="1"/>
  <c r="AJ31" i="1"/>
  <c r="AI31" i="1"/>
  <c r="CG31" i="1"/>
  <c r="AK31" i="1"/>
  <c r="CH31" i="1"/>
  <c r="CI31" i="1"/>
  <c r="CM31" i="1"/>
  <c r="BV31" i="1"/>
  <c r="V32" i="1"/>
  <c r="U32" i="1"/>
  <c r="W32" i="1"/>
  <c r="X32" i="1"/>
  <c r="Y32" i="1"/>
  <c r="Z32" i="1"/>
  <c r="AA32" i="1"/>
  <c r="AG32" i="1"/>
  <c r="AJ32" i="1"/>
  <c r="AI32" i="1"/>
  <c r="CG32" i="1"/>
  <c r="AK32" i="1"/>
  <c r="CH32" i="1"/>
  <c r="CI32" i="1"/>
  <c r="CM32" i="1"/>
  <c r="BV32" i="1"/>
  <c r="V33" i="1"/>
  <c r="U33" i="1"/>
  <c r="W33" i="1"/>
  <c r="X33" i="1"/>
  <c r="Y33" i="1"/>
  <c r="Z33" i="1"/>
  <c r="AA33" i="1"/>
  <c r="AG33" i="1"/>
  <c r="AJ33" i="1"/>
  <c r="AI33" i="1"/>
  <c r="CG33" i="1"/>
  <c r="AK33" i="1"/>
  <c r="CH33" i="1"/>
  <c r="CI33" i="1"/>
  <c r="CM33" i="1"/>
  <c r="BV33" i="1"/>
  <c r="V34" i="1"/>
  <c r="U34" i="1"/>
  <c r="W34" i="1"/>
  <c r="X34" i="1"/>
  <c r="Y34" i="1"/>
  <c r="Z34" i="1"/>
  <c r="AA34" i="1"/>
  <c r="AG34" i="1"/>
  <c r="AJ34" i="1"/>
  <c r="AI34" i="1"/>
  <c r="CG34" i="1"/>
  <c r="AK34" i="1"/>
  <c r="CH34" i="1"/>
  <c r="CI34" i="1"/>
  <c r="CM34" i="1"/>
  <c r="BV34" i="1"/>
  <c r="V35" i="1"/>
  <c r="U35" i="1"/>
  <c r="W35" i="1"/>
  <c r="X35" i="1"/>
  <c r="Y35" i="1"/>
  <c r="Z35" i="1"/>
  <c r="AA35" i="1"/>
  <c r="AG35" i="1"/>
  <c r="AJ35" i="1"/>
  <c r="AI35" i="1"/>
  <c r="CG35" i="1"/>
  <c r="AK35" i="1"/>
  <c r="CH35" i="1"/>
  <c r="CI35" i="1"/>
  <c r="CM35" i="1"/>
  <c r="BV35" i="1"/>
  <c r="V36" i="1"/>
  <c r="U36" i="1"/>
  <c r="W36" i="1"/>
  <c r="X36" i="1"/>
  <c r="Y36" i="1"/>
  <c r="Z36" i="1"/>
  <c r="AA36" i="1"/>
  <c r="AG36" i="1"/>
  <c r="AJ36" i="1"/>
  <c r="AI36" i="1"/>
  <c r="CG36" i="1"/>
  <c r="AK36" i="1"/>
  <c r="CH36" i="1"/>
  <c r="CI36" i="1"/>
  <c r="CM36" i="1"/>
  <c r="BV36" i="1"/>
  <c r="V37" i="1"/>
  <c r="U37" i="1"/>
  <c r="W37" i="1"/>
  <c r="X37" i="1"/>
  <c r="Y37" i="1"/>
  <c r="Z37" i="1"/>
  <c r="AA37" i="1"/>
  <c r="AG37" i="1"/>
  <c r="AJ37" i="1"/>
  <c r="AI37" i="1"/>
  <c r="CG37" i="1"/>
  <c r="AK37" i="1"/>
  <c r="CH37" i="1"/>
  <c r="CI37" i="1"/>
  <c r="CM37" i="1"/>
  <c r="BV37" i="1"/>
  <c r="V38" i="1"/>
  <c r="U38" i="1"/>
  <c r="W38" i="1"/>
  <c r="X38" i="1"/>
  <c r="Y38" i="1"/>
  <c r="Z38" i="1"/>
  <c r="AA38" i="1"/>
  <c r="AG38" i="1"/>
  <c r="AJ38" i="1"/>
  <c r="AI38" i="1"/>
  <c r="CG38" i="1"/>
  <c r="AK38" i="1"/>
  <c r="CH38" i="1"/>
  <c r="CI38" i="1"/>
  <c r="CM38" i="1"/>
  <c r="BV38" i="1"/>
  <c r="V39" i="1"/>
  <c r="U39" i="1"/>
  <c r="W39" i="1"/>
  <c r="X39" i="1"/>
  <c r="Y39" i="1"/>
  <c r="Z39" i="1"/>
  <c r="AA39" i="1"/>
  <c r="AG39" i="1"/>
  <c r="AJ39" i="1"/>
  <c r="AI39" i="1"/>
  <c r="CG39" i="1"/>
  <c r="AK39" i="1"/>
  <c r="CH39" i="1"/>
  <c r="CI39" i="1"/>
  <c r="CM39" i="1"/>
  <c r="BV39" i="1"/>
  <c r="V40" i="1"/>
  <c r="U40" i="1"/>
  <c r="W40" i="1"/>
  <c r="X40" i="1"/>
  <c r="Y40" i="1"/>
  <c r="Z40" i="1"/>
  <c r="AA40" i="1"/>
  <c r="AG40" i="1"/>
  <c r="AJ40" i="1"/>
  <c r="AI40" i="1"/>
  <c r="CG40" i="1"/>
  <c r="AK40" i="1"/>
  <c r="CH40" i="1"/>
  <c r="CI40" i="1"/>
  <c r="CM40" i="1"/>
  <c r="BV40" i="1"/>
  <c r="V41" i="1"/>
  <c r="U41" i="1"/>
  <c r="W41" i="1"/>
  <c r="X41" i="1"/>
  <c r="Y41" i="1"/>
  <c r="Z41" i="1"/>
  <c r="AA41" i="1"/>
  <c r="AG41" i="1"/>
  <c r="AJ41" i="1"/>
  <c r="AI41" i="1"/>
  <c r="CG41" i="1"/>
  <c r="AK41" i="1"/>
  <c r="CH41" i="1"/>
  <c r="CI41" i="1"/>
  <c r="CM41" i="1"/>
  <c r="BV41" i="1"/>
  <c r="BV42" i="1"/>
  <c r="CL11" i="1"/>
  <c r="DL11" i="1"/>
  <c r="BU11" i="1"/>
  <c r="CL12" i="1"/>
  <c r="DL12" i="1"/>
  <c r="BU12" i="1"/>
  <c r="CL13" i="1"/>
  <c r="DL13" i="1"/>
  <c r="BU13" i="1"/>
  <c r="CL14" i="1"/>
  <c r="DL14" i="1"/>
  <c r="BU14" i="1"/>
  <c r="CL15" i="1"/>
  <c r="DL15" i="1"/>
  <c r="BU15" i="1"/>
  <c r="CL16" i="1"/>
  <c r="DL16" i="1"/>
  <c r="BU16" i="1"/>
  <c r="CL17" i="1"/>
  <c r="DL17" i="1"/>
  <c r="BU17" i="1"/>
  <c r="CL18" i="1"/>
  <c r="DL18" i="1"/>
  <c r="BU18" i="1"/>
  <c r="CL19" i="1"/>
  <c r="DL19" i="1"/>
  <c r="BU19" i="1"/>
  <c r="CL20" i="1"/>
  <c r="DL20" i="1"/>
  <c r="BU20" i="1"/>
  <c r="CL21" i="1"/>
  <c r="DL21" i="1"/>
  <c r="BU21" i="1"/>
  <c r="CL22" i="1"/>
  <c r="DL22" i="1"/>
  <c r="BU22" i="1"/>
  <c r="CL23" i="1"/>
  <c r="DL23" i="1"/>
  <c r="BU23" i="1"/>
  <c r="CL24" i="1"/>
  <c r="DL24" i="1"/>
  <c r="BU24" i="1"/>
  <c r="CL25" i="1"/>
  <c r="DL25" i="1"/>
  <c r="BU25" i="1"/>
  <c r="CL26" i="1"/>
  <c r="DL26" i="1"/>
  <c r="BU26" i="1"/>
  <c r="CL27" i="1"/>
  <c r="DL27" i="1"/>
  <c r="BU27" i="1"/>
  <c r="CL28" i="1"/>
  <c r="DL28" i="1"/>
  <c r="BU28" i="1"/>
  <c r="CL29" i="1"/>
  <c r="DL29" i="1"/>
  <c r="BU29" i="1"/>
  <c r="CL30" i="1"/>
  <c r="DL30" i="1"/>
  <c r="BU30" i="1"/>
  <c r="CL31" i="1"/>
  <c r="DL31" i="1"/>
  <c r="BU31" i="1"/>
  <c r="CL32" i="1"/>
  <c r="DL32" i="1"/>
  <c r="BU32" i="1"/>
  <c r="CL33" i="1"/>
  <c r="DL33" i="1"/>
  <c r="BU33" i="1"/>
  <c r="CL34" i="1"/>
  <c r="DL34" i="1"/>
  <c r="BU34" i="1"/>
  <c r="CL35" i="1"/>
  <c r="DL35" i="1"/>
  <c r="BU35" i="1"/>
  <c r="CL36" i="1"/>
  <c r="DL36" i="1"/>
  <c r="BU36" i="1"/>
  <c r="CL37" i="1"/>
  <c r="DL37" i="1"/>
  <c r="BU37" i="1"/>
  <c r="CL38" i="1"/>
  <c r="DL38" i="1"/>
  <c r="BU38" i="1"/>
  <c r="CL39" i="1"/>
  <c r="DL39" i="1"/>
  <c r="BU39" i="1"/>
  <c r="CL40" i="1"/>
  <c r="DL40" i="1"/>
  <c r="BU40" i="1"/>
  <c r="CL41" i="1"/>
  <c r="DL41" i="1"/>
  <c r="BU41" i="1"/>
  <c r="BU42" i="1"/>
  <c r="CL6" i="1"/>
  <c r="DL6" i="1"/>
  <c r="BU6" i="1"/>
  <c r="CL7" i="1"/>
  <c r="DL7" i="1"/>
  <c r="BU7" i="1"/>
  <c r="CL8" i="1"/>
  <c r="DL8" i="1"/>
  <c r="BU8" i="1"/>
  <c r="CL9" i="1"/>
  <c r="DL9" i="1"/>
  <c r="BU9" i="1"/>
  <c r="CL10" i="1"/>
  <c r="DL10" i="1"/>
  <c r="BU10" i="1"/>
  <c r="CL5" i="1"/>
  <c r="DL5" i="1"/>
  <c r="BU5" i="1"/>
  <c r="AM6" i="1"/>
  <c r="AO6" i="1"/>
  <c r="AB6" i="1"/>
  <c r="AP6" i="1"/>
  <c r="AC6" i="1"/>
  <c r="AQ6" i="1"/>
  <c r="AD6" i="1"/>
  <c r="AR6" i="1"/>
  <c r="BB6" i="1"/>
  <c r="BC6" i="1"/>
  <c r="BD6" i="1"/>
  <c r="BA6" i="1"/>
  <c r="BE6" i="1"/>
  <c r="BJ6" i="1"/>
  <c r="BK6" i="1"/>
  <c r="BO6" i="1"/>
  <c r="BL6" i="1"/>
  <c r="AL6" i="1"/>
  <c r="AN6" i="1"/>
  <c r="DG6" i="1"/>
  <c r="CO6" i="1"/>
  <c r="CP6" i="1"/>
  <c r="CQ6" i="1"/>
  <c r="CR6" i="1"/>
  <c r="CU6" i="1"/>
  <c r="CV6" i="1"/>
  <c r="CY6" i="1"/>
  <c r="CZ6" i="1"/>
  <c r="BW6" i="1"/>
  <c r="CC6" i="1"/>
  <c r="CB6" i="1"/>
  <c r="CA6" i="1"/>
  <c r="AM7" i="1"/>
  <c r="AO7" i="1"/>
  <c r="AB7" i="1"/>
  <c r="AP7" i="1"/>
  <c r="AC7" i="1"/>
  <c r="AQ7" i="1"/>
  <c r="AD7" i="1"/>
  <c r="AR7" i="1"/>
  <c r="BB7" i="1"/>
  <c r="BC7" i="1"/>
  <c r="BD7" i="1"/>
  <c r="BA7" i="1"/>
  <c r="BE7" i="1"/>
  <c r="BJ7" i="1"/>
  <c r="BK7" i="1"/>
  <c r="BO7" i="1"/>
  <c r="BL7" i="1"/>
  <c r="AL7" i="1"/>
  <c r="AN7" i="1"/>
  <c r="DG7" i="1"/>
  <c r="CO7" i="1"/>
  <c r="CP7" i="1"/>
  <c r="CQ7" i="1"/>
  <c r="CR7" i="1"/>
  <c r="CU7" i="1"/>
  <c r="CV7" i="1"/>
  <c r="CY7" i="1"/>
  <c r="CZ7" i="1"/>
  <c r="BW7" i="1"/>
  <c r="CC7" i="1"/>
  <c r="CB7" i="1"/>
  <c r="CA7" i="1"/>
  <c r="AM8" i="1"/>
  <c r="AO8" i="1"/>
  <c r="AB8" i="1"/>
  <c r="AP8" i="1"/>
  <c r="AC8" i="1"/>
  <c r="AQ8" i="1"/>
  <c r="AD8" i="1"/>
  <c r="AR8" i="1"/>
  <c r="BB8" i="1"/>
  <c r="BC8" i="1"/>
  <c r="BD8" i="1"/>
  <c r="BA8" i="1"/>
  <c r="BE8" i="1"/>
  <c r="BJ8" i="1"/>
  <c r="BK8" i="1"/>
  <c r="BO8" i="1"/>
  <c r="BL8" i="1"/>
  <c r="AL8" i="1"/>
  <c r="AN8" i="1"/>
  <c r="DG8" i="1"/>
  <c r="CO8" i="1"/>
  <c r="CP8" i="1"/>
  <c r="CQ8" i="1"/>
  <c r="CR8" i="1"/>
  <c r="CU8" i="1"/>
  <c r="CV8" i="1"/>
  <c r="CY8" i="1"/>
  <c r="CZ8" i="1"/>
  <c r="BW8" i="1"/>
  <c r="CC8" i="1"/>
  <c r="CB8" i="1"/>
  <c r="CA8" i="1"/>
  <c r="AM9" i="1"/>
  <c r="AO9" i="1"/>
  <c r="AB9" i="1"/>
  <c r="AP9" i="1"/>
  <c r="AC9" i="1"/>
  <c r="AQ9" i="1"/>
  <c r="AD9" i="1"/>
  <c r="AR9" i="1"/>
  <c r="BB9" i="1"/>
  <c r="BC9" i="1"/>
  <c r="BO9" i="1"/>
  <c r="BL9" i="1"/>
  <c r="AL9" i="1"/>
  <c r="AN9" i="1"/>
  <c r="DG9" i="1"/>
  <c r="CO9" i="1"/>
  <c r="CP9" i="1"/>
  <c r="CQ9" i="1"/>
  <c r="CR9" i="1"/>
  <c r="CU9" i="1"/>
  <c r="CV9" i="1"/>
  <c r="CY9" i="1"/>
  <c r="CZ9" i="1"/>
  <c r="BW9" i="1"/>
  <c r="CC9" i="1"/>
  <c r="CB9" i="1"/>
  <c r="CA9" i="1"/>
  <c r="AM10" i="1"/>
  <c r="AO10" i="1"/>
  <c r="AB10" i="1"/>
  <c r="AP10" i="1"/>
  <c r="AC10" i="1"/>
  <c r="AQ10" i="1"/>
  <c r="AD10" i="1"/>
  <c r="AR10" i="1"/>
  <c r="BB10" i="1"/>
  <c r="BC10" i="1"/>
  <c r="BD10" i="1"/>
  <c r="BO10" i="1"/>
  <c r="BL10" i="1"/>
  <c r="AL10" i="1"/>
  <c r="AN10" i="1"/>
  <c r="DG10" i="1"/>
  <c r="CO10" i="1"/>
  <c r="CP10" i="1"/>
  <c r="CQ10" i="1"/>
  <c r="CR10" i="1"/>
  <c r="CU10" i="1"/>
  <c r="CV10" i="1"/>
  <c r="CY10" i="1"/>
  <c r="CZ10" i="1"/>
  <c r="BW10" i="1"/>
  <c r="CC10" i="1"/>
  <c r="CB10" i="1"/>
  <c r="CA10" i="1"/>
  <c r="AM11" i="1"/>
  <c r="AO11" i="1"/>
  <c r="AB11" i="1"/>
  <c r="AP11" i="1"/>
  <c r="AC11" i="1"/>
  <c r="AQ11" i="1"/>
  <c r="AD11" i="1"/>
  <c r="AR11" i="1"/>
  <c r="BB11" i="1"/>
  <c r="BC11" i="1"/>
  <c r="BD11" i="1"/>
  <c r="BO11" i="1"/>
  <c r="BL11" i="1"/>
  <c r="AL11" i="1"/>
  <c r="AN11" i="1"/>
  <c r="DG11" i="1"/>
  <c r="CO11" i="1"/>
  <c r="CP11" i="1"/>
  <c r="CQ11" i="1"/>
  <c r="CR11" i="1"/>
  <c r="CU11" i="1"/>
  <c r="CV11" i="1"/>
  <c r="CY11" i="1"/>
  <c r="CZ11" i="1"/>
  <c r="BW11" i="1"/>
  <c r="CC11" i="1"/>
  <c r="CB11" i="1"/>
  <c r="CA11" i="1"/>
  <c r="AM12" i="1"/>
  <c r="AO12" i="1"/>
  <c r="AB12" i="1"/>
  <c r="AP12" i="1"/>
  <c r="AC12" i="1"/>
  <c r="AQ12" i="1"/>
  <c r="AD12" i="1"/>
  <c r="AR12" i="1"/>
  <c r="BB12" i="1"/>
  <c r="BC12" i="1"/>
  <c r="BD12" i="1"/>
  <c r="BA12" i="1"/>
  <c r="BE12" i="1"/>
  <c r="BJ12" i="1"/>
  <c r="BK12" i="1"/>
  <c r="BO12" i="1"/>
  <c r="BL12" i="1"/>
  <c r="AL12" i="1"/>
  <c r="AN12" i="1"/>
  <c r="DG12" i="1"/>
  <c r="CO12" i="1"/>
  <c r="CP12" i="1"/>
  <c r="CQ12" i="1"/>
  <c r="CR12" i="1"/>
  <c r="CU12" i="1"/>
  <c r="CV12" i="1"/>
  <c r="CY12" i="1"/>
  <c r="CZ12" i="1"/>
  <c r="BW12" i="1"/>
  <c r="CC12" i="1"/>
  <c r="CB12" i="1"/>
  <c r="CA12" i="1"/>
  <c r="AM13" i="1"/>
  <c r="AO13" i="1"/>
  <c r="AB13" i="1"/>
  <c r="AP13" i="1"/>
  <c r="AC13" i="1"/>
  <c r="AQ13" i="1"/>
  <c r="AD13" i="1"/>
  <c r="AR13" i="1"/>
  <c r="BB13" i="1"/>
  <c r="BC13" i="1"/>
  <c r="BD13" i="1"/>
  <c r="BA13" i="1"/>
  <c r="BE13" i="1"/>
  <c r="BJ13" i="1"/>
  <c r="BK13" i="1"/>
  <c r="BO13" i="1"/>
  <c r="BL13" i="1"/>
  <c r="AL13" i="1"/>
  <c r="AN13" i="1"/>
  <c r="DG13" i="1"/>
  <c r="CO13" i="1"/>
  <c r="CP13" i="1"/>
  <c r="CQ13" i="1"/>
  <c r="CR13" i="1"/>
  <c r="CU13" i="1"/>
  <c r="CV13" i="1"/>
  <c r="CY13" i="1"/>
  <c r="CZ13" i="1"/>
  <c r="BW13" i="1"/>
  <c r="CC13" i="1"/>
  <c r="CB13" i="1"/>
  <c r="CA13" i="1"/>
  <c r="AM14" i="1"/>
  <c r="AO14" i="1"/>
  <c r="AB14" i="1"/>
  <c r="AP14" i="1"/>
  <c r="AC14" i="1"/>
  <c r="AQ14" i="1"/>
  <c r="AD14" i="1"/>
  <c r="AR14" i="1"/>
  <c r="BB14" i="1"/>
  <c r="BC14" i="1"/>
  <c r="BD14" i="1"/>
  <c r="BA14" i="1"/>
  <c r="BE14" i="1"/>
  <c r="BJ14" i="1"/>
  <c r="BK14" i="1"/>
  <c r="BO14" i="1"/>
  <c r="BL14" i="1"/>
  <c r="AL14" i="1"/>
  <c r="AN14" i="1"/>
  <c r="DG14" i="1"/>
  <c r="CO14" i="1"/>
  <c r="CP14" i="1"/>
  <c r="CQ14" i="1"/>
  <c r="CR14" i="1"/>
  <c r="CU14" i="1"/>
  <c r="CV14" i="1"/>
  <c r="CY14" i="1"/>
  <c r="CZ14" i="1"/>
  <c r="BW14" i="1"/>
  <c r="CC14" i="1"/>
  <c r="CB14" i="1"/>
  <c r="CA14" i="1"/>
  <c r="AM15" i="1"/>
  <c r="AO15" i="1"/>
  <c r="AB15" i="1"/>
  <c r="AP15" i="1"/>
  <c r="AC15" i="1"/>
  <c r="AQ15" i="1"/>
  <c r="AD15" i="1"/>
  <c r="AR15" i="1"/>
  <c r="BB15" i="1"/>
  <c r="BC15" i="1"/>
  <c r="BD15" i="1"/>
  <c r="BA15" i="1"/>
  <c r="BE15" i="1"/>
  <c r="BJ15" i="1"/>
  <c r="BK15" i="1"/>
  <c r="BO15" i="1"/>
  <c r="BL15" i="1"/>
  <c r="AL15" i="1"/>
  <c r="AN15" i="1"/>
  <c r="DG15" i="1"/>
  <c r="CO15" i="1"/>
  <c r="CP15" i="1"/>
  <c r="CQ15" i="1"/>
  <c r="CR15" i="1"/>
  <c r="CU15" i="1"/>
  <c r="CV15" i="1"/>
  <c r="CY15" i="1"/>
  <c r="CZ15" i="1"/>
  <c r="BW15" i="1"/>
  <c r="CC15" i="1"/>
  <c r="CB15" i="1"/>
  <c r="CA15" i="1"/>
  <c r="AM16" i="1"/>
  <c r="AO16" i="1"/>
  <c r="AB16" i="1"/>
  <c r="AP16" i="1"/>
  <c r="AC16" i="1"/>
  <c r="AQ16" i="1"/>
  <c r="AD16" i="1"/>
  <c r="AR16" i="1"/>
  <c r="BB16" i="1"/>
  <c r="BC16" i="1"/>
  <c r="BD16" i="1"/>
  <c r="BA16" i="1"/>
  <c r="BE16" i="1"/>
  <c r="BJ16" i="1"/>
  <c r="BK16" i="1"/>
  <c r="BO16" i="1"/>
  <c r="BL16" i="1"/>
  <c r="AL16" i="1"/>
  <c r="AN16" i="1"/>
  <c r="DG16" i="1"/>
  <c r="CO16" i="1"/>
  <c r="CP16" i="1"/>
  <c r="CQ16" i="1"/>
  <c r="CR16" i="1"/>
  <c r="CU16" i="1"/>
  <c r="CV16" i="1"/>
  <c r="CY16" i="1"/>
  <c r="CZ16" i="1"/>
  <c r="BW16" i="1"/>
  <c r="CC16" i="1"/>
  <c r="CB16" i="1"/>
  <c r="CA16" i="1"/>
  <c r="AM17" i="1"/>
  <c r="AO17" i="1"/>
  <c r="AB17" i="1"/>
  <c r="AP17" i="1"/>
  <c r="AC17" i="1"/>
  <c r="AQ17" i="1"/>
  <c r="AD17" i="1"/>
  <c r="AR17" i="1"/>
  <c r="BB17" i="1"/>
  <c r="BC17" i="1"/>
  <c r="BD17" i="1"/>
  <c r="BA17" i="1"/>
  <c r="BE17" i="1"/>
  <c r="BJ17" i="1"/>
  <c r="BK17" i="1"/>
  <c r="BO17" i="1"/>
  <c r="BL17" i="1"/>
  <c r="AL17" i="1"/>
  <c r="AN17" i="1"/>
  <c r="DG17" i="1"/>
  <c r="CO17" i="1"/>
  <c r="CP17" i="1"/>
  <c r="CQ17" i="1"/>
  <c r="CR17" i="1"/>
  <c r="CU17" i="1"/>
  <c r="CV17" i="1"/>
  <c r="CY17" i="1"/>
  <c r="CZ17" i="1"/>
  <c r="BW17" i="1"/>
  <c r="CC17" i="1"/>
  <c r="CB17" i="1"/>
  <c r="CA17" i="1"/>
  <c r="AM18" i="1"/>
  <c r="AO18" i="1"/>
  <c r="AB18" i="1"/>
  <c r="AP18" i="1"/>
  <c r="AC18" i="1"/>
  <c r="AQ18" i="1"/>
  <c r="AD18" i="1"/>
  <c r="AR18" i="1"/>
  <c r="BB18" i="1"/>
  <c r="BC18" i="1"/>
  <c r="BD18" i="1"/>
  <c r="BA18" i="1"/>
  <c r="BE18" i="1"/>
  <c r="BJ18" i="1"/>
  <c r="BK18" i="1"/>
  <c r="BO18" i="1"/>
  <c r="BL18" i="1"/>
  <c r="AL18" i="1"/>
  <c r="AN18" i="1"/>
  <c r="DG18" i="1"/>
  <c r="CO18" i="1"/>
  <c r="CP18" i="1"/>
  <c r="CQ18" i="1"/>
  <c r="CR18" i="1"/>
  <c r="CU18" i="1"/>
  <c r="CV18" i="1"/>
  <c r="CY18" i="1"/>
  <c r="CZ18" i="1"/>
  <c r="BW18" i="1"/>
  <c r="CC18" i="1"/>
  <c r="CB18" i="1"/>
  <c r="CA18" i="1"/>
  <c r="AM19" i="1"/>
  <c r="AO19" i="1"/>
  <c r="AB19" i="1"/>
  <c r="AP19" i="1"/>
  <c r="AC19" i="1"/>
  <c r="AQ19" i="1"/>
  <c r="AD19" i="1"/>
  <c r="AR19" i="1"/>
  <c r="BB19" i="1"/>
  <c r="BC19" i="1"/>
  <c r="BD19" i="1"/>
  <c r="BA19" i="1"/>
  <c r="BE19" i="1"/>
  <c r="BJ19" i="1"/>
  <c r="BK19" i="1"/>
  <c r="BO19" i="1"/>
  <c r="BL19" i="1"/>
  <c r="AL19" i="1"/>
  <c r="AN19" i="1"/>
  <c r="DG19" i="1"/>
  <c r="CO19" i="1"/>
  <c r="CP19" i="1"/>
  <c r="CQ19" i="1"/>
  <c r="CR19" i="1"/>
  <c r="CU19" i="1"/>
  <c r="CV19" i="1"/>
  <c r="CY19" i="1"/>
  <c r="CZ19" i="1"/>
  <c r="BW19" i="1"/>
  <c r="CC19" i="1"/>
  <c r="CB19" i="1"/>
  <c r="CA19" i="1"/>
  <c r="AM20" i="1"/>
  <c r="AO20" i="1"/>
  <c r="AB20" i="1"/>
  <c r="AP20" i="1"/>
  <c r="AC20" i="1"/>
  <c r="AQ20" i="1"/>
  <c r="AD20" i="1"/>
  <c r="AR20" i="1"/>
  <c r="BB20" i="1"/>
  <c r="BC20" i="1"/>
  <c r="BD20" i="1"/>
  <c r="BA20" i="1"/>
  <c r="BE20" i="1"/>
  <c r="BJ20" i="1"/>
  <c r="BK20" i="1"/>
  <c r="BO20" i="1"/>
  <c r="BL20" i="1"/>
  <c r="AL20" i="1"/>
  <c r="AN20" i="1"/>
  <c r="DG20" i="1"/>
  <c r="CO20" i="1"/>
  <c r="CP20" i="1"/>
  <c r="CQ20" i="1"/>
  <c r="CR20" i="1"/>
  <c r="CU20" i="1"/>
  <c r="CV20" i="1"/>
  <c r="CY20" i="1"/>
  <c r="CZ20" i="1"/>
  <c r="BW20" i="1"/>
  <c r="CC20" i="1"/>
  <c r="CB20" i="1"/>
  <c r="CA20" i="1"/>
  <c r="AM21" i="1"/>
  <c r="AO21" i="1"/>
  <c r="AB21" i="1"/>
  <c r="AP21" i="1"/>
  <c r="AC21" i="1"/>
  <c r="AQ21" i="1"/>
  <c r="AD21" i="1"/>
  <c r="AR21" i="1"/>
  <c r="BB21" i="1"/>
  <c r="BC21" i="1"/>
  <c r="BD21" i="1"/>
  <c r="BA21" i="1"/>
  <c r="BE21" i="1"/>
  <c r="BJ21" i="1"/>
  <c r="BK21" i="1"/>
  <c r="BO21" i="1"/>
  <c r="BL21" i="1"/>
  <c r="AL21" i="1"/>
  <c r="AN21" i="1"/>
  <c r="DG21" i="1"/>
  <c r="CO21" i="1"/>
  <c r="CP21" i="1"/>
  <c r="CQ21" i="1"/>
  <c r="CR21" i="1"/>
  <c r="CU21" i="1"/>
  <c r="CV21" i="1"/>
  <c r="CY21" i="1"/>
  <c r="CZ21" i="1"/>
  <c r="BW21" i="1"/>
  <c r="CC21" i="1"/>
  <c r="CB21" i="1"/>
  <c r="CA21" i="1"/>
  <c r="AM22" i="1"/>
  <c r="AO22" i="1"/>
  <c r="AB22" i="1"/>
  <c r="AP22" i="1"/>
  <c r="AC22" i="1"/>
  <c r="AQ22" i="1"/>
  <c r="AD22" i="1"/>
  <c r="AR22" i="1"/>
  <c r="BB22" i="1"/>
  <c r="BC22" i="1"/>
  <c r="BD22" i="1"/>
  <c r="BA22" i="1"/>
  <c r="BE22" i="1"/>
  <c r="BJ22" i="1"/>
  <c r="BK22" i="1"/>
  <c r="BO22" i="1"/>
  <c r="BL22" i="1"/>
  <c r="AL22" i="1"/>
  <c r="AN22" i="1"/>
  <c r="DG22" i="1"/>
  <c r="CO22" i="1"/>
  <c r="CP22" i="1"/>
  <c r="CQ22" i="1"/>
  <c r="CR22" i="1"/>
  <c r="CU22" i="1"/>
  <c r="CV22" i="1"/>
  <c r="CY22" i="1"/>
  <c r="CZ22" i="1"/>
  <c r="BW22" i="1"/>
  <c r="CC22" i="1"/>
  <c r="CB22" i="1"/>
  <c r="CA22" i="1"/>
  <c r="AM23" i="1"/>
  <c r="AO23" i="1"/>
  <c r="AB23" i="1"/>
  <c r="AP23" i="1"/>
  <c r="AC23" i="1"/>
  <c r="AQ23" i="1"/>
  <c r="AD23" i="1"/>
  <c r="AR23" i="1"/>
  <c r="BB23" i="1"/>
  <c r="BC23" i="1"/>
  <c r="BD23" i="1"/>
  <c r="BA23" i="1"/>
  <c r="BE23" i="1"/>
  <c r="BJ23" i="1"/>
  <c r="BK23" i="1"/>
  <c r="BO23" i="1"/>
  <c r="BL23" i="1"/>
  <c r="AL23" i="1"/>
  <c r="AN23" i="1"/>
  <c r="DG23" i="1"/>
  <c r="CO23" i="1"/>
  <c r="CP23" i="1"/>
  <c r="CQ23" i="1"/>
  <c r="CR23" i="1"/>
  <c r="CU23" i="1"/>
  <c r="CV23" i="1"/>
  <c r="CY23" i="1"/>
  <c r="CZ23" i="1"/>
  <c r="BW23" i="1"/>
  <c r="CC23" i="1"/>
  <c r="CB23" i="1"/>
  <c r="CA23" i="1"/>
  <c r="AM24" i="1"/>
  <c r="AO24" i="1"/>
  <c r="AB24" i="1"/>
  <c r="AP24" i="1"/>
  <c r="AC24" i="1"/>
  <c r="AQ24" i="1"/>
  <c r="AD24" i="1"/>
  <c r="AR24" i="1"/>
  <c r="BB24" i="1"/>
  <c r="BC24" i="1"/>
  <c r="BD24" i="1"/>
  <c r="BA24" i="1"/>
  <c r="BE24" i="1"/>
  <c r="BJ24" i="1"/>
  <c r="BK24" i="1"/>
  <c r="BO24" i="1"/>
  <c r="BL24" i="1"/>
  <c r="AL24" i="1"/>
  <c r="AN24" i="1"/>
  <c r="DG24" i="1"/>
  <c r="CO24" i="1"/>
  <c r="CP24" i="1"/>
  <c r="CQ24" i="1"/>
  <c r="CR24" i="1"/>
  <c r="CU24" i="1"/>
  <c r="CV24" i="1"/>
  <c r="CY24" i="1"/>
  <c r="CZ24" i="1"/>
  <c r="BW24" i="1"/>
  <c r="CC24" i="1"/>
  <c r="CB24" i="1"/>
  <c r="CA24" i="1"/>
  <c r="AM25" i="1"/>
  <c r="AO25" i="1"/>
  <c r="AB25" i="1"/>
  <c r="AP25" i="1"/>
  <c r="AC25" i="1"/>
  <c r="AQ25" i="1"/>
  <c r="AD25" i="1"/>
  <c r="AR25" i="1"/>
  <c r="BB25" i="1"/>
  <c r="BC25" i="1"/>
  <c r="BD25" i="1"/>
  <c r="BA25" i="1"/>
  <c r="BE25" i="1"/>
  <c r="BJ25" i="1"/>
  <c r="BK25" i="1"/>
  <c r="BO25" i="1"/>
  <c r="BL25" i="1"/>
  <c r="AL25" i="1"/>
  <c r="AN25" i="1"/>
  <c r="DG25" i="1"/>
  <c r="CO25" i="1"/>
  <c r="CP25" i="1"/>
  <c r="CQ25" i="1"/>
  <c r="CR25" i="1"/>
  <c r="CU25" i="1"/>
  <c r="CV25" i="1"/>
  <c r="CY25" i="1"/>
  <c r="CZ25" i="1"/>
  <c r="BW25" i="1"/>
  <c r="CC25" i="1"/>
  <c r="CB25" i="1"/>
  <c r="CA25" i="1"/>
  <c r="AM26" i="1"/>
  <c r="AO26" i="1"/>
  <c r="AB26" i="1"/>
  <c r="AP26" i="1"/>
  <c r="AC26" i="1"/>
  <c r="AQ26" i="1"/>
  <c r="AD26" i="1"/>
  <c r="AR26" i="1"/>
  <c r="BB26" i="1"/>
  <c r="BC26" i="1"/>
  <c r="BD26" i="1"/>
  <c r="BA26" i="1"/>
  <c r="BE26" i="1"/>
  <c r="BJ26" i="1"/>
  <c r="BK26" i="1"/>
  <c r="BO26" i="1"/>
  <c r="BL26" i="1"/>
  <c r="AL26" i="1"/>
  <c r="AN26" i="1"/>
  <c r="DG26" i="1"/>
  <c r="CO26" i="1"/>
  <c r="CP26" i="1"/>
  <c r="CQ26" i="1"/>
  <c r="CR26" i="1"/>
  <c r="CU26" i="1"/>
  <c r="CV26" i="1"/>
  <c r="CY26" i="1"/>
  <c r="CZ26" i="1"/>
  <c r="BW26" i="1"/>
  <c r="CC26" i="1"/>
  <c r="CB26" i="1"/>
  <c r="CA26" i="1"/>
  <c r="AM27" i="1"/>
  <c r="AO27" i="1"/>
  <c r="AB27" i="1"/>
  <c r="AP27" i="1"/>
  <c r="AC27" i="1"/>
  <c r="AQ27" i="1"/>
  <c r="AD27" i="1"/>
  <c r="AR27" i="1"/>
  <c r="BB27" i="1"/>
  <c r="BC27" i="1"/>
  <c r="BD27" i="1"/>
  <c r="BA27" i="1"/>
  <c r="BE27" i="1"/>
  <c r="BJ27" i="1"/>
  <c r="BK27" i="1"/>
  <c r="BO27" i="1"/>
  <c r="BL27" i="1"/>
  <c r="AL27" i="1"/>
  <c r="AN27" i="1"/>
  <c r="DG27" i="1"/>
  <c r="CO27" i="1"/>
  <c r="CP27" i="1"/>
  <c r="CQ27" i="1"/>
  <c r="CR27" i="1"/>
  <c r="CU27" i="1"/>
  <c r="CV27" i="1"/>
  <c r="CY27" i="1"/>
  <c r="CZ27" i="1"/>
  <c r="BW27" i="1"/>
  <c r="CC27" i="1"/>
  <c r="CB27" i="1"/>
  <c r="CA27" i="1"/>
  <c r="AM28" i="1"/>
  <c r="AO28" i="1"/>
  <c r="AB28" i="1"/>
  <c r="AP28" i="1"/>
  <c r="AC28" i="1"/>
  <c r="AQ28" i="1"/>
  <c r="AD28" i="1"/>
  <c r="AR28" i="1"/>
  <c r="BB28" i="1"/>
  <c r="BC28" i="1"/>
  <c r="BD28" i="1"/>
  <c r="BA28" i="1"/>
  <c r="BE28" i="1"/>
  <c r="BJ28" i="1"/>
  <c r="BK28" i="1"/>
  <c r="BO28" i="1"/>
  <c r="BL28" i="1"/>
  <c r="AL28" i="1"/>
  <c r="AN28" i="1"/>
  <c r="DG28" i="1"/>
  <c r="CO28" i="1"/>
  <c r="CP28" i="1"/>
  <c r="CQ28" i="1"/>
  <c r="CR28" i="1"/>
  <c r="CU28" i="1"/>
  <c r="CV28" i="1"/>
  <c r="CY28" i="1"/>
  <c r="CZ28" i="1"/>
  <c r="BW28" i="1"/>
  <c r="CC28" i="1"/>
  <c r="CB28" i="1"/>
  <c r="CA28" i="1"/>
  <c r="AM29" i="1"/>
  <c r="AO29" i="1"/>
  <c r="AB29" i="1"/>
  <c r="AP29" i="1"/>
  <c r="AC29" i="1"/>
  <c r="AQ29" i="1"/>
  <c r="AD29" i="1"/>
  <c r="AR29" i="1"/>
  <c r="BB29" i="1"/>
  <c r="BC29" i="1"/>
  <c r="BD29" i="1"/>
  <c r="BA29" i="1"/>
  <c r="BE29" i="1"/>
  <c r="BJ29" i="1"/>
  <c r="BK29" i="1"/>
  <c r="BO29" i="1"/>
  <c r="BL29" i="1"/>
  <c r="AL29" i="1"/>
  <c r="AN29" i="1"/>
  <c r="DG29" i="1"/>
  <c r="CO29" i="1"/>
  <c r="CP29" i="1"/>
  <c r="CQ29" i="1"/>
  <c r="CR29" i="1"/>
  <c r="CU29" i="1"/>
  <c r="CV29" i="1"/>
  <c r="CY29" i="1"/>
  <c r="CZ29" i="1"/>
  <c r="BW29" i="1"/>
  <c r="CC29" i="1"/>
  <c r="CB29" i="1"/>
  <c r="CA29" i="1"/>
  <c r="AM30" i="1"/>
  <c r="AO30" i="1"/>
  <c r="AB30" i="1"/>
  <c r="AP30" i="1"/>
  <c r="AC30" i="1"/>
  <c r="AQ30" i="1"/>
  <c r="AD30" i="1"/>
  <c r="AR30" i="1"/>
  <c r="BB30" i="1"/>
  <c r="BC30" i="1"/>
  <c r="BD30" i="1"/>
  <c r="BA30" i="1"/>
  <c r="BE30" i="1"/>
  <c r="BJ30" i="1"/>
  <c r="BK30" i="1"/>
  <c r="BO30" i="1"/>
  <c r="BL30" i="1"/>
  <c r="AL30" i="1"/>
  <c r="AN30" i="1"/>
  <c r="DG30" i="1"/>
  <c r="CO30" i="1"/>
  <c r="CP30" i="1"/>
  <c r="CQ30" i="1"/>
  <c r="CR30" i="1"/>
  <c r="CU30" i="1"/>
  <c r="CV30" i="1"/>
  <c r="CY30" i="1"/>
  <c r="CZ30" i="1"/>
  <c r="BW30" i="1"/>
  <c r="CC30" i="1"/>
  <c r="CB30" i="1"/>
  <c r="CA30" i="1"/>
  <c r="AM31" i="1"/>
  <c r="AO31" i="1"/>
  <c r="AB31" i="1"/>
  <c r="AP31" i="1"/>
  <c r="AC31" i="1"/>
  <c r="AQ31" i="1"/>
  <c r="AD31" i="1"/>
  <c r="AR31" i="1"/>
  <c r="BB31" i="1"/>
  <c r="BC31" i="1"/>
  <c r="BD31" i="1"/>
  <c r="BA31" i="1"/>
  <c r="BE31" i="1"/>
  <c r="BJ31" i="1"/>
  <c r="BK31" i="1"/>
  <c r="BO31" i="1"/>
  <c r="BL31" i="1"/>
  <c r="AL31" i="1"/>
  <c r="AN31" i="1"/>
  <c r="DG31" i="1"/>
  <c r="CO31" i="1"/>
  <c r="CP31" i="1"/>
  <c r="CQ31" i="1"/>
  <c r="CR31" i="1"/>
  <c r="CU31" i="1"/>
  <c r="CV31" i="1"/>
  <c r="CY31" i="1"/>
  <c r="CZ31" i="1"/>
  <c r="BW31" i="1"/>
  <c r="CC31" i="1"/>
  <c r="CB31" i="1"/>
  <c r="CA31" i="1"/>
  <c r="AM32" i="1"/>
  <c r="AO32" i="1"/>
  <c r="AB32" i="1"/>
  <c r="AP32" i="1"/>
  <c r="AC32" i="1"/>
  <c r="AQ32" i="1"/>
  <c r="AD32" i="1"/>
  <c r="AR32" i="1"/>
  <c r="BB32" i="1"/>
  <c r="BC32" i="1"/>
  <c r="BD32" i="1"/>
  <c r="BA32" i="1"/>
  <c r="BE32" i="1"/>
  <c r="BJ32" i="1"/>
  <c r="BK32" i="1"/>
  <c r="BO32" i="1"/>
  <c r="BL32" i="1"/>
  <c r="AL32" i="1"/>
  <c r="AN32" i="1"/>
  <c r="DG32" i="1"/>
  <c r="CO32" i="1"/>
  <c r="CP32" i="1"/>
  <c r="CQ32" i="1"/>
  <c r="CR32" i="1"/>
  <c r="CU32" i="1"/>
  <c r="CV32" i="1"/>
  <c r="CY32" i="1"/>
  <c r="CZ32" i="1"/>
  <c r="BW32" i="1"/>
  <c r="CC32" i="1"/>
  <c r="CB32" i="1"/>
  <c r="CA32" i="1"/>
  <c r="AM33" i="1"/>
  <c r="AO33" i="1"/>
  <c r="AB33" i="1"/>
  <c r="AP33" i="1"/>
  <c r="AC33" i="1"/>
  <c r="AQ33" i="1"/>
  <c r="AD33" i="1"/>
  <c r="AR33" i="1"/>
  <c r="BB33" i="1"/>
  <c r="BC33" i="1"/>
  <c r="BD33" i="1"/>
  <c r="BA33" i="1"/>
  <c r="BE33" i="1"/>
  <c r="BJ33" i="1"/>
  <c r="BK33" i="1"/>
  <c r="BO33" i="1"/>
  <c r="BL33" i="1"/>
  <c r="AL33" i="1"/>
  <c r="AN33" i="1"/>
  <c r="DG33" i="1"/>
  <c r="CO33" i="1"/>
  <c r="CP33" i="1"/>
  <c r="CQ33" i="1"/>
  <c r="CR33" i="1"/>
  <c r="CU33" i="1"/>
  <c r="CV33" i="1"/>
  <c r="CY33" i="1"/>
  <c r="CZ33" i="1"/>
  <c r="BW33" i="1"/>
  <c r="CC33" i="1"/>
  <c r="CB33" i="1"/>
  <c r="CA33" i="1"/>
  <c r="AM34" i="1"/>
  <c r="AO34" i="1"/>
  <c r="AB34" i="1"/>
  <c r="AP34" i="1"/>
  <c r="AC34" i="1"/>
  <c r="AQ34" i="1"/>
  <c r="AD34" i="1"/>
  <c r="AR34" i="1"/>
  <c r="BB34" i="1"/>
  <c r="BC34" i="1"/>
  <c r="BD34" i="1"/>
  <c r="BA34" i="1"/>
  <c r="BE34" i="1"/>
  <c r="BJ34" i="1"/>
  <c r="BK34" i="1"/>
  <c r="BO34" i="1"/>
  <c r="BL34" i="1"/>
  <c r="AL34" i="1"/>
  <c r="AN34" i="1"/>
  <c r="DG34" i="1"/>
  <c r="CO34" i="1"/>
  <c r="CP34" i="1"/>
  <c r="CQ34" i="1"/>
  <c r="CR34" i="1"/>
  <c r="CU34" i="1"/>
  <c r="CV34" i="1"/>
  <c r="CY34" i="1"/>
  <c r="CZ34" i="1"/>
  <c r="BW34" i="1"/>
  <c r="CC34" i="1"/>
  <c r="CB34" i="1"/>
  <c r="CA34" i="1"/>
  <c r="AM35" i="1"/>
  <c r="AO35" i="1"/>
  <c r="AB35" i="1"/>
  <c r="AP35" i="1"/>
  <c r="AC35" i="1"/>
  <c r="AQ35" i="1"/>
  <c r="AD35" i="1"/>
  <c r="AR35" i="1"/>
  <c r="BB35" i="1"/>
  <c r="BC35" i="1"/>
  <c r="BD35" i="1"/>
  <c r="BO35" i="1"/>
  <c r="BL35" i="1"/>
  <c r="AL35" i="1"/>
  <c r="AN35" i="1"/>
  <c r="DG35" i="1"/>
  <c r="CO35" i="1"/>
  <c r="CP35" i="1"/>
  <c r="CQ35" i="1"/>
  <c r="CR35" i="1"/>
  <c r="CU35" i="1"/>
  <c r="CV35" i="1"/>
  <c r="CY35" i="1"/>
  <c r="CZ35" i="1"/>
  <c r="BW35" i="1"/>
  <c r="CC35" i="1"/>
  <c r="CB35" i="1"/>
  <c r="CA35" i="1"/>
  <c r="AM36" i="1"/>
  <c r="AO36" i="1"/>
  <c r="AB36" i="1"/>
  <c r="AP36" i="1"/>
  <c r="AC36" i="1"/>
  <c r="AQ36" i="1"/>
  <c r="AD36" i="1"/>
  <c r="AR36" i="1"/>
  <c r="BB36" i="1"/>
  <c r="BO36" i="1"/>
  <c r="BL36" i="1"/>
  <c r="AL36" i="1"/>
  <c r="AN36" i="1"/>
  <c r="DG36" i="1"/>
  <c r="CO36" i="1"/>
  <c r="CP36" i="1"/>
  <c r="CQ36" i="1"/>
  <c r="CR36" i="1"/>
  <c r="CU36" i="1"/>
  <c r="CV36" i="1"/>
  <c r="CY36" i="1"/>
  <c r="CZ36" i="1"/>
  <c r="BW36" i="1"/>
  <c r="CC36" i="1"/>
  <c r="CB36" i="1"/>
  <c r="CA36" i="1"/>
  <c r="AM37" i="1"/>
  <c r="AO37" i="1"/>
  <c r="AB37" i="1"/>
  <c r="AP37" i="1"/>
  <c r="AC37" i="1"/>
  <c r="AQ37" i="1"/>
  <c r="AD37" i="1"/>
  <c r="AR37" i="1"/>
  <c r="BB37" i="1"/>
  <c r="BC37" i="1"/>
  <c r="BD37" i="1"/>
  <c r="BA37" i="1"/>
  <c r="BE37" i="1"/>
  <c r="BJ37" i="1"/>
  <c r="BK37" i="1"/>
  <c r="BO37" i="1"/>
  <c r="BL37" i="1"/>
  <c r="AL37" i="1"/>
  <c r="AN37" i="1"/>
  <c r="DG37" i="1"/>
  <c r="CO37" i="1"/>
  <c r="CP37" i="1"/>
  <c r="CQ37" i="1"/>
  <c r="CR37" i="1"/>
  <c r="CU37" i="1"/>
  <c r="CV37" i="1"/>
  <c r="CY37" i="1"/>
  <c r="CZ37" i="1"/>
  <c r="BW37" i="1"/>
  <c r="CC37" i="1"/>
  <c r="CB37" i="1"/>
  <c r="CA37" i="1"/>
  <c r="AM38" i="1"/>
  <c r="AO38" i="1"/>
  <c r="AB38" i="1"/>
  <c r="AP38" i="1"/>
  <c r="AC38" i="1"/>
  <c r="AQ38" i="1"/>
  <c r="AD38" i="1"/>
  <c r="AR38" i="1"/>
  <c r="BB38" i="1"/>
  <c r="BO38" i="1"/>
  <c r="BL38" i="1"/>
  <c r="AL38" i="1"/>
  <c r="AN38" i="1"/>
  <c r="DG38" i="1"/>
  <c r="CO38" i="1"/>
  <c r="CP38" i="1"/>
  <c r="CQ38" i="1"/>
  <c r="CR38" i="1"/>
  <c r="CU38" i="1"/>
  <c r="CV38" i="1"/>
  <c r="CY38" i="1"/>
  <c r="CZ38" i="1"/>
  <c r="BW38" i="1"/>
  <c r="CC38" i="1"/>
  <c r="CB38" i="1"/>
  <c r="CA38" i="1"/>
  <c r="AM39" i="1"/>
  <c r="AO39" i="1"/>
  <c r="AB39" i="1"/>
  <c r="AP39" i="1"/>
  <c r="AC39" i="1"/>
  <c r="AQ39" i="1"/>
  <c r="AD39" i="1"/>
  <c r="AR39" i="1"/>
  <c r="BB39" i="1"/>
  <c r="BO39" i="1"/>
  <c r="BL39" i="1"/>
  <c r="AL39" i="1"/>
  <c r="AN39" i="1"/>
  <c r="DG39" i="1"/>
  <c r="CO39" i="1"/>
  <c r="CP39" i="1"/>
  <c r="CQ39" i="1"/>
  <c r="CR39" i="1"/>
  <c r="CU39" i="1"/>
  <c r="CV39" i="1"/>
  <c r="CY39" i="1"/>
  <c r="CZ39" i="1"/>
  <c r="BW39" i="1"/>
  <c r="CC39" i="1"/>
  <c r="CB39" i="1"/>
  <c r="CA39" i="1"/>
  <c r="AM40" i="1"/>
  <c r="AO40" i="1"/>
  <c r="AB40" i="1"/>
  <c r="AP40" i="1"/>
  <c r="AC40" i="1"/>
  <c r="AQ40" i="1"/>
  <c r="AD40" i="1"/>
  <c r="AR40" i="1"/>
  <c r="BB40" i="1"/>
  <c r="BC40" i="1"/>
  <c r="BD40" i="1"/>
  <c r="BA40" i="1"/>
  <c r="BE40" i="1"/>
  <c r="BJ40" i="1"/>
  <c r="BK40" i="1"/>
  <c r="BO40" i="1"/>
  <c r="BL40" i="1"/>
  <c r="AL40" i="1"/>
  <c r="AN40" i="1"/>
  <c r="DG40" i="1"/>
  <c r="CO40" i="1"/>
  <c r="CP40" i="1"/>
  <c r="CQ40" i="1"/>
  <c r="CR40" i="1"/>
  <c r="CU40" i="1"/>
  <c r="CV40" i="1"/>
  <c r="CY40" i="1"/>
  <c r="CZ40" i="1"/>
  <c r="BW40" i="1"/>
  <c r="CC40" i="1"/>
  <c r="CB40" i="1"/>
  <c r="CA40" i="1"/>
  <c r="AM41" i="1"/>
  <c r="AO41" i="1"/>
  <c r="AB41" i="1"/>
  <c r="AP41" i="1"/>
  <c r="AC41" i="1"/>
  <c r="AQ41" i="1"/>
  <c r="AD41" i="1"/>
  <c r="AR41" i="1"/>
  <c r="BB41" i="1"/>
  <c r="BC41" i="1"/>
  <c r="BD41" i="1"/>
  <c r="BA41" i="1"/>
  <c r="BE41" i="1"/>
  <c r="BJ41" i="1"/>
  <c r="BK41" i="1"/>
  <c r="BO41" i="1"/>
  <c r="BL41" i="1"/>
  <c r="AL41" i="1"/>
  <c r="AN41" i="1"/>
  <c r="DG41" i="1"/>
  <c r="CO41" i="1"/>
  <c r="CP41" i="1"/>
  <c r="CQ41" i="1"/>
  <c r="CR41" i="1"/>
  <c r="CU41" i="1"/>
  <c r="CV41" i="1"/>
  <c r="CY41" i="1"/>
  <c r="CZ41" i="1"/>
  <c r="BW41" i="1"/>
  <c r="CC41" i="1"/>
  <c r="CB41" i="1"/>
  <c r="CA41" i="1"/>
  <c r="AM5" i="1"/>
  <c r="AO5" i="1"/>
  <c r="AB5" i="1"/>
  <c r="AP5" i="1"/>
  <c r="AC5" i="1"/>
  <c r="AQ5" i="1"/>
  <c r="AD5" i="1"/>
  <c r="AR5" i="1"/>
  <c r="BB5" i="1"/>
  <c r="BC5" i="1"/>
  <c r="BD5" i="1"/>
  <c r="BA5" i="1"/>
  <c r="BE5" i="1"/>
  <c r="BJ5" i="1"/>
  <c r="BK5" i="1"/>
  <c r="BO5" i="1"/>
  <c r="BL5" i="1"/>
  <c r="AL5" i="1"/>
  <c r="AN5" i="1"/>
  <c r="DG5" i="1"/>
  <c r="CO5" i="1"/>
  <c r="CP5" i="1"/>
  <c r="CQ5" i="1"/>
  <c r="CR5" i="1"/>
  <c r="CU5" i="1"/>
  <c r="CV5" i="1"/>
  <c r="CY5" i="1"/>
  <c r="CZ5" i="1"/>
  <c r="BW5" i="1"/>
  <c r="CC5" i="1"/>
  <c r="CB5" i="1"/>
  <c r="CA5" i="1"/>
  <c r="BZ6" i="1"/>
  <c r="BZ7" i="1"/>
  <c r="BZ8" i="1"/>
  <c r="BZ9" i="1"/>
  <c r="BZ10" i="1"/>
  <c r="BZ11" i="1"/>
  <c r="BZ12" i="1"/>
  <c r="BZ13" i="1"/>
  <c r="BZ14" i="1"/>
  <c r="BZ15" i="1"/>
  <c r="BZ16" i="1"/>
  <c r="BZ17" i="1"/>
  <c r="BZ18" i="1"/>
  <c r="BZ19" i="1"/>
  <c r="BZ20" i="1"/>
  <c r="BZ21" i="1"/>
  <c r="BZ22" i="1"/>
  <c r="BZ23" i="1"/>
  <c r="BZ24" i="1"/>
  <c r="BZ25" i="1"/>
  <c r="BZ26" i="1"/>
  <c r="BZ27" i="1"/>
  <c r="BZ28" i="1"/>
  <c r="BZ29" i="1"/>
  <c r="BZ30" i="1"/>
  <c r="BZ31" i="1"/>
  <c r="BZ32" i="1"/>
  <c r="BZ33" i="1"/>
  <c r="BZ34" i="1"/>
  <c r="BZ35" i="1"/>
  <c r="BZ36" i="1"/>
  <c r="BZ37" i="1"/>
  <c r="BZ38" i="1"/>
  <c r="BZ39" i="1"/>
  <c r="BZ40" i="1"/>
  <c r="BZ41" i="1"/>
  <c r="BZ5" i="1"/>
  <c r="BO42" i="1"/>
  <c r="BX41" i="1"/>
  <c r="BS41" i="1"/>
  <c r="BR41" i="1"/>
  <c r="BM41" i="1"/>
  <c r="BN41" i="1"/>
  <c r="AY41" i="1"/>
  <c r="AF41" i="1"/>
  <c r="AE41" i="1"/>
  <c r="T41" i="1"/>
  <c r="BX40" i="1"/>
  <c r="BS40" i="1"/>
  <c r="BR40" i="1"/>
  <c r="BM40" i="1"/>
  <c r="BN40" i="1"/>
  <c r="AY40" i="1"/>
  <c r="AF40" i="1"/>
  <c r="AE40" i="1"/>
  <c r="T40" i="1"/>
  <c r="BX39" i="1"/>
  <c r="BS39" i="1"/>
  <c r="BR39" i="1"/>
  <c r="BM39" i="1"/>
  <c r="BN39" i="1"/>
  <c r="AY39" i="1"/>
  <c r="AF39" i="1"/>
  <c r="AE39" i="1"/>
  <c r="T39" i="1"/>
  <c r="BX38" i="1"/>
  <c r="BS38" i="1"/>
  <c r="BR38" i="1"/>
  <c r="BM38" i="1"/>
  <c r="BN38" i="1"/>
  <c r="AY38" i="1"/>
  <c r="AF38" i="1"/>
  <c r="AE38" i="1"/>
  <c r="T38" i="1"/>
  <c r="BX37" i="1"/>
  <c r="BS37" i="1"/>
  <c r="BR37" i="1"/>
  <c r="BM37" i="1"/>
  <c r="BN37" i="1"/>
  <c r="AY37" i="1"/>
  <c r="AF37" i="1"/>
  <c r="AE37" i="1"/>
  <c r="T37" i="1"/>
  <c r="BX36" i="1"/>
  <c r="BS36" i="1"/>
  <c r="BR36" i="1"/>
  <c r="BM36" i="1"/>
  <c r="BN36" i="1"/>
  <c r="AY36" i="1"/>
  <c r="AF36" i="1"/>
  <c r="AE36" i="1"/>
  <c r="T36" i="1"/>
  <c r="BX35" i="1"/>
  <c r="BS35" i="1"/>
  <c r="BR35" i="1"/>
  <c r="BM35" i="1"/>
  <c r="BN35" i="1"/>
  <c r="AY35" i="1"/>
  <c r="AF35" i="1"/>
  <c r="AE35" i="1"/>
  <c r="T35" i="1"/>
  <c r="BX34" i="1"/>
  <c r="BS34" i="1"/>
  <c r="BR34" i="1"/>
  <c r="BM34" i="1"/>
  <c r="BN34" i="1"/>
  <c r="AY34" i="1"/>
  <c r="AF34" i="1"/>
  <c r="AE34" i="1"/>
  <c r="T34" i="1"/>
  <c r="BX33" i="1"/>
  <c r="BS33" i="1"/>
  <c r="BR33" i="1"/>
  <c r="BM33" i="1"/>
  <c r="BN33" i="1"/>
  <c r="AY33" i="1"/>
  <c r="AF33" i="1"/>
  <c r="AE33" i="1"/>
  <c r="T33" i="1"/>
  <c r="BX32" i="1"/>
  <c r="BS32" i="1"/>
  <c r="BR32" i="1"/>
  <c r="BM32" i="1"/>
  <c r="BN32" i="1"/>
  <c r="AY32" i="1"/>
  <c r="AF32" i="1"/>
  <c r="AE32" i="1"/>
  <c r="T32" i="1"/>
  <c r="BX31" i="1"/>
  <c r="BS31" i="1"/>
  <c r="BR31" i="1"/>
  <c r="BM31" i="1"/>
  <c r="BN31" i="1"/>
  <c r="AY31" i="1"/>
  <c r="AF31" i="1"/>
  <c r="AE31" i="1"/>
  <c r="T31" i="1"/>
  <c r="BX30" i="1"/>
  <c r="BS30" i="1"/>
  <c r="BR30" i="1"/>
  <c r="BM30" i="1"/>
  <c r="BN30" i="1"/>
  <c r="AY30" i="1"/>
  <c r="AF30" i="1"/>
  <c r="AE30" i="1"/>
  <c r="T30" i="1"/>
  <c r="BX29" i="1"/>
  <c r="BS29" i="1"/>
  <c r="BR29" i="1"/>
  <c r="BM29" i="1"/>
  <c r="BN29" i="1"/>
  <c r="AY29" i="1"/>
  <c r="AF29" i="1"/>
  <c r="AE29" i="1"/>
  <c r="T29" i="1"/>
  <c r="BX28" i="1"/>
  <c r="BS28" i="1"/>
  <c r="BR28" i="1"/>
  <c r="BM28" i="1"/>
  <c r="BN28" i="1"/>
  <c r="AY28" i="1"/>
  <c r="AF28" i="1"/>
  <c r="AE28" i="1"/>
  <c r="T28" i="1"/>
  <c r="BX27" i="1"/>
  <c r="BS27" i="1"/>
  <c r="BR27" i="1"/>
  <c r="BM27" i="1"/>
  <c r="BN27" i="1"/>
  <c r="AY27" i="1"/>
  <c r="AF27" i="1"/>
  <c r="AE27" i="1"/>
  <c r="T27" i="1"/>
  <c r="BX26" i="1"/>
  <c r="BS26" i="1"/>
  <c r="BR26" i="1"/>
  <c r="BM26" i="1"/>
  <c r="BN26" i="1"/>
  <c r="AY26" i="1"/>
  <c r="AF26" i="1"/>
  <c r="AE26" i="1"/>
  <c r="T26" i="1"/>
  <c r="BX25" i="1"/>
  <c r="BS25" i="1"/>
  <c r="BR25" i="1"/>
  <c r="BM25" i="1"/>
  <c r="BN25" i="1"/>
  <c r="AY25" i="1"/>
  <c r="AF25" i="1"/>
  <c r="AE25" i="1"/>
  <c r="T25" i="1"/>
  <c r="BX24" i="1"/>
  <c r="BS24" i="1"/>
  <c r="BR24" i="1"/>
  <c r="BM24" i="1"/>
  <c r="BN24" i="1"/>
  <c r="AY24" i="1"/>
  <c r="AF24" i="1"/>
  <c r="AE24" i="1"/>
  <c r="T24" i="1"/>
  <c r="BX23" i="1"/>
  <c r="BS23" i="1"/>
  <c r="BR23" i="1"/>
  <c r="BM23" i="1"/>
  <c r="BN23" i="1"/>
  <c r="AY23" i="1"/>
  <c r="AF23" i="1"/>
  <c r="AE23" i="1"/>
  <c r="T23" i="1"/>
  <c r="BX22" i="1"/>
  <c r="BS22" i="1"/>
  <c r="BR22" i="1"/>
  <c r="BM22" i="1"/>
  <c r="BN22" i="1"/>
  <c r="AY22" i="1"/>
  <c r="AF22" i="1"/>
  <c r="AE22" i="1"/>
  <c r="T22" i="1"/>
  <c r="BX21" i="1"/>
  <c r="BS21" i="1"/>
  <c r="BR21" i="1"/>
  <c r="BM21" i="1"/>
  <c r="BN21" i="1"/>
  <c r="AY21" i="1"/>
  <c r="AF21" i="1"/>
  <c r="AE21" i="1"/>
  <c r="T21" i="1"/>
  <c r="BX20" i="1"/>
  <c r="BS20" i="1"/>
  <c r="BR20" i="1"/>
  <c r="BM20" i="1"/>
  <c r="BN20" i="1"/>
  <c r="AY20" i="1"/>
  <c r="AF20" i="1"/>
  <c r="AE20" i="1"/>
  <c r="T20" i="1"/>
  <c r="BX19" i="1"/>
  <c r="BS19" i="1"/>
  <c r="BR19" i="1"/>
  <c r="BM19" i="1"/>
  <c r="BN19" i="1"/>
  <c r="AY19" i="1"/>
  <c r="AF19" i="1"/>
  <c r="AE19" i="1"/>
  <c r="T19" i="1"/>
  <c r="BX18" i="1"/>
  <c r="BS18" i="1"/>
  <c r="BR18" i="1"/>
  <c r="BM18" i="1"/>
  <c r="BN18" i="1"/>
  <c r="AY18" i="1"/>
  <c r="AF18" i="1"/>
  <c r="AE18" i="1"/>
  <c r="T18" i="1"/>
  <c r="BX17" i="1"/>
  <c r="BS17" i="1"/>
  <c r="BR17" i="1"/>
  <c r="BM17" i="1"/>
  <c r="BN17" i="1"/>
  <c r="AY17" i="1"/>
  <c r="AF17" i="1"/>
  <c r="AE17" i="1"/>
  <c r="T17" i="1"/>
  <c r="BX16" i="1"/>
  <c r="BS16" i="1"/>
  <c r="BR16" i="1"/>
  <c r="BM16" i="1"/>
  <c r="BN16" i="1"/>
  <c r="AY16" i="1"/>
  <c r="AF16" i="1"/>
  <c r="AE16" i="1"/>
  <c r="T16" i="1"/>
  <c r="BX15" i="1"/>
  <c r="BS15" i="1"/>
  <c r="BR15" i="1"/>
  <c r="BM15" i="1"/>
  <c r="BN15" i="1"/>
  <c r="AY15" i="1"/>
  <c r="AF15" i="1"/>
  <c r="AE15" i="1"/>
  <c r="T15" i="1"/>
  <c r="BX14" i="1"/>
  <c r="BS14" i="1"/>
  <c r="BR14" i="1"/>
  <c r="BM14" i="1"/>
  <c r="BN14" i="1"/>
  <c r="AY14" i="1"/>
  <c r="AF14" i="1"/>
  <c r="AE14" i="1"/>
  <c r="T14" i="1"/>
  <c r="BX13" i="1"/>
  <c r="BS13" i="1"/>
  <c r="BR13" i="1"/>
  <c r="BM13" i="1"/>
  <c r="BN13" i="1"/>
  <c r="AY13" i="1"/>
  <c r="AF13" i="1"/>
  <c r="AE13" i="1"/>
  <c r="T13" i="1"/>
  <c r="BX12" i="1"/>
  <c r="BS12" i="1"/>
  <c r="BR12" i="1"/>
  <c r="BM12" i="1"/>
  <c r="BN12" i="1"/>
  <c r="AY12" i="1"/>
  <c r="AF12" i="1"/>
  <c r="AE12" i="1"/>
  <c r="T12" i="1"/>
  <c r="BX11" i="1"/>
  <c r="BS11" i="1"/>
  <c r="BR11" i="1"/>
  <c r="BM11" i="1"/>
  <c r="BN11" i="1"/>
  <c r="AY11" i="1"/>
  <c r="AF11" i="1"/>
  <c r="AE11" i="1"/>
  <c r="T11" i="1"/>
  <c r="BX10" i="1"/>
  <c r="BS10" i="1"/>
  <c r="BR10" i="1"/>
  <c r="BM10" i="1"/>
  <c r="BN10" i="1"/>
  <c r="AY10" i="1"/>
  <c r="AF10" i="1"/>
  <c r="AE10" i="1"/>
  <c r="T10" i="1"/>
  <c r="BX9" i="1"/>
  <c r="BS9" i="1"/>
  <c r="BR9" i="1"/>
  <c r="BM9" i="1"/>
  <c r="BN9" i="1"/>
  <c r="AY9" i="1"/>
  <c r="AF9" i="1"/>
  <c r="AE9" i="1"/>
  <c r="T9" i="1"/>
  <c r="BX8" i="1"/>
  <c r="BS8" i="1"/>
  <c r="BR8" i="1"/>
  <c r="BM8" i="1"/>
  <c r="BN8" i="1"/>
  <c r="AY8" i="1"/>
  <c r="AF8" i="1"/>
  <c r="AE8" i="1"/>
  <c r="T8" i="1"/>
  <c r="BX7" i="1"/>
  <c r="BS7" i="1"/>
  <c r="BR7" i="1"/>
  <c r="BM7" i="1"/>
  <c r="BN7" i="1"/>
  <c r="AY7" i="1"/>
  <c r="AF7" i="1"/>
  <c r="AE7" i="1"/>
  <c r="T7" i="1"/>
  <c r="BX6" i="1"/>
  <c r="BS6" i="1"/>
  <c r="BR6" i="1"/>
  <c r="BM6" i="1"/>
  <c r="BN6" i="1"/>
  <c r="AY6" i="1"/>
  <c r="AF6" i="1"/>
  <c r="AE6" i="1"/>
  <c r="T6" i="1"/>
  <c r="BX5" i="1"/>
  <c r="BS5" i="1"/>
  <c r="BR5" i="1"/>
  <c r="BM5" i="1"/>
  <c r="BN5" i="1"/>
  <c r="AY5" i="1"/>
  <c r="AF5" i="1"/>
  <c r="AE5" i="1"/>
  <c r="T5" i="1"/>
  <c r="CN15" i="1"/>
  <c r="CN29" i="1"/>
  <c r="AS12" i="1"/>
  <c r="AT16" i="1"/>
  <c r="DE16" i="1"/>
  <c r="CN17" i="1"/>
  <c r="CN36" i="1"/>
  <c r="AS5" i="1"/>
  <c r="DD5" i="1"/>
  <c r="AS29" i="1"/>
  <c r="DD29" i="1"/>
  <c r="CN34" i="1"/>
  <c r="CN32" i="1"/>
  <c r="AT12" i="1"/>
  <c r="DE12" i="1"/>
  <c r="AS34" i="1"/>
  <c r="DD34" i="1"/>
  <c r="AS33" i="1"/>
  <c r="DD33" i="1"/>
  <c r="AT32" i="1"/>
  <c r="DE32" i="1"/>
  <c r="AS41" i="1"/>
  <c r="DD41" i="1"/>
  <c r="CN41" i="1"/>
  <c r="AT29" i="1"/>
  <c r="DE29" i="1"/>
  <c r="AS13" i="1"/>
  <c r="DD13" i="1"/>
  <c r="AS11" i="1"/>
  <c r="DD11" i="1"/>
  <c r="AT14" i="1"/>
  <c r="DE14" i="1"/>
  <c r="AT5" i="1"/>
  <c r="DE5" i="1"/>
  <c r="AT34" i="1"/>
  <c r="DE34" i="1"/>
  <c r="AT18" i="1"/>
  <c r="DE18" i="1"/>
  <c r="CN18" i="1"/>
  <c r="AS31" i="1"/>
  <c r="DD31" i="1"/>
  <c r="CN14" i="1"/>
  <c r="AT13" i="1"/>
  <c r="DE13" i="1"/>
  <c r="AS18" i="1"/>
  <c r="AT41" i="1"/>
  <c r="CN33" i="1"/>
  <c r="CN38" i="1"/>
  <c r="AT38" i="1"/>
  <c r="DE38" i="1"/>
  <c r="AS24" i="1"/>
  <c r="DD24" i="1"/>
  <c r="AS14" i="1"/>
  <c r="DD14" i="1"/>
  <c r="CW14" i="1"/>
  <c r="CN13" i="1"/>
  <c r="AT36" i="1"/>
  <c r="DE36" i="1"/>
  <c r="AS32" i="1"/>
  <c r="DD32" i="1"/>
  <c r="CN5" i="1"/>
  <c r="AT33" i="1"/>
  <c r="DE33" i="1"/>
  <c r="AT31" i="1"/>
  <c r="DE31" i="1"/>
  <c r="AT30" i="1"/>
  <c r="DE30" i="1"/>
  <c r="CN19" i="1"/>
  <c r="AT6" i="1"/>
  <c r="DE6" i="1"/>
  <c r="AT15" i="1"/>
  <c r="DE15" i="1"/>
  <c r="CN30" i="1"/>
  <c r="CN11" i="1"/>
  <c r="AS6" i="1"/>
  <c r="AS15" i="1"/>
  <c r="DD15" i="1"/>
  <c r="AS35" i="1"/>
  <c r="DD35" i="1"/>
  <c r="AT10" i="1"/>
  <c r="DE10" i="1"/>
  <c r="CN22" i="1"/>
  <c r="AS10" i="1"/>
  <c r="DD10" i="1"/>
  <c r="AS17" i="1"/>
  <c r="DD17" i="1"/>
  <c r="AT40" i="1"/>
  <c r="DE40" i="1"/>
  <c r="CN39" i="1"/>
  <c r="AS40" i="1"/>
  <c r="DD40" i="1"/>
  <c r="CN12" i="1"/>
  <c r="CN6" i="1"/>
  <c r="AT22" i="1"/>
  <c r="DE22" i="1"/>
  <c r="AS38" i="1"/>
  <c r="DD38" i="1"/>
  <c r="AT7" i="1"/>
  <c r="DE7" i="1"/>
  <c r="CN7" i="1"/>
  <c r="AT37" i="1"/>
  <c r="DE37" i="1"/>
  <c r="AS37" i="1"/>
  <c r="AT11" i="1"/>
  <c r="DE11" i="1"/>
  <c r="AS25" i="1"/>
  <c r="AT28" i="1"/>
  <c r="DE28" i="1"/>
  <c r="AS28" i="1"/>
  <c r="CW28" i="1"/>
  <c r="CN28" i="1"/>
  <c r="CN21" i="1"/>
  <c r="CN40" i="1"/>
  <c r="AS39" i="1"/>
  <c r="CN37" i="1"/>
  <c r="CN20" i="1"/>
  <c r="AT20" i="1"/>
  <c r="DE20" i="1"/>
  <c r="AS20" i="1"/>
  <c r="CN35" i="1"/>
  <c r="AT35" i="1"/>
  <c r="DE35" i="1"/>
  <c r="AT39" i="1"/>
  <c r="DE39" i="1"/>
  <c r="CN25" i="1"/>
  <c r="AT17" i="1"/>
  <c r="DE17" i="1"/>
  <c r="CN10" i="1"/>
  <c r="AT9" i="1"/>
  <c r="DE9" i="1"/>
  <c r="CN9" i="1"/>
  <c r="AT24" i="1"/>
  <c r="DE24" i="1"/>
  <c r="CN24" i="1"/>
  <c r="AT21" i="1"/>
  <c r="DE21" i="1"/>
  <c r="CN16" i="1"/>
  <c r="AS16" i="1"/>
  <c r="AS23" i="1"/>
  <c r="AT23" i="1"/>
  <c r="DE23" i="1"/>
  <c r="CN23" i="1"/>
  <c r="AS36" i="1"/>
  <c r="AS21" i="1"/>
  <c r="DD12" i="1"/>
  <c r="CN8" i="1"/>
  <c r="AT8" i="1"/>
  <c r="DE8" i="1"/>
  <c r="AS30" i="1"/>
  <c r="AS9" i="1"/>
  <c r="AS22" i="1"/>
  <c r="AS7" i="1"/>
  <c r="AS27" i="1"/>
  <c r="AT27" i="1"/>
  <c r="DE27" i="1"/>
  <c r="CN27" i="1"/>
  <c r="AS8" i="1"/>
  <c r="AS26" i="1"/>
  <c r="CN26" i="1"/>
  <c r="AT26" i="1"/>
  <c r="DE26" i="1"/>
  <c r="CN31" i="1"/>
  <c r="AT25" i="1"/>
  <c r="DE25" i="1"/>
  <c r="AT19" i="1"/>
  <c r="DE19" i="1"/>
  <c r="AS19" i="1"/>
  <c r="DK8" i="1"/>
  <c r="DA34" i="1"/>
  <c r="AV15" i="1"/>
  <c r="CW5" i="1"/>
  <c r="CW25" i="1"/>
  <c r="CW32" i="1"/>
  <c r="DC12" i="1"/>
  <c r="DF12" i="1"/>
  <c r="AW29" i="1"/>
  <c r="AV12" i="1"/>
  <c r="DC11" i="1"/>
  <c r="DF11" i="1"/>
  <c r="CW12" i="1"/>
  <c r="DC14" i="1"/>
  <c r="DF14" i="1"/>
  <c r="DA13" i="1"/>
  <c r="CW33" i="1"/>
  <c r="DA29" i="1"/>
  <c r="AX18" i="1"/>
  <c r="AU34" i="1"/>
  <c r="AU15" i="1"/>
  <c r="AV14" i="1"/>
  <c r="AV32" i="1"/>
  <c r="AH29" i="1"/>
  <c r="DC32" i="1"/>
  <c r="DF32" i="1"/>
  <c r="DC13" i="1"/>
  <c r="DF13" i="1"/>
  <c r="AV29" i="1"/>
  <c r="AW38" i="1"/>
  <c r="CW10" i="1"/>
  <c r="AW13" i="1"/>
  <c r="AW34" i="1"/>
  <c r="AH34" i="1"/>
  <c r="AH13" i="1"/>
  <c r="DJ32" i="1"/>
  <c r="AW9" i="1"/>
  <c r="AV5" i="1"/>
  <c r="AV6" i="1"/>
  <c r="AH38" i="1"/>
  <c r="AH5" i="1"/>
  <c r="AW6" i="1"/>
  <c r="BA38" i="1"/>
  <c r="AW5" i="1"/>
  <c r="AH14" i="1"/>
  <c r="BD38" i="1"/>
  <c r="AH33" i="1"/>
  <c r="DA38" i="1"/>
  <c r="DC33" i="1"/>
  <c r="DF33" i="1"/>
  <c r="AW41" i="1"/>
  <c r="AV11" i="1"/>
  <c r="DC29" i="1"/>
  <c r="DF29" i="1"/>
  <c r="DD6" i="1"/>
  <c r="DC6" i="1"/>
  <c r="DF6" i="1"/>
  <c r="AV38" i="1"/>
  <c r="AU38" i="1"/>
  <c r="AU5" i="1"/>
  <c r="BC38" i="1"/>
  <c r="AU29" i="1"/>
  <c r="BE38" i="1"/>
  <c r="DC31" i="1"/>
  <c r="DF31" i="1"/>
  <c r="AV34" i="1"/>
  <c r="AH18" i="1"/>
  <c r="DC34" i="1"/>
  <c r="DF34" i="1"/>
  <c r="AW12" i="1"/>
  <c r="DC17" i="1"/>
  <c r="DF17" i="1"/>
  <c r="AU18" i="1"/>
  <c r="DC5" i="1"/>
  <c r="DF5" i="1"/>
  <c r="AU6" i="1"/>
  <c r="CW36" i="1"/>
  <c r="AW14" i="1"/>
  <c r="CW15" i="1"/>
  <c r="CW20" i="1"/>
  <c r="AU32" i="1"/>
  <c r="DC15" i="1"/>
  <c r="DF15" i="1"/>
  <c r="AU13" i="1"/>
  <c r="CW6" i="1"/>
  <c r="AV33" i="1"/>
  <c r="AH15" i="1"/>
  <c r="DC38" i="1"/>
  <c r="DF38" i="1"/>
  <c r="DA30" i="1"/>
  <c r="DA18" i="1"/>
  <c r="CW18" i="1"/>
  <c r="AU14" i="1"/>
  <c r="DE41" i="1"/>
  <c r="DC41" i="1"/>
  <c r="DF41" i="1"/>
  <c r="AV41" i="1"/>
  <c r="DD18" i="1"/>
  <c r="DC18" i="1"/>
  <c r="DF18" i="1"/>
  <c r="AV18" i="1"/>
  <c r="AU33" i="1"/>
  <c r="AV31" i="1"/>
  <c r="AW15" i="1"/>
  <c r="AH41" i="1"/>
  <c r="AU9" i="1"/>
  <c r="AV13" i="1"/>
  <c r="DC40" i="1"/>
  <c r="DF40" i="1"/>
  <c r="AH39" i="1"/>
  <c r="AH6" i="1"/>
  <c r="AV40" i="1"/>
  <c r="DA5" i="1"/>
  <c r="AV17" i="1"/>
  <c r="AU41" i="1"/>
  <c r="AV10" i="1"/>
  <c r="DC10" i="1"/>
  <c r="DF10" i="1"/>
  <c r="AH32" i="1"/>
  <c r="AU12" i="1"/>
  <c r="AW26" i="1"/>
  <c r="AH22" i="1"/>
  <c r="AH12" i="1"/>
  <c r="CW17" i="1"/>
  <c r="BE9" i="1"/>
  <c r="AH35" i="1"/>
  <c r="AH25" i="1"/>
  <c r="AW20" i="1"/>
  <c r="AU20" i="1"/>
  <c r="AW31" i="1"/>
  <c r="AU31" i="1"/>
  <c r="AV26" i="1"/>
  <c r="DD26" i="1"/>
  <c r="DC26" i="1"/>
  <c r="DF26" i="1"/>
  <c r="AW17" i="1"/>
  <c r="AU17" i="1"/>
  <c r="AH30" i="1"/>
  <c r="AH8" i="1"/>
  <c r="AH11" i="1"/>
  <c r="AH21" i="1"/>
  <c r="DD37" i="1"/>
  <c r="DC37" i="1"/>
  <c r="DF37" i="1"/>
  <c r="AV37" i="1"/>
  <c r="BA11" i="1"/>
  <c r="AH16" i="1"/>
  <c r="AH24" i="1"/>
  <c r="AH17" i="1"/>
  <c r="AH31" i="1"/>
  <c r="CW40" i="1"/>
  <c r="AU8" i="1"/>
  <c r="DA23" i="1"/>
  <c r="CW30" i="1"/>
  <c r="DD36" i="1"/>
  <c r="DC36" i="1"/>
  <c r="DF36" i="1"/>
  <c r="AV36" i="1"/>
  <c r="AV16" i="1"/>
  <c r="DD16" i="1"/>
  <c r="DC16" i="1"/>
  <c r="DF16" i="1"/>
  <c r="CW11" i="1"/>
  <c r="AH37" i="1"/>
  <c r="CW8" i="1"/>
  <c r="AU16" i="1"/>
  <c r="AW16" i="1"/>
  <c r="AW25" i="1"/>
  <c r="AU25" i="1"/>
  <c r="AV20" i="1"/>
  <c r="DD20" i="1"/>
  <c r="DC20" i="1"/>
  <c r="DF20" i="1"/>
  <c r="BE11" i="1"/>
  <c r="AH7" i="1"/>
  <c r="DA14" i="1"/>
  <c r="AH26" i="1"/>
  <c r="AW30" i="1"/>
  <c r="BA10" i="1"/>
  <c r="AU10" i="1"/>
  <c r="BE10" i="1"/>
  <c r="AU28" i="1"/>
  <c r="AW28" i="1"/>
  <c r="DA19" i="1"/>
  <c r="AU19" i="1"/>
  <c r="AW27" i="1"/>
  <c r="AU27" i="1"/>
  <c r="DD30" i="1"/>
  <c r="DC30" i="1"/>
  <c r="DF30" i="1"/>
  <c r="AV30" i="1"/>
  <c r="AV21" i="1"/>
  <c r="DD21" i="1"/>
  <c r="DC21" i="1"/>
  <c r="DF21" i="1"/>
  <c r="CJ8" i="1"/>
  <c r="DC24" i="1"/>
  <c r="DF24" i="1"/>
  <c r="DD19" i="1"/>
  <c r="DC19" i="1"/>
  <c r="DF19" i="1"/>
  <c r="AV19" i="1"/>
  <c r="AU40" i="1"/>
  <c r="AW40" i="1"/>
  <c r="BE36" i="1"/>
  <c r="BD36" i="1"/>
  <c r="BA36" i="1"/>
  <c r="AU36" i="1"/>
  <c r="BC36" i="1"/>
  <c r="AH28" i="1"/>
  <c r="AV24" i="1"/>
  <c r="AH40" i="1"/>
  <c r="DA25" i="1"/>
  <c r="AW22" i="1"/>
  <c r="AU22" i="1"/>
  <c r="AV35" i="1"/>
  <c r="AU30" i="1"/>
  <c r="AV9" i="1"/>
  <c r="DD9" i="1"/>
  <c r="DC9" i="1"/>
  <c r="DF9" i="1"/>
  <c r="BA9" i="1"/>
  <c r="AH9" i="1"/>
  <c r="AH36" i="1"/>
  <c r="DA28" i="1"/>
  <c r="AH27" i="1"/>
  <c r="DC35" i="1"/>
  <c r="DF35" i="1"/>
  <c r="AW24" i="1"/>
  <c r="AU24" i="1"/>
  <c r="DA35" i="1"/>
  <c r="AW39" i="1"/>
  <c r="BA39" i="1"/>
  <c r="AU39" i="1"/>
  <c r="BD39" i="1"/>
  <c r="BC39" i="1"/>
  <c r="BE39" i="1"/>
  <c r="AV28" i="1"/>
  <c r="DD28" i="1"/>
  <c r="DC28" i="1"/>
  <c r="DF28" i="1"/>
  <c r="DA21" i="1"/>
  <c r="AU7" i="1"/>
  <c r="DD8" i="1"/>
  <c r="DC8" i="1"/>
  <c r="DF8" i="1"/>
  <c r="AV8" i="1"/>
  <c r="DD22" i="1"/>
  <c r="DC22" i="1"/>
  <c r="DF22" i="1"/>
  <c r="AV22" i="1"/>
  <c r="CW24" i="1"/>
  <c r="DA16" i="1"/>
  <c r="CW31" i="1"/>
  <c r="CW22" i="1"/>
  <c r="AU26" i="1"/>
  <c r="DA9" i="1"/>
  <c r="AW37" i="1"/>
  <c r="AU37" i="1"/>
  <c r="AW23" i="1"/>
  <c r="DA26" i="1"/>
  <c r="DA27" i="1"/>
  <c r="DA7" i="1"/>
  <c r="BA35" i="1"/>
  <c r="AU35" i="1"/>
  <c r="BE35" i="1"/>
  <c r="DA39" i="1"/>
  <c r="AW19" i="1"/>
  <c r="DD7" i="1"/>
  <c r="DC7" i="1"/>
  <c r="DF7" i="1"/>
  <c r="AV7" i="1"/>
  <c r="AH23" i="1"/>
  <c r="AW21" i="1"/>
  <c r="AU21" i="1"/>
  <c r="DA37" i="1"/>
  <c r="AU23" i="1"/>
  <c r="AV27" i="1"/>
  <c r="DD27" i="1"/>
  <c r="DC27" i="1"/>
  <c r="DF27" i="1"/>
  <c r="BD9" i="1"/>
  <c r="AH19" i="1"/>
  <c r="DD23" i="1"/>
  <c r="DC23" i="1"/>
  <c r="DF23" i="1"/>
  <c r="AV23" i="1"/>
  <c r="AH10" i="1"/>
  <c r="AH20" i="1"/>
  <c r="DD39" i="1"/>
  <c r="DC39" i="1"/>
  <c r="DF39" i="1"/>
  <c r="AV39" i="1"/>
  <c r="DD25" i="1"/>
  <c r="DC25" i="1"/>
  <c r="DF25" i="1"/>
  <c r="AV25" i="1"/>
  <c r="AU11" i="1"/>
  <c r="AW18" i="1"/>
  <c r="AZ18" i="1"/>
  <c r="BF18" i="1"/>
  <c r="DJ18" i="1"/>
  <c r="DK13" i="1"/>
  <c r="DK36" i="1"/>
  <c r="DK12" i="1"/>
  <c r="DK37" i="1"/>
  <c r="CW29" i="1"/>
  <c r="DK41" i="1"/>
  <c r="BT38" i="1"/>
  <c r="DK30" i="1"/>
  <c r="DK10" i="1"/>
  <c r="DJ29" i="1"/>
  <c r="CW34" i="1"/>
  <c r="DI18" i="1"/>
  <c r="DJ41" i="1"/>
  <c r="AX15" i="1"/>
  <c r="AZ15" i="1"/>
  <c r="DJ13" i="1"/>
  <c r="CW13" i="1"/>
  <c r="DK7" i="1"/>
  <c r="DJ6" i="1"/>
  <c r="AW32" i="1"/>
  <c r="AW33" i="1"/>
  <c r="DK5" i="1"/>
  <c r="BJ38" i="1"/>
  <c r="DA33" i="1"/>
  <c r="DA32" i="1"/>
  <c r="DJ5" i="1"/>
  <c r="AX9" i="1"/>
  <c r="AZ9" i="1"/>
  <c r="BP38" i="1"/>
  <c r="DA12" i="1"/>
  <c r="DA10" i="1"/>
  <c r="DJ12" i="1"/>
  <c r="BI38" i="1"/>
  <c r="AX28" i="1"/>
  <c r="AZ28" i="1"/>
  <c r="BF28" i="1"/>
  <c r="DA8" i="1"/>
  <c r="AX20" i="1"/>
  <c r="AZ20" i="1"/>
  <c r="AX34" i="1"/>
  <c r="AZ34" i="1"/>
  <c r="CW38" i="1"/>
  <c r="BK38" i="1"/>
  <c r="DK33" i="1"/>
  <c r="DK17" i="1"/>
  <c r="BP6" i="1"/>
  <c r="AX14" i="1"/>
  <c r="AZ14" i="1"/>
  <c r="DA20" i="1"/>
  <c r="DA17" i="1"/>
  <c r="DA36" i="1"/>
  <c r="DA11" i="1"/>
  <c r="DA15" i="1"/>
  <c r="DA24" i="1"/>
  <c r="DA6" i="1"/>
  <c r="BK9" i="1"/>
  <c r="AX31" i="1"/>
  <c r="AZ31" i="1"/>
  <c r="DA40" i="1"/>
  <c r="BK10" i="1"/>
  <c r="CW26" i="1"/>
  <c r="AX24" i="1"/>
  <c r="AZ24" i="1"/>
  <c r="BF24" i="1"/>
  <c r="BK36" i="1"/>
  <c r="AX23" i="1"/>
  <c r="AZ23" i="1"/>
  <c r="AX27" i="1"/>
  <c r="AZ27" i="1"/>
  <c r="BF27" i="1"/>
  <c r="CW35" i="1"/>
  <c r="DK20" i="1"/>
  <c r="DJ37" i="1"/>
  <c r="DA41" i="1"/>
  <c r="CW41" i="1"/>
  <c r="CW39" i="1"/>
  <c r="CW37" i="1"/>
  <c r="DJ33" i="1"/>
  <c r="DJ21" i="1"/>
  <c r="CW23" i="1"/>
  <c r="CJ23" i="1"/>
  <c r="CW16" i="1"/>
  <c r="CJ6" i="1"/>
  <c r="DJ38" i="1"/>
  <c r="CJ12" i="1"/>
  <c r="AX16" i="1"/>
  <c r="AZ16" i="1"/>
  <c r="CW21" i="1"/>
  <c r="DK29" i="1"/>
  <c r="CW27" i="1"/>
  <c r="BJ39" i="1"/>
  <c r="BI39" i="1"/>
  <c r="CJ30" i="1"/>
  <c r="AW8" i="1"/>
  <c r="AX32" i="1"/>
  <c r="DI32" i="1"/>
  <c r="BP39" i="1"/>
  <c r="BT39" i="1"/>
  <c r="AW10" i="1"/>
  <c r="DJ10" i="1"/>
  <c r="BJ11" i="1"/>
  <c r="DK23" i="1"/>
  <c r="CW9" i="1"/>
  <c r="CJ18" i="1"/>
  <c r="BJ10" i="1"/>
  <c r="DK15" i="1"/>
  <c r="BJ35" i="1"/>
  <c r="AW7" i="1"/>
  <c r="DA22" i="1"/>
  <c r="AX33" i="1"/>
  <c r="DI33" i="1"/>
  <c r="DJ25" i="1"/>
  <c r="CJ38" i="1"/>
  <c r="AW35" i="1"/>
  <c r="DJ35" i="1"/>
  <c r="BJ9" i="1"/>
  <c r="BI36" i="1"/>
  <c r="BJ36" i="1"/>
  <c r="DJ30" i="1"/>
  <c r="CJ15" i="1"/>
  <c r="BT36" i="1"/>
  <c r="BP36" i="1"/>
  <c r="DA31" i="1"/>
  <c r="BK35" i="1"/>
  <c r="AW36" i="1"/>
  <c r="CW19" i="1"/>
  <c r="CS19" i="1"/>
  <c r="DK19" i="1"/>
  <c r="BK39" i="1"/>
  <c r="AX38" i="1"/>
  <c r="AZ38" i="1"/>
  <c r="BF38" i="1"/>
  <c r="DI38" i="1"/>
  <c r="BK11" i="1"/>
  <c r="CJ9" i="1"/>
  <c r="CW7" i="1"/>
  <c r="BI9" i="1"/>
  <c r="AW11" i="1"/>
  <c r="DK28" i="1"/>
  <c r="AX29" i="1"/>
  <c r="AZ29" i="1"/>
  <c r="BF29" i="1"/>
  <c r="DK14" i="1"/>
  <c r="CS18" i="1"/>
  <c r="DK21" i="1"/>
  <c r="DK18" i="1"/>
  <c r="BH18" i="1"/>
  <c r="CJ19" i="1"/>
  <c r="CJ26" i="1"/>
  <c r="CJ11" i="1"/>
  <c r="CJ33" i="1"/>
  <c r="BT15" i="1"/>
  <c r="CE18" i="1"/>
  <c r="CF18" i="1"/>
  <c r="CS38" i="1"/>
  <c r="CE38" i="1"/>
  <c r="CF38" i="1"/>
  <c r="DK38" i="1"/>
  <c r="BH38" i="1"/>
  <c r="DK6" i="1"/>
  <c r="DI29" i="1"/>
  <c r="BG29" i="1"/>
  <c r="DI9" i="1"/>
  <c r="DJ9" i="1"/>
  <c r="BI41" i="1"/>
  <c r="DJ28" i="1"/>
  <c r="BI18" i="1"/>
  <c r="AX13" i="1"/>
  <c r="AZ13" i="1"/>
  <c r="DI28" i="1"/>
  <c r="BH28" i="1"/>
  <c r="CS9" i="1"/>
  <c r="DK9" i="1"/>
  <c r="DI15" i="1"/>
  <c r="BH15" i="1"/>
  <c r="DI41" i="1"/>
  <c r="BG41" i="1"/>
  <c r="AX41" i="1"/>
  <c r="AZ41" i="1"/>
  <c r="BF41" i="1"/>
  <c r="BP29" i="1"/>
  <c r="CS6" i="1"/>
  <c r="CE29" i="1"/>
  <c r="CF29" i="1"/>
  <c r="BP13" i="1"/>
  <c r="CS15" i="1"/>
  <c r="DI13" i="1"/>
  <c r="BG13" i="1"/>
  <c r="CJ5" i="1"/>
  <c r="BT12" i="1"/>
  <c r="DJ15" i="1"/>
  <c r="AZ32" i="1"/>
  <c r="AZ33" i="1"/>
  <c r="BF33" i="1"/>
  <c r="CS41" i="1"/>
  <c r="AX6" i="1"/>
  <c r="AZ6" i="1"/>
  <c r="CJ41" i="1"/>
  <c r="CJ34" i="1"/>
  <c r="DI6" i="1"/>
  <c r="BI33" i="1"/>
  <c r="CS13" i="1"/>
  <c r="BI34" i="1"/>
  <c r="CE13" i="1"/>
  <c r="CF13" i="1"/>
  <c r="CE9" i="1"/>
  <c r="CF9" i="1"/>
  <c r="CJ13" i="1"/>
  <c r="BG18" i="1"/>
  <c r="DI14" i="1"/>
  <c r="BI7" i="1"/>
  <c r="BP35" i="1"/>
  <c r="CE5" i="1"/>
  <c r="CF5" i="1"/>
  <c r="DI12" i="1"/>
  <c r="BH12" i="1"/>
  <c r="BI27" i="1"/>
  <c r="CJ29" i="1"/>
  <c r="AX12" i="1"/>
  <c r="AZ12" i="1"/>
  <c r="CS29" i="1"/>
  <c r="DK34" i="1"/>
  <c r="BI5" i="1"/>
  <c r="CS5" i="1"/>
  <c r="DI5" i="1"/>
  <c r="BH5" i="1"/>
  <c r="AX5" i="1"/>
  <c r="AZ5" i="1"/>
  <c r="CE12" i="1"/>
  <c r="CF12" i="1"/>
  <c r="CS12" i="1"/>
  <c r="CS34" i="1"/>
  <c r="BT19" i="1"/>
  <c r="DI20" i="1"/>
  <c r="BH20" i="1"/>
  <c r="DJ20" i="1"/>
  <c r="CE41" i="1"/>
  <c r="CF41" i="1"/>
  <c r="CJ14" i="1"/>
  <c r="BI35" i="1"/>
  <c r="CE34" i="1"/>
  <c r="CF34" i="1"/>
  <c r="DJ34" i="1"/>
  <c r="DJ24" i="1"/>
  <c r="DI34" i="1"/>
  <c r="BP37" i="1"/>
  <c r="DI23" i="1"/>
  <c r="BG23" i="1"/>
  <c r="CE14" i="1"/>
  <c r="CF14" i="1"/>
  <c r="BT21" i="1"/>
  <c r="CE33" i="1"/>
  <c r="CF33" i="1"/>
  <c r="BI30" i="1"/>
  <c r="CS33" i="1"/>
  <c r="CS23" i="1"/>
  <c r="DI24" i="1"/>
  <c r="BT35" i="1"/>
  <c r="DJ23" i="1"/>
  <c r="CE15" i="1"/>
  <c r="CF15" i="1"/>
  <c r="CS8" i="1"/>
  <c r="BP11" i="1"/>
  <c r="CJ7" i="1"/>
  <c r="DJ8" i="1"/>
  <c r="CJ37" i="1"/>
  <c r="BI40" i="1"/>
  <c r="CS14" i="1"/>
  <c r="DJ14" i="1"/>
  <c r="CE23" i="1"/>
  <c r="CF23" i="1"/>
  <c r="DI31" i="1"/>
  <c r="BT11" i="1"/>
  <c r="CJ22" i="1"/>
  <c r="BI11" i="1"/>
  <c r="BI6" i="1"/>
  <c r="CE6" i="1"/>
  <c r="CF6" i="1"/>
  <c r="BT16" i="1"/>
  <c r="CS30" i="1"/>
  <c r="BT6" i="1"/>
  <c r="BP25" i="1"/>
  <c r="BI22" i="1"/>
  <c r="CS28" i="1"/>
  <c r="AX17" i="1"/>
  <c r="AZ17" i="1"/>
  <c r="DI17" i="1"/>
  <c r="BH17" i="1"/>
  <c r="DJ17" i="1"/>
  <c r="BT24" i="1"/>
  <c r="DJ31" i="1"/>
  <c r="DJ16" i="1"/>
  <c r="CE31" i="1"/>
  <c r="CF31" i="1"/>
  <c r="DI27" i="1"/>
  <c r="AX37" i="1"/>
  <c r="AZ37" i="1"/>
  <c r="DI37" i="1"/>
  <c r="BH37" i="1"/>
  <c r="DJ7" i="1"/>
  <c r="CJ28" i="1"/>
  <c r="CE10" i="1"/>
  <c r="CF10" i="1"/>
  <c r="DK32" i="1"/>
  <c r="BI17" i="1"/>
  <c r="CJ32" i="1"/>
  <c r="CE35" i="1"/>
  <c r="CF35" i="1"/>
  <c r="AX26" i="1"/>
  <c r="AZ26" i="1"/>
  <c r="BF26" i="1"/>
  <c r="DI26" i="1"/>
  <c r="DJ26" i="1"/>
  <c r="CJ17" i="1"/>
  <c r="CJ35" i="1"/>
  <c r="DJ27" i="1"/>
  <c r="CJ21" i="1"/>
  <c r="CJ27" i="1"/>
  <c r="CS10" i="1"/>
  <c r="CE30" i="1"/>
  <c r="CF30" i="1"/>
  <c r="CE25" i="1"/>
  <c r="CF25" i="1"/>
  <c r="CJ39" i="1"/>
  <c r="CE20" i="1"/>
  <c r="CF20" i="1"/>
  <c r="CE8" i="1"/>
  <c r="CF8" i="1"/>
  <c r="CJ20" i="1"/>
  <c r="CJ24" i="1"/>
  <c r="AX22" i="1"/>
  <c r="AZ22" i="1"/>
  <c r="DJ22" i="1"/>
  <c r="DI22" i="1"/>
  <c r="AX21" i="1"/>
  <c r="AZ21" i="1"/>
  <c r="DI21" i="1"/>
  <c r="DI16" i="1"/>
  <c r="CJ10" i="1"/>
  <c r="DK26" i="1"/>
  <c r="CS26" i="1"/>
  <c r="CE37" i="1"/>
  <c r="CF37" i="1"/>
  <c r="BT10" i="1"/>
  <c r="BP10" i="1"/>
  <c r="CS31" i="1"/>
  <c r="DK31" i="1"/>
  <c r="CE26" i="1"/>
  <c r="CF26" i="1"/>
  <c r="CJ25" i="1"/>
  <c r="DK11" i="1"/>
  <c r="CS11" i="1"/>
  <c r="AX11" i="1"/>
  <c r="AZ11" i="1"/>
  <c r="DI11" i="1"/>
  <c r="AX19" i="1"/>
  <c r="AZ19" i="1"/>
  <c r="BF19" i="1"/>
  <c r="DI19" i="1"/>
  <c r="BG33" i="1"/>
  <c r="BH33" i="1"/>
  <c r="CS39" i="1"/>
  <c r="DK39" i="1"/>
  <c r="CJ40" i="1"/>
  <c r="CJ31" i="1"/>
  <c r="AX39" i="1"/>
  <c r="AZ39" i="1"/>
  <c r="BF39" i="1"/>
  <c r="DJ39" i="1"/>
  <c r="DI39" i="1"/>
  <c r="AX36" i="1"/>
  <c r="AZ36" i="1"/>
  <c r="BF36" i="1"/>
  <c r="DI36" i="1"/>
  <c r="CJ16" i="1"/>
  <c r="CE39" i="1"/>
  <c r="CF39" i="1"/>
  <c r="AX7" i="1"/>
  <c r="AZ7" i="1"/>
  <c r="DI7" i="1"/>
  <c r="CE11" i="1"/>
  <c r="CF11" i="1"/>
  <c r="DK24" i="1"/>
  <c r="CS24" i="1"/>
  <c r="CS16" i="1"/>
  <c r="DK16" i="1"/>
  <c r="DJ19" i="1"/>
  <c r="CS21" i="1"/>
  <c r="DK35" i="1"/>
  <c r="CS35" i="1"/>
  <c r="AX25" i="1"/>
  <c r="AZ25" i="1"/>
  <c r="BF25" i="1"/>
  <c r="DI25" i="1"/>
  <c r="CE24" i="1"/>
  <c r="CF24" i="1"/>
  <c r="BI10" i="1"/>
  <c r="DK27" i="1"/>
  <c r="CS27" i="1"/>
  <c r="AX40" i="1"/>
  <c r="AZ40" i="1"/>
  <c r="BF40" i="1"/>
  <c r="DJ40" i="1"/>
  <c r="DI40" i="1"/>
  <c r="CS40" i="1"/>
  <c r="DK40" i="1"/>
  <c r="CE36" i="1"/>
  <c r="CF36" i="1"/>
  <c r="CE21" i="1"/>
  <c r="CF21" i="1"/>
  <c r="AX10" i="1"/>
  <c r="AZ10" i="1"/>
  <c r="DI10" i="1"/>
  <c r="CE16" i="1"/>
  <c r="CF16" i="1"/>
  <c r="CS25" i="1"/>
  <c r="DK25" i="1"/>
  <c r="CJ36" i="1"/>
  <c r="CE27" i="1"/>
  <c r="CF27" i="1"/>
  <c r="CE17" i="1"/>
  <c r="CF17" i="1"/>
  <c r="CS20" i="1"/>
  <c r="CS36" i="1"/>
  <c r="BT9" i="1"/>
  <c r="BP9" i="1"/>
  <c r="CE28" i="1"/>
  <c r="CF28" i="1"/>
  <c r="CE40" i="1"/>
  <c r="CF40" i="1"/>
  <c r="AX30" i="1"/>
  <c r="AZ30" i="1"/>
  <c r="BF30" i="1"/>
  <c r="DI30" i="1"/>
  <c r="BH13" i="1"/>
  <c r="DK22" i="1"/>
  <c r="CS22" i="1"/>
  <c r="DJ11" i="1"/>
  <c r="DJ36" i="1"/>
  <c r="AX35" i="1"/>
  <c r="AZ35" i="1"/>
  <c r="DI35" i="1"/>
  <c r="AX8" i="1"/>
  <c r="AZ8" i="1"/>
  <c r="DI8" i="1"/>
  <c r="CE19" i="1"/>
  <c r="CF19" i="1"/>
  <c r="CS17" i="1"/>
  <c r="CE22" i="1"/>
  <c r="CF22" i="1"/>
  <c r="CS37" i="1"/>
  <c r="BI26" i="1"/>
  <c r="BG14" i="1"/>
  <c r="BF13" i="1"/>
  <c r="BG20" i="1"/>
  <c r="BP34" i="1"/>
  <c r="BI25" i="1"/>
  <c r="BG38" i="1"/>
  <c r="BI28" i="1"/>
  <c r="BI15" i="1"/>
  <c r="BP28" i="1"/>
  <c r="BT28" i="1"/>
  <c r="BP7" i="1"/>
  <c r="BG6" i="1"/>
  <c r="BP18" i="1"/>
  <c r="BT18" i="1"/>
  <c r="BG28" i="1"/>
  <c r="BP15" i="1"/>
  <c r="BH41" i="1"/>
  <c r="BP12" i="1"/>
  <c r="BT7" i="1"/>
  <c r="BH29" i="1"/>
  <c r="BF15" i="1"/>
  <c r="BP21" i="1"/>
  <c r="BG12" i="1"/>
  <c r="BG15" i="1"/>
  <c r="BH9" i="1"/>
  <c r="BI32" i="1"/>
  <c r="BI21" i="1"/>
  <c r="BP32" i="1"/>
  <c r="BI13" i="1"/>
  <c r="BH6" i="1"/>
  <c r="BF14" i="1"/>
  <c r="BF9" i="1"/>
  <c r="BT29" i="1"/>
  <c r="BG9" i="1"/>
  <c r="BI29" i="1"/>
  <c r="BT34" i="1"/>
  <c r="BT32" i="1"/>
  <c r="BF6" i="1"/>
  <c r="BT14" i="1"/>
  <c r="BP14" i="1"/>
  <c r="BP41" i="1"/>
  <c r="BT41" i="1"/>
  <c r="BI12" i="1"/>
  <c r="BG5" i="1"/>
  <c r="BT20" i="1"/>
  <c r="BT13" i="1"/>
  <c r="BF20" i="1"/>
  <c r="BP5" i="1"/>
  <c r="BT33" i="1"/>
  <c r="BT25" i="1"/>
  <c r="BI31" i="1"/>
  <c r="BP31" i="1"/>
  <c r="BF34" i="1"/>
  <c r="BT31" i="1"/>
  <c r="BH14" i="1"/>
  <c r="CE7" i="1"/>
  <c r="CF7" i="1"/>
  <c r="BH34" i="1"/>
  <c r="BI14" i="1"/>
  <c r="BP33" i="1"/>
  <c r="BF12" i="1"/>
  <c r="BG34" i="1"/>
  <c r="BT27" i="1"/>
  <c r="BT17" i="1"/>
  <c r="BP27" i="1"/>
  <c r="BF5" i="1"/>
  <c r="BH24" i="1"/>
  <c r="BT23" i="1"/>
  <c r="BF23" i="1"/>
  <c r="BP23" i="1"/>
  <c r="BP19" i="1"/>
  <c r="BH23" i="1"/>
  <c r="BI19" i="1"/>
  <c r="BP20" i="1"/>
  <c r="BI23" i="1"/>
  <c r="BF31" i="1"/>
  <c r="BI20" i="1"/>
  <c r="BT5" i="1"/>
  <c r="BF21" i="1"/>
  <c r="BP30" i="1"/>
  <c r="BT30" i="1"/>
  <c r="BP17" i="1"/>
  <c r="BP40" i="1"/>
  <c r="BP24" i="1"/>
  <c r="BI37" i="1"/>
  <c r="BH16" i="1"/>
  <c r="BP8" i="1"/>
  <c r="BG37" i="1"/>
  <c r="BG31" i="1"/>
  <c r="BT37" i="1"/>
  <c r="BT8" i="1"/>
  <c r="CS7" i="1"/>
  <c r="BI8" i="1"/>
  <c r="BF17" i="1"/>
  <c r="BI16" i="1"/>
  <c r="BH21" i="1"/>
  <c r="BT22" i="1"/>
  <c r="BH31" i="1"/>
  <c r="BP22" i="1"/>
  <c r="BT40" i="1"/>
  <c r="BP16" i="1"/>
  <c r="BP26" i="1"/>
  <c r="BF37" i="1"/>
  <c r="BT26" i="1"/>
  <c r="BH32" i="1"/>
  <c r="BG17" i="1"/>
  <c r="BI24" i="1"/>
  <c r="BF10" i="1"/>
  <c r="BG24" i="1"/>
  <c r="BG16" i="1"/>
  <c r="BF32" i="1"/>
  <c r="BG32" i="1"/>
  <c r="CS32" i="1"/>
  <c r="CE32" i="1"/>
  <c r="CF32" i="1"/>
  <c r="BF11" i="1"/>
  <c r="BF35" i="1"/>
  <c r="BG21" i="1"/>
  <c r="BF7" i="1"/>
  <c r="BG25" i="1"/>
  <c r="BH25" i="1"/>
  <c r="BH39" i="1"/>
  <c r="BG39" i="1"/>
  <c r="BF16" i="1"/>
  <c r="BH35" i="1"/>
  <c r="BG35" i="1"/>
  <c r="BF8" i="1"/>
  <c r="BH10" i="1"/>
  <c r="BG10" i="1"/>
  <c r="BH36" i="1"/>
  <c r="BG36" i="1"/>
  <c r="BH8" i="1"/>
  <c r="BG8" i="1"/>
  <c r="BH27" i="1"/>
  <c r="BG27" i="1"/>
  <c r="BH19" i="1"/>
  <c r="BG19" i="1"/>
  <c r="BH11" i="1"/>
  <c r="BG11" i="1"/>
  <c r="BH40" i="1"/>
  <c r="BG40" i="1"/>
  <c r="BH30" i="1"/>
  <c r="BG30" i="1"/>
  <c r="BH22" i="1"/>
  <c r="BG22" i="1"/>
  <c r="BF22" i="1"/>
  <c r="BG7" i="1"/>
  <c r="BH7" i="1"/>
  <c r="BH26" i="1"/>
  <c r="BG26" i="1"/>
  <c r="D1143" i="12"/>
  <c r="C1115" i="12"/>
  <c r="U19" i="3"/>
  <c r="W19" i="3"/>
  <c r="X19" i="3"/>
  <c r="L108" i="3"/>
  <c r="L107" i="3"/>
  <c r="L105" i="3"/>
  <c r="L104" i="3"/>
  <c r="L102" i="3"/>
  <c r="L101" i="3"/>
  <c r="L83" i="3"/>
  <c r="L84" i="3"/>
  <c r="L85" i="3"/>
  <c r="L86" i="3"/>
  <c r="L87" i="3"/>
  <c r="L88" i="3"/>
  <c r="L89" i="3"/>
  <c r="L90" i="3"/>
  <c r="L91" i="3"/>
  <c r="L92" i="3"/>
  <c r="L93" i="3"/>
  <c r="L94" i="3"/>
  <c r="L95" i="3"/>
  <c r="L96" i="3"/>
  <c r="L97" i="3"/>
  <c r="L98" i="3"/>
  <c r="L99" i="3"/>
  <c r="L82" i="3"/>
  <c r="L66" i="3"/>
  <c r="L67" i="3"/>
  <c r="L68" i="3"/>
  <c r="L69" i="3"/>
  <c r="L70" i="3"/>
  <c r="L71" i="3"/>
  <c r="L72" i="3"/>
  <c r="L73" i="3"/>
  <c r="L74" i="3"/>
  <c r="L75" i="3"/>
  <c r="L76" i="3"/>
  <c r="L77" i="3"/>
  <c r="L78" i="3"/>
  <c r="L79" i="3"/>
  <c r="L80" i="3"/>
  <c r="L65" i="3"/>
  <c r="L53" i="3"/>
  <c r="L54" i="3"/>
  <c r="L55" i="3"/>
  <c r="L56" i="3"/>
  <c r="L57" i="3"/>
  <c r="L58" i="3"/>
  <c r="L59" i="3"/>
  <c r="L60" i="3"/>
  <c r="L61" i="3"/>
  <c r="L62" i="3"/>
  <c r="L63" i="3"/>
  <c r="L52" i="3"/>
  <c r="L44" i="3"/>
  <c r="L45" i="3"/>
  <c r="L46" i="3"/>
  <c r="L47" i="3"/>
  <c r="L48" i="3"/>
  <c r="L49" i="3"/>
  <c r="L50" i="3"/>
  <c r="L43" i="3"/>
  <c r="L41" i="3"/>
  <c r="L40" i="3"/>
  <c r="J361" i="12"/>
  <c r="J360" i="12"/>
  <c r="C40" i="3"/>
  <c r="D40" i="3"/>
  <c r="C41" i="3"/>
  <c r="D41" i="3"/>
  <c r="C42" i="3"/>
  <c r="D42" i="3"/>
  <c r="C43" i="3"/>
  <c r="D43" i="3"/>
  <c r="C44" i="3"/>
  <c r="D44" i="3"/>
  <c r="C45" i="3"/>
  <c r="D45" i="3"/>
  <c r="C46" i="3"/>
  <c r="D46" i="3"/>
  <c r="C47" i="3"/>
  <c r="D47" i="3"/>
  <c r="C48" i="3"/>
  <c r="D48" i="3"/>
  <c r="C49" i="3"/>
  <c r="D49" i="3"/>
  <c r="J369" i="12"/>
  <c r="J368" i="12"/>
  <c r="J367" i="12"/>
  <c r="J366" i="12"/>
  <c r="J365" i="12"/>
  <c r="J364" i="12"/>
  <c r="J363" i="12"/>
  <c r="J362" i="12"/>
  <c r="C16" i="3"/>
  <c r="D16" i="3"/>
  <c r="E16" i="3"/>
  <c r="F16" i="3"/>
  <c r="G16" i="3"/>
  <c r="H16" i="3"/>
  <c r="I16" i="3"/>
  <c r="J16" i="3"/>
  <c r="B16" i="3"/>
  <c r="C17" i="3"/>
  <c r="D17" i="3"/>
  <c r="E17" i="3"/>
  <c r="F17" i="3"/>
  <c r="G17" i="3"/>
  <c r="H17" i="3"/>
  <c r="I17" i="3"/>
  <c r="J17" i="3"/>
  <c r="B17" i="3"/>
  <c r="C12" i="3"/>
  <c r="D12" i="3"/>
  <c r="E12" i="3"/>
  <c r="F12" i="3"/>
  <c r="G12" i="3"/>
  <c r="H12" i="3"/>
  <c r="I12" i="3"/>
  <c r="J12" i="3"/>
  <c r="K12" i="3"/>
  <c r="L12" i="3"/>
  <c r="M12" i="3"/>
  <c r="N12" i="3"/>
  <c r="O12" i="3"/>
  <c r="P12" i="3"/>
  <c r="B12" i="3"/>
  <c r="C13" i="3"/>
  <c r="D13" i="3"/>
  <c r="E13" i="3"/>
  <c r="F13" i="3"/>
  <c r="G13" i="3"/>
  <c r="H13" i="3"/>
  <c r="I13" i="3"/>
  <c r="J13" i="3"/>
  <c r="K13" i="3"/>
  <c r="L13" i="3"/>
  <c r="M13" i="3"/>
  <c r="N13" i="3"/>
  <c r="O13" i="3"/>
  <c r="P13" i="3"/>
  <c r="B13" i="3"/>
  <c r="U21" i="3"/>
  <c r="W20" i="3"/>
  <c r="W18" i="3"/>
  <c r="W17" i="3"/>
  <c r="W16" i="3"/>
  <c r="W15" i="3"/>
  <c r="W14" i="3"/>
  <c r="W13" i="3"/>
  <c r="W12" i="3"/>
  <c r="W11" i="3"/>
  <c r="W10" i="3"/>
  <c r="W9" i="3"/>
  <c r="W8" i="3"/>
  <c r="W7" i="3"/>
  <c r="O22" i="3"/>
  <c r="O21" i="3"/>
  <c r="O28" i="3"/>
  <c r="O24" i="3"/>
  <c r="O23" i="3"/>
  <c r="P21" i="3"/>
  <c r="P28" i="3"/>
  <c r="P24" i="3"/>
  <c r="P23" i="3"/>
  <c r="P22" i="3"/>
  <c r="D21" i="3"/>
  <c r="D28" i="3"/>
  <c r="D24" i="3"/>
  <c r="D22" i="3"/>
  <c r="D23" i="3"/>
  <c r="B24" i="3"/>
  <c r="B21" i="3"/>
  <c r="B28" i="3"/>
  <c r="B23" i="3"/>
  <c r="B22" i="3"/>
  <c r="M24" i="3"/>
  <c r="M23" i="3"/>
  <c r="M21" i="3"/>
  <c r="M28" i="3"/>
  <c r="M22" i="3"/>
  <c r="I24" i="3"/>
  <c r="I23" i="3"/>
  <c r="I22" i="3"/>
  <c r="I21" i="3"/>
  <c r="I28" i="3"/>
  <c r="E24" i="3"/>
  <c r="E23" i="3"/>
  <c r="E22" i="3"/>
  <c r="E21" i="3"/>
  <c r="E28" i="3"/>
  <c r="K22" i="3"/>
  <c r="K21" i="3"/>
  <c r="K28" i="3"/>
  <c r="K24" i="3"/>
  <c r="K23" i="3"/>
  <c r="H21" i="3"/>
  <c r="H28" i="3"/>
  <c r="H24" i="3"/>
  <c r="H23" i="3"/>
  <c r="H22" i="3"/>
  <c r="N24" i="3"/>
  <c r="N23" i="3"/>
  <c r="N22" i="3"/>
  <c r="N21" i="3"/>
  <c r="N28" i="3"/>
  <c r="J23" i="3"/>
  <c r="J22" i="3"/>
  <c r="J24" i="3"/>
  <c r="J21" i="3"/>
  <c r="J28" i="3"/>
  <c r="F23" i="3"/>
  <c r="F22" i="3"/>
  <c r="F21" i="3"/>
  <c r="F28" i="3"/>
  <c r="F24" i="3"/>
  <c r="G22" i="3"/>
  <c r="G21" i="3"/>
  <c r="G28" i="3"/>
  <c r="G24" i="3"/>
  <c r="G23" i="3"/>
  <c r="C22" i="3"/>
  <c r="C21" i="3"/>
  <c r="C28" i="3"/>
  <c r="C24" i="3"/>
  <c r="C23" i="3"/>
  <c r="L21" i="3"/>
  <c r="L28" i="3"/>
  <c r="L22" i="3"/>
  <c r="L24" i="3"/>
  <c r="L23" i="3"/>
</calcChain>
</file>

<file path=xl/sharedStrings.xml><?xml version="1.0" encoding="utf-8"?>
<sst xmlns="http://schemas.openxmlformats.org/spreadsheetml/2006/main" count="2102" uniqueCount="567">
  <si>
    <t>Eq.</t>
  </si>
  <si>
    <t>Thermal stability + T error</t>
  </si>
  <si>
    <t>Upper limit -T error</t>
  </si>
  <si>
    <r>
      <rPr>
        <sz val="9"/>
        <color indexed="8"/>
        <rFont val="Arial"/>
        <family val="2"/>
      </rPr>
      <t>K, Mg, Ca, Al, Ti, Na, Si, Fe</t>
    </r>
    <r>
      <rPr>
        <vertAlign val="superscript"/>
        <sz val="9"/>
        <color indexed="8"/>
        <rFont val="Arial"/>
        <family val="2"/>
      </rPr>
      <t>a</t>
    </r>
  </si>
  <si>
    <r>
      <rPr>
        <sz val="9"/>
        <color indexed="8"/>
        <rFont val="Arial"/>
        <family val="2"/>
      </rPr>
      <t>a. Predictors: (Constant), K, Mg, Ca, Al, Ti, Na, Si, Fe</t>
    </r>
  </si>
  <si>
    <r>
      <rPr>
        <sz val="10"/>
        <color indexed="8"/>
        <rFont val="Courier New"/>
        <family val="3"/>
      </rPr>
      <t>GET DATA   /TYPE=XLS   /FILE='D:\Documenti\Lavoro\MyPapers\Progress\Amp_thermobarometry\Post-article papers dealing with amphibole\Submission\Super\OK1\R    egr-Mn\data.xls'   /SHEET=name 'whole'   /CELLRANGE=full   /READNAMES=on   /ASSUMEDSTRWIDTH=32767. &gt;Warning.  Command name: GET DATA &gt;(2101) The column contained no recognized type; defaulting to "Numeric[8,2]" &gt;* Column 11 &gt;Warning.  Command name: GET DATA &gt;(2101) The column contained no recognized type; defaulting to "Numeric[8,2]" &gt;* Column 21 REGRESSION   /MISSING LISTWISE   /STATISTICS COEFF OUTS R ANOVA   /CRITERIA=PIN(.05) POUT(.10)   /NOORIGIN   /DEPENDENT P   /METHOD=ENTER Si Ti Al Fe Mg Ca Na K.</t>
    </r>
  </si>
  <si>
    <r>
      <rPr>
        <sz val="9"/>
        <color indexed="8"/>
        <rFont val="Arial"/>
        <family val="2"/>
      </rPr>
      <t>18-Dec-2010 21:37:15</t>
    </r>
  </si>
  <si>
    <r>
      <rPr>
        <sz val="9"/>
        <color indexed="8"/>
        <rFont val="Arial"/>
        <family val="2"/>
      </rPr>
      <t xml:space="preserve">REGRESSION
  /MISSING LISTWISE
  /STATISTICS COEFF OUTS R ANOVA
  /CRITERIA=PIN(.05) POUT(.10)
  /NOORIGIN
  /DEPENDENT P
  /METHOD=ENTER Si Ti Al Fe Mg Ca Na K.
</t>
    </r>
  </si>
  <si>
    <r>
      <rPr>
        <sz val="9"/>
        <color indexed="8"/>
        <rFont val="Arial"/>
        <family val="2"/>
      </rPr>
      <t>0:00:00.015</t>
    </r>
  </si>
  <si>
    <r>
      <rPr>
        <sz val="9"/>
        <color indexed="8"/>
        <rFont val="Arial"/>
        <family val="2"/>
      </rPr>
      <t>4724 bytes</t>
    </r>
  </si>
  <si>
    <r>
      <rPr>
        <sz val="9"/>
        <color indexed="8"/>
        <rFont val="Arial"/>
        <family val="2"/>
      </rPr>
      <t>.947</t>
    </r>
    <r>
      <rPr>
        <vertAlign val="superscript"/>
        <sz val="9"/>
        <color indexed="8"/>
        <rFont val="Arial"/>
        <family val="2"/>
      </rPr>
      <t>a</t>
    </r>
  </si>
  <si>
    <r>
      <rPr>
        <sz val="10"/>
        <color indexed="8"/>
        <rFont val="Courier New"/>
        <family val="3"/>
      </rPr>
      <t>GET DATA   /TYPE=XLS   /FILE='D:\Documenti\Lavoro\MyPapers\Progress\Amp_thermobarometry\Post-article papers dealing with amphibole\Submission\Super\OK1\R    egr-Mn\data.xls'   /SHEET=name 'whole'   /CELLRANGE=full   /READNAMES=on   /ASSUMEDSTRWIDTH=32767. &gt;Warning.  Command name: GET DATA &gt;(2101) The column contained no recognized type; defaulting to "Numeric[8,2]" &gt;* Column 21 REGRESSION   /MISSING LISTWISE   /STATISTICS COEFF OUTS R ANOVA   /CRITERIA=PIN(.05) POUT(.10)   /NOORIGIN   /DEPENDENT lnP   /METHOD=ENTER Si Ti Al Fe Mg Ca Na K.</t>
    </r>
  </si>
  <si>
    <r>
      <rPr>
        <sz val="9"/>
        <color indexed="8"/>
        <rFont val="Arial"/>
        <family val="2"/>
      </rPr>
      <t>18-Dec-2010 21:38:49</t>
    </r>
  </si>
  <si>
    <r>
      <rPr>
        <sz val="9"/>
        <color indexed="8"/>
        <rFont val="Arial"/>
        <family val="2"/>
      </rPr>
      <t xml:space="preserve">REGRESSION
  /MISSING LISTWISE
  /STATISTICS COEFF OUTS R ANOVA
  /CRITERIA=PIN(.05) POUT(.10)
  /NOORIGIN
  /DEPENDENT lnP
  /METHOD=ENTER Si Ti Al Fe Mg Ca Na K.
</t>
    </r>
  </si>
  <si>
    <t>charge</t>
  </si>
  <si>
    <t>H2O</t>
  </si>
  <si>
    <r>
      <rPr>
        <sz val="9"/>
        <color indexed="8"/>
        <rFont val="Arial"/>
        <family val="2"/>
      </rPr>
      <t>K, Fe, Ca, Na, Ti, Si, Al, Mg</t>
    </r>
    <r>
      <rPr>
        <vertAlign val="superscript"/>
        <sz val="9"/>
        <color indexed="8"/>
        <rFont val="Arial"/>
        <family val="2"/>
      </rPr>
      <t>a</t>
    </r>
  </si>
  <si>
    <r>
      <rPr>
        <sz val="9"/>
        <color indexed="8"/>
        <rFont val="Arial"/>
        <family val="2"/>
      </rPr>
      <t>a. Predictors: (Constant), K, Fe, Ca, Na, Ti, Si, Al, Mg</t>
    </r>
  </si>
  <si>
    <r>
      <rPr>
        <sz val="9"/>
        <color indexed="8"/>
        <rFont val="Arial"/>
        <family val="2"/>
      </rPr>
      <t>.944</t>
    </r>
    <r>
      <rPr>
        <vertAlign val="superscript"/>
        <sz val="9"/>
        <color indexed="8"/>
        <rFont val="Arial"/>
        <family val="2"/>
      </rPr>
      <t>a</t>
    </r>
  </si>
  <si>
    <r>
      <rPr>
        <sz val="9"/>
        <color indexed="8"/>
        <rFont val="Arial"/>
        <family val="2"/>
      </rPr>
      <t>b. Dependent Variable: LnH2O</t>
    </r>
  </si>
  <si>
    <r>
      <rPr>
        <sz val="9"/>
        <color indexed="8"/>
        <rFont val="Arial"/>
        <family val="2"/>
      </rPr>
      <t>.002</t>
    </r>
    <r>
      <rPr>
        <vertAlign val="superscript"/>
        <sz val="9"/>
        <color indexed="8"/>
        <rFont val="Arial"/>
        <family val="2"/>
      </rPr>
      <t>a</t>
    </r>
  </si>
  <si>
    <r>
      <rPr>
        <sz val="9"/>
        <color indexed="8"/>
        <rFont val="Arial"/>
        <family val="2"/>
      </rPr>
      <t>K, Mg, Ca, Si, Na, Al, Ti, Fe</t>
    </r>
    <r>
      <rPr>
        <vertAlign val="superscript"/>
        <sz val="9"/>
        <color indexed="8"/>
        <rFont val="Arial"/>
        <family val="2"/>
      </rPr>
      <t>a</t>
    </r>
  </si>
  <si>
    <r>
      <rPr>
        <sz val="9"/>
        <color indexed="8"/>
        <rFont val="Arial"/>
        <family val="2"/>
      </rPr>
      <t>a. Predictors: (Constant), K, Mg, Ca, Si, Na, Al, Ti, Fe</t>
    </r>
  </si>
  <si>
    <r>
      <rPr>
        <sz val="10"/>
        <color indexed="8"/>
        <rFont val="Courier New"/>
        <family val="3"/>
      </rPr>
      <t xml:space="preserve">[DataSet10] </t>
    </r>
  </si>
  <si>
    <r>
      <rPr>
        <sz val="10"/>
        <color indexed="8"/>
        <rFont val="Courier New"/>
        <family val="3"/>
      </rPr>
      <t xml:space="preserve">[DataSet11] </t>
    </r>
  </si>
  <si>
    <r>
      <rPr>
        <sz val="9"/>
        <color indexed="8"/>
        <rFont val="Arial"/>
        <family val="2"/>
      </rPr>
      <t>K, Ca, Mg, Si, Ti, Na, Fe, Al</t>
    </r>
    <r>
      <rPr>
        <vertAlign val="superscript"/>
        <sz val="9"/>
        <color indexed="8"/>
        <rFont val="Arial"/>
        <family val="2"/>
      </rPr>
      <t>a</t>
    </r>
  </si>
  <si>
    <r>
      <rPr>
        <sz val="9"/>
        <color indexed="8"/>
        <rFont val="Arial"/>
        <family val="2"/>
      </rPr>
      <t>a. Predictors: (Constant), K, Ca, Mg, Si, Ti, Na, Fe, Al</t>
    </r>
  </si>
  <si>
    <r>
      <rPr>
        <sz val="9"/>
        <color indexed="8"/>
        <rFont val="Arial"/>
        <family val="2"/>
      </rPr>
      <t>.972</t>
    </r>
    <r>
      <rPr>
        <vertAlign val="superscript"/>
        <sz val="9"/>
        <color indexed="8"/>
        <rFont val="Arial"/>
        <family val="2"/>
      </rPr>
      <t>a</t>
    </r>
  </si>
  <si>
    <r>
      <rPr>
        <sz val="9"/>
        <color indexed="8"/>
        <rFont val="Arial"/>
        <family val="2"/>
      </rPr>
      <t>lnT, Mg, Ca, K, Ti, Al, Na, Si, Fe</t>
    </r>
    <r>
      <rPr>
        <vertAlign val="superscript"/>
        <sz val="9"/>
        <color indexed="8"/>
        <rFont val="Arial"/>
        <family val="2"/>
      </rPr>
      <t>a</t>
    </r>
  </si>
  <si>
    <r>
      <rPr>
        <sz val="9"/>
        <color indexed="8"/>
        <rFont val="Arial"/>
        <family val="2"/>
      </rPr>
      <t>.973</t>
    </r>
    <r>
      <rPr>
        <vertAlign val="superscript"/>
        <sz val="9"/>
        <color indexed="8"/>
        <rFont val="Arial"/>
        <family val="2"/>
      </rPr>
      <t>a</t>
    </r>
  </si>
  <si>
    <r>
      <rPr>
        <sz val="9"/>
        <color indexed="8"/>
        <rFont val="Arial"/>
        <family val="2"/>
      </rPr>
      <t>a. Predictors: (Constant), lnT, Mg, Ca, K, Ti, Al, Na, Si, Fe</t>
    </r>
  </si>
  <si>
    <r>
      <rPr>
        <sz val="9"/>
        <color indexed="8"/>
        <rFont val="Arial"/>
        <family val="2"/>
      </rPr>
      <t>lnT</t>
    </r>
  </si>
  <si>
    <r>
      <rPr>
        <sz val="9"/>
        <color indexed="8"/>
        <rFont val="Arial"/>
        <family val="2"/>
      </rPr>
      <t>K, Al, Ca, Na, Fe, Ti, Si, Mg</t>
    </r>
    <r>
      <rPr>
        <vertAlign val="superscript"/>
        <sz val="9"/>
        <color indexed="8"/>
        <rFont val="Arial"/>
        <family val="2"/>
      </rPr>
      <t>a</t>
    </r>
  </si>
  <si>
    <r>
      <rPr>
        <sz val="9"/>
        <color indexed="8"/>
        <rFont val="Arial"/>
        <family val="2"/>
      </rPr>
      <t>a. Predictors: (Constant), K, Al, Ca, Na, Fe, Ti, Si, Mg</t>
    </r>
  </si>
  <si>
    <r>
      <rPr>
        <sz val="10"/>
        <color indexed="8"/>
        <rFont val="Courier New"/>
        <family val="3"/>
      </rPr>
      <t xml:space="preserve">[DataSet14] </t>
    </r>
  </si>
  <si>
    <r>
      <rPr>
        <sz val="9"/>
        <color indexed="8"/>
        <rFont val="Arial"/>
        <family val="2"/>
      </rPr>
      <t>.916</t>
    </r>
    <r>
      <rPr>
        <vertAlign val="superscript"/>
        <sz val="9"/>
        <color indexed="8"/>
        <rFont val="Arial"/>
        <family val="2"/>
      </rPr>
      <t>a</t>
    </r>
  </si>
  <si>
    <r>
      <rPr>
        <sz val="10"/>
        <color indexed="8"/>
        <rFont val="Courier New"/>
        <family val="3"/>
      </rPr>
      <t xml:space="preserve">[DataSet15] </t>
    </r>
  </si>
  <si>
    <r>
      <rPr>
        <sz val="10"/>
        <color indexed="8"/>
        <rFont val="Courier New"/>
        <family val="3"/>
      </rPr>
      <t xml:space="preserve">[DataSet19] </t>
    </r>
  </si>
  <si>
    <r>
      <rPr>
        <sz val="9"/>
        <color indexed="8"/>
        <rFont val="Arial"/>
        <family val="2"/>
      </rPr>
      <t>lnP, Ca, Mg, K, Ti, Na, Si, Fe, Al</t>
    </r>
    <r>
      <rPr>
        <vertAlign val="superscript"/>
        <sz val="9"/>
        <color indexed="8"/>
        <rFont val="Arial"/>
        <family val="2"/>
      </rPr>
      <t>a</t>
    </r>
  </si>
  <si>
    <r>
      <rPr>
        <sz val="9"/>
        <color indexed="8"/>
        <rFont val="Arial"/>
        <family val="2"/>
      </rPr>
      <t>a. Predictors: (Constant), lnP, Ca, Mg, K, Ti, Na, Si, Fe, Al</t>
    </r>
  </si>
  <si>
    <t>P1e</t>
  </si>
  <si>
    <t>P1b</t>
  </si>
  <si>
    <t>QFM</t>
  </si>
  <si>
    <t>NNO</t>
  </si>
  <si>
    <t>error</t>
  </si>
  <si>
    <t>P</t>
  </si>
  <si>
    <t>Si</t>
  </si>
  <si>
    <t>Ti</t>
  </si>
  <si>
    <t>Al</t>
  </si>
  <si>
    <t>Fe</t>
  </si>
  <si>
    <t>Mn</t>
  </si>
  <si>
    <t>Mg</t>
  </si>
  <si>
    <t>Ca</t>
  </si>
  <si>
    <t>Na</t>
  </si>
  <si>
    <t>K</t>
  </si>
  <si>
    <t>sum</t>
  </si>
  <si>
    <t>Stability curve data</t>
  </si>
  <si>
    <t>Upper limit</t>
  </si>
  <si>
    <t>T</t>
  </si>
  <si>
    <t>Thermal stability</t>
  </si>
  <si>
    <t>Molar weights</t>
  </si>
  <si>
    <t>PM</t>
  </si>
  <si>
    <t>O</t>
  </si>
  <si>
    <t>X ox</t>
  </si>
  <si>
    <r>
      <t>SiO</t>
    </r>
    <r>
      <rPr>
        <b/>
        <vertAlign val="subscript"/>
        <sz val="10"/>
        <rFont val="Times New Roman"/>
        <family val="1"/>
      </rPr>
      <t>2</t>
    </r>
  </si>
  <si>
    <r>
      <t>TiO</t>
    </r>
    <r>
      <rPr>
        <b/>
        <vertAlign val="subscript"/>
        <sz val="10"/>
        <rFont val="Times New Roman"/>
        <family val="1"/>
      </rPr>
      <t>2</t>
    </r>
  </si>
  <si>
    <r>
      <t>Al</t>
    </r>
    <r>
      <rPr>
        <b/>
        <vertAlign val="subscript"/>
        <sz val="10"/>
        <rFont val="Times New Roman"/>
        <family val="1"/>
      </rPr>
      <t>2</t>
    </r>
    <r>
      <rPr>
        <b/>
        <sz val="10"/>
        <rFont val="Times New Roman"/>
        <family val="1"/>
      </rPr>
      <t>O</t>
    </r>
    <r>
      <rPr>
        <b/>
        <vertAlign val="subscript"/>
        <sz val="10"/>
        <rFont val="Times New Roman"/>
        <family val="1"/>
      </rPr>
      <t>3</t>
    </r>
  </si>
  <si>
    <t>Cr2O3</t>
  </si>
  <si>
    <t>FeO</t>
  </si>
  <si>
    <t>MnO</t>
  </si>
  <si>
    <t>MgO</t>
  </si>
  <si>
    <t>CaO</t>
  </si>
  <si>
    <r>
      <t>Na</t>
    </r>
    <r>
      <rPr>
        <b/>
        <vertAlign val="subscript"/>
        <sz val="10"/>
        <rFont val="Times New Roman"/>
        <family val="1"/>
      </rPr>
      <t>2</t>
    </r>
    <r>
      <rPr>
        <b/>
        <sz val="10"/>
        <rFont val="Times New Roman"/>
        <family val="1"/>
      </rPr>
      <t>O</t>
    </r>
  </si>
  <si>
    <r>
      <t>K</t>
    </r>
    <r>
      <rPr>
        <b/>
        <vertAlign val="subscript"/>
        <sz val="10"/>
        <rFont val="Times New Roman"/>
        <family val="1"/>
      </rPr>
      <t>2</t>
    </r>
    <r>
      <rPr>
        <b/>
        <sz val="10"/>
        <rFont val="Times New Roman"/>
        <family val="1"/>
      </rPr>
      <t>O</t>
    </r>
  </si>
  <si>
    <t>Cl</t>
  </si>
  <si>
    <r>
      <t>Fe</t>
    </r>
    <r>
      <rPr>
        <b/>
        <vertAlign val="subscript"/>
        <sz val="10"/>
        <rFont val="Times New Roman"/>
        <family val="1"/>
      </rPr>
      <t>2</t>
    </r>
    <r>
      <rPr>
        <b/>
        <sz val="10"/>
        <rFont val="Times New Roman"/>
        <family val="1"/>
      </rPr>
      <t>O</t>
    </r>
    <r>
      <rPr>
        <b/>
        <vertAlign val="subscript"/>
        <sz val="10"/>
        <rFont val="Times New Roman"/>
        <family val="1"/>
      </rPr>
      <t>3</t>
    </r>
  </si>
  <si>
    <t>CO2</t>
  </si>
  <si>
    <t>PA</t>
  </si>
  <si>
    <t>Cr</t>
  </si>
  <si>
    <t>Amphibole composition (wt%)</t>
  </si>
  <si>
    <t>moles in 100 g</t>
  </si>
  <si>
    <t>Si to Mg sum</t>
  </si>
  <si>
    <t>13 cations apfu</t>
  </si>
  <si>
    <t>Total</t>
  </si>
  <si>
    <t>C</t>
  </si>
  <si>
    <t>F</t>
  </si>
  <si>
    <r>
      <rPr>
        <b/>
        <sz val="13"/>
        <color indexed="8"/>
        <rFont val="Arial Bold"/>
      </rPr>
      <t>Regression</t>
    </r>
  </si>
  <si>
    <r>
      <rPr>
        <b/>
        <sz val="9"/>
        <color indexed="8"/>
        <rFont val="Arial Bold"/>
      </rPr>
      <t>Notes</t>
    </r>
  </si>
  <si>
    <r>
      <rPr>
        <sz val="9"/>
        <color indexed="8"/>
        <rFont val="Arial"/>
        <family val="2"/>
      </rPr>
      <t>Output Created</t>
    </r>
  </si>
  <si>
    <r>
      <rPr>
        <sz val="9"/>
        <color indexed="8"/>
        <rFont val="Arial"/>
        <family val="2"/>
      </rPr>
      <t>Comments</t>
    </r>
  </si>
  <si>
    <r>
      <rPr>
        <sz val="9"/>
        <color indexed="8"/>
        <rFont val="Arial"/>
        <family val="2"/>
      </rPr>
      <t xml:space="preserve"> </t>
    </r>
  </si>
  <si>
    <r>
      <rPr>
        <sz val="9"/>
        <color indexed="8"/>
        <rFont val="Arial"/>
        <family val="2"/>
      </rPr>
      <t>Input</t>
    </r>
  </si>
  <si>
    <r>
      <rPr>
        <sz val="9"/>
        <color indexed="8"/>
        <rFont val="Arial"/>
        <family val="2"/>
      </rPr>
      <t>Active Dataset</t>
    </r>
  </si>
  <si>
    <r>
      <rPr>
        <sz val="9"/>
        <color indexed="8"/>
        <rFont val="Arial"/>
        <family val="2"/>
      </rPr>
      <t>DataSet2</t>
    </r>
  </si>
  <si>
    <r>
      <rPr>
        <sz val="9"/>
        <color indexed="8"/>
        <rFont val="Arial"/>
        <family val="2"/>
      </rPr>
      <t>Filter</t>
    </r>
  </si>
  <si>
    <r>
      <rPr>
        <sz val="9"/>
        <color indexed="8"/>
        <rFont val="Arial"/>
        <family val="2"/>
      </rPr>
      <t>&lt;none&gt;</t>
    </r>
  </si>
  <si>
    <r>
      <rPr>
        <sz val="9"/>
        <color indexed="8"/>
        <rFont val="Arial"/>
        <family val="2"/>
      </rPr>
      <t>Weight</t>
    </r>
  </si>
  <si>
    <r>
      <rPr>
        <sz val="9"/>
        <color indexed="8"/>
        <rFont val="Arial"/>
        <family val="2"/>
      </rPr>
      <t>Split File</t>
    </r>
  </si>
  <si>
    <r>
      <rPr>
        <sz val="9"/>
        <color indexed="8"/>
        <rFont val="Arial"/>
        <family val="2"/>
      </rPr>
      <t>N of Rows in Working Data File</t>
    </r>
  </si>
  <si>
    <r>
      <rPr>
        <sz val="9"/>
        <color indexed="8"/>
        <rFont val="Arial"/>
        <family val="2"/>
      </rPr>
      <t>Missing Value Handling</t>
    </r>
  </si>
  <si>
    <r>
      <rPr>
        <sz val="9"/>
        <color indexed="8"/>
        <rFont val="Arial"/>
        <family val="2"/>
      </rPr>
      <t>Definition of Missing</t>
    </r>
  </si>
  <si>
    <r>
      <rPr>
        <sz val="9"/>
        <color indexed="8"/>
        <rFont val="Arial"/>
        <family val="2"/>
      </rPr>
      <t>User-defined missing values are treated as missing.</t>
    </r>
  </si>
  <si>
    <r>
      <rPr>
        <sz val="9"/>
        <color indexed="8"/>
        <rFont val="Arial"/>
        <family val="2"/>
      </rPr>
      <t>Cases Used</t>
    </r>
  </si>
  <si>
    <r>
      <rPr>
        <sz val="9"/>
        <color indexed="8"/>
        <rFont val="Arial"/>
        <family val="2"/>
      </rPr>
      <t>Statistics are based on cases with no missing values for any variable used.</t>
    </r>
  </si>
  <si>
    <r>
      <rPr>
        <sz val="9"/>
        <color indexed="8"/>
        <rFont val="Arial"/>
        <family val="2"/>
      </rPr>
      <t>Syntax</t>
    </r>
  </si>
  <si>
    <r>
      <rPr>
        <sz val="9"/>
        <color indexed="8"/>
        <rFont val="Arial"/>
        <family val="2"/>
      </rPr>
      <t>Resources</t>
    </r>
  </si>
  <si>
    <r>
      <rPr>
        <sz val="9"/>
        <color indexed="8"/>
        <rFont val="Arial"/>
        <family val="2"/>
      </rPr>
      <t>Processor Time</t>
    </r>
  </si>
  <si>
    <r>
      <rPr>
        <sz val="9"/>
        <color indexed="8"/>
        <rFont val="Arial"/>
        <family val="2"/>
      </rPr>
      <t>0:00:00.016</t>
    </r>
  </si>
  <si>
    <r>
      <rPr>
        <sz val="9"/>
        <color indexed="8"/>
        <rFont val="Arial"/>
        <family val="2"/>
      </rPr>
      <t>Elapsed Time</t>
    </r>
  </si>
  <si>
    <r>
      <rPr>
        <sz val="9"/>
        <color indexed="8"/>
        <rFont val="Arial"/>
        <family val="2"/>
      </rPr>
      <t>Memory Required</t>
    </r>
  </si>
  <si>
    <r>
      <rPr>
        <sz val="9"/>
        <color indexed="8"/>
        <rFont val="Arial"/>
        <family val="2"/>
      </rPr>
      <t>Additional Memory Required for Residual Plots</t>
    </r>
  </si>
  <si>
    <r>
      <rPr>
        <sz val="9"/>
        <color indexed="8"/>
        <rFont val="Arial"/>
        <family val="2"/>
      </rPr>
      <t>0 bytes</t>
    </r>
  </si>
  <si>
    <r>
      <rPr>
        <b/>
        <sz val="9"/>
        <color indexed="8"/>
        <rFont val="Arial Bold"/>
      </rPr>
      <t>Variables Entered/Removed</t>
    </r>
  </si>
  <si>
    <r>
      <rPr>
        <sz val="9"/>
        <color indexed="8"/>
        <rFont val="Arial"/>
        <family val="2"/>
      </rPr>
      <t>Model</t>
    </r>
  </si>
  <si>
    <r>
      <rPr>
        <sz val="9"/>
        <color indexed="8"/>
        <rFont val="Arial"/>
        <family val="2"/>
      </rPr>
      <t>Variables Entered</t>
    </r>
  </si>
  <si>
    <r>
      <rPr>
        <sz val="9"/>
        <color indexed="8"/>
        <rFont val="Arial"/>
        <family val="2"/>
      </rPr>
      <t>Variables Removed</t>
    </r>
  </si>
  <si>
    <r>
      <rPr>
        <sz val="9"/>
        <color indexed="8"/>
        <rFont val="Arial"/>
        <family val="2"/>
      </rPr>
      <t>Method</t>
    </r>
  </si>
  <si>
    <r>
      <rPr>
        <sz val="9"/>
        <color indexed="8"/>
        <rFont val="Arial"/>
        <family val="2"/>
      </rPr>
      <t>.</t>
    </r>
  </si>
  <si>
    <r>
      <rPr>
        <sz val="9"/>
        <color indexed="8"/>
        <rFont val="Arial"/>
        <family val="2"/>
      </rPr>
      <t>Enter</t>
    </r>
  </si>
  <si>
    <r>
      <rPr>
        <b/>
        <sz val="9"/>
        <color indexed="8"/>
        <rFont val="Arial Bold"/>
      </rPr>
      <t>Model Summary</t>
    </r>
  </si>
  <si>
    <r>
      <rPr>
        <sz val="9"/>
        <color indexed="8"/>
        <rFont val="Arial"/>
        <family val="2"/>
      </rPr>
      <t>R</t>
    </r>
  </si>
  <si>
    <r>
      <rPr>
        <sz val="9"/>
        <color indexed="8"/>
        <rFont val="Arial"/>
        <family val="2"/>
      </rPr>
      <t>R Square</t>
    </r>
  </si>
  <si>
    <r>
      <rPr>
        <sz val="9"/>
        <color indexed="8"/>
        <rFont val="Arial"/>
        <family val="2"/>
      </rPr>
      <t>Adjusted R Square</t>
    </r>
  </si>
  <si>
    <r>
      <rPr>
        <sz val="9"/>
        <color indexed="8"/>
        <rFont val="Arial"/>
        <family val="2"/>
      </rPr>
      <t>Std. Error of the Estimate</t>
    </r>
  </si>
  <si>
    <r>
      <rPr>
        <b/>
        <sz val="9"/>
        <color indexed="8"/>
        <rFont val="Arial Bold"/>
      </rPr>
      <t>ANOVA</t>
    </r>
    <r>
      <rPr>
        <b/>
        <vertAlign val="superscript"/>
        <sz val="9"/>
        <color indexed="8"/>
        <rFont val="Arial Bold"/>
      </rPr>
      <t>b</t>
    </r>
  </si>
  <si>
    <r>
      <rPr>
        <sz val="9"/>
        <color indexed="8"/>
        <rFont val="Arial"/>
        <family val="2"/>
      </rPr>
      <t>Sum of Squares</t>
    </r>
  </si>
  <si>
    <r>
      <rPr>
        <sz val="9"/>
        <color indexed="8"/>
        <rFont val="Arial"/>
        <family val="2"/>
      </rPr>
      <t>df</t>
    </r>
  </si>
  <si>
    <r>
      <rPr>
        <sz val="9"/>
        <color indexed="8"/>
        <rFont val="Arial"/>
        <family val="2"/>
      </rPr>
      <t>Mean Square</t>
    </r>
  </si>
  <si>
    <r>
      <rPr>
        <sz val="9"/>
        <color indexed="8"/>
        <rFont val="Arial"/>
        <family val="2"/>
      </rPr>
      <t>F</t>
    </r>
  </si>
  <si>
    <r>
      <rPr>
        <sz val="9"/>
        <color indexed="8"/>
        <rFont val="Arial"/>
        <family val="2"/>
      </rPr>
      <t>Sig.</t>
    </r>
  </si>
  <si>
    <r>
      <rPr>
        <sz val="9"/>
        <color indexed="8"/>
        <rFont val="Arial"/>
        <family val="2"/>
      </rPr>
      <t>Regression</t>
    </r>
  </si>
  <si>
    <r>
      <rPr>
        <sz val="9"/>
        <color indexed="8"/>
        <rFont val="Arial"/>
        <family val="2"/>
      </rPr>
      <t>.000</t>
    </r>
    <r>
      <rPr>
        <vertAlign val="superscript"/>
        <sz val="9"/>
        <color indexed="8"/>
        <rFont val="Arial"/>
        <family val="2"/>
      </rPr>
      <t>a</t>
    </r>
  </si>
  <si>
    <r>
      <rPr>
        <sz val="9"/>
        <color indexed="8"/>
        <rFont val="Arial"/>
        <family val="2"/>
      </rPr>
      <t>Residual</t>
    </r>
  </si>
  <si>
    <r>
      <rPr>
        <sz val="9"/>
        <color indexed="8"/>
        <rFont val="Arial"/>
        <family val="2"/>
      </rPr>
      <t>Total</t>
    </r>
  </si>
  <si>
    <r>
      <rPr>
        <sz val="9"/>
        <color indexed="8"/>
        <rFont val="Arial"/>
        <family val="2"/>
      </rPr>
      <t>b. Dependent Variable: H2Omelt</t>
    </r>
  </si>
  <si>
    <r>
      <rPr>
        <b/>
        <sz val="9"/>
        <color indexed="8"/>
        <rFont val="Arial Bold"/>
      </rPr>
      <t>Coefficients</t>
    </r>
    <r>
      <rPr>
        <b/>
        <vertAlign val="superscript"/>
        <sz val="9"/>
        <color indexed="8"/>
        <rFont val="Arial Bold"/>
      </rPr>
      <t>a</t>
    </r>
  </si>
  <si>
    <r>
      <rPr>
        <sz val="9"/>
        <color indexed="8"/>
        <rFont val="Arial"/>
        <family val="2"/>
      </rPr>
      <t>Unstandardized Coefficients</t>
    </r>
  </si>
  <si>
    <r>
      <rPr>
        <sz val="9"/>
        <color indexed="8"/>
        <rFont val="Arial"/>
        <family val="2"/>
      </rPr>
      <t>Standardized Coefficients</t>
    </r>
  </si>
  <si>
    <r>
      <rPr>
        <sz val="9"/>
        <color indexed="8"/>
        <rFont val="Arial"/>
        <family val="2"/>
      </rPr>
      <t>t</t>
    </r>
  </si>
  <si>
    <r>
      <rPr>
        <sz val="9"/>
        <color indexed="8"/>
        <rFont val="Arial"/>
        <family val="2"/>
      </rPr>
      <t>B</t>
    </r>
  </si>
  <si>
    <r>
      <rPr>
        <sz val="9"/>
        <color indexed="8"/>
        <rFont val="Arial"/>
        <family val="2"/>
      </rPr>
      <t>Std. Error</t>
    </r>
  </si>
  <si>
    <r>
      <rPr>
        <sz val="9"/>
        <color indexed="8"/>
        <rFont val="Arial"/>
        <family val="2"/>
      </rPr>
      <t>Beta</t>
    </r>
  </si>
  <si>
    <r>
      <rPr>
        <sz val="9"/>
        <color indexed="8"/>
        <rFont val="Arial"/>
        <family val="2"/>
      </rPr>
      <t>(Constant)</t>
    </r>
  </si>
  <si>
    <r>
      <rPr>
        <sz val="9"/>
        <color indexed="8"/>
        <rFont val="Arial"/>
        <family val="2"/>
      </rPr>
      <t>Si</t>
    </r>
  </si>
  <si>
    <r>
      <rPr>
        <sz val="9"/>
        <color indexed="8"/>
        <rFont val="Arial"/>
        <family val="2"/>
      </rPr>
      <t>Ti</t>
    </r>
  </si>
  <si>
    <r>
      <rPr>
        <sz val="9"/>
        <color indexed="8"/>
        <rFont val="Arial"/>
        <family val="2"/>
      </rPr>
      <t>Al</t>
    </r>
  </si>
  <si>
    <r>
      <rPr>
        <sz val="9"/>
        <color indexed="8"/>
        <rFont val="Arial"/>
        <family val="2"/>
      </rPr>
      <t>Fe</t>
    </r>
  </si>
  <si>
    <r>
      <rPr>
        <sz val="9"/>
        <color indexed="8"/>
        <rFont val="Arial"/>
        <family val="2"/>
      </rPr>
      <t>Ca</t>
    </r>
  </si>
  <si>
    <r>
      <rPr>
        <sz val="9"/>
        <color indexed="8"/>
        <rFont val="Arial"/>
        <family val="2"/>
      </rPr>
      <t>Na</t>
    </r>
  </si>
  <si>
    <r>
      <rPr>
        <sz val="9"/>
        <color indexed="8"/>
        <rFont val="Arial"/>
        <family val="2"/>
      </rPr>
      <t>K</t>
    </r>
  </si>
  <si>
    <r>
      <rPr>
        <sz val="9"/>
        <color indexed="8"/>
        <rFont val="Arial"/>
        <family val="2"/>
      </rPr>
      <t>Mg</t>
    </r>
  </si>
  <si>
    <r>
      <rPr>
        <sz val="9"/>
        <color indexed="8"/>
        <rFont val="Arial"/>
        <family val="2"/>
      </rPr>
      <t>0:00:00.032</t>
    </r>
  </si>
  <si>
    <r>
      <rPr>
        <sz val="9"/>
        <color indexed="8"/>
        <rFont val="Arial"/>
        <family val="2"/>
      </rPr>
      <t>DataSet8</t>
    </r>
  </si>
  <si>
    <r>
      <rPr>
        <sz val="9"/>
        <color indexed="8"/>
        <rFont val="Arial"/>
        <family val="2"/>
      </rPr>
      <t>4812 bytes</t>
    </r>
  </si>
  <si>
    <t>.936a</t>
  </si>
  <si>
    <t>(Constant)</t>
  </si>
  <si>
    <t>P^10/3</t>
  </si>
  <si>
    <t>lnP</t>
  </si>
  <si>
    <r>
      <rPr>
        <sz val="9"/>
        <color indexed="8"/>
        <rFont val="Arial"/>
        <family val="2"/>
      </rPr>
      <t>a. All requested variables entered.</t>
    </r>
  </si>
  <si>
    <r>
      <rPr>
        <sz val="9"/>
        <color indexed="8"/>
        <rFont val="Arial"/>
        <family val="2"/>
      </rPr>
      <t>b. Dependent Variable: lnP</t>
    </r>
  </si>
  <si>
    <r>
      <rPr>
        <sz val="9"/>
        <color indexed="8"/>
        <rFont val="Arial"/>
        <family val="2"/>
      </rPr>
      <t>a. Dependent Variable: lnP</t>
    </r>
  </si>
  <si>
    <r>
      <rPr>
        <sz val="10"/>
        <color indexed="8"/>
        <rFont val="Courier New"/>
        <family val="3"/>
      </rPr>
      <t>REGRESSION   /MISSING LISTWISE   /STATISTICS COEFF OUTS R ANOVA   /CRITERIA=PIN(.05) POUT(.10)   /NOORIGIN   /DEPENDENT P   /METHOD=ENTER Si Ti Al Fe Mn Mg Ca Na K.</t>
    </r>
  </si>
  <si>
    <r>
      <rPr>
        <sz val="9"/>
        <color indexed="8"/>
        <rFont val="Arial"/>
        <family val="2"/>
      </rPr>
      <t>24-Jul-2010 10:45:49</t>
    </r>
  </si>
  <si>
    <r>
      <rPr>
        <sz val="9"/>
        <color indexed="8"/>
        <rFont val="Arial"/>
        <family val="2"/>
      </rPr>
      <t xml:space="preserve">REGRESSION
  /MISSING LISTWISE
  /STATISTICS COEFF OUTS R ANOVA
  /CRITERIA=PIN(.05) POUT(.10)
  /NOORIGIN
  /DEPENDENT P
  /METHOD=ENTER Si Ti Al Fe Mn Mg Ca Na K.
</t>
    </r>
  </si>
  <si>
    <r>
      <rPr>
        <sz val="9"/>
        <color indexed="8"/>
        <rFont val="Arial"/>
        <family val="2"/>
      </rPr>
      <t>0:00:00.062</t>
    </r>
  </si>
  <si>
    <r>
      <rPr>
        <sz val="9"/>
        <color indexed="8"/>
        <rFont val="Arial"/>
        <family val="2"/>
      </rPr>
      <t>b. Dependent Variable: P</t>
    </r>
  </si>
  <si>
    <r>
      <rPr>
        <sz val="9"/>
        <color indexed="8"/>
        <rFont val="Arial"/>
        <family val="2"/>
      </rPr>
      <t>a. Dependent Variable: P</t>
    </r>
  </si>
  <si>
    <r>
      <rPr>
        <sz val="9"/>
        <color indexed="8"/>
        <rFont val="Arial"/>
        <family val="2"/>
      </rPr>
      <t>0:00:00.047</t>
    </r>
  </si>
  <si>
    <r>
      <rPr>
        <sz val="9"/>
        <color indexed="8"/>
        <rFont val="Arial"/>
        <family val="2"/>
      </rPr>
      <t>19-Aug-2010 16:10:08</t>
    </r>
  </si>
  <si>
    <r>
      <rPr>
        <sz val="9"/>
        <color indexed="8"/>
        <rFont val="Arial"/>
        <family val="2"/>
      </rPr>
      <t>0:00:00.078</t>
    </r>
  </si>
  <si>
    <r>
      <rPr>
        <sz val="9"/>
        <color indexed="8"/>
        <rFont val="Arial"/>
        <family val="2"/>
      </rPr>
      <t>DataSet1</t>
    </r>
  </si>
  <si>
    <r>
      <rPr>
        <sz val="10"/>
        <color indexed="8"/>
        <rFont val="Courier New"/>
        <family val="3"/>
      </rPr>
      <t xml:space="preserve">[DataSet1] </t>
    </r>
  </si>
  <si>
    <t>P1c</t>
  </si>
  <si>
    <t>P1d</t>
  </si>
  <si>
    <t>ΔPdb</t>
  </si>
  <si>
    <t>XPae</t>
  </si>
  <si>
    <t>APE</t>
  </si>
  <si>
    <t>P1a</t>
  </si>
  <si>
    <r>
      <rPr>
        <sz val="9"/>
        <color indexed="8"/>
        <rFont val="Arial"/>
        <family val="2"/>
      </rPr>
      <t>.955</t>
    </r>
    <r>
      <rPr>
        <vertAlign val="superscript"/>
        <sz val="9"/>
        <color indexed="8"/>
        <rFont val="Arial"/>
        <family val="2"/>
      </rPr>
      <t>a</t>
    </r>
  </si>
  <si>
    <r>
      <rPr>
        <sz val="9"/>
        <color indexed="8"/>
        <rFont val="Arial"/>
        <family val="2"/>
      </rPr>
      <t>.958</t>
    </r>
    <r>
      <rPr>
        <vertAlign val="superscript"/>
        <sz val="9"/>
        <color indexed="8"/>
        <rFont val="Arial"/>
        <family val="2"/>
      </rPr>
      <t>a</t>
    </r>
  </si>
  <si>
    <t>B</t>
  </si>
  <si>
    <t>Riepilogo del modello</t>
  </si>
  <si>
    <t>Modello</t>
  </si>
  <si>
    <t>R</t>
  </si>
  <si>
    <t>R-quadrato</t>
  </si>
  <si>
    <t>R-quadrato corretto</t>
  </si>
  <si>
    <t>Deviazione standard Errore della stima</t>
  </si>
  <si>
    <t>1</t>
  </si>
  <si>
    <r>
      <t>Anova</t>
    </r>
    <r>
      <rPr>
        <b/>
        <vertAlign val="superscript"/>
        <sz val="9"/>
        <color indexed="8"/>
        <rFont val="Arial Bold"/>
      </rPr>
      <t>b</t>
    </r>
  </si>
  <si>
    <t>Somma dei quadrati</t>
  </si>
  <si>
    <t>df</t>
  </si>
  <si>
    <t>Media dei quadrati</t>
  </si>
  <si>
    <t>Sig.</t>
  </si>
  <si>
    <t>Regressione</t>
  </si>
  <si>
    <t>Residuo</t>
  </si>
  <si>
    <t>Totale</t>
  </si>
  <si>
    <r>
      <t>Coefficienti</t>
    </r>
    <r>
      <rPr>
        <b/>
        <vertAlign val="superscript"/>
        <sz val="9"/>
        <color indexed="8"/>
        <rFont val="Arial Bold"/>
      </rPr>
      <t>a</t>
    </r>
  </si>
  <si>
    <t>Coefficienti non standardizzati</t>
  </si>
  <si>
    <t>Coefficienti standardizzati</t>
  </si>
  <si>
    <t>t</t>
  </si>
  <si>
    <t>Deviazione standard Errore</t>
  </si>
  <si>
    <t>Beta</t>
  </si>
  <si>
    <t>(Costante)</t>
  </si>
  <si>
    <t xml:space="preserve">a. Variabile dipendente: T 
</t>
  </si>
  <si>
    <r>
      <t>Variabili inserite/rimosse</t>
    </r>
    <r>
      <rPr>
        <b/>
        <vertAlign val="superscript"/>
        <sz val="9"/>
        <color indexed="8"/>
        <rFont val="Arial Bold"/>
      </rPr>
      <t>b</t>
    </r>
  </si>
  <si>
    <t>Variabili inserite</t>
  </si>
  <si>
    <t>Variabili rimosse</t>
  </si>
  <si>
    <t>Metodo</t>
  </si>
  <si>
    <t>.</t>
  </si>
  <si>
    <t>Per blocchi</t>
  </si>
  <si>
    <t xml:space="preserve">a. Tutte le variabili richieste sono state immesse.
b. Variabile dipendente: T 
</t>
  </si>
  <si>
    <r>
      <rPr>
        <sz val="16"/>
        <rFont val="Calibri"/>
        <family val="2"/>
      </rPr>
      <t>Δ</t>
    </r>
    <r>
      <rPr>
        <sz val="13.6"/>
        <rFont val="Arial"/>
        <family val="2"/>
      </rPr>
      <t>NNOcalc</t>
    </r>
  </si>
  <si>
    <t xml:space="preserve">a. Tutte le variabili richieste sono state immesse.
b. Variabile dipendente: ?NNO
</t>
  </si>
  <si>
    <r>
      <t>,000</t>
    </r>
    <r>
      <rPr>
        <vertAlign val="superscript"/>
        <sz val="9"/>
        <color indexed="8"/>
        <rFont val="Arial"/>
        <family val="2"/>
      </rPr>
      <t>a</t>
    </r>
  </si>
  <si>
    <t xml:space="preserve">a. Variabile dipendente: ?NNO
</t>
  </si>
  <si>
    <t>LnP, Mg, Ca, K, Ti, Na, Al, Si, Fe</t>
  </si>
  <si>
    <t>Sum</t>
  </si>
  <si>
    <r>
      <rPr>
        <sz val="9"/>
        <color indexed="8"/>
        <rFont val="Arial"/>
        <family val="2"/>
      </rPr>
      <t>Output Created</t>
    </r>
  </si>
  <si>
    <r>
      <rPr>
        <sz val="9"/>
        <color indexed="8"/>
        <rFont val="Arial"/>
        <family val="2"/>
      </rPr>
      <t>23-Jul-2010 16:31:05</t>
    </r>
  </si>
  <si>
    <r>
      <rPr>
        <sz val="9"/>
        <color indexed="8"/>
        <rFont val="Arial"/>
        <family val="2"/>
      </rPr>
      <t>Comments</t>
    </r>
  </si>
  <si>
    <r>
      <rPr>
        <sz val="9"/>
        <color indexed="8"/>
        <rFont val="Arial"/>
        <family val="2"/>
      </rPr>
      <t xml:space="preserve"> </t>
    </r>
  </si>
  <si>
    <r>
      <rPr>
        <sz val="9"/>
        <color indexed="8"/>
        <rFont val="Arial"/>
        <family val="2"/>
      </rPr>
      <t>Input</t>
    </r>
  </si>
  <si>
    <r>
      <rPr>
        <sz val="9"/>
        <color indexed="8"/>
        <rFont val="Arial"/>
        <family val="2"/>
      </rPr>
      <t>Active Dataset</t>
    </r>
  </si>
  <si>
    <r>
      <rPr>
        <sz val="9"/>
        <color indexed="8"/>
        <rFont val="Arial"/>
        <family val="2"/>
      </rPr>
      <t>DataSet1</t>
    </r>
  </si>
  <si>
    <r>
      <rPr>
        <sz val="9"/>
        <color indexed="8"/>
        <rFont val="Arial"/>
        <family val="2"/>
      </rPr>
      <t>Filter</t>
    </r>
  </si>
  <si>
    <r>
      <rPr>
        <sz val="9"/>
        <color indexed="8"/>
        <rFont val="Arial"/>
        <family val="2"/>
      </rPr>
      <t>&lt;none&gt;</t>
    </r>
  </si>
  <si>
    <r>
      <rPr>
        <sz val="9"/>
        <color indexed="8"/>
        <rFont val="Arial"/>
        <family val="2"/>
      </rPr>
      <t>Weight</t>
    </r>
  </si>
  <si>
    <r>
      <rPr>
        <sz val="9"/>
        <color indexed="8"/>
        <rFont val="Arial"/>
        <family val="2"/>
      </rPr>
      <t>Split File</t>
    </r>
  </si>
  <si>
    <r>
      <rPr>
        <sz val="9"/>
        <color indexed="8"/>
        <rFont val="Arial"/>
        <family val="2"/>
      </rPr>
      <t>N of Rows in Working Data File</t>
    </r>
  </si>
  <si>
    <r>
      <rPr>
        <sz val="9"/>
        <color indexed="8"/>
        <rFont val="Arial"/>
        <family val="2"/>
      </rPr>
      <t>Missing Value Handling</t>
    </r>
  </si>
  <si>
    <r>
      <rPr>
        <sz val="9"/>
        <color indexed="8"/>
        <rFont val="Arial"/>
        <family val="2"/>
      </rPr>
      <t>Definition of Missing</t>
    </r>
  </si>
  <si>
    <r>
      <rPr>
        <sz val="9"/>
        <color indexed="8"/>
        <rFont val="Arial"/>
        <family val="2"/>
      </rPr>
      <t>User-defined missing values are treated as missing.</t>
    </r>
  </si>
  <si>
    <r>
      <rPr>
        <sz val="9"/>
        <color indexed="8"/>
        <rFont val="Arial"/>
        <family val="2"/>
      </rPr>
      <t>Cases Used</t>
    </r>
  </si>
  <si>
    <r>
      <rPr>
        <sz val="9"/>
        <color indexed="8"/>
        <rFont val="Arial"/>
        <family val="2"/>
      </rPr>
      <t>Statistics are based on cases with no missing values for any variable used.</t>
    </r>
  </si>
  <si>
    <r>
      <rPr>
        <sz val="9"/>
        <color indexed="8"/>
        <rFont val="Arial"/>
        <family val="2"/>
      </rPr>
      <t>Syntax</t>
    </r>
  </si>
  <si>
    <r>
      <rPr>
        <sz val="9"/>
        <color indexed="8"/>
        <rFont val="Arial"/>
        <family val="2"/>
      </rPr>
      <t xml:space="preserve">REGRESSION
  /MISSING LISTWISE
  /STATISTICS COEFF OUTS R ANOVA
  /CRITERIA=PIN(.05) POUT(.10)
  /NOORIGIN
  /DEPENDENT SiO2wt
  /METHOD=ENTER Si Ti Al Fe Mn Mg Ca Na K Tcalc Pcalc NNOcalc H2Ocalc.
</t>
    </r>
  </si>
  <si>
    <r>
      <rPr>
        <sz val="9"/>
        <color indexed="8"/>
        <rFont val="Arial"/>
        <family val="2"/>
      </rPr>
      <t>Resources</t>
    </r>
  </si>
  <si>
    <r>
      <rPr>
        <sz val="9"/>
        <color indexed="8"/>
        <rFont val="Arial"/>
        <family val="2"/>
      </rPr>
      <t>Processor Time</t>
    </r>
  </si>
  <si>
    <r>
      <rPr>
        <sz val="9"/>
        <color indexed="8"/>
        <rFont val="Arial"/>
        <family val="2"/>
      </rPr>
      <t>0:00:00.015</t>
    </r>
  </si>
  <si>
    <r>
      <rPr>
        <sz val="9"/>
        <color indexed="8"/>
        <rFont val="Arial"/>
        <family val="2"/>
      </rPr>
      <t>Elapsed Time</t>
    </r>
  </si>
  <si>
    <r>
      <rPr>
        <sz val="9"/>
        <color indexed="8"/>
        <rFont val="Arial"/>
        <family val="2"/>
      </rPr>
      <t>0:00:00.032</t>
    </r>
  </si>
  <si>
    <r>
      <rPr>
        <sz val="9"/>
        <color indexed="8"/>
        <rFont val="Arial"/>
        <family val="2"/>
      </rPr>
      <t>Memory Required</t>
    </r>
  </si>
  <si>
    <r>
      <rPr>
        <sz val="9"/>
        <color indexed="8"/>
        <rFont val="Arial"/>
        <family val="2"/>
      </rPr>
      <t>7388 bytes</t>
    </r>
  </si>
  <si>
    <r>
      <rPr>
        <sz val="9"/>
        <color indexed="8"/>
        <rFont val="Arial"/>
        <family val="2"/>
      </rPr>
      <t>Additional Memory Required for Residual Plots</t>
    </r>
  </si>
  <si>
    <r>
      <rPr>
        <sz val="9"/>
        <color indexed="8"/>
        <rFont val="Arial"/>
        <family val="2"/>
      </rPr>
      <t>0 bytes</t>
    </r>
  </si>
  <si>
    <r>
      <rPr>
        <sz val="10"/>
        <color indexed="8"/>
        <rFont val="Courier New"/>
        <family val="3"/>
      </rPr>
      <t xml:space="preserve">[DataSet3] </t>
    </r>
  </si>
  <si>
    <r>
      <rPr>
        <sz val="9"/>
        <color indexed="8"/>
        <rFont val="Arial"/>
        <family val="2"/>
      </rPr>
      <t>Model</t>
    </r>
  </si>
  <si>
    <r>
      <rPr>
        <sz val="9"/>
        <color indexed="8"/>
        <rFont val="Arial"/>
        <family val="2"/>
      </rPr>
      <t>Variables Entered</t>
    </r>
  </si>
  <si>
    <r>
      <rPr>
        <sz val="9"/>
        <color indexed="8"/>
        <rFont val="Arial"/>
        <family val="2"/>
      </rPr>
      <t>Variables Removed</t>
    </r>
  </si>
  <si>
    <r>
      <rPr>
        <sz val="9"/>
        <color indexed="8"/>
        <rFont val="Arial"/>
        <family val="2"/>
      </rPr>
      <t>Method</t>
    </r>
  </si>
  <si>
    <r>
      <rPr>
        <sz val="9"/>
        <color indexed="8"/>
        <rFont val="Arial"/>
        <family val="2"/>
      </rPr>
      <t>Pcalc^-4, Mg, Ca, K, Na, Ti, Fe, Si, Al</t>
    </r>
    <r>
      <rPr>
        <vertAlign val="superscript"/>
        <sz val="9"/>
        <color indexed="8"/>
        <rFont val="Arial"/>
        <family val="2"/>
      </rPr>
      <t>a</t>
    </r>
  </si>
  <si>
    <r>
      <rPr>
        <sz val="9"/>
        <color indexed="8"/>
        <rFont val="Arial"/>
        <family val="2"/>
      </rPr>
      <t>.</t>
    </r>
  </si>
  <si>
    <r>
      <rPr>
        <sz val="9"/>
        <color indexed="8"/>
        <rFont val="Arial"/>
        <family val="2"/>
      </rPr>
      <t>Enter</t>
    </r>
  </si>
  <si>
    <r>
      <rPr>
        <sz val="9"/>
        <color indexed="8"/>
        <rFont val="Arial"/>
        <family val="2"/>
      </rPr>
      <t>a. All requested variables entered.</t>
    </r>
  </si>
  <si>
    <r>
      <rPr>
        <sz val="9"/>
        <color indexed="8"/>
        <rFont val="Arial"/>
        <family val="2"/>
      </rPr>
      <t>R</t>
    </r>
  </si>
  <si>
    <r>
      <rPr>
        <sz val="9"/>
        <color indexed="8"/>
        <rFont val="Arial"/>
        <family val="2"/>
      </rPr>
      <t>R Square</t>
    </r>
  </si>
  <si>
    <r>
      <rPr>
        <sz val="9"/>
        <color indexed="8"/>
        <rFont val="Arial"/>
        <family val="2"/>
      </rPr>
      <t>Adjusted R Square</t>
    </r>
  </si>
  <si>
    <r>
      <rPr>
        <sz val="9"/>
        <color indexed="8"/>
        <rFont val="Arial"/>
        <family val="2"/>
      </rPr>
      <t>Std. Error of the Estimate</t>
    </r>
  </si>
  <si>
    <r>
      <rPr>
        <sz val="9"/>
        <color indexed="8"/>
        <rFont val="Arial"/>
        <family val="2"/>
      </rPr>
      <t>.986</t>
    </r>
    <r>
      <rPr>
        <vertAlign val="superscript"/>
        <sz val="9"/>
        <color indexed="8"/>
        <rFont val="Arial"/>
        <family val="2"/>
      </rPr>
      <t>a</t>
    </r>
  </si>
  <si>
    <r>
      <rPr>
        <sz val="9"/>
        <color indexed="8"/>
        <rFont val="Arial"/>
        <family val="2"/>
      </rPr>
      <t>a. Predictors: (Constant), Pcalc^-4, Mg, Ca, K, Na, Ti, Fe, Si, Al</t>
    </r>
  </si>
  <si>
    <r>
      <rPr>
        <sz val="9"/>
        <color indexed="8"/>
        <rFont val="Arial"/>
        <family val="2"/>
      </rPr>
      <t>Sum of Squares</t>
    </r>
  </si>
  <si>
    <r>
      <rPr>
        <sz val="9"/>
        <color indexed="8"/>
        <rFont val="Arial"/>
        <family val="2"/>
      </rPr>
      <t>df</t>
    </r>
  </si>
  <si>
    <r>
      <rPr>
        <sz val="9"/>
        <color indexed="8"/>
        <rFont val="Arial"/>
        <family val="2"/>
      </rPr>
      <t>Mean Square</t>
    </r>
  </si>
  <si>
    <r>
      <rPr>
        <sz val="9"/>
        <color indexed="8"/>
        <rFont val="Arial"/>
        <family val="2"/>
      </rPr>
      <t>F</t>
    </r>
  </si>
  <si>
    <r>
      <rPr>
        <sz val="9"/>
        <color indexed="8"/>
        <rFont val="Arial"/>
        <family val="2"/>
      </rPr>
      <t>Sig.</t>
    </r>
  </si>
  <si>
    <r>
      <rPr>
        <sz val="9"/>
        <color indexed="8"/>
        <rFont val="Arial"/>
        <family val="2"/>
      </rPr>
      <t>Regression</t>
    </r>
  </si>
  <si>
    <r>
      <rPr>
        <sz val="9"/>
        <color indexed="8"/>
        <rFont val="Arial"/>
        <family val="2"/>
      </rPr>
      <t>.000</t>
    </r>
    <r>
      <rPr>
        <vertAlign val="superscript"/>
        <sz val="9"/>
        <color indexed="8"/>
        <rFont val="Arial"/>
        <family val="2"/>
      </rPr>
      <t>a</t>
    </r>
  </si>
  <si>
    <r>
      <rPr>
        <sz val="9"/>
        <color indexed="8"/>
        <rFont val="Arial"/>
        <family val="2"/>
      </rPr>
      <t>Residual</t>
    </r>
  </si>
  <si>
    <r>
      <rPr>
        <sz val="9"/>
        <color indexed="8"/>
        <rFont val="Arial"/>
        <family val="2"/>
      </rPr>
      <t>Total</t>
    </r>
  </si>
  <si>
    <r>
      <rPr>
        <sz val="9"/>
        <color indexed="8"/>
        <rFont val="Arial"/>
        <family val="2"/>
      </rPr>
      <t>b. Dependent Variable: SiO2 (wt.%)</t>
    </r>
  </si>
  <si>
    <r>
      <rPr>
        <sz val="9"/>
        <color indexed="8"/>
        <rFont val="Arial"/>
        <family val="2"/>
      </rPr>
      <t>Unstandardized Coefficients</t>
    </r>
  </si>
  <si>
    <r>
      <rPr>
        <sz val="9"/>
        <color indexed="8"/>
        <rFont val="Arial"/>
        <family val="2"/>
      </rPr>
      <t>Standardized Coefficients</t>
    </r>
  </si>
  <si>
    <r>
      <rPr>
        <sz val="9"/>
        <color indexed="8"/>
        <rFont val="Arial"/>
        <family val="2"/>
      </rPr>
      <t>t</t>
    </r>
  </si>
  <si>
    <r>
      <rPr>
        <sz val="9"/>
        <color indexed="8"/>
        <rFont val="Arial"/>
        <family val="2"/>
      </rPr>
      <t>B</t>
    </r>
  </si>
  <si>
    <r>
      <rPr>
        <sz val="9"/>
        <color indexed="8"/>
        <rFont val="Arial"/>
        <family val="2"/>
      </rPr>
      <t>Std. Error</t>
    </r>
  </si>
  <si>
    <r>
      <rPr>
        <sz val="9"/>
        <color indexed="8"/>
        <rFont val="Arial"/>
        <family val="2"/>
      </rPr>
      <t>Beta</t>
    </r>
  </si>
  <si>
    <r>
      <rPr>
        <sz val="9"/>
        <color indexed="8"/>
        <rFont val="Arial"/>
        <family val="2"/>
      </rPr>
      <t>(Constant)</t>
    </r>
  </si>
  <si>
    <r>
      <rPr>
        <sz val="9"/>
        <color indexed="8"/>
        <rFont val="Arial"/>
        <family val="2"/>
      </rPr>
      <t>Si</t>
    </r>
  </si>
  <si>
    <r>
      <rPr>
        <sz val="9"/>
        <color indexed="8"/>
        <rFont val="Arial"/>
        <family val="2"/>
      </rPr>
      <t>Ti</t>
    </r>
  </si>
  <si>
    <r>
      <rPr>
        <sz val="9"/>
        <color indexed="8"/>
        <rFont val="Arial"/>
        <family val="2"/>
      </rPr>
      <t>Al</t>
    </r>
  </si>
  <si>
    <r>
      <rPr>
        <sz val="9"/>
        <color indexed="8"/>
        <rFont val="Arial"/>
        <family val="2"/>
      </rPr>
      <t>Fe</t>
    </r>
  </si>
  <si>
    <r>
      <rPr>
        <sz val="9"/>
        <color indexed="8"/>
        <rFont val="Arial"/>
        <family val="2"/>
      </rPr>
      <t>Mg</t>
    </r>
  </si>
  <si>
    <r>
      <rPr>
        <sz val="9"/>
        <color indexed="8"/>
        <rFont val="Arial"/>
        <family val="2"/>
      </rPr>
      <t>Ca</t>
    </r>
  </si>
  <si>
    <r>
      <rPr>
        <sz val="9"/>
        <color indexed="8"/>
        <rFont val="Arial"/>
        <family val="2"/>
      </rPr>
      <t>Na</t>
    </r>
  </si>
  <si>
    <r>
      <rPr>
        <sz val="9"/>
        <color indexed="8"/>
        <rFont val="Arial"/>
        <family val="2"/>
      </rPr>
      <t>K</t>
    </r>
  </si>
  <si>
    <r>
      <rPr>
        <sz val="9"/>
        <color indexed="8"/>
        <rFont val="Arial"/>
        <family val="2"/>
      </rPr>
      <t>Pcalc^-4</t>
    </r>
  </si>
  <si>
    <r>
      <rPr>
        <sz val="9"/>
        <color indexed="8"/>
        <rFont val="Arial"/>
        <family val="2"/>
      </rPr>
      <t>a. Dependent Variable: SiO2 (wt.%)</t>
    </r>
  </si>
  <si>
    <r>
      <rPr>
        <b/>
        <sz val="9"/>
        <color indexed="8"/>
        <rFont val="Arial Bold"/>
      </rPr>
      <t>Excluded Variables</t>
    </r>
    <r>
      <rPr>
        <b/>
        <vertAlign val="superscript"/>
        <sz val="9"/>
        <color indexed="8"/>
        <rFont val="Arial Bold"/>
      </rPr>
      <t>b</t>
    </r>
  </si>
  <si>
    <r>
      <rPr>
        <sz val="9"/>
        <color indexed="8"/>
        <rFont val="Arial"/>
        <family val="2"/>
      </rPr>
      <t>Beta In</t>
    </r>
  </si>
  <si>
    <r>
      <rPr>
        <sz val="9"/>
        <color indexed="8"/>
        <rFont val="Arial"/>
        <family val="2"/>
      </rPr>
      <t>Partial Correlation</t>
    </r>
  </si>
  <si>
    <r>
      <rPr>
        <sz val="9"/>
        <color indexed="8"/>
        <rFont val="Arial"/>
        <family val="2"/>
      </rPr>
      <t>Collinearity Statistics</t>
    </r>
  </si>
  <si>
    <r>
      <rPr>
        <sz val="9"/>
        <color indexed="8"/>
        <rFont val="Arial"/>
        <family val="2"/>
      </rPr>
      <t>Tolerance</t>
    </r>
  </si>
  <si>
    <r>
      <rPr>
        <sz val="9"/>
        <color indexed="8"/>
        <rFont val="Arial"/>
        <family val="2"/>
      </rPr>
      <t>Tcalc</t>
    </r>
  </si>
  <si>
    <r>
      <rPr>
        <sz val="9"/>
        <color indexed="8"/>
        <rFont val="Arial"/>
        <family val="2"/>
      </rPr>
      <t>.</t>
    </r>
    <r>
      <rPr>
        <vertAlign val="superscript"/>
        <sz val="9"/>
        <color indexed="8"/>
        <rFont val="Arial"/>
        <family val="2"/>
      </rPr>
      <t>a</t>
    </r>
  </si>
  <si>
    <r>
      <rPr>
        <sz val="9"/>
        <color indexed="8"/>
        <rFont val="Arial"/>
        <family val="2"/>
      </rPr>
      <t xml:space="preserve">REGRESSION
  /MISSING LISTWISE
  /STATISTICS COEFF OUTS R ANOVA
  /CRITERIA=PIN(.05) POUT(.10)
  /NOORIGIN
  /DEPENDENT TiO2wt
  /METHOD=ENTER Si Ti Al Fe Mn Mg Ca Na K Tcalc Pcalc NNOcalc H2Ocalc.
</t>
    </r>
  </si>
  <si>
    <r>
      <rPr>
        <sz val="9"/>
        <color indexed="8"/>
        <rFont val="Arial"/>
        <family val="2"/>
      </rPr>
      <t>0:00:00.031</t>
    </r>
  </si>
  <si>
    <r>
      <rPr>
        <sz val="9"/>
        <color indexed="8"/>
        <rFont val="Arial"/>
        <family val="2"/>
      </rPr>
      <t>0:00:00.077</t>
    </r>
  </si>
  <si>
    <r>
      <rPr>
        <sz val="10"/>
        <color indexed="8"/>
        <rFont val="Courier New"/>
        <family val="3"/>
      </rPr>
      <t xml:space="preserve">[DataSet5] </t>
    </r>
  </si>
  <si>
    <r>
      <rPr>
        <sz val="9"/>
        <color indexed="8"/>
        <rFont val="Arial"/>
        <family val="2"/>
      </rPr>
      <t>Pcalc^-1/3, K, Fe, Ca, Ti, Na, Mg, Al, Si</t>
    </r>
    <r>
      <rPr>
        <vertAlign val="superscript"/>
        <sz val="9"/>
        <color indexed="8"/>
        <rFont val="Arial"/>
        <family val="2"/>
      </rPr>
      <t>a</t>
    </r>
  </si>
  <si>
    <r>
      <rPr>
        <sz val="9"/>
        <color indexed="8"/>
        <rFont val="Arial"/>
        <family val="2"/>
      </rPr>
      <t>.943</t>
    </r>
    <r>
      <rPr>
        <vertAlign val="superscript"/>
        <sz val="9"/>
        <color indexed="8"/>
        <rFont val="Arial"/>
        <family val="2"/>
      </rPr>
      <t>a</t>
    </r>
  </si>
  <si>
    <r>
      <rPr>
        <sz val="9"/>
        <color indexed="8"/>
        <rFont val="Arial"/>
        <family val="2"/>
      </rPr>
      <t>a. Predictors: (Constant), Pcalc^-1/3, K, Fe, Ca, Ti, Na, Mg, Al, Si</t>
    </r>
  </si>
  <si>
    <r>
      <rPr>
        <sz val="9"/>
        <color indexed="8"/>
        <rFont val="Arial"/>
        <family val="2"/>
      </rPr>
      <t>b. Dependent Variable: lnTiO2</t>
    </r>
  </si>
  <si>
    <r>
      <rPr>
        <sz val="9"/>
        <color indexed="8"/>
        <rFont val="Arial"/>
        <family val="2"/>
      </rPr>
      <t>Pcalc^-1/3</t>
    </r>
  </si>
  <si>
    <r>
      <rPr>
        <sz val="9"/>
        <color indexed="8"/>
        <rFont val="Arial"/>
        <family val="2"/>
      </rPr>
      <t>a. Dependent Variable: lnTiO2</t>
    </r>
  </si>
  <si>
    <r>
      <rPr>
        <sz val="10"/>
        <color indexed="8"/>
        <rFont val="Courier New"/>
        <family val="3"/>
      </rPr>
      <t>REGRESSION   /MISSING LISTWISE   /STATISTICS COEFF OUTS R ANOVA   /CRITERIA=PIN(.05) POUT(.10)   /NOORIGIN   /DEPENDENT Al2O3wt   /METHOD=ENTER Si Ti Al Fe Mn Mg Ca Na K Tcalc Pcalc NNOcalc H2Ocalc.</t>
    </r>
  </si>
  <si>
    <r>
      <rPr>
        <sz val="9"/>
        <color indexed="8"/>
        <rFont val="Arial"/>
        <family val="2"/>
      </rPr>
      <t>23-Jul-2010 16:33:31</t>
    </r>
  </si>
  <si>
    <r>
      <rPr>
        <sz val="9"/>
        <color indexed="8"/>
        <rFont val="Arial"/>
        <family val="2"/>
      </rPr>
      <t xml:space="preserve">REGRESSION
  /MISSING LISTWISE
  /STATISTICS COEFF OUTS R ANOVA
  /CRITERIA=PIN(.05) POUT(.10)
  /NOORIGIN
  /DEPENDENT Al2O3wt
  /METHOD=ENTER Si Ti Al Fe Mn Mg Ca Na K Tcalc Pcalc NNOcalc H2Ocalc.
</t>
    </r>
  </si>
  <si>
    <r>
      <rPr>
        <sz val="9"/>
        <color indexed="8"/>
        <rFont val="Arial"/>
        <family val="2"/>
      </rPr>
      <t>0:00:00.063</t>
    </r>
  </si>
  <si>
    <r>
      <rPr>
        <sz val="9"/>
        <color indexed="8"/>
        <rFont val="Arial"/>
        <family val="2"/>
      </rPr>
      <t>0:00:00.079</t>
    </r>
  </si>
  <si>
    <r>
      <rPr>
        <sz val="10"/>
        <color indexed="8"/>
        <rFont val="Courier New"/>
        <family val="3"/>
      </rPr>
      <t xml:space="preserve">[DataSet7] </t>
    </r>
  </si>
  <si>
    <r>
      <rPr>
        <sz val="9"/>
        <color indexed="8"/>
        <rFont val="Arial"/>
        <family val="2"/>
      </rPr>
      <t>Pcalc^-14, Fe, K, Na, Ca, Ti, Al, Mg, Si</t>
    </r>
    <r>
      <rPr>
        <vertAlign val="superscript"/>
        <sz val="9"/>
        <color indexed="8"/>
        <rFont val="Arial"/>
        <family val="2"/>
      </rPr>
      <t>a</t>
    </r>
  </si>
  <si>
    <r>
      <rPr>
        <sz val="9"/>
        <color indexed="8"/>
        <rFont val="Arial"/>
        <family val="2"/>
      </rPr>
      <t>.975</t>
    </r>
    <r>
      <rPr>
        <vertAlign val="superscript"/>
        <sz val="9"/>
        <color indexed="8"/>
        <rFont val="Arial"/>
        <family val="2"/>
      </rPr>
      <t>a</t>
    </r>
  </si>
  <si>
    <r>
      <rPr>
        <sz val="9"/>
        <color indexed="8"/>
        <rFont val="Arial"/>
        <family val="2"/>
      </rPr>
      <t>a. Predictors: (Constant), Pcalc^-14, Fe, K, Na, Ca, Ti, Al, Mg, Si</t>
    </r>
  </si>
  <si>
    <r>
      <rPr>
        <sz val="9"/>
        <color indexed="8"/>
        <rFont val="Arial"/>
        <family val="2"/>
      </rPr>
      <t>b. Dependent Variable: Al2O3 (wt.%)</t>
    </r>
  </si>
  <si>
    <r>
      <rPr>
        <sz val="9"/>
        <color indexed="8"/>
        <rFont val="Arial"/>
        <family val="2"/>
      </rPr>
      <t>Pcalc^-14</t>
    </r>
  </si>
  <si>
    <r>
      <rPr>
        <sz val="9"/>
        <color indexed="8"/>
        <rFont val="Arial"/>
        <family val="2"/>
      </rPr>
      <t>a. Dependent Variable: Al2O3 (wt.%)</t>
    </r>
  </si>
  <si>
    <r>
      <rPr>
        <sz val="9"/>
        <color indexed="8"/>
        <rFont val="Arial"/>
        <family val="2"/>
      </rPr>
      <t>a. Predictors in the Model: (Constant), H2Ocalc, Ca, Ti, Fe, Mn, Al, Na, Pcalc, K, Si, Mg</t>
    </r>
  </si>
  <si>
    <r>
      <rPr>
        <sz val="9"/>
        <color indexed="8"/>
        <rFont val="Arial"/>
        <family val="2"/>
      </rPr>
      <t>23-Jul-2010 16:33:56</t>
    </r>
  </si>
  <si>
    <r>
      <rPr>
        <sz val="9"/>
        <color indexed="8"/>
        <rFont val="Arial"/>
        <family val="2"/>
      </rPr>
      <t xml:space="preserve">REGRESSION
  /MISSING LISTWISE
  /STATISTICS COEFF OUTS R ANOVA
  /CRITERIA=PIN(.05) POUT(.10)
  /NOORIGIN
  /DEPENDENT FeOwt
  /METHOD=ENTER Si Ti Al Fe Mn Mg Ca Na K Tcalc Pcalc NNOcalc H2Ocalc.
</t>
    </r>
  </si>
  <si>
    <r>
      <rPr>
        <sz val="9"/>
        <color indexed="8"/>
        <rFont val="Arial"/>
        <family val="2"/>
      </rPr>
      <t>0:00:00.047</t>
    </r>
  </si>
  <si>
    <r>
      <rPr>
        <sz val="9"/>
        <color indexed="8"/>
        <rFont val="Arial"/>
        <family val="2"/>
      </rPr>
      <t>0:00:00.109</t>
    </r>
  </si>
  <si>
    <r>
      <rPr>
        <sz val="9"/>
        <color indexed="8"/>
        <rFont val="Arial"/>
        <family val="2"/>
      </rPr>
      <t>K, Na, Fe, Ca, Ti, Al, Mg, Si</t>
    </r>
    <r>
      <rPr>
        <vertAlign val="superscript"/>
        <sz val="9"/>
        <color indexed="8"/>
        <rFont val="Arial"/>
        <family val="2"/>
      </rPr>
      <t>a</t>
    </r>
  </si>
  <si>
    <r>
      <rPr>
        <sz val="9"/>
        <color indexed="8"/>
        <rFont val="Arial"/>
        <family val="2"/>
      </rPr>
      <t>.961</t>
    </r>
    <r>
      <rPr>
        <vertAlign val="superscript"/>
        <sz val="9"/>
        <color indexed="8"/>
        <rFont val="Arial"/>
        <family val="2"/>
      </rPr>
      <t>a</t>
    </r>
  </si>
  <si>
    <r>
      <rPr>
        <sz val="9"/>
        <color indexed="8"/>
        <rFont val="Arial"/>
        <family val="2"/>
      </rPr>
      <t>a. Predictors: (Constant), K, Na, Fe, Ca, Ti, Al, Mg, Si</t>
    </r>
  </si>
  <si>
    <r>
      <rPr>
        <sz val="9"/>
        <color indexed="8"/>
        <rFont val="Arial"/>
        <family val="2"/>
      </rPr>
      <t>b. Dependent Variable: lnFeO</t>
    </r>
  </si>
  <si>
    <r>
      <rPr>
        <sz val="9"/>
        <color indexed="8"/>
        <rFont val="Arial"/>
        <family val="2"/>
      </rPr>
      <t>a. Dependent Variable: lnFeO</t>
    </r>
  </si>
  <si>
    <r>
      <rPr>
        <sz val="9"/>
        <color indexed="8"/>
        <rFont val="Arial"/>
        <family val="2"/>
      </rPr>
      <t>b. Dependent Variable: FeO (wt.%)</t>
    </r>
  </si>
  <si>
    <r>
      <rPr>
        <sz val="10"/>
        <color indexed="8"/>
        <rFont val="Courier New"/>
        <family val="3"/>
      </rPr>
      <t>REGRESSION   /MISSING LISTWISE   /STATISTICS COEFF OUTS R ANOVA   /CRITERIA=PIN(.05) POUT(.10)   /NOORIGIN   /DEPENDENT MnOwt   /METHOD=ENTER Si Ti Al Fe Mn Mg Ca Na K Tcalc Pcalc NNOcalc H2Ocalc.</t>
    </r>
  </si>
  <si>
    <r>
      <rPr>
        <sz val="9"/>
        <color indexed="8"/>
        <rFont val="Arial"/>
        <family val="2"/>
      </rPr>
      <t>23-Jul-2010 16:34:15</t>
    </r>
  </si>
  <si>
    <r>
      <rPr>
        <sz val="9"/>
        <color indexed="8"/>
        <rFont val="Arial"/>
        <family val="2"/>
      </rPr>
      <t xml:space="preserve">REGRESSION
  /MISSING LISTWISE
  /STATISTICS COEFF OUTS R ANOVA
  /CRITERIA=PIN(.05) POUT(.10)
  /NOORIGIN
  /DEPENDENT MnOwt
  /METHOD=ENTER Si Ti Al Fe Mn Mg Ca Na K Tcalc Pcalc NNOcalc H2Ocalc.
</t>
    </r>
  </si>
  <si>
    <r>
      <rPr>
        <sz val="9"/>
        <color indexed="8"/>
        <rFont val="Arial"/>
        <family val="2"/>
      </rPr>
      <t>0:00:00.078</t>
    </r>
  </si>
  <si>
    <r>
      <rPr>
        <sz val="10"/>
        <color indexed="8"/>
        <rFont val="Courier New"/>
        <family val="3"/>
      </rPr>
      <t xml:space="preserve">[DataSet2] </t>
    </r>
  </si>
  <si>
    <r>
      <rPr>
        <sz val="9"/>
        <color indexed="8"/>
        <rFont val="Arial"/>
        <family val="2"/>
      </rPr>
      <t>K, Mg, Ca, Na, Ti, Si, Fe, Al</t>
    </r>
    <r>
      <rPr>
        <vertAlign val="superscript"/>
        <sz val="9"/>
        <color indexed="8"/>
        <rFont val="Arial"/>
        <family val="2"/>
      </rPr>
      <t>a</t>
    </r>
  </si>
  <si>
    <r>
      <rPr>
        <sz val="9"/>
        <color indexed="8"/>
        <rFont val="Arial"/>
        <family val="2"/>
      </rPr>
      <t>.758</t>
    </r>
    <r>
      <rPr>
        <vertAlign val="superscript"/>
        <sz val="9"/>
        <color indexed="8"/>
        <rFont val="Arial"/>
        <family val="2"/>
      </rPr>
      <t>a</t>
    </r>
  </si>
  <si>
    <r>
      <rPr>
        <sz val="9"/>
        <color indexed="8"/>
        <rFont val="Arial"/>
        <family val="2"/>
      </rPr>
      <t>a. Predictors: (Constant), K, Mg, Ca, Na, Ti, Si, Fe, Al</t>
    </r>
  </si>
  <si>
    <r>
      <rPr>
        <sz val="9"/>
        <color indexed="8"/>
        <rFont val="Arial"/>
        <family val="2"/>
      </rPr>
      <t>.001</t>
    </r>
    <r>
      <rPr>
        <vertAlign val="superscript"/>
        <sz val="9"/>
        <color indexed="8"/>
        <rFont val="Arial"/>
        <family val="2"/>
      </rPr>
      <t>a</t>
    </r>
  </si>
  <si>
    <r>
      <rPr>
        <sz val="9"/>
        <color indexed="8"/>
        <rFont val="Arial"/>
        <family val="2"/>
      </rPr>
      <t>b. Dependent Variable: MnO (wt.%)</t>
    </r>
  </si>
  <si>
    <r>
      <rPr>
        <sz val="9"/>
        <color indexed="8"/>
        <rFont val="Arial"/>
        <family val="2"/>
      </rPr>
      <t>a. Dependent Variable: MnO (wt.%)</t>
    </r>
  </si>
  <si>
    <r>
      <rPr>
        <sz val="10"/>
        <color indexed="8"/>
        <rFont val="Courier New"/>
        <family val="3"/>
      </rPr>
      <t>REGRESSION   /MISSING LISTWISE   /STATISTICS COEFF OUTS R ANOVA   /CRITERIA=PIN(.05) POUT(.10)   /NOORIGIN   /DEPENDENT MgOwt   /METHOD=ENTER Si Ti Al Fe Mn Mg Ca Na K Tcalc Pcalc NNOcalc H2Ocalc.</t>
    </r>
  </si>
  <si>
    <r>
      <rPr>
        <sz val="9"/>
        <color indexed="8"/>
        <rFont val="Arial"/>
        <family val="2"/>
      </rPr>
      <t>23-Jul-2010 16:34:34</t>
    </r>
  </si>
  <si>
    <r>
      <rPr>
        <sz val="9"/>
        <color indexed="8"/>
        <rFont val="Arial"/>
        <family val="2"/>
      </rPr>
      <t xml:space="preserve">REGRESSION
  /MISSING LISTWISE
  /STATISTICS COEFF OUTS R ANOVA
  /CRITERIA=PIN(.05) POUT(.10)
  /NOORIGIN
  /DEPENDENT MgOwt
  /METHOD=ENTER Si Ti Al Fe Mn Mg Ca Na K Tcalc Pcalc NNOcalc H2Ocalc.
</t>
    </r>
  </si>
  <si>
    <r>
      <rPr>
        <sz val="10"/>
        <color indexed="8"/>
        <rFont val="Courier New"/>
        <family val="3"/>
      </rPr>
      <t xml:space="preserve">[DataSet6] </t>
    </r>
  </si>
  <si>
    <r>
      <rPr>
        <sz val="9"/>
        <color indexed="8"/>
        <rFont val="Arial"/>
        <family val="2"/>
      </rPr>
      <t>logfO2calc, Ti, Ca, Mn, H2Ocalc, Fe, Al, K, Pcalc, Na, Si</t>
    </r>
    <r>
      <rPr>
        <vertAlign val="superscript"/>
        <sz val="9"/>
        <color indexed="8"/>
        <rFont val="Arial"/>
        <family val="2"/>
      </rPr>
      <t>a</t>
    </r>
  </si>
  <si>
    <r>
      <rPr>
        <sz val="9"/>
        <color indexed="8"/>
        <rFont val="Arial"/>
        <family val="2"/>
      </rPr>
      <t>a. Tolerance = .000 limits reached.</t>
    </r>
  </si>
  <si>
    <r>
      <rPr>
        <sz val="9"/>
        <color indexed="8"/>
        <rFont val="Arial"/>
        <family val="2"/>
      </rPr>
      <t>.937</t>
    </r>
    <r>
      <rPr>
        <vertAlign val="superscript"/>
        <sz val="9"/>
        <color indexed="8"/>
        <rFont val="Arial"/>
        <family val="2"/>
      </rPr>
      <t>a</t>
    </r>
  </si>
  <si>
    <r>
      <rPr>
        <sz val="9"/>
        <color indexed="8"/>
        <rFont val="Arial"/>
        <family val="2"/>
      </rPr>
      <t>a. Predictors: (Constant), logfO2calc, Ti, Ca, Mn, H2Ocalc, Fe, Al, K, Pcalc, Na, Si</t>
    </r>
  </si>
  <si>
    <r>
      <rPr>
        <sz val="9"/>
        <color indexed="8"/>
        <rFont val="Arial"/>
        <family val="2"/>
      </rPr>
      <t>b. Dependent Variable: MgO (wt.%)</t>
    </r>
  </si>
  <si>
    <r>
      <rPr>
        <sz val="9"/>
        <color indexed="8"/>
        <rFont val="Arial"/>
        <family val="2"/>
      </rPr>
      <t>Mn</t>
    </r>
  </si>
  <si>
    <r>
      <rPr>
        <sz val="9"/>
        <color indexed="8"/>
        <rFont val="Arial"/>
        <family val="2"/>
      </rPr>
      <t>Pcalc</t>
    </r>
  </si>
  <si>
    <r>
      <rPr>
        <sz val="9"/>
        <color indexed="8"/>
        <rFont val="Arial"/>
        <family val="2"/>
      </rPr>
      <t>H2Ocalc</t>
    </r>
  </si>
  <si>
    <r>
      <rPr>
        <sz val="9"/>
        <color indexed="8"/>
        <rFont val="Arial"/>
        <family val="2"/>
      </rPr>
      <t>logfO2calc</t>
    </r>
  </si>
  <si>
    <r>
      <rPr>
        <sz val="9"/>
        <color indexed="8"/>
        <rFont val="Arial"/>
        <family val="2"/>
      </rPr>
      <t>a. Dependent Variable: MgO (wt.%)</t>
    </r>
  </si>
  <si>
    <r>
      <rPr>
        <sz val="9"/>
        <color indexed="8"/>
        <rFont val="Arial"/>
        <family val="2"/>
      </rPr>
      <t>-10.451</t>
    </r>
    <r>
      <rPr>
        <vertAlign val="superscript"/>
        <sz val="9"/>
        <color indexed="8"/>
        <rFont val="Arial"/>
        <family val="2"/>
      </rPr>
      <t>a</t>
    </r>
  </si>
  <si>
    <r>
      <rPr>
        <sz val="9"/>
        <color indexed="8"/>
        <rFont val="Arial"/>
        <family val="2"/>
      </rPr>
      <t>-58.630</t>
    </r>
    <r>
      <rPr>
        <vertAlign val="superscript"/>
        <sz val="9"/>
        <color indexed="8"/>
        <rFont val="Arial"/>
        <family val="2"/>
      </rPr>
      <t>a</t>
    </r>
  </si>
  <si>
    <r>
      <rPr>
        <sz val="9"/>
        <color indexed="8"/>
        <rFont val="Arial"/>
        <family val="2"/>
      </rPr>
      <t>a. Predictors in the Model: (Constant), logfO2calc, Ti, Ca, Mn, H2Ocalc, Fe, Al, K, Pcalc, Na, Si</t>
    </r>
  </si>
  <si>
    <r>
      <rPr>
        <sz val="10"/>
        <color indexed="8"/>
        <rFont val="Courier New"/>
        <family val="3"/>
      </rPr>
      <t xml:space="preserve">[DataSet1] </t>
    </r>
  </si>
  <si>
    <r>
      <rPr>
        <sz val="9"/>
        <color indexed="8"/>
        <rFont val="Arial"/>
        <family val="2"/>
      </rPr>
      <t>Pcalc^20, Mg, Ca, Na, K, Ti, Al, Fe, Si</t>
    </r>
    <r>
      <rPr>
        <vertAlign val="superscript"/>
        <sz val="9"/>
        <color indexed="8"/>
        <rFont val="Arial"/>
        <family val="2"/>
      </rPr>
      <t>a</t>
    </r>
  </si>
  <si>
    <r>
      <rPr>
        <sz val="9"/>
        <color indexed="8"/>
        <rFont val="Arial"/>
        <family val="2"/>
      </rPr>
      <t>.965</t>
    </r>
    <r>
      <rPr>
        <vertAlign val="superscript"/>
        <sz val="9"/>
        <color indexed="8"/>
        <rFont val="Arial"/>
        <family val="2"/>
      </rPr>
      <t>a</t>
    </r>
  </si>
  <si>
    <r>
      <rPr>
        <sz val="9"/>
        <color indexed="8"/>
        <rFont val="Arial"/>
        <family val="2"/>
      </rPr>
      <t>a. Predictors: (Constant), Pcalc^20, Mg, Ca, Na, K, Ti, Al, Fe, Si</t>
    </r>
  </si>
  <si>
    <r>
      <rPr>
        <sz val="9"/>
        <color indexed="8"/>
        <rFont val="Arial"/>
        <family val="2"/>
      </rPr>
      <t>Pcalc^20</t>
    </r>
  </si>
  <si>
    <r>
      <rPr>
        <sz val="9"/>
        <color indexed="8"/>
        <rFont val="Arial"/>
        <family val="2"/>
      </rPr>
      <t>23-Jul-2010 16:34:47</t>
    </r>
  </si>
  <si>
    <r>
      <rPr>
        <sz val="9"/>
        <color indexed="8"/>
        <rFont val="Arial"/>
        <family val="2"/>
      </rPr>
      <t xml:space="preserve">REGRESSION
  /MISSING LISTWISE
  /STATISTICS COEFF OUTS R ANOVA
  /CRITERIA=PIN(.05) POUT(.10)
  /NOORIGIN
  /DEPENDENT CaOwt
  /METHOD=ENTER Si Ti Al Fe Mn Mg Ca Na K Tcalc Pcalc NNOcalc H2Ocalc.
</t>
    </r>
  </si>
  <si>
    <r>
      <rPr>
        <sz val="9"/>
        <color indexed="8"/>
        <rFont val="Arial"/>
        <family val="2"/>
      </rPr>
      <t>0:00:00.062</t>
    </r>
  </si>
  <si>
    <r>
      <rPr>
        <sz val="9"/>
        <color indexed="8"/>
        <rFont val="Arial"/>
        <family val="2"/>
      </rPr>
      <t>Pcalc^-0.5, K, Fe, Ca, Ti, Na, Mg, Si, Al</t>
    </r>
    <r>
      <rPr>
        <vertAlign val="superscript"/>
        <sz val="9"/>
        <color indexed="8"/>
        <rFont val="Arial"/>
        <family val="2"/>
      </rPr>
      <t>a</t>
    </r>
  </si>
  <si>
    <r>
      <rPr>
        <sz val="9"/>
        <color indexed="8"/>
        <rFont val="Arial"/>
        <family val="2"/>
      </rPr>
      <t>.967</t>
    </r>
    <r>
      <rPr>
        <vertAlign val="superscript"/>
        <sz val="9"/>
        <color indexed="8"/>
        <rFont val="Arial"/>
        <family val="2"/>
      </rPr>
      <t>a</t>
    </r>
  </si>
  <si>
    <r>
      <rPr>
        <sz val="9"/>
        <color indexed="8"/>
        <rFont val="Arial"/>
        <family val="2"/>
      </rPr>
      <t>a. Predictors: (Constant), Pcalc^-0.5, K, Fe, Ca, Ti, Na, Mg, Si, Al</t>
    </r>
  </si>
  <si>
    <r>
      <rPr>
        <sz val="9"/>
        <color indexed="8"/>
        <rFont val="Arial"/>
        <family val="2"/>
      </rPr>
      <t>b. Dependent Variable: CaO (wt.%)</t>
    </r>
  </si>
  <si>
    <r>
      <rPr>
        <sz val="9"/>
        <color indexed="8"/>
        <rFont val="Arial"/>
        <family val="2"/>
      </rPr>
      <t>Pcalc^-0.5</t>
    </r>
  </si>
  <si>
    <r>
      <rPr>
        <sz val="9"/>
        <color indexed="8"/>
        <rFont val="Arial"/>
        <family val="2"/>
      </rPr>
      <t>a. Dependent Variable: CaO (wt.%)</t>
    </r>
  </si>
  <si>
    <r>
      <rPr>
        <sz val="9"/>
        <color indexed="8"/>
        <rFont val="Arial"/>
        <family val="2"/>
      </rPr>
      <t>Pcalc, K, Fe, Ca, Ti, Na, Al, Mg, Si</t>
    </r>
    <r>
      <rPr>
        <vertAlign val="superscript"/>
        <sz val="9"/>
        <color indexed="8"/>
        <rFont val="Arial"/>
        <family val="2"/>
      </rPr>
      <t>a</t>
    </r>
  </si>
  <si>
    <r>
      <rPr>
        <sz val="9"/>
        <color indexed="8"/>
        <rFont val="Arial"/>
        <family val="2"/>
      </rPr>
      <t>a. Predictors: (Constant), Pcalc, K, Fe, Ca, Ti, Na, Al, Mg, Si</t>
    </r>
  </si>
  <si>
    <r>
      <rPr>
        <sz val="9"/>
        <color indexed="8"/>
        <rFont val="Arial"/>
        <family val="2"/>
      </rPr>
      <t>b. Dependent Variable: lnK2O</t>
    </r>
  </si>
  <si>
    <r>
      <rPr>
        <sz val="9"/>
        <color indexed="8"/>
        <rFont val="Arial"/>
        <family val="2"/>
      </rPr>
      <t>a. Dependent Variable: lnK2O</t>
    </r>
  </si>
  <si>
    <t>Input</t>
  </si>
  <si>
    <t>T (°C)</t>
  </si>
  <si>
    <t>P (MPa)</t>
  </si>
  <si>
    <r>
      <t>SiO</t>
    </r>
    <r>
      <rPr>
        <b/>
        <vertAlign val="subscript"/>
        <sz val="12"/>
        <rFont val="Arial"/>
        <family val="2"/>
      </rPr>
      <t>2</t>
    </r>
  </si>
  <si>
    <r>
      <t>TiO</t>
    </r>
    <r>
      <rPr>
        <b/>
        <vertAlign val="subscript"/>
        <sz val="12"/>
        <rFont val="Arial"/>
        <family val="2"/>
      </rPr>
      <t>2</t>
    </r>
  </si>
  <si>
    <r>
      <t>Al</t>
    </r>
    <r>
      <rPr>
        <b/>
        <vertAlign val="subscript"/>
        <sz val="12"/>
        <rFont val="Arial"/>
        <family val="2"/>
      </rPr>
      <t>2</t>
    </r>
    <r>
      <rPr>
        <b/>
        <sz val="12"/>
        <rFont val="Arial"/>
        <family val="2"/>
      </rPr>
      <t>O</t>
    </r>
    <r>
      <rPr>
        <b/>
        <vertAlign val="subscript"/>
        <sz val="12"/>
        <rFont val="Arial"/>
        <family val="2"/>
      </rPr>
      <t>3</t>
    </r>
  </si>
  <si>
    <r>
      <t>Cr</t>
    </r>
    <r>
      <rPr>
        <b/>
        <vertAlign val="subscript"/>
        <sz val="12"/>
        <rFont val="Arial"/>
        <family val="2"/>
      </rPr>
      <t>2</t>
    </r>
    <r>
      <rPr>
        <b/>
        <sz val="12"/>
        <rFont val="Arial"/>
        <family val="2"/>
      </rPr>
      <t>O</t>
    </r>
    <r>
      <rPr>
        <b/>
        <vertAlign val="subscript"/>
        <sz val="12"/>
        <rFont val="Arial"/>
        <family val="2"/>
      </rPr>
      <t>3</t>
    </r>
  </si>
  <si>
    <r>
      <t>Na</t>
    </r>
    <r>
      <rPr>
        <b/>
        <vertAlign val="subscript"/>
        <sz val="12"/>
        <rFont val="Arial"/>
        <family val="2"/>
      </rPr>
      <t>2</t>
    </r>
    <r>
      <rPr>
        <b/>
        <sz val="12"/>
        <rFont val="Arial"/>
        <family val="2"/>
      </rPr>
      <t>O</t>
    </r>
  </si>
  <si>
    <r>
      <t>K</t>
    </r>
    <r>
      <rPr>
        <b/>
        <vertAlign val="subscript"/>
        <sz val="12"/>
        <rFont val="Arial"/>
        <family val="2"/>
      </rPr>
      <t>2</t>
    </r>
    <r>
      <rPr>
        <b/>
        <sz val="12"/>
        <rFont val="Arial"/>
        <family val="2"/>
      </rPr>
      <t>O</t>
    </r>
  </si>
  <si>
    <r>
      <t>H</t>
    </r>
    <r>
      <rPr>
        <b/>
        <vertAlign val="subscript"/>
        <sz val="12"/>
        <rFont val="Arial"/>
        <family val="2"/>
      </rPr>
      <t>2</t>
    </r>
    <r>
      <rPr>
        <b/>
        <sz val="12"/>
        <rFont val="Arial"/>
        <family val="2"/>
      </rPr>
      <t>O</t>
    </r>
  </si>
  <si>
    <r>
      <t>Fe</t>
    </r>
    <r>
      <rPr>
        <b/>
        <vertAlign val="subscript"/>
        <sz val="12"/>
        <rFont val="Arial"/>
        <family val="2"/>
      </rPr>
      <t>2</t>
    </r>
    <r>
      <rPr>
        <b/>
        <sz val="12"/>
        <rFont val="Arial"/>
        <family val="2"/>
      </rPr>
      <t>O</t>
    </r>
    <r>
      <rPr>
        <b/>
        <vertAlign val="subscript"/>
        <sz val="12"/>
        <rFont val="Arial"/>
        <family val="2"/>
      </rPr>
      <t>3</t>
    </r>
  </si>
  <si>
    <r>
      <t>Mg/(Mg+Fe</t>
    </r>
    <r>
      <rPr>
        <b/>
        <vertAlign val="superscript"/>
        <sz val="12"/>
        <rFont val="Arial"/>
        <family val="2"/>
      </rPr>
      <t>2+</t>
    </r>
    <r>
      <rPr>
        <b/>
        <sz val="12"/>
        <rFont val="Arial"/>
        <family val="2"/>
      </rPr>
      <t>)</t>
    </r>
  </si>
  <si>
    <r>
      <t>Al</t>
    </r>
    <r>
      <rPr>
        <b/>
        <vertAlign val="subscript"/>
        <sz val="12"/>
        <rFont val="Arial"/>
        <family val="2"/>
      </rPr>
      <t>T</t>
    </r>
  </si>
  <si>
    <r>
      <t>Fe</t>
    </r>
    <r>
      <rPr>
        <b/>
        <vertAlign val="superscript"/>
        <sz val="12"/>
        <rFont val="Arial"/>
        <family val="2"/>
      </rPr>
      <t>3+</t>
    </r>
  </si>
  <si>
    <r>
      <t>Fe</t>
    </r>
    <r>
      <rPr>
        <b/>
        <vertAlign val="superscript"/>
        <sz val="12"/>
        <rFont val="Arial"/>
        <family val="2"/>
      </rPr>
      <t>2+</t>
    </r>
  </si>
  <si>
    <r>
      <t>100</t>
    </r>
    <r>
      <rPr>
        <sz val="10"/>
        <rFont val="Calibri"/>
        <family val="2"/>
      </rPr>
      <t>±</t>
    </r>
    <r>
      <rPr>
        <sz val="10"/>
        <rFont val="Arial"/>
        <family val="2"/>
      </rPr>
      <t>12%</t>
    </r>
  </si>
  <si>
    <t>MPa</t>
  </si>
  <si>
    <t>T-H2Omelt stability and isobares</t>
  </si>
  <si>
    <r>
      <t>150</t>
    </r>
    <r>
      <rPr>
        <sz val="10"/>
        <rFont val="Calibri"/>
        <family val="2"/>
      </rPr>
      <t>±</t>
    </r>
    <r>
      <rPr>
        <sz val="10"/>
        <rFont val="Arial"/>
        <family val="2"/>
      </rPr>
      <t>12%</t>
    </r>
  </si>
  <si>
    <r>
      <t>250</t>
    </r>
    <r>
      <rPr>
        <sz val="10"/>
        <rFont val="Calibri"/>
        <family val="2"/>
      </rPr>
      <t>±</t>
    </r>
    <r>
      <rPr>
        <sz val="10"/>
        <rFont val="Arial"/>
        <family val="2"/>
      </rPr>
      <t>12%</t>
    </r>
  </si>
  <si>
    <r>
      <t>400</t>
    </r>
    <r>
      <rPr>
        <sz val="10"/>
        <rFont val="Calibri"/>
        <family val="2"/>
      </rPr>
      <t>±</t>
    </r>
    <r>
      <rPr>
        <sz val="10"/>
        <rFont val="Arial"/>
        <family val="2"/>
      </rPr>
      <t>12%</t>
    </r>
  </si>
  <si>
    <r>
      <t>600</t>
    </r>
    <r>
      <rPr>
        <sz val="10"/>
        <rFont val="Calibri"/>
        <family val="2"/>
      </rPr>
      <t>±</t>
    </r>
    <r>
      <rPr>
        <sz val="10"/>
        <rFont val="Arial"/>
        <family val="2"/>
      </rPr>
      <t>12%</t>
    </r>
  </si>
  <si>
    <r>
      <t>900</t>
    </r>
    <r>
      <rPr>
        <sz val="10"/>
        <rFont val="Calibri"/>
        <family val="2"/>
      </rPr>
      <t>±</t>
    </r>
    <r>
      <rPr>
        <sz val="10"/>
        <rFont val="Arial"/>
        <family val="2"/>
      </rPr>
      <t>12%</t>
    </r>
  </si>
  <si>
    <r>
      <t>1400</t>
    </r>
    <r>
      <rPr>
        <sz val="10"/>
        <rFont val="Calibri"/>
        <family val="2"/>
      </rPr>
      <t>±</t>
    </r>
    <r>
      <rPr>
        <sz val="10"/>
        <rFont val="Arial"/>
        <family val="2"/>
      </rPr>
      <t>12%</t>
    </r>
  </si>
  <si>
    <r>
      <t>2100</t>
    </r>
    <r>
      <rPr>
        <sz val="10"/>
        <rFont val="Calibri"/>
        <family val="2"/>
      </rPr>
      <t>±</t>
    </r>
    <r>
      <rPr>
        <sz val="10"/>
        <rFont val="Arial"/>
        <family val="2"/>
      </rPr>
      <t>12%</t>
    </r>
  </si>
  <si>
    <t>SiO2</t>
  </si>
  <si>
    <t>TiO2</t>
  </si>
  <si>
    <t>Al2O3</t>
  </si>
  <si>
    <t>K2O</t>
  </si>
  <si>
    <t>error (MPa)</t>
  </si>
  <si>
    <t>error (wt%)</t>
  </si>
  <si>
    <t xml:space="preserve">[InsiemeDati1] </t>
  </si>
  <si>
    <t>5kbar</t>
  </si>
  <si>
    <t>OH</t>
  </si>
  <si>
    <t>W sum</t>
  </si>
  <si>
    <t>K, Ca, Na, Al, Fe, Ti, Si, Mg</t>
  </si>
  <si>
    <r>
      <t>,990</t>
    </r>
    <r>
      <rPr>
        <vertAlign val="superscript"/>
        <sz val="9"/>
        <color indexed="8"/>
        <rFont val="Arial"/>
        <family val="2"/>
      </rPr>
      <t>a</t>
    </r>
  </si>
  <si>
    <t xml:space="preserve">a. Predittori: (Costante), K, Ca, Na, Al, Fe, Ti, Si, Mg
</t>
  </si>
  <si>
    <t xml:space="preserve">a. Predittori: (Costante), K, Ca, Na, Al, Fe, Ti, Si, Mg
b. Variabile dipendente: ?NNO
</t>
  </si>
  <si>
    <t>error^2</t>
  </si>
  <si>
    <t>HM</t>
  </si>
  <si>
    <t>CCO</t>
  </si>
  <si>
    <t>error%^2</t>
  </si>
  <si>
    <t>error%</t>
  </si>
  <si>
    <t>error%as</t>
  </si>
  <si>
    <t>K, Fe, Ca, Na, Ti, Si, Al, Mg</t>
  </si>
  <si>
    <t xml:space="preserve">a. Tutte le variabili richieste sono state immesse.
b. Variabile dipendente: lnP
</t>
  </si>
  <si>
    <r>
      <t>,945</t>
    </r>
    <r>
      <rPr>
        <vertAlign val="superscript"/>
        <sz val="9"/>
        <color indexed="8"/>
        <rFont val="Arial"/>
        <family val="2"/>
      </rPr>
      <t>a</t>
    </r>
  </si>
  <si>
    <t xml:space="preserve">a. Predittori: (Costante), K, Fe, Ca, Na, Ti, Si, Al, Mg
</t>
  </si>
  <si>
    <r>
      <t>,000</t>
    </r>
    <r>
      <rPr>
        <vertAlign val="superscript"/>
        <sz val="9"/>
        <color indexed="8"/>
        <rFont val="Arial"/>
        <family val="2"/>
      </rPr>
      <t>a</t>
    </r>
  </si>
  <si>
    <t xml:space="preserve">a. Predittori: (Costante), K, Fe, Ca, Na, Ti, Si, Al, Mg
b. Variabile dipendente: lnP
</t>
  </si>
  <si>
    <t xml:space="preserve">a. Variabile dipendente: lnP
</t>
  </si>
  <si>
    <t>LowP_lnP</t>
  </si>
  <si>
    <t>LowP_P</t>
  </si>
  <si>
    <t xml:space="preserve">a. Tutte le variabili richieste sono state immesse.
b. Variabile dipendente: P
</t>
  </si>
  <si>
    <r>
      <t>,948</t>
    </r>
    <r>
      <rPr>
        <vertAlign val="superscript"/>
        <sz val="9"/>
        <color indexed="8"/>
        <rFont val="Arial"/>
        <family val="2"/>
      </rPr>
      <t>a</t>
    </r>
  </si>
  <si>
    <t xml:space="preserve">a. Predittori: (Costante), K, Fe, Ca, Na, Ti, Si, Al, Mg
b. Variabile dipendente: P
</t>
  </si>
  <si>
    <t xml:space="preserve">a. Variabile dipendente: P
</t>
  </si>
  <si>
    <t>Na2O</t>
  </si>
  <si>
    <r>
      <t>,944</t>
    </r>
    <r>
      <rPr>
        <vertAlign val="superscript"/>
        <sz val="9"/>
        <color indexed="8"/>
        <rFont val="Arial"/>
        <family val="2"/>
      </rPr>
      <t>a</t>
    </r>
  </si>
  <si>
    <t xml:space="preserve">a. Predittori: (Costante), K2O, CaO, MgO, Al2O3, TiO2, Na2O, SiO2, FeO
</t>
  </si>
  <si>
    <t xml:space="preserve">a. Predittori: (Costante), K2O, CaO, MgO, Al2O3, TiO2, Na2O, SiO2, FeO
b. Variabile dipendente: T 
</t>
  </si>
  <si>
    <t>Xal</t>
  </si>
  <si>
    <t xml:space="preserve">a. Predittori: (Costante), LnPcalc, Mg, Ca, K, Ti, Na, Al, Si, Fe
</t>
  </si>
  <si>
    <t xml:space="preserve">a. Predittori: (Costante), LnPcalc, Mg, Ca, K, Ti, Na, Al, Si, Fe
b. Variabile dipendente: T 
</t>
  </si>
  <si>
    <t>LnPcalc</t>
  </si>
  <si>
    <r>
      <t>,966</t>
    </r>
    <r>
      <rPr>
        <vertAlign val="superscript"/>
        <sz val="9"/>
        <color indexed="8"/>
        <rFont val="Arial"/>
        <family val="2"/>
      </rPr>
      <t>a</t>
    </r>
  </si>
  <si>
    <t>y = -23.009x + 907.9</t>
  </si>
  <si>
    <t>R² = 0.8365</t>
  </si>
  <si>
    <t>eq</t>
  </si>
  <si>
    <t>y = -166.6ln(x) + 1099.7</t>
  </si>
  <si>
    <t>R² = 0.8181</t>
  </si>
  <si>
    <t>y = -139ln(x) + 1125.3</t>
  </si>
  <si>
    <t>R² = 0.8907</t>
  </si>
  <si>
    <t>y = -127.1ln(x) + 1166.6</t>
  </si>
  <si>
    <t>R² = 0.8602</t>
  </si>
  <si>
    <r>
      <t>y = 1.4856x</t>
    </r>
    <r>
      <rPr>
        <vertAlign val="superscript"/>
        <sz val="10.3"/>
        <color rgb="FF000000"/>
        <rFont val="Times New Roman"/>
        <family val="1"/>
      </rPr>
      <t>2</t>
    </r>
    <r>
      <rPr>
        <sz val="10.3"/>
        <color rgb="FF000000"/>
        <rFont val="Times New Roman"/>
        <family val="1"/>
      </rPr>
      <t xml:space="preserve"> - 42.934x + 1192.6</t>
    </r>
  </si>
  <si>
    <t>R² = 0.9097</t>
  </si>
  <si>
    <t>y = -13.529x + 1119.1</t>
  </si>
  <si>
    <t>R² = 0.8161</t>
  </si>
  <si>
    <t>y = -10.75x + 1130.8</t>
  </si>
  <si>
    <t>R² = 0.4275</t>
  </si>
  <si>
    <t>y = -8.6728x + 1153.8</t>
  </si>
  <si>
    <t>R² = 0.8003</t>
  </si>
  <si>
    <t>NBO</t>
  </si>
  <si>
    <t>T_P-saturation</t>
  </si>
  <si>
    <r>
      <t>,981</t>
    </r>
    <r>
      <rPr>
        <vertAlign val="superscript"/>
        <sz val="9"/>
        <color indexed="8"/>
        <rFont val="Arial"/>
        <family val="2"/>
      </rPr>
      <t>a</t>
    </r>
  </si>
  <si>
    <t xml:space="preserve">a. Predittori: (Costante), K, Na, Ti, Al, Mg, Fe, Si, Ca, NBO
</t>
  </si>
  <si>
    <r>
      <t>,000</t>
    </r>
    <r>
      <rPr>
        <vertAlign val="superscript"/>
        <sz val="9"/>
        <color indexed="8"/>
        <rFont val="Arial"/>
        <family val="2"/>
      </rPr>
      <t>a</t>
    </r>
  </si>
  <si>
    <t xml:space="preserve">a. Predittori: (Costante), K, Na, Ti, Al, Mg, Fe, Si, Ca, NBO
b. Variabile dipendente: Texp (°C)
</t>
  </si>
  <si>
    <t xml:space="preserve">a. Variabile dipendente: Texp (°C)
</t>
  </si>
  <si>
    <r>
      <t>,957</t>
    </r>
    <r>
      <rPr>
        <vertAlign val="superscript"/>
        <sz val="9"/>
        <color indexed="8"/>
        <rFont val="Arial"/>
        <family val="2"/>
      </rPr>
      <t>a</t>
    </r>
  </si>
  <si>
    <t xml:space="preserve">a. Predittori: (Costante), K, Na, Ti, Al, Mg, Fe, Si, Ca, NBO
b. Variabile dipendente: LnP
</t>
  </si>
  <si>
    <t xml:space="preserve">a. Variabile dipendente: LnP
</t>
  </si>
  <si>
    <t>O=F,Cl</t>
  </si>
  <si>
    <t>NNO+3</t>
  </si>
  <si>
    <t>P(Mpa)</t>
  </si>
  <si>
    <r>
      <t>error</t>
    </r>
    <r>
      <rPr>
        <vertAlign val="superscript"/>
        <sz val="12"/>
        <rFont val="Arial"/>
        <family val="2"/>
      </rPr>
      <t>2</t>
    </r>
  </si>
  <si>
    <t>error (°C)</t>
  </si>
  <si>
    <t>Amphibole total calculation</t>
  </si>
  <si>
    <t>T sum</t>
  </si>
  <si>
    <t>C sum</t>
  </si>
  <si>
    <t>B sum</t>
  </si>
  <si>
    <t>A sum</t>
  </si>
  <si>
    <t>Labels and information</t>
  </si>
  <si>
    <t>Pressure equations (MPa)</t>
  </si>
  <si>
    <r>
      <t>Al</t>
    </r>
    <r>
      <rPr>
        <b/>
        <vertAlign val="superscript"/>
        <sz val="12"/>
        <rFont val="Arial"/>
        <family val="2"/>
      </rPr>
      <t>IV</t>
    </r>
  </si>
  <si>
    <r>
      <t>Al</t>
    </r>
    <r>
      <rPr>
        <b/>
        <vertAlign val="superscript"/>
        <sz val="12"/>
        <rFont val="Arial"/>
        <family val="2"/>
      </rPr>
      <t>VI</t>
    </r>
  </si>
  <si>
    <t>Physico-chemical conditions</t>
  </si>
  <si>
    <t>Automatic checks and parameters</t>
  </si>
  <si>
    <t>fO2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</si>
  <si>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</si>
  <si>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</si>
  <si>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</si>
  <si>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</si>
  <si>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</si>
  <si>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</si>
  <si>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</si>
  <si>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SS</t>
  </si>
  <si>
    <t>MS</t>
  </si>
  <si>
    <t>Significance F</t>
  </si>
  <si>
    <t>Regression</t>
  </si>
  <si>
    <t>Residual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</si>
  <si>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</si>
  <si>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</si>
  <si>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</si>
  <si>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</si>
  <si>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</si>
  <si>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</si>
  <si>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</si>
  <si>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Intercept</t>
  </si>
  <si>
    <t>AlIV</t>
  </si>
  <si>
    <t>AlVI</t>
  </si>
  <si>
    <t>Fe3+</t>
  </si>
  <si>
    <t>Fe2+</t>
  </si>
  <si>
    <t>lnH2O</t>
  </si>
  <si>
    <t>Total and composition</t>
  </si>
  <si>
    <r>
      <t>Composition for</t>
    </r>
    <r>
      <rPr>
        <b/>
        <i/>
        <sz val="11"/>
        <rFont val="Arial"/>
        <family val="2"/>
      </rPr>
      <t xml:space="preserve"> f</t>
    </r>
    <r>
      <rPr>
        <b/>
        <sz val="11"/>
        <rFont val="Arial"/>
        <family val="2"/>
      </rPr>
      <t>O</t>
    </r>
    <r>
      <rPr>
        <b/>
        <vertAlign val="subscript"/>
        <sz val="11"/>
        <rFont val="Arial"/>
        <family val="2"/>
      </rPr>
      <t>2</t>
    </r>
  </si>
  <si>
    <r>
      <t>Composition for H</t>
    </r>
    <r>
      <rPr>
        <b/>
        <vertAlign val="subscript"/>
        <sz val="11"/>
        <rFont val="Arial"/>
        <family val="2"/>
      </rPr>
      <t>2</t>
    </r>
    <r>
      <rPr>
        <b/>
        <sz val="11"/>
        <rFont val="Arial"/>
        <family val="2"/>
      </rPr>
      <t>O</t>
    </r>
  </si>
  <si>
    <r>
      <t>H</t>
    </r>
    <r>
      <rPr>
        <b/>
        <vertAlign val="subscript"/>
        <sz val="12"/>
        <rFont val="Arial"/>
        <family val="2"/>
      </rPr>
      <t>2</t>
    </r>
    <r>
      <rPr>
        <b/>
        <sz val="12"/>
        <rFont val="Arial"/>
        <family val="2"/>
      </rPr>
      <t>O</t>
    </r>
    <r>
      <rPr>
        <b/>
        <vertAlign val="subscript"/>
        <sz val="12"/>
        <rFont val="Arial"/>
        <family val="2"/>
      </rPr>
      <t xml:space="preserve">melt </t>
    </r>
    <r>
      <rPr>
        <b/>
        <sz val="12"/>
        <rFont val="Arial"/>
        <family val="2"/>
      </rPr>
      <t>(wt%)</t>
    </r>
    <phoneticPr fontId="2" type="noConversion"/>
  </si>
  <si>
    <t>Pargasite</t>
  </si>
  <si>
    <t>Magnesio-hastingsite</t>
    <phoneticPr fontId="45" type="noConversion"/>
  </si>
  <si>
    <t>Pargasite</t>
    <phoneticPr fontId="46" type="noConversion"/>
  </si>
  <si>
    <t>A3</t>
  </si>
  <si>
    <t>A5</t>
  </si>
  <si>
    <t>A10</t>
  </si>
  <si>
    <t>A35</t>
  </si>
  <si>
    <t>A37</t>
  </si>
  <si>
    <t>A40</t>
  </si>
  <si>
    <t>A47</t>
  </si>
  <si>
    <t>A54</t>
  </si>
  <si>
    <t>A55</t>
  </si>
  <si>
    <t>A56</t>
  </si>
  <si>
    <t>A61</t>
  </si>
  <si>
    <t>A62</t>
  </si>
  <si>
    <t>A64</t>
  </si>
  <si>
    <t>A67</t>
  </si>
  <si>
    <t>A71</t>
  </si>
  <si>
    <t>Minerals</t>
    <phoneticPr fontId="2" type="noConversion"/>
  </si>
  <si>
    <t>Sample No.</t>
    <phoneticPr fontId="2" type="noConversion"/>
  </si>
  <si>
    <t>Depth</t>
    <phoneticPr fontId="2" type="noConversion"/>
  </si>
  <si>
    <t>No</t>
    <phoneticPr fontId="2" type="noConversion"/>
  </si>
  <si>
    <t>Yes</t>
    <phoneticPr fontId="46" type="noConversion"/>
  </si>
  <si>
    <t>Lithofacies</t>
    <phoneticPr fontId="2" type="noConversion"/>
  </si>
  <si>
    <t>hornblendite</t>
    <phoneticPr fontId="45" type="noConversion"/>
  </si>
  <si>
    <t>hornblende-gabbro</t>
    <phoneticPr fontId="45" type="noConversion"/>
  </si>
  <si>
    <r>
      <t>References</t>
    </r>
    <r>
      <rPr>
        <sz val="10"/>
        <rFont val="Arial"/>
        <family val="2"/>
      </rPr>
      <t xml:space="preserve">: </t>
    </r>
    <phoneticPr fontId="2" type="noConversion"/>
  </si>
  <si>
    <t>NNO</t>
    <phoneticPr fontId="2" type="noConversion"/>
  </si>
  <si>
    <r>
      <rPr>
        <b/>
        <sz val="14"/>
        <rFont val="Calibri"/>
        <family val="2"/>
      </rPr>
      <t>Δ</t>
    </r>
    <r>
      <rPr>
        <b/>
        <sz val="12"/>
        <rFont val="Arial"/>
        <family val="2"/>
      </rPr>
      <t>NNO</t>
    </r>
    <phoneticPr fontId="2" type="noConversion"/>
  </si>
  <si>
    <t>ΔOA</t>
    <phoneticPr fontId="2" type="noConversion"/>
  </si>
  <si>
    <t>OA</t>
    <phoneticPr fontId="2" type="noConversion"/>
  </si>
  <si>
    <t>Nickel-nickel oxide buffer (NNO) is from O’Neil (1997)</t>
    <phoneticPr fontId="2" type="noConversion"/>
  </si>
  <si>
    <r>
      <t>Oldhamite (CaS)–anhydrite (CaSO</t>
    </r>
    <r>
      <rPr>
        <b/>
        <vertAlign val="subscript"/>
        <sz val="11"/>
        <color rgb="FFFF0000"/>
        <rFont val="Arial"/>
        <family val="2"/>
      </rPr>
      <t>4</t>
    </r>
    <r>
      <rPr>
        <b/>
        <sz val="11"/>
        <color rgb="FFFF0000"/>
        <rFont val="Arial"/>
        <family val="2"/>
      </rPr>
      <t>) buffer is from Liu et al. (2023)</t>
    </r>
    <phoneticPr fontId="2" type="noConversion"/>
  </si>
  <si>
    <t>Anhydrite exist or not</t>
    <phoneticPr fontId="2" type="noConversion"/>
  </si>
  <si>
    <t xml:space="preserve">Liu, Y., Chou, I. M., Chen, J., Wu, N., Li, W., Bagas, L., Ren, M., Liu, Z., Mei, S., and  Wang, L., 2023, Oldhamite: A new link in upper mantle for C-O-S-Ca cycles and an indicator for planetary habitability: National Science Review, v. 10, p. nwad159.     
</t>
    <phoneticPr fontId="2" type="noConversion"/>
  </si>
  <si>
    <t>P (MPa)</t>
    <phoneticPr fontId="2" type="noConversion"/>
  </si>
  <si>
    <t>Hollister et al., 1987</t>
    <phoneticPr fontId="2" type="noConversion"/>
  </si>
  <si>
    <t>Hollister, L. S., Grissom, G. C., Peters, E. K., Stowell, H. H., and  Sisson, V. B., 1987, Confirmation of the empirical correlation of Al in hornblende with pressure of solidification of calc-alkaline plutons: American Mineralogist, v. 72, p. 231–239.</t>
    <phoneticPr fontId="2" type="noConversion"/>
  </si>
  <si>
    <t>Liao et al., 2021</t>
    <phoneticPr fontId="2" type="noConversion"/>
  </si>
  <si>
    <t>Ridolfi, F., 2021, Amp-TB2: An Updated Model for Calcic Amphibole Thermobarometry: Minerals, v. 11, p. 324.</t>
    <phoneticPr fontId="2" type="noConversion"/>
  </si>
  <si>
    <t xml:space="preserve">Ridolfi, 2021 </t>
    <phoneticPr fontId="2" type="noConversion"/>
  </si>
  <si>
    <t>Average</t>
    <phoneticPr fontId="2" type="noConversion"/>
  </si>
  <si>
    <t>Liao, Y., Wei, C., and  Rehman, H. U., 2021, Titanium in calcium amphibole: Behavior and thermometry: American Mineralogist, v. 106, p. 180–191.</t>
    <phoneticPr fontId="2" type="noConversion"/>
  </si>
  <si>
    <t>DH0101</t>
    <phoneticPr fontId="2" type="noConversion"/>
  </si>
  <si>
    <t>DH0101</t>
    <phoneticPr fontId="2" type="noConversion"/>
  </si>
  <si>
    <r>
      <t>DH0101</t>
    </r>
    <r>
      <rPr>
        <sz val="9"/>
        <color theme="1"/>
        <rFont val="Times New Roman"/>
        <family val="2"/>
        <charset val="134"/>
      </rPr>
      <t/>
    </r>
  </si>
  <si>
    <t>A66</t>
    <phoneticPr fontId="43" type="noConversion"/>
  </si>
  <si>
    <r>
      <t>logfO</t>
    </r>
    <r>
      <rPr>
        <b/>
        <vertAlign val="subscript"/>
        <sz val="12"/>
        <rFont val="Arial"/>
        <family val="2"/>
      </rPr>
      <t>2</t>
    </r>
    <phoneticPr fontId="2" type="noConversion"/>
  </si>
  <si>
    <r>
      <t>Output (Ridolfi, 2021 and references therein</t>
    </r>
    <r>
      <rPr>
        <b/>
        <sz val="11"/>
        <rFont val="宋体"/>
        <family val="3"/>
        <charset val="134"/>
      </rPr>
      <t>）</t>
    </r>
    <phoneticPr fontId="2" type="noConversion"/>
  </si>
  <si>
    <t>Diamond-drillhole No.</t>
    <phoneticPr fontId="2" type="noConversion"/>
  </si>
  <si>
    <r>
      <t>Mg</t>
    </r>
    <r>
      <rPr>
        <b/>
        <vertAlign val="superscript"/>
        <sz val="12"/>
        <rFont val="Arial"/>
        <family val="2"/>
      </rPr>
      <t>#</t>
    </r>
    <phoneticPr fontId="2" type="noConversion"/>
  </si>
  <si>
    <r>
      <t>Al</t>
    </r>
    <r>
      <rPr>
        <b/>
        <vertAlign val="superscript"/>
        <sz val="12"/>
        <rFont val="Arial"/>
        <family val="2"/>
      </rPr>
      <t>#</t>
    </r>
    <phoneticPr fontId="2" type="noConversion"/>
  </si>
  <si>
    <r>
      <t>O’Neill, H. S., 1987, Free energies of formation of NiO, CoO, Ni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>SiO</t>
    </r>
    <r>
      <rPr>
        <vertAlign val="subscript"/>
        <sz val="11"/>
        <rFont val="Arial"/>
        <family val="2"/>
      </rPr>
      <t>4</t>
    </r>
    <r>
      <rPr>
        <sz val="11"/>
        <rFont val="Arial"/>
        <family val="2"/>
      </rPr>
      <t>, and Co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>SiO</t>
    </r>
    <r>
      <rPr>
        <vertAlign val="subscript"/>
        <sz val="11"/>
        <rFont val="Arial"/>
        <family val="2"/>
      </rPr>
      <t>4</t>
    </r>
    <r>
      <rPr>
        <sz val="11"/>
        <rFont val="Arial"/>
        <family val="2"/>
      </rPr>
      <t>: American Mineralogist, v. 72, p. 280–291</t>
    </r>
    <phoneticPr fontId="2" type="noConversion"/>
  </si>
  <si>
    <t>Supplementary Table 3. Temperature, pressure, and oxygen fugacity during amphibole crystallisation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</si>
</sst>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76" formatCode="0.000"/>
    <numFmt numFmtId="177" formatCode="###0"/>
    <numFmt numFmtId="178" formatCode="####.000"/>
    <numFmt numFmtId="179" formatCode="####.000000000000000"/>
    <numFmt numFmtId="180" formatCode="####.0000"/>
    <numFmt numFmtId="181" formatCode="0.000E+00"/>
    <numFmt numFmtId="182" formatCode="0.0"/>
    <numFmt numFmtId="183" formatCode="#,##0.0000"/>
    <numFmt numFmtId="184" formatCode="####.0000000"/>
    <numFmt numFmtId="185" formatCode="0.0_ "/>
    <numFmt numFmtId="186" formatCode="0_ "/>
    <numFmt numFmtId="187" formatCode="0.00_ "/>
  </numFmts>
  <fonts count="56" x14ac:knownFonts="1">
    <font>
      <sz val="10"/>
      <name val="Arial"/>
    </font>
    <font>
      <sz val="9"/>
      <color theme="1"/>
      <name val="Times New Roman"/>
      <family val="2"/>
      <charset val="134"/>
    </font>
    <font>
      <sz val="8"/>
      <name val="Arial"/>
      <family val="2"/>
    </font>
    <font>
      <b/>
      <sz val="10"/>
      <name val="Arial"/>
      <family val="2"/>
    </font>
    <font>
      <sz val="50"/>
      <name val="Times New Roman"/>
      <family val="1"/>
    </font>
    <font>
      <sz val="10"/>
      <name val="Times New Roman"/>
      <family val="1"/>
    </font>
    <font>
      <sz val="10"/>
      <color indexed="10"/>
      <name val="Times New Roman"/>
      <family val="1"/>
    </font>
    <font>
      <sz val="10"/>
      <color indexed="8"/>
      <name val="Courier New"/>
      <family val="3"/>
    </font>
    <font>
      <b/>
      <sz val="13"/>
      <color indexed="8"/>
      <name val="Arial Bold"/>
    </font>
    <font>
      <b/>
      <sz val="9"/>
      <color indexed="8"/>
      <name val="Arial Bold"/>
    </font>
    <font>
      <sz val="9"/>
      <color indexed="8"/>
      <name val="Arial"/>
      <family val="2"/>
    </font>
    <font>
      <vertAlign val="superscript"/>
      <sz val="9"/>
      <color indexed="8"/>
      <name val="Arial"/>
      <family val="2"/>
    </font>
    <font>
      <b/>
      <vertAlign val="superscript"/>
      <sz val="9"/>
      <color indexed="8"/>
      <name val="Arial Bold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Arial"/>
      <family val="2"/>
    </font>
    <font>
      <b/>
      <vertAlign val="subscript"/>
      <sz val="10"/>
      <name val="Times New Roman"/>
      <family val="1"/>
    </font>
    <font>
      <sz val="10"/>
      <name val="Arial"/>
      <family val="2"/>
    </font>
    <font>
      <b/>
      <sz val="12"/>
      <name val="Arial"/>
      <family val="2"/>
    </font>
    <font>
      <sz val="9"/>
      <color indexed="8"/>
      <name val="Arial"/>
      <family val="2"/>
    </font>
    <font>
      <sz val="16"/>
      <name val="Calibri"/>
      <family val="2"/>
    </font>
    <font>
      <sz val="13.6"/>
      <name val="Arial"/>
      <family val="2"/>
    </font>
    <font>
      <sz val="16"/>
      <name val="Arial"/>
      <family val="2"/>
    </font>
    <font>
      <vertAlign val="superscript"/>
      <sz val="9"/>
      <color indexed="8"/>
      <name val="Arial"/>
      <family val="2"/>
    </font>
    <font>
      <b/>
      <sz val="18"/>
      <name val="Arial"/>
      <family val="2"/>
    </font>
    <font>
      <b/>
      <vertAlign val="subscript"/>
      <sz val="12"/>
      <name val="Arial"/>
      <family val="2"/>
    </font>
    <font>
      <b/>
      <vertAlign val="superscript"/>
      <sz val="12"/>
      <name val="Arial"/>
      <family val="2"/>
    </font>
    <font>
      <b/>
      <sz val="14"/>
      <name val="Calibri"/>
      <family val="2"/>
    </font>
    <font>
      <sz val="10"/>
      <name val="Calibri"/>
      <family val="2"/>
    </font>
    <font>
      <sz val="12"/>
      <name val="Arial"/>
      <family val="2"/>
    </font>
    <font>
      <sz val="9"/>
      <color indexed="8"/>
      <name val="Arial"/>
      <family val="2"/>
    </font>
    <font>
      <b/>
      <sz val="10"/>
      <color rgb="FFFF0000"/>
      <name val="Courier New"/>
      <family val="3"/>
    </font>
    <font>
      <sz val="11"/>
      <color rgb="FF006100"/>
      <name val="宋体"/>
      <family val="2"/>
      <scheme val="minor"/>
    </font>
    <font>
      <sz val="10.3"/>
      <color rgb="FF000000"/>
      <name val="Times New Roman"/>
      <family val="1"/>
    </font>
    <font>
      <vertAlign val="superscript"/>
      <sz val="10.3"/>
      <color rgb="FF000000"/>
      <name val="Times New Roman"/>
      <family val="1"/>
    </font>
    <font>
      <sz val="9"/>
      <color indexed="8"/>
      <name val="Arial"/>
      <family val="2"/>
    </font>
    <font>
      <vertAlign val="superscript"/>
      <sz val="12"/>
      <name val="Arial"/>
      <family val="2"/>
    </font>
    <font>
      <b/>
      <sz val="14"/>
      <color rgb="FFFF0000"/>
      <name val="Arial"/>
      <family val="2"/>
    </font>
    <font>
      <i/>
      <sz val="10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b/>
      <vertAlign val="subscript"/>
      <sz val="11"/>
      <name val="Arial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等线"/>
      <family val="3"/>
      <charset val="134"/>
    </font>
    <font>
      <sz val="11"/>
      <color rgb="FFFF0000"/>
      <name val="宋体"/>
      <family val="2"/>
      <scheme val="minor"/>
    </font>
    <font>
      <b/>
      <sz val="11"/>
      <color rgb="FFFF0000"/>
      <name val="Arial"/>
      <family val="2"/>
    </font>
    <font>
      <b/>
      <vertAlign val="subscript"/>
      <sz val="11"/>
      <color rgb="FFFF0000"/>
      <name val="Arial"/>
      <family val="2"/>
    </font>
    <font>
      <b/>
      <sz val="11"/>
      <name val="宋体"/>
      <family val="3"/>
      <charset val="134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color rgb="FFFF0000"/>
      <name val="Arial"/>
      <family val="2"/>
    </font>
    <font>
      <vertAlign val="subscript"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C6EFCE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7" fillId="0" borderId="0"/>
    <xf numFmtId="0" fontId="32" fillId="7" borderId="0" applyNumberFormat="0" applyBorder="0" applyAlignment="0" applyProtection="0"/>
    <xf numFmtId="0" fontId="42" fillId="0" borderId="0"/>
    <xf numFmtId="0" fontId="14" fillId="0" borderId="0"/>
  </cellStyleXfs>
  <cellXfs count="450">
    <xf numFmtId="0" fontId="0" fillId="0" borderId="0" xfId="0"/>
    <xf numFmtId="1" fontId="0" fillId="0" borderId="0" xfId="0" applyNumberFormat="1"/>
    <xf numFmtId="0" fontId="0" fillId="2" borderId="0" xfId="0" applyFill="1"/>
    <xf numFmtId="0" fontId="4" fillId="3" borderId="0" xfId="0" applyFont="1" applyFill="1"/>
    <xf numFmtId="0" fontId="5" fillId="3" borderId="0" xfId="0" applyFont="1" applyFill="1"/>
    <xf numFmtId="0" fontId="6" fillId="0" borderId="1" xfId="0" applyFont="1" applyFill="1" applyBorder="1"/>
    <xf numFmtId="0" fontId="6" fillId="0" borderId="2" xfId="0" applyFont="1" applyFill="1" applyBorder="1"/>
    <xf numFmtId="0" fontId="6" fillId="0" borderId="3" xfId="0" applyFont="1" applyFill="1" applyBorder="1"/>
    <xf numFmtId="0" fontId="6" fillId="0" borderId="4" xfId="0" applyFont="1" applyFill="1" applyBorder="1"/>
    <xf numFmtId="0" fontId="6" fillId="0" borderId="0" xfId="0" applyFont="1" applyFill="1" applyBorder="1"/>
    <xf numFmtId="0" fontId="6" fillId="0" borderId="5" xfId="0" applyFont="1" applyFill="1" applyBorder="1"/>
    <xf numFmtId="0" fontId="10" fillId="0" borderId="7" xfId="0" applyFont="1" applyBorder="1" applyAlignment="1">
      <alignment horizontal="right" vertical="top"/>
    </xf>
    <xf numFmtId="0" fontId="10" fillId="0" borderId="8" xfId="0" applyFont="1" applyBorder="1" applyAlignment="1">
      <alignment vertical="top" wrapText="1"/>
    </xf>
    <xf numFmtId="0" fontId="10" fillId="0" borderId="9" xfId="0" applyFont="1" applyBorder="1" applyAlignment="1">
      <alignment horizontal="left" vertical="top" wrapText="1"/>
    </xf>
    <xf numFmtId="177" fontId="10" fillId="0" borderId="8" xfId="0" applyNumberFormat="1" applyFont="1" applyBorder="1" applyAlignment="1">
      <alignment horizontal="right" vertical="top"/>
    </xf>
    <xf numFmtId="0" fontId="10" fillId="0" borderId="8" xfId="0" applyFont="1" applyBorder="1" applyAlignment="1">
      <alignment horizontal="right" vertical="top" wrapText="1"/>
    </xf>
    <xf numFmtId="0" fontId="10" fillId="0" borderId="10" xfId="0" applyFont="1" applyBorder="1" applyAlignment="1">
      <alignment horizontal="left" vertical="top" wrapText="1"/>
    </xf>
    <xf numFmtId="0" fontId="10" fillId="0" borderId="11" xfId="0" applyFont="1" applyBorder="1" applyAlignment="1">
      <alignment vertical="top" wrapText="1"/>
    </xf>
    <xf numFmtId="0" fontId="10" fillId="0" borderId="12" xfId="0" applyFont="1" applyBorder="1" applyAlignment="1">
      <alignment horizontal="left" wrapText="1"/>
    </xf>
    <xf numFmtId="0" fontId="10" fillId="0" borderId="13" xfId="0" applyFont="1" applyBorder="1" applyAlignment="1">
      <alignment horizontal="center" wrapText="1"/>
    </xf>
    <xf numFmtId="0" fontId="10" fillId="0" borderId="14" xfId="0" applyFont="1" applyBorder="1" applyAlignment="1">
      <alignment horizontal="center" wrapText="1"/>
    </xf>
    <xf numFmtId="0" fontId="10" fillId="0" borderId="15" xfId="0" applyFont="1" applyBorder="1" applyAlignment="1">
      <alignment horizontal="center" wrapText="1"/>
    </xf>
    <xf numFmtId="0" fontId="10" fillId="0" borderId="12" xfId="0" applyFont="1" applyBorder="1" applyAlignment="1">
      <alignment horizontal="left" vertical="top" wrapText="1"/>
    </xf>
    <xf numFmtId="0" fontId="11" fillId="0" borderId="13" xfId="0" applyFont="1" applyBorder="1" applyAlignment="1">
      <alignment vertical="top" wrapText="1"/>
    </xf>
    <xf numFmtId="0" fontId="10" fillId="0" borderId="14" xfId="0" applyFont="1" applyBorder="1" applyAlignment="1">
      <alignment horizontal="right" vertical="top" wrapText="1"/>
    </xf>
    <xf numFmtId="0" fontId="10" fillId="0" borderId="15" xfId="0" applyFont="1" applyBorder="1" applyAlignment="1">
      <alignment vertical="top" wrapText="1"/>
    </xf>
    <xf numFmtId="178" fontId="11" fillId="0" borderId="13" xfId="0" applyNumberFormat="1" applyFont="1" applyBorder="1" applyAlignment="1">
      <alignment horizontal="right" vertical="top"/>
    </xf>
    <xf numFmtId="178" fontId="10" fillId="0" borderId="14" xfId="0" applyNumberFormat="1" applyFont="1" applyBorder="1" applyAlignment="1">
      <alignment horizontal="right" vertical="top"/>
    </xf>
    <xf numFmtId="0" fontId="10" fillId="0" borderId="17" xfId="0" applyFont="1" applyBorder="1" applyAlignment="1">
      <alignment horizontal="left" vertical="top" wrapText="1"/>
    </xf>
    <xf numFmtId="178" fontId="10" fillId="0" borderId="18" xfId="0" applyNumberFormat="1" applyFont="1" applyBorder="1" applyAlignment="1">
      <alignment horizontal="right" vertical="top"/>
    </xf>
    <xf numFmtId="177" fontId="10" fillId="0" borderId="19" xfId="0" applyNumberFormat="1" applyFont="1" applyBorder="1" applyAlignment="1">
      <alignment horizontal="right" vertical="top"/>
    </xf>
    <xf numFmtId="178" fontId="10" fillId="0" borderId="19" xfId="0" applyNumberFormat="1" applyFont="1" applyBorder="1" applyAlignment="1">
      <alignment horizontal="right" vertical="top"/>
    </xf>
    <xf numFmtId="178" fontId="11" fillId="0" borderId="20" xfId="0" applyNumberFormat="1" applyFont="1" applyBorder="1" applyAlignment="1">
      <alignment horizontal="right" vertical="top"/>
    </xf>
    <xf numFmtId="178" fontId="10" fillId="0" borderId="21" xfId="0" applyNumberFormat="1" applyFont="1" applyBorder="1" applyAlignment="1">
      <alignment horizontal="right" vertical="top"/>
    </xf>
    <xf numFmtId="177" fontId="10" fillId="0" borderId="22" xfId="0" applyNumberFormat="1" applyFont="1" applyBorder="1" applyAlignment="1">
      <alignment horizontal="right" vertical="top"/>
    </xf>
    <xf numFmtId="178" fontId="10" fillId="0" borderId="22" xfId="0" applyNumberFormat="1" applyFont="1" applyBorder="1" applyAlignment="1">
      <alignment horizontal="right" vertical="top"/>
    </xf>
    <xf numFmtId="0" fontId="0" fillId="0" borderId="22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178" fontId="10" fillId="0" borderId="24" xfId="0" applyNumberFormat="1" applyFont="1" applyBorder="1" applyAlignment="1">
      <alignment horizontal="right" vertical="top"/>
    </xf>
    <xf numFmtId="177" fontId="10" fillId="0" borderId="25" xfId="0" applyNumberFormat="1" applyFont="1" applyBorder="1" applyAlignment="1">
      <alignment horizontal="right" vertical="top"/>
    </xf>
    <xf numFmtId="0" fontId="0" fillId="0" borderId="25" xfId="0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wrapText="1"/>
    </xf>
    <xf numFmtId="0" fontId="10" fillId="0" borderId="28" xfId="0" applyFont="1" applyBorder="1" applyAlignment="1">
      <alignment horizontal="center" wrapText="1"/>
    </xf>
    <xf numFmtId="0" fontId="10" fillId="0" borderId="29" xfId="0" applyFont="1" applyBorder="1" applyAlignment="1">
      <alignment horizontal="center" wrapText="1"/>
    </xf>
    <xf numFmtId="0" fontId="0" fillId="0" borderId="19" xfId="0" applyFont="1" applyBorder="1" applyAlignment="1">
      <alignment horizontal="center" vertical="center"/>
    </xf>
    <xf numFmtId="178" fontId="10" fillId="0" borderId="20" xfId="0" applyNumberFormat="1" applyFont="1" applyBorder="1" applyAlignment="1">
      <alignment horizontal="right" vertical="top"/>
    </xf>
    <xf numFmtId="178" fontId="10" fillId="0" borderId="23" xfId="0" applyNumberFormat="1" applyFont="1" applyBorder="1" applyAlignment="1">
      <alignment horizontal="right" vertical="top"/>
    </xf>
    <xf numFmtId="178" fontId="10" fillId="0" borderId="25" xfId="0" applyNumberFormat="1" applyFont="1" applyBorder="1" applyAlignment="1">
      <alignment horizontal="right" vertical="top"/>
    </xf>
    <xf numFmtId="178" fontId="10" fillId="0" borderId="26" xfId="0" applyNumberFormat="1" applyFont="1" applyBorder="1" applyAlignment="1">
      <alignment horizontal="right" vertical="top"/>
    </xf>
    <xf numFmtId="178" fontId="10" fillId="0" borderId="15" xfId="0" applyNumberFormat="1" applyFont="1" applyBorder="1" applyAlignment="1">
      <alignment horizontal="right" vertical="top"/>
    </xf>
    <xf numFmtId="180" fontId="10" fillId="0" borderId="15" xfId="0" applyNumberFormat="1" applyFont="1" applyBorder="1" applyAlignment="1">
      <alignment horizontal="right" vertical="top"/>
    </xf>
    <xf numFmtId="179" fontId="10" fillId="0" borderId="15" xfId="0" applyNumberFormat="1" applyFont="1" applyBorder="1" applyAlignment="1">
      <alignment horizontal="right" vertical="top"/>
    </xf>
    <xf numFmtId="181" fontId="10" fillId="0" borderId="18" xfId="0" applyNumberFormat="1" applyFont="1" applyBorder="1" applyAlignment="1">
      <alignment horizontal="right" vertical="top"/>
    </xf>
    <xf numFmtId="181" fontId="10" fillId="0" borderId="19" xfId="0" applyNumberFormat="1" applyFont="1" applyBorder="1" applyAlignment="1">
      <alignment horizontal="right" vertical="top"/>
    </xf>
    <xf numFmtId="181" fontId="11" fillId="0" borderId="20" xfId="0" applyNumberFormat="1" applyFont="1" applyBorder="1" applyAlignment="1">
      <alignment horizontal="right" vertical="top"/>
    </xf>
    <xf numFmtId="181" fontId="10" fillId="0" borderId="24" xfId="0" applyNumberFormat="1" applyFont="1" applyBorder="1" applyAlignment="1">
      <alignment horizontal="right" vertical="top"/>
    </xf>
    <xf numFmtId="181" fontId="10" fillId="0" borderId="21" xfId="0" applyNumberFormat="1" applyFont="1" applyBorder="1" applyAlignment="1">
      <alignment horizontal="right" vertical="top"/>
    </xf>
    <xf numFmtId="0" fontId="14" fillId="0" borderId="0" xfId="0" applyFont="1"/>
    <xf numFmtId="0" fontId="5" fillId="4" borderId="1" xfId="0" applyFont="1" applyFill="1" applyBorder="1"/>
    <xf numFmtId="0" fontId="13" fillId="4" borderId="2" xfId="0" applyFont="1" applyFill="1" applyBorder="1" applyAlignment="1">
      <alignment horizontal="center"/>
    </xf>
    <xf numFmtId="0" fontId="13" fillId="4" borderId="2" xfId="0" applyFont="1" applyFill="1" applyBorder="1"/>
    <xf numFmtId="0" fontId="13" fillId="4" borderId="3" xfId="0" applyFont="1" applyFill="1" applyBorder="1"/>
    <xf numFmtId="0" fontId="13" fillId="4" borderId="4" xfId="0" applyFont="1" applyFill="1" applyBorder="1"/>
    <xf numFmtId="0" fontId="5" fillId="4" borderId="0" xfId="0" applyFont="1" applyFill="1" applyBorder="1" applyAlignment="1">
      <alignment horizontal="center"/>
    </xf>
    <xf numFmtId="0" fontId="5" fillId="4" borderId="0" xfId="0" applyFont="1" applyFill="1" applyBorder="1"/>
    <xf numFmtId="0" fontId="5" fillId="4" borderId="5" xfId="0" applyFont="1" applyFill="1" applyBorder="1"/>
    <xf numFmtId="0" fontId="5" fillId="4" borderId="4" xfId="0" applyFont="1" applyFill="1" applyBorder="1"/>
    <xf numFmtId="0" fontId="13" fillId="4" borderId="0" xfId="0" applyFont="1" applyFill="1" applyBorder="1" applyAlignment="1">
      <alignment horizontal="center"/>
    </xf>
    <xf numFmtId="183" fontId="0" fillId="0" borderId="0" xfId="0" applyNumberFormat="1"/>
    <xf numFmtId="0" fontId="13" fillId="4" borderId="31" xfId="0" applyFont="1" applyFill="1" applyBorder="1"/>
    <xf numFmtId="0" fontId="5" fillId="4" borderId="32" xfId="0" applyFont="1" applyFill="1" applyBorder="1" applyAlignment="1">
      <alignment horizontal="center"/>
    </xf>
    <xf numFmtId="0" fontId="5" fillId="4" borderId="32" xfId="0" applyFont="1" applyFill="1" applyBorder="1"/>
    <xf numFmtId="0" fontId="5" fillId="4" borderId="33" xfId="0" applyFont="1" applyFill="1" applyBorder="1"/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181" fontId="0" fillId="0" borderId="0" xfId="0" applyNumberFormat="1"/>
    <xf numFmtId="0" fontId="22" fillId="0" borderId="0" xfId="0" applyFont="1" applyFill="1"/>
    <xf numFmtId="0" fontId="19" fillId="0" borderId="12" xfId="0" applyFont="1" applyBorder="1" applyAlignment="1">
      <alignment horizontal="left" wrapText="1"/>
    </xf>
    <xf numFmtId="0" fontId="19" fillId="0" borderId="13" xfId="0" applyFont="1" applyBorder="1" applyAlignment="1">
      <alignment horizontal="center"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center" wrapText="1"/>
    </xf>
    <xf numFmtId="0" fontId="19" fillId="0" borderId="12" xfId="0" applyFont="1" applyBorder="1" applyAlignment="1">
      <alignment horizontal="left" vertical="top" wrapText="1"/>
    </xf>
    <xf numFmtId="0" fontId="19" fillId="0" borderId="13" xfId="0" applyFont="1" applyBorder="1" applyAlignment="1">
      <alignment vertical="top" wrapText="1"/>
    </xf>
    <xf numFmtId="0" fontId="19" fillId="0" borderId="14" xfId="0" applyFont="1" applyBorder="1" applyAlignment="1">
      <alignment horizontal="right" vertical="top" wrapText="1"/>
    </xf>
    <xf numFmtId="0" fontId="19" fillId="0" borderId="15" xfId="0" applyFont="1" applyBorder="1" applyAlignment="1">
      <alignment vertical="top" wrapText="1"/>
    </xf>
    <xf numFmtId="178" fontId="19" fillId="0" borderId="14" xfId="0" applyNumberFormat="1" applyFont="1" applyBorder="1" applyAlignment="1">
      <alignment horizontal="right" vertical="top"/>
    </xf>
    <xf numFmtId="0" fontId="19" fillId="0" borderId="17" xfId="0" applyFont="1" applyBorder="1" applyAlignment="1">
      <alignment horizontal="left" vertical="top" wrapText="1"/>
    </xf>
    <xf numFmtId="178" fontId="19" fillId="0" borderId="18" xfId="0" applyNumberFormat="1" applyFont="1" applyBorder="1" applyAlignment="1">
      <alignment horizontal="right" vertical="top"/>
    </xf>
    <xf numFmtId="177" fontId="19" fillId="0" borderId="19" xfId="0" applyNumberFormat="1" applyFont="1" applyBorder="1" applyAlignment="1">
      <alignment horizontal="right" vertical="top"/>
    </xf>
    <xf numFmtId="178" fontId="19" fillId="0" borderId="19" xfId="0" applyNumberFormat="1" applyFont="1" applyBorder="1" applyAlignment="1">
      <alignment horizontal="right" vertical="top"/>
    </xf>
    <xf numFmtId="0" fontId="19" fillId="0" borderId="9" xfId="0" applyFont="1" applyBorder="1" applyAlignment="1">
      <alignment horizontal="left" vertical="top" wrapText="1"/>
    </xf>
    <xf numFmtId="178" fontId="19" fillId="0" borderId="21" xfId="0" applyNumberFormat="1" applyFont="1" applyBorder="1" applyAlignment="1">
      <alignment horizontal="right" vertical="top"/>
    </xf>
    <xf numFmtId="177" fontId="19" fillId="0" borderId="22" xfId="0" applyNumberFormat="1" applyFont="1" applyBorder="1" applyAlignment="1">
      <alignment horizontal="right" vertical="top"/>
    </xf>
    <xf numFmtId="178" fontId="19" fillId="0" borderId="22" xfId="0" applyNumberFormat="1" applyFont="1" applyBorder="1" applyAlignment="1">
      <alignment horizontal="right" vertical="top"/>
    </xf>
    <xf numFmtId="0" fontId="19" fillId="0" borderId="10" xfId="0" applyFont="1" applyBorder="1" applyAlignment="1">
      <alignment horizontal="left" vertical="top" wrapText="1"/>
    </xf>
    <xf numFmtId="178" fontId="19" fillId="0" borderId="24" xfId="0" applyNumberFormat="1" applyFont="1" applyBorder="1" applyAlignment="1">
      <alignment horizontal="right" vertical="top"/>
    </xf>
    <xf numFmtId="177" fontId="19" fillId="0" borderId="25" xfId="0" applyNumberFormat="1" applyFont="1" applyBorder="1" applyAlignment="1">
      <alignment horizontal="right" vertical="top"/>
    </xf>
    <xf numFmtId="0" fontId="19" fillId="0" borderId="27" xfId="0" applyFont="1" applyBorder="1" applyAlignment="1">
      <alignment horizontal="center" wrapText="1"/>
    </xf>
    <xf numFmtId="0" fontId="19" fillId="0" borderId="28" xfId="0" applyFont="1" applyBorder="1" applyAlignment="1">
      <alignment horizontal="center" wrapText="1"/>
    </xf>
    <xf numFmtId="0" fontId="19" fillId="0" borderId="29" xfId="0" applyFont="1" applyBorder="1" applyAlignment="1">
      <alignment horizontal="center" wrapText="1"/>
    </xf>
    <xf numFmtId="178" fontId="19" fillId="0" borderId="20" xfId="0" applyNumberFormat="1" applyFont="1" applyBorder="1" applyAlignment="1">
      <alignment horizontal="right" vertical="top"/>
    </xf>
    <xf numFmtId="178" fontId="19" fillId="0" borderId="23" xfId="0" applyNumberFormat="1" applyFont="1" applyBorder="1" applyAlignment="1">
      <alignment horizontal="right" vertical="top"/>
    </xf>
    <xf numFmtId="178" fontId="19" fillId="0" borderId="25" xfId="0" applyNumberFormat="1" applyFont="1" applyBorder="1" applyAlignment="1">
      <alignment horizontal="right" vertical="top"/>
    </xf>
    <xf numFmtId="178" fontId="19" fillId="0" borderId="26" xfId="0" applyNumberFormat="1" applyFont="1" applyBorder="1" applyAlignment="1">
      <alignment horizontal="right" vertical="top"/>
    </xf>
    <xf numFmtId="178" fontId="19" fillId="0" borderId="15" xfId="0" applyNumberFormat="1" applyFont="1" applyBorder="1" applyAlignment="1">
      <alignment horizontal="right" vertical="top"/>
    </xf>
    <xf numFmtId="0" fontId="19" fillId="0" borderId="12" xfId="0" applyFont="1" applyBorder="1" applyAlignment="1">
      <alignment horizontal="left" wrapText="1"/>
    </xf>
    <xf numFmtId="0" fontId="19" fillId="0" borderId="14" xfId="0" applyFont="1" applyBorder="1" applyAlignment="1">
      <alignment horizontal="center" wrapText="1"/>
    </xf>
    <xf numFmtId="0" fontId="0" fillId="0" borderId="25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wrapText="1"/>
    </xf>
    <xf numFmtId="0" fontId="0" fillId="0" borderId="26" xfId="0" applyFont="1" applyBorder="1" applyAlignment="1">
      <alignment horizontal="center" vertical="center"/>
    </xf>
    <xf numFmtId="0" fontId="19" fillId="0" borderId="16" xfId="0" applyFont="1" applyBorder="1" applyAlignment="1">
      <alignment horizontal="left" vertical="top" wrapText="1"/>
    </xf>
    <xf numFmtId="0" fontId="19" fillId="0" borderId="7" xfId="0" applyFont="1" applyBorder="1" applyAlignment="1">
      <alignment horizontal="right" vertical="top"/>
    </xf>
    <xf numFmtId="0" fontId="19" fillId="0" borderId="8" xfId="0" applyFont="1" applyBorder="1" applyAlignment="1">
      <alignment vertical="top" wrapText="1"/>
    </xf>
    <xf numFmtId="177" fontId="19" fillId="0" borderId="8" xfId="0" applyNumberFormat="1" applyFont="1" applyBorder="1" applyAlignment="1">
      <alignment horizontal="right" vertical="top"/>
    </xf>
    <xf numFmtId="0" fontId="19" fillId="0" borderId="8" xfId="0" applyFont="1" applyBorder="1" applyAlignment="1">
      <alignment horizontal="right" vertical="top" wrapText="1"/>
    </xf>
    <xf numFmtId="0" fontId="19" fillId="0" borderId="11" xfId="0" applyFont="1" applyBorder="1" applyAlignment="1">
      <alignment vertical="top" wrapText="1"/>
    </xf>
    <xf numFmtId="0" fontId="23" fillId="0" borderId="13" xfId="0" applyFont="1" applyBorder="1" applyAlignment="1">
      <alignment vertical="top" wrapText="1"/>
    </xf>
    <xf numFmtId="178" fontId="23" fillId="0" borderId="13" xfId="0" applyNumberFormat="1" applyFont="1" applyBorder="1" applyAlignment="1">
      <alignment horizontal="right" vertical="top"/>
    </xf>
    <xf numFmtId="179" fontId="19" fillId="0" borderId="15" xfId="0" applyNumberFormat="1" applyFont="1" applyBorder="1" applyAlignment="1">
      <alignment horizontal="right" vertical="top"/>
    </xf>
    <xf numFmtId="178" fontId="23" fillId="0" borderId="20" xfId="0" applyNumberFormat="1" applyFont="1" applyBorder="1" applyAlignment="1">
      <alignment horizontal="right" vertical="top"/>
    </xf>
    <xf numFmtId="181" fontId="19" fillId="0" borderId="18" xfId="0" applyNumberFormat="1" applyFont="1" applyBorder="1" applyAlignment="1">
      <alignment horizontal="right" vertical="top"/>
    </xf>
    <xf numFmtId="181" fontId="19" fillId="0" borderId="19" xfId="0" applyNumberFormat="1" applyFont="1" applyBorder="1" applyAlignment="1">
      <alignment horizontal="right" vertical="top"/>
    </xf>
    <xf numFmtId="181" fontId="19" fillId="0" borderId="21" xfId="0" applyNumberFormat="1" applyFont="1" applyBorder="1" applyAlignment="1">
      <alignment horizontal="right" vertical="top"/>
    </xf>
    <xf numFmtId="181" fontId="19" fillId="0" borderId="22" xfId="0" applyNumberFormat="1" applyFont="1" applyBorder="1" applyAlignment="1">
      <alignment horizontal="right" vertical="top"/>
    </xf>
    <xf numFmtId="181" fontId="19" fillId="0" borderId="24" xfId="0" applyNumberFormat="1" applyFont="1" applyBorder="1" applyAlignment="1">
      <alignment horizontal="right" vertical="top"/>
    </xf>
    <xf numFmtId="181" fontId="19" fillId="0" borderId="25" xfId="0" applyNumberFormat="1" applyFont="1" applyBorder="1" applyAlignment="1">
      <alignment horizontal="right" vertical="top"/>
    </xf>
    <xf numFmtId="0" fontId="19" fillId="0" borderId="43" xfId="0" applyFont="1" applyBorder="1" applyAlignment="1">
      <alignment horizontal="center" wrapText="1"/>
    </xf>
    <xf numFmtId="0" fontId="19" fillId="0" borderId="44" xfId="0" applyFont="1" applyBorder="1" applyAlignment="1">
      <alignment horizontal="center" wrapText="1"/>
    </xf>
    <xf numFmtId="0" fontId="19" fillId="0" borderId="30" xfId="0" applyFont="1" applyBorder="1" applyAlignment="1">
      <alignment horizontal="left" vertical="top" wrapText="1"/>
    </xf>
    <xf numFmtId="180" fontId="19" fillId="0" borderId="14" xfId="0" applyNumberFormat="1" applyFont="1" applyBorder="1" applyAlignment="1">
      <alignment horizontal="right" vertical="top"/>
    </xf>
    <xf numFmtId="180" fontId="19" fillId="0" borderId="15" xfId="0" applyNumberFormat="1" applyFont="1" applyBorder="1" applyAlignment="1">
      <alignment horizontal="right" vertical="top"/>
    </xf>
    <xf numFmtId="180" fontId="19" fillId="0" borderId="0" xfId="0" applyNumberFormat="1" applyFont="1" applyBorder="1" applyAlignment="1">
      <alignment horizontal="right" vertical="top"/>
    </xf>
    <xf numFmtId="178" fontId="23" fillId="0" borderId="18" xfId="0" applyNumberFormat="1" applyFont="1" applyBorder="1" applyAlignment="1">
      <alignment horizontal="right" vertical="top"/>
    </xf>
    <xf numFmtId="178" fontId="23" fillId="0" borderId="24" xfId="0" applyNumberFormat="1" applyFont="1" applyBorder="1" applyAlignment="1">
      <alignment horizontal="right" vertical="top"/>
    </xf>
    <xf numFmtId="184" fontId="19" fillId="0" borderId="15" xfId="0" applyNumberFormat="1" applyFont="1" applyBorder="1" applyAlignment="1">
      <alignment horizontal="right" vertical="top"/>
    </xf>
    <xf numFmtId="0" fontId="18" fillId="0" borderId="0" xfId="0" applyFont="1" applyFill="1" applyAlignment="1">
      <alignment horizontal="center"/>
    </xf>
    <xf numFmtId="0" fontId="14" fillId="6" borderId="0" xfId="0" applyFont="1" applyFill="1" applyAlignment="1">
      <alignment horizontal="center"/>
    </xf>
    <xf numFmtId="0" fontId="18" fillId="6" borderId="34" xfId="0" applyFont="1" applyFill="1" applyBorder="1" applyAlignment="1">
      <alignment horizontal="center"/>
    </xf>
    <xf numFmtId="0" fontId="18" fillId="6" borderId="6" xfId="0" applyFont="1" applyFill="1" applyBorder="1" applyAlignment="1">
      <alignment horizontal="center"/>
    </xf>
    <xf numFmtId="1" fontId="14" fillId="0" borderId="0" xfId="0" applyNumberFormat="1" applyFont="1"/>
    <xf numFmtId="0" fontId="10" fillId="0" borderId="12" xfId="0" applyFont="1" applyBorder="1" applyAlignment="1">
      <alignment horizontal="left" wrapText="1"/>
    </xf>
    <xf numFmtId="0" fontId="10" fillId="0" borderId="14" xfId="0" applyFont="1" applyBorder="1" applyAlignment="1">
      <alignment horizontal="center" wrapText="1"/>
    </xf>
    <xf numFmtId="0" fontId="10" fillId="0" borderId="15" xfId="0" applyFont="1" applyBorder="1" applyAlignment="1">
      <alignment horizontal="center" wrapText="1"/>
    </xf>
    <xf numFmtId="0" fontId="7" fillId="0" borderId="0" xfId="0" applyFont="1" applyBorder="1" applyAlignment="1"/>
    <xf numFmtId="0" fontId="10" fillId="0" borderId="13" xfId="0" applyFont="1" applyBorder="1" applyAlignment="1">
      <alignment vertical="top" wrapText="1"/>
    </xf>
    <xf numFmtId="0" fontId="10" fillId="0" borderId="13" xfId="0" applyFont="1" applyBorder="1" applyAlignment="1">
      <alignment horizontal="right" vertical="top"/>
    </xf>
    <xf numFmtId="184" fontId="10" fillId="0" borderId="15" xfId="0" applyNumberFormat="1" applyFont="1" applyBorder="1" applyAlignment="1">
      <alignment horizontal="right" vertical="top"/>
    </xf>
    <xf numFmtId="0" fontId="10" fillId="0" borderId="20" xfId="0" applyFont="1" applyBorder="1" applyAlignment="1">
      <alignment horizontal="right" vertical="top"/>
    </xf>
    <xf numFmtId="0" fontId="10" fillId="0" borderId="12" xfId="0" applyFont="1" applyBorder="1" applyAlignment="1">
      <alignment horizontal="left" wrapText="1"/>
    </xf>
    <xf numFmtId="0" fontId="10" fillId="0" borderId="14" xfId="0" applyFont="1" applyBorder="1" applyAlignment="1">
      <alignment horizontal="center" wrapText="1"/>
    </xf>
    <xf numFmtId="0" fontId="10" fillId="0" borderId="15" xfId="0" applyFont="1" applyBorder="1" applyAlignment="1">
      <alignment horizontal="center" wrapText="1"/>
    </xf>
    <xf numFmtId="0" fontId="30" fillId="0" borderId="12" xfId="0" applyFont="1" applyBorder="1" applyAlignment="1">
      <alignment horizontal="left" wrapText="1"/>
    </xf>
    <xf numFmtId="0" fontId="30" fillId="0" borderId="13" xfId="0" applyFont="1" applyBorder="1" applyAlignment="1">
      <alignment horizontal="center" wrapText="1"/>
    </xf>
    <xf numFmtId="0" fontId="30" fillId="0" borderId="14" xfId="0" applyFont="1" applyBorder="1" applyAlignment="1">
      <alignment horizontal="center" wrapText="1"/>
    </xf>
    <xf numFmtId="0" fontId="30" fillId="0" borderId="15" xfId="0" applyFont="1" applyBorder="1" applyAlignment="1">
      <alignment horizontal="center" wrapText="1"/>
    </xf>
    <xf numFmtId="0" fontId="30" fillId="0" borderId="12" xfId="0" applyFont="1" applyBorder="1" applyAlignment="1">
      <alignment horizontal="left" vertical="top" wrapText="1"/>
    </xf>
    <xf numFmtId="0" fontId="30" fillId="0" borderId="13" xfId="0" applyFont="1" applyBorder="1" applyAlignment="1">
      <alignment vertical="top" wrapText="1"/>
    </xf>
    <xf numFmtId="0" fontId="30" fillId="0" borderId="14" xfId="0" applyFont="1" applyBorder="1" applyAlignment="1">
      <alignment horizontal="right" vertical="top" wrapText="1"/>
    </xf>
    <xf numFmtId="0" fontId="30" fillId="0" borderId="15" xfId="0" applyFont="1" applyBorder="1" applyAlignment="1">
      <alignment vertical="top" wrapText="1"/>
    </xf>
    <xf numFmtId="0" fontId="30" fillId="0" borderId="13" xfId="0" applyFont="1" applyBorder="1" applyAlignment="1">
      <alignment horizontal="right" vertical="top"/>
    </xf>
    <xf numFmtId="178" fontId="30" fillId="0" borderId="14" xfId="0" applyNumberFormat="1" applyFont="1" applyBorder="1" applyAlignment="1">
      <alignment horizontal="right" vertical="top"/>
    </xf>
    <xf numFmtId="184" fontId="30" fillId="0" borderId="15" xfId="0" applyNumberFormat="1" applyFont="1" applyBorder="1" applyAlignment="1">
      <alignment horizontal="right" vertical="top"/>
    </xf>
    <xf numFmtId="0" fontId="30" fillId="0" borderId="17" xfId="0" applyFont="1" applyBorder="1" applyAlignment="1">
      <alignment horizontal="left" vertical="top" wrapText="1"/>
    </xf>
    <xf numFmtId="178" fontId="30" fillId="0" borderId="18" xfId="0" applyNumberFormat="1" applyFont="1" applyBorder="1" applyAlignment="1">
      <alignment horizontal="right" vertical="top"/>
    </xf>
    <xf numFmtId="177" fontId="30" fillId="0" borderId="19" xfId="0" applyNumberFormat="1" applyFont="1" applyBorder="1" applyAlignment="1">
      <alignment horizontal="right" vertical="top"/>
    </xf>
    <xf numFmtId="178" fontId="30" fillId="0" borderId="19" xfId="0" applyNumberFormat="1" applyFont="1" applyBorder="1" applyAlignment="1">
      <alignment horizontal="right" vertical="top"/>
    </xf>
    <xf numFmtId="0" fontId="30" fillId="0" borderId="20" xfId="0" applyFont="1" applyBorder="1" applyAlignment="1">
      <alignment horizontal="right" vertical="top"/>
    </xf>
    <xf numFmtId="0" fontId="30" fillId="0" borderId="9" xfId="0" applyFont="1" applyBorder="1" applyAlignment="1">
      <alignment horizontal="left" vertical="top" wrapText="1"/>
    </xf>
    <xf numFmtId="178" fontId="30" fillId="0" borderId="21" xfId="0" applyNumberFormat="1" applyFont="1" applyBorder="1" applyAlignment="1">
      <alignment horizontal="right" vertical="top"/>
    </xf>
    <xf numFmtId="177" fontId="30" fillId="0" borderId="22" xfId="0" applyNumberFormat="1" applyFont="1" applyBorder="1" applyAlignment="1">
      <alignment horizontal="right" vertical="top"/>
    </xf>
    <xf numFmtId="178" fontId="30" fillId="0" borderId="22" xfId="0" applyNumberFormat="1" applyFont="1" applyBorder="1" applyAlignment="1">
      <alignment horizontal="right" vertical="top"/>
    </xf>
    <xf numFmtId="0" fontId="30" fillId="0" borderId="10" xfId="0" applyFont="1" applyBorder="1" applyAlignment="1">
      <alignment horizontal="left" vertical="top" wrapText="1"/>
    </xf>
    <xf numFmtId="178" fontId="30" fillId="0" borderId="24" xfId="0" applyNumberFormat="1" applyFont="1" applyBorder="1" applyAlignment="1">
      <alignment horizontal="right" vertical="top"/>
    </xf>
    <xf numFmtId="177" fontId="30" fillId="0" borderId="25" xfId="0" applyNumberFormat="1" applyFont="1" applyBorder="1" applyAlignment="1">
      <alignment horizontal="right" vertical="top"/>
    </xf>
    <xf numFmtId="0" fontId="30" fillId="0" borderId="27" xfId="0" applyFont="1" applyBorder="1" applyAlignment="1">
      <alignment horizontal="center" wrapText="1"/>
    </xf>
    <xf numFmtId="0" fontId="30" fillId="0" borderId="28" xfId="0" applyFont="1" applyBorder="1" applyAlignment="1">
      <alignment horizontal="center" wrapText="1"/>
    </xf>
    <xf numFmtId="0" fontId="30" fillId="0" borderId="29" xfId="0" applyFont="1" applyBorder="1" applyAlignment="1">
      <alignment horizontal="center" wrapText="1"/>
    </xf>
    <xf numFmtId="178" fontId="30" fillId="0" borderId="20" xfId="0" applyNumberFormat="1" applyFont="1" applyBorder="1" applyAlignment="1">
      <alignment horizontal="right" vertical="top"/>
    </xf>
    <xf numFmtId="178" fontId="30" fillId="0" borderId="23" xfId="0" applyNumberFormat="1" applyFont="1" applyBorder="1" applyAlignment="1">
      <alignment horizontal="right" vertical="top"/>
    </xf>
    <xf numFmtId="178" fontId="30" fillId="0" borderId="25" xfId="0" applyNumberFormat="1" applyFont="1" applyBorder="1" applyAlignment="1">
      <alignment horizontal="right" vertical="top"/>
    </xf>
    <xf numFmtId="178" fontId="30" fillId="0" borderId="26" xfId="0" applyNumberFormat="1" applyFont="1" applyBorder="1" applyAlignment="1">
      <alignment horizontal="right" vertical="top"/>
    </xf>
    <xf numFmtId="0" fontId="31" fillId="0" borderId="0" xfId="0" applyFont="1" applyBorder="1" applyAlignment="1"/>
    <xf numFmtId="0" fontId="10" fillId="0" borderId="12" xfId="0" applyFont="1" applyBorder="1" applyAlignment="1">
      <alignment horizontal="left" wrapText="1"/>
    </xf>
    <xf numFmtId="0" fontId="10" fillId="0" borderId="14" xfId="0" applyFont="1" applyBorder="1" applyAlignment="1">
      <alignment horizontal="center" wrapText="1"/>
    </xf>
    <xf numFmtId="0" fontId="10" fillId="0" borderId="15" xfId="0" applyFont="1" applyBorder="1" applyAlignment="1">
      <alignment horizontal="center" wrapText="1"/>
    </xf>
    <xf numFmtId="0" fontId="0" fillId="5" borderId="0" xfId="0" applyFill="1"/>
    <xf numFmtId="0" fontId="10" fillId="0" borderId="12" xfId="0" applyFont="1" applyBorder="1" applyAlignment="1">
      <alignment horizontal="left" wrapText="1"/>
    </xf>
    <xf numFmtId="0" fontId="10" fillId="0" borderId="14" xfId="0" applyFont="1" applyBorder="1" applyAlignment="1">
      <alignment horizontal="center" wrapText="1"/>
    </xf>
    <xf numFmtId="0" fontId="10" fillId="0" borderId="15" xfId="0" applyFont="1" applyBorder="1" applyAlignment="1">
      <alignment horizontal="center" wrapText="1"/>
    </xf>
    <xf numFmtId="0" fontId="33" fillId="0" borderId="0" xfId="0" applyFont="1" applyAlignment="1">
      <alignment horizontal="center" vertical="center" readingOrder="1"/>
    </xf>
    <xf numFmtId="0" fontId="33" fillId="0" borderId="0" xfId="0" applyFont="1" applyAlignment="1">
      <alignment horizontal="left" vertical="center" readingOrder="1"/>
    </xf>
    <xf numFmtId="0" fontId="10" fillId="0" borderId="12" xfId="0" applyFont="1" applyBorder="1" applyAlignment="1">
      <alignment horizontal="left" wrapText="1"/>
    </xf>
    <xf numFmtId="0" fontId="10" fillId="0" borderId="14" xfId="0" applyFont="1" applyBorder="1" applyAlignment="1">
      <alignment horizontal="center" wrapText="1"/>
    </xf>
    <xf numFmtId="0" fontId="10" fillId="0" borderId="15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35" fillId="0" borderId="12" xfId="0" applyFont="1" applyBorder="1" applyAlignment="1">
      <alignment horizontal="left" wrapText="1"/>
    </xf>
    <xf numFmtId="0" fontId="35" fillId="0" borderId="13" xfId="0" applyFont="1" applyBorder="1" applyAlignment="1">
      <alignment horizontal="center" wrapText="1"/>
    </xf>
    <xf numFmtId="0" fontId="35" fillId="0" borderId="14" xfId="0" applyFont="1" applyBorder="1" applyAlignment="1">
      <alignment horizontal="center" wrapText="1"/>
    </xf>
    <xf numFmtId="0" fontId="35" fillId="0" borderId="15" xfId="0" applyFont="1" applyBorder="1" applyAlignment="1">
      <alignment horizontal="center" wrapText="1"/>
    </xf>
    <xf numFmtId="0" fontId="35" fillId="0" borderId="12" xfId="0" applyFont="1" applyBorder="1" applyAlignment="1">
      <alignment horizontal="left" vertical="top" wrapText="1"/>
    </xf>
    <xf numFmtId="0" fontId="35" fillId="0" borderId="13" xfId="0" applyFont="1" applyBorder="1" applyAlignment="1">
      <alignment horizontal="right" vertical="top"/>
    </xf>
    <xf numFmtId="178" fontId="35" fillId="0" borderId="14" xfId="0" applyNumberFormat="1" applyFont="1" applyBorder="1" applyAlignment="1">
      <alignment horizontal="right" vertical="top"/>
    </xf>
    <xf numFmtId="178" fontId="35" fillId="0" borderId="15" xfId="0" applyNumberFormat="1" applyFont="1" applyBorder="1" applyAlignment="1">
      <alignment horizontal="right" vertical="top"/>
    </xf>
    <xf numFmtId="0" fontId="35" fillId="0" borderId="17" xfId="0" applyFont="1" applyBorder="1" applyAlignment="1">
      <alignment horizontal="left" vertical="top" wrapText="1"/>
    </xf>
    <xf numFmtId="178" fontId="35" fillId="0" borderId="18" xfId="0" applyNumberFormat="1" applyFont="1" applyBorder="1" applyAlignment="1">
      <alignment horizontal="right" vertical="top"/>
    </xf>
    <xf numFmtId="177" fontId="35" fillId="0" borderId="19" xfId="0" applyNumberFormat="1" applyFont="1" applyBorder="1" applyAlignment="1">
      <alignment horizontal="right" vertical="top"/>
    </xf>
    <xf numFmtId="178" fontId="35" fillId="0" borderId="19" xfId="0" applyNumberFormat="1" applyFont="1" applyBorder="1" applyAlignment="1">
      <alignment horizontal="right" vertical="top"/>
    </xf>
    <xf numFmtId="0" fontId="35" fillId="0" borderId="20" xfId="0" applyFont="1" applyBorder="1" applyAlignment="1">
      <alignment horizontal="right" vertical="top"/>
    </xf>
    <xf numFmtId="0" fontId="35" fillId="0" borderId="9" xfId="0" applyFont="1" applyBorder="1" applyAlignment="1">
      <alignment horizontal="left" vertical="top" wrapText="1"/>
    </xf>
    <xf numFmtId="178" fontId="35" fillId="0" borderId="21" xfId="0" applyNumberFormat="1" applyFont="1" applyBorder="1" applyAlignment="1">
      <alignment horizontal="right" vertical="top"/>
    </xf>
    <xf numFmtId="177" fontId="35" fillId="0" borderId="22" xfId="0" applyNumberFormat="1" applyFont="1" applyBorder="1" applyAlignment="1">
      <alignment horizontal="right" vertical="top"/>
    </xf>
    <xf numFmtId="178" fontId="35" fillId="0" borderId="22" xfId="0" applyNumberFormat="1" applyFont="1" applyBorder="1" applyAlignment="1">
      <alignment horizontal="right" vertical="top"/>
    </xf>
    <xf numFmtId="0" fontId="35" fillId="0" borderId="10" xfId="0" applyFont="1" applyBorder="1" applyAlignment="1">
      <alignment horizontal="left" vertical="top" wrapText="1"/>
    </xf>
    <xf numFmtId="178" fontId="35" fillId="0" borderId="24" xfId="0" applyNumberFormat="1" applyFont="1" applyBorder="1" applyAlignment="1">
      <alignment horizontal="right" vertical="top"/>
    </xf>
    <xf numFmtId="177" fontId="35" fillId="0" borderId="25" xfId="0" applyNumberFormat="1" applyFont="1" applyBorder="1" applyAlignment="1">
      <alignment horizontal="right" vertical="top"/>
    </xf>
    <xf numFmtId="0" fontId="35" fillId="0" borderId="27" xfId="0" applyFont="1" applyBorder="1" applyAlignment="1">
      <alignment horizontal="center" wrapText="1"/>
    </xf>
    <xf numFmtId="0" fontId="35" fillId="0" borderId="28" xfId="0" applyFont="1" applyBorder="1" applyAlignment="1">
      <alignment horizontal="center" wrapText="1"/>
    </xf>
    <xf numFmtId="0" fontId="35" fillId="0" borderId="29" xfId="0" applyFont="1" applyBorder="1" applyAlignment="1">
      <alignment horizontal="center" wrapText="1"/>
    </xf>
    <xf numFmtId="178" fontId="35" fillId="0" borderId="20" xfId="0" applyNumberFormat="1" applyFont="1" applyBorder="1" applyAlignment="1">
      <alignment horizontal="right" vertical="top"/>
    </xf>
    <xf numFmtId="178" fontId="35" fillId="0" borderId="23" xfId="0" applyNumberFormat="1" applyFont="1" applyBorder="1" applyAlignment="1">
      <alignment horizontal="right" vertical="top"/>
    </xf>
    <xf numFmtId="178" fontId="35" fillId="0" borderId="25" xfId="0" applyNumberFormat="1" applyFont="1" applyBorder="1" applyAlignment="1">
      <alignment horizontal="right" vertical="top"/>
    </xf>
    <xf numFmtId="178" fontId="35" fillId="0" borderId="26" xfId="0" applyNumberFormat="1" applyFont="1" applyBorder="1" applyAlignment="1">
      <alignment horizontal="right" vertical="top"/>
    </xf>
    <xf numFmtId="0" fontId="0" fillId="0" borderId="0" xfId="0" applyAlignment="1">
      <alignment horizontal="center" vertical="center"/>
    </xf>
    <xf numFmtId="0" fontId="14" fillId="6" borderId="45" xfId="0" applyFont="1" applyFill="1" applyBorder="1" applyAlignment="1">
      <alignment horizontal="center"/>
    </xf>
    <xf numFmtId="0" fontId="0" fillId="0" borderId="0" xfId="0" applyFill="1"/>
    <xf numFmtId="0" fontId="14" fillId="9" borderId="0" xfId="0" applyFont="1" applyFill="1" applyAlignment="1">
      <alignment horizontal="right"/>
    </xf>
    <xf numFmtId="0" fontId="18" fillId="9" borderId="0" xfId="0" applyFont="1" applyFill="1" applyAlignment="1">
      <alignment horizontal="right"/>
    </xf>
    <xf numFmtId="0" fontId="3" fillId="9" borderId="0" xfId="0" applyFont="1" applyFill="1" applyAlignment="1"/>
    <xf numFmtId="0" fontId="14" fillId="9" borderId="0" xfId="0" applyFont="1" applyFill="1" applyBorder="1" applyAlignment="1">
      <alignment horizontal="right"/>
    </xf>
    <xf numFmtId="0" fontId="15" fillId="8" borderId="0" xfId="0" applyFont="1" applyFill="1" applyAlignment="1">
      <alignment horizontal="left"/>
    </xf>
    <xf numFmtId="0" fontId="18" fillId="8" borderId="34" xfId="0" applyFont="1" applyFill="1" applyBorder="1" applyAlignment="1">
      <alignment horizontal="center"/>
    </xf>
    <xf numFmtId="0" fontId="18" fillId="8" borderId="6" xfId="0" applyFont="1" applyFill="1" applyBorder="1" applyAlignment="1">
      <alignment horizontal="center"/>
    </xf>
    <xf numFmtId="0" fontId="18" fillId="8" borderId="45" xfId="0" applyFont="1" applyFill="1" applyBorder="1" applyAlignment="1">
      <alignment horizontal="center"/>
    </xf>
    <xf numFmtId="0" fontId="18" fillId="8" borderId="0" xfId="0" applyFont="1" applyFill="1" applyAlignment="1">
      <alignment horizontal="center"/>
    </xf>
    <xf numFmtId="1" fontId="18" fillId="8" borderId="6" xfId="0" applyNumberFormat="1" applyFont="1" applyFill="1" applyBorder="1" applyAlignment="1">
      <alignment horizontal="center"/>
    </xf>
    <xf numFmtId="0" fontId="29" fillId="8" borderId="6" xfId="0" applyFont="1" applyFill="1" applyBorder="1" applyAlignment="1">
      <alignment horizontal="center"/>
    </xf>
    <xf numFmtId="182" fontId="29" fillId="8" borderId="6" xfId="0" applyNumberFormat="1" applyFont="1" applyFill="1" applyBorder="1" applyAlignment="1">
      <alignment horizontal="center"/>
    </xf>
    <xf numFmtId="0" fontId="29" fillId="8" borderId="0" xfId="0" applyFont="1" applyFill="1" applyBorder="1" applyAlignment="1">
      <alignment horizontal="center"/>
    </xf>
    <xf numFmtId="0" fontId="14" fillId="8" borderId="45" xfId="0" applyFont="1" applyFill="1" applyBorder="1"/>
    <xf numFmtId="0" fontId="14" fillId="8" borderId="0" xfId="0" applyFont="1" applyFill="1"/>
    <xf numFmtId="0" fontId="14" fillId="8" borderId="0" xfId="0" applyFont="1" applyFill="1" applyBorder="1"/>
    <xf numFmtId="0" fontId="3" fillId="8" borderId="45" xfId="0" applyFont="1" applyFill="1" applyBorder="1"/>
    <xf numFmtId="0" fontId="3" fillId="8" borderId="0" xfId="0" applyFont="1" applyFill="1"/>
    <xf numFmtId="0" fontId="3" fillId="8" borderId="0" xfId="0" applyFont="1" applyFill="1" applyBorder="1"/>
    <xf numFmtId="0" fontId="24" fillId="9" borderId="6" xfId="0" applyFont="1" applyFill="1" applyBorder="1" applyAlignment="1">
      <alignment horizontal="left"/>
    </xf>
    <xf numFmtId="0" fontId="15" fillId="8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14" fillId="0" borderId="0" xfId="0" applyFont="1" applyFill="1" applyBorder="1" applyAlignment="1">
      <alignment horizontal="left"/>
    </xf>
    <xf numFmtId="0" fontId="15" fillId="9" borderId="0" xfId="0" applyFont="1" applyFill="1" applyAlignment="1">
      <alignment horizontal="right"/>
    </xf>
    <xf numFmtId="0" fontId="37" fillId="8" borderId="45" xfId="0" applyFont="1" applyFill="1" applyBorder="1" applyAlignment="1">
      <alignment horizontal="left"/>
    </xf>
    <xf numFmtId="0" fontId="15" fillId="0" borderId="0" xfId="0" applyFont="1" applyFill="1" applyAlignment="1">
      <alignment horizontal="left"/>
    </xf>
    <xf numFmtId="0" fontId="37" fillId="8" borderId="46" xfId="0" applyFont="1" applyFill="1" applyBorder="1" applyAlignment="1">
      <alignment horizontal="left"/>
    </xf>
    <xf numFmtId="0" fontId="15" fillId="8" borderId="47" xfId="0" applyFont="1" applyFill="1" applyBorder="1" applyAlignment="1">
      <alignment horizontal="left"/>
    </xf>
    <xf numFmtId="0" fontId="38" fillId="0" borderId="49" xfId="0" applyFont="1" applyFill="1" applyBorder="1" applyAlignment="1">
      <alignment horizontal="centerContinuous"/>
    </xf>
    <xf numFmtId="0" fontId="0" fillId="0" borderId="0" xfId="0" applyFill="1" applyBorder="1" applyAlignment="1"/>
    <xf numFmtId="0" fontId="0" fillId="0" borderId="32" xfId="0" applyFill="1" applyBorder="1" applyAlignment="1"/>
    <xf numFmtId="0" fontId="38" fillId="0" borderId="49" xfId="0" applyFont="1" applyFill="1" applyBorder="1" applyAlignment="1">
      <alignment horizontal="center"/>
    </xf>
    <xf numFmtId="0" fontId="37" fillId="8" borderId="0" xfId="0" applyFont="1" applyFill="1" applyBorder="1" applyAlignment="1">
      <alignment horizontal="left"/>
    </xf>
    <xf numFmtId="0" fontId="39" fillId="8" borderId="34" xfId="0" applyFont="1" applyFill="1" applyBorder="1" applyAlignment="1">
      <alignment horizontal="center"/>
    </xf>
    <xf numFmtId="0" fontId="39" fillId="8" borderId="6" xfId="0" applyFont="1" applyFill="1" applyBorder="1" applyAlignment="1">
      <alignment horizontal="center"/>
    </xf>
    <xf numFmtId="0" fontId="44" fillId="0" borderId="0" xfId="0" applyFont="1" applyAlignment="1"/>
    <xf numFmtId="0" fontId="0" fillId="0" borderId="0" xfId="0" applyAlignment="1"/>
    <xf numFmtId="0" fontId="47" fillId="0" borderId="0" xfId="0" applyFont="1" applyAlignment="1"/>
    <xf numFmtId="182" fontId="39" fillId="8" borderId="45" xfId="0" applyNumberFormat="1" applyFont="1" applyFill="1" applyBorder="1" applyAlignment="1">
      <alignment horizontal="center"/>
    </xf>
    <xf numFmtId="182" fontId="39" fillId="8" borderId="0" xfId="0" applyNumberFormat="1" applyFont="1" applyFill="1" applyAlignment="1">
      <alignment horizontal="center"/>
    </xf>
    <xf numFmtId="182" fontId="39" fillId="8" borderId="0" xfId="0" applyNumberFormat="1" applyFont="1" applyFill="1" applyBorder="1" applyAlignment="1">
      <alignment horizontal="center" vertical="top" wrapText="1"/>
    </xf>
    <xf numFmtId="0" fontId="14" fillId="9" borderId="0" xfId="0" applyFont="1" applyFill="1" applyAlignment="1">
      <alignment horizontal="left"/>
    </xf>
    <xf numFmtId="0" fontId="14" fillId="6" borderId="45" xfId="0" applyFont="1" applyFill="1" applyBorder="1" applyAlignment="1">
      <alignment horizontal="left"/>
    </xf>
    <xf numFmtId="0" fontId="14" fillId="6" borderId="0" xfId="0" applyFont="1" applyFill="1" applyAlignment="1">
      <alignment horizontal="left"/>
    </xf>
    <xf numFmtId="0" fontId="14" fillId="8" borderId="45" xfId="0" applyFont="1" applyFill="1" applyBorder="1" applyAlignment="1">
      <alignment horizontal="left"/>
    </xf>
    <xf numFmtId="0" fontId="14" fillId="8" borderId="0" xfId="0" applyFont="1" applyFill="1" applyAlignment="1">
      <alignment horizontal="left"/>
    </xf>
    <xf numFmtId="0" fontId="14" fillId="8" borderId="0" xfId="0" applyFont="1" applyFill="1" applyBorder="1" applyAlignment="1">
      <alignment horizontal="left"/>
    </xf>
    <xf numFmtId="0" fontId="3" fillId="8" borderId="45" xfId="0" applyFont="1" applyFill="1" applyBorder="1" applyAlignment="1">
      <alignment horizontal="left"/>
    </xf>
    <xf numFmtId="0" fontId="3" fillId="8" borderId="0" xfId="0" applyFont="1" applyFill="1" applyAlignment="1">
      <alignment horizontal="left"/>
    </xf>
    <xf numFmtId="0" fontId="24" fillId="9" borderId="48" xfId="0" applyFont="1" applyFill="1" applyBorder="1" applyAlignment="1">
      <alignment horizontal="center"/>
    </xf>
    <xf numFmtId="0" fontId="15" fillId="0" borderId="55" xfId="0" applyFont="1" applyFill="1" applyBorder="1" applyAlignment="1">
      <alignment horizontal="center"/>
    </xf>
    <xf numFmtId="0" fontId="37" fillId="6" borderId="45" xfId="0" applyFont="1" applyFill="1" applyBorder="1" applyAlignment="1"/>
    <xf numFmtId="0" fontId="15" fillId="6" borderId="0" xfId="0" applyFont="1" applyFill="1" applyBorder="1" applyAlignment="1"/>
    <xf numFmtId="185" fontId="39" fillId="8" borderId="0" xfId="0" applyNumberFormat="1" applyFont="1" applyFill="1" applyAlignment="1"/>
    <xf numFmtId="0" fontId="24" fillId="9" borderId="53" xfId="0" applyFont="1" applyFill="1" applyBorder="1" applyAlignment="1">
      <alignment horizontal="center"/>
    </xf>
    <xf numFmtId="0" fontId="15" fillId="0" borderId="54" xfId="0" applyFont="1" applyFill="1" applyBorder="1" applyAlignment="1">
      <alignment horizontal="center"/>
    </xf>
    <xf numFmtId="0" fontId="0" fillId="8" borderId="0" xfId="0" applyFill="1" applyAlignment="1"/>
    <xf numFmtId="0" fontId="0" fillId="10" borderId="0" xfId="0" applyFill="1"/>
    <xf numFmtId="0" fontId="51" fillId="0" borderId="0" xfId="0" applyFont="1" applyFill="1" applyAlignment="1">
      <alignment horizontal="center"/>
    </xf>
    <xf numFmtId="0" fontId="52" fillId="0" borderId="0" xfId="0" applyFont="1" applyFill="1" applyBorder="1" applyAlignment="1">
      <alignment horizontal="center"/>
    </xf>
    <xf numFmtId="0" fontId="51" fillId="0" borderId="0" xfId="0" applyFont="1" applyAlignment="1">
      <alignment horizontal="center"/>
    </xf>
    <xf numFmtId="0" fontId="51" fillId="0" borderId="0" xfId="4" applyFont="1" applyAlignment="1">
      <alignment horizontal="center"/>
    </xf>
    <xf numFmtId="0" fontId="51" fillId="9" borderId="0" xfId="0" applyFont="1" applyFill="1" applyAlignment="1">
      <alignment horizontal="right"/>
    </xf>
    <xf numFmtId="187" fontId="51" fillId="6" borderId="0" xfId="0" applyNumberFormat="1" applyFont="1" applyFill="1" applyAlignment="1">
      <alignment vertical="center"/>
    </xf>
    <xf numFmtId="0" fontId="51" fillId="6" borderId="0" xfId="0" applyFont="1" applyFill="1" applyAlignment="1">
      <alignment vertical="center"/>
    </xf>
    <xf numFmtId="2" fontId="51" fillId="8" borderId="45" xfId="0" applyNumberFormat="1" applyFont="1" applyFill="1" applyBorder="1" applyAlignment="1">
      <alignment horizontal="center"/>
    </xf>
    <xf numFmtId="2" fontId="51" fillId="8" borderId="0" xfId="0" applyNumberFormat="1" applyFont="1" applyFill="1" applyAlignment="1">
      <alignment horizontal="center"/>
    </xf>
    <xf numFmtId="176" fontId="51" fillId="8" borderId="0" xfId="0" applyNumberFormat="1" applyFont="1" applyFill="1" applyAlignment="1">
      <alignment horizontal="center"/>
    </xf>
    <xf numFmtId="182" fontId="51" fillId="8" borderId="0" xfId="0" applyNumberFormat="1" applyFont="1" applyFill="1" applyBorder="1" applyAlignment="1">
      <alignment horizontal="center"/>
    </xf>
    <xf numFmtId="1" fontId="51" fillId="8" borderId="45" xfId="0" applyNumberFormat="1" applyFont="1" applyFill="1" applyBorder="1" applyAlignment="1">
      <alignment horizontal="center"/>
    </xf>
    <xf numFmtId="1" fontId="51" fillId="8" borderId="0" xfId="0" applyNumberFormat="1" applyFont="1" applyFill="1" applyAlignment="1">
      <alignment horizontal="center"/>
    </xf>
    <xf numFmtId="0" fontId="51" fillId="8" borderId="45" xfId="0" applyFont="1" applyFill="1" applyBorder="1" applyAlignment="1">
      <alignment horizontal="center"/>
    </xf>
    <xf numFmtId="0" fontId="51" fillId="8" borderId="0" xfId="0" applyFont="1" applyFill="1" applyBorder="1" applyAlignment="1">
      <alignment horizontal="center"/>
    </xf>
    <xf numFmtId="182" fontId="51" fillId="8" borderId="0" xfId="0" applyNumberFormat="1" applyFont="1" applyFill="1" applyAlignment="1">
      <alignment horizontal="center"/>
    </xf>
    <xf numFmtId="1" fontId="39" fillId="8" borderId="45" xfId="0" applyNumberFormat="1" applyFont="1" applyFill="1" applyBorder="1" applyAlignment="1">
      <alignment horizontal="center" vertical="top" wrapText="1"/>
    </xf>
    <xf numFmtId="1" fontId="51" fillId="8" borderId="0" xfId="0" applyNumberFormat="1" applyFont="1" applyFill="1" applyBorder="1" applyAlignment="1">
      <alignment horizontal="center" vertical="top" wrapText="1"/>
    </xf>
    <xf numFmtId="0" fontId="51" fillId="8" borderId="0" xfId="0" applyNumberFormat="1" applyFont="1" applyFill="1" applyBorder="1" applyAlignment="1">
      <alignment horizontal="center" vertical="top" wrapText="1"/>
    </xf>
    <xf numFmtId="1" fontId="39" fillId="8" borderId="45" xfId="0" applyNumberFormat="1" applyFont="1" applyFill="1" applyBorder="1" applyAlignment="1">
      <alignment horizontal="center"/>
    </xf>
    <xf numFmtId="186" fontId="51" fillId="8" borderId="45" xfId="0" applyNumberFormat="1" applyFont="1" applyFill="1" applyBorder="1" applyAlignment="1">
      <alignment horizontal="center" vertical="center"/>
    </xf>
    <xf numFmtId="186" fontId="51" fillId="8" borderId="0" xfId="0" applyNumberFormat="1" applyFont="1" applyFill="1" applyBorder="1" applyAlignment="1">
      <alignment horizontal="center"/>
    </xf>
    <xf numFmtId="0" fontId="53" fillId="0" borderId="0" xfId="0" applyFont="1" applyAlignment="1">
      <alignment horizontal="center" vertical="center"/>
    </xf>
    <xf numFmtId="0" fontId="51" fillId="0" borderId="0" xfId="0" applyFont="1" applyFill="1" applyAlignment="1">
      <alignment horizontal="center" vertical="center"/>
    </xf>
    <xf numFmtId="186" fontId="39" fillId="8" borderId="45" xfId="0" applyNumberFormat="1" applyFont="1" applyFill="1" applyBorder="1" applyAlignment="1">
      <alignment horizontal="center" vertical="center"/>
    </xf>
    <xf numFmtId="186" fontId="39" fillId="8" borderId="0" xfId="0" applyNumberFormat="1" applyFont="1" applyFill="1" applyBorder="1" applyAlignment="1">
      <alignment horizontal="center"/>
    </xf>
    <xf numFmtId="0" fontId="51" fillId="0" borderId="0" xfId="0" applyFont="1" applyAlignment="1">
      <alignment horizontal="center" vertical="center"/>
    </xf>
    <xf numFmtId="0" fontId="51" fillId="10" borderId="0" xfId="0" applyFont="1" applyFill="1"/>
    <xf numFmtId="0" fontId="54" fillId="10" borderId="0" xfId="0" applyFont="1" applyFill="1"/>
    <xf numFmtId="0" fontId="39" fillId="10" borderId="0" xfId="0" applyFont="1" applyFill="1" applyAlignment="1"/>
    <xf numFmtId="0" fontId="51" fillId="10" borderId="0" xfId="0" applyFont="1" applyFill="1" applyAlignment="1">
      <alignment horizontal="right"/>
    </xf>
    <xf numFmtId="0" fontId="51" fillId="10" borderId="45" xfId="0" applyFont="1" applyFill="1" applyBorder="1" applyAlignment="1">
      <alignment horizontal="center"/>
    </xf>
    <xf numFmtId="0" fontId="51" fillId="10" borderId="0" xfId="0" applyFont="1" applyFill="1" applyAlignment="1">
      <alignment horizontal="center"/>
    </xf>
    <xf numFmtId="0" fontId="51" fillId="10" borderId="45" xfId="0" applyFont="1" applyFill="1" applyBorder="1"/>
    <xf numFmtId="0" fontId="51" fillId="10" borderId="0" xfId="0" applyFont="1" applyFill="1" applyBorder="1"/>
    <xf numFmtId="0" fontId="39" fillId="10" borderId="45" xfId="0" applyFont="1" applyFill="1" applyBorder="1"/>
    <xf numFmtId="0" fontId="39" fillId="10" borderId="0" xfId="0" applyFont="1" applyFill="1"/>
    <xf numFmtId="1" fontId="48" fillId="10" borderId="45" xfId="0" applyNumberFormat="1" applyFont="1" applyFill="1" applyBorder="1" applyAlignment="1">
      <alignment horizontal="center"/>
    </xf>
    <xf numFmtId="186" fontId="48" fillId="10" borderId="0" xfId="0" applyNumberFormat="1" applyFont="1" applyFill="1" applyAlignment="1">
      <alignment horizontal="center"/>
    </xf>
    <xf numFmtId="0" fontId="39" fillId="10" borderId="0" xfId="0" applyFont="1" applyFill="1" applyBorder="1"/>
    <xf numFmtId="0" fontId="51" fillId="0" borderId="0" xfId="0" applyFont="1" applyFill="1" applyAlignment="1">
      <alignment horizontal="left" wrapText="1"/>
    </xf>
    <xf numFmtId="0" fontId="51" fillId="0" borderId="0" xfId="0" applyFont="1" applyFill="1" applyAlignment="1">
      <alignment horizontal="left"/>
    </xf>
    <xf numFmtId="0" fontId="14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50" xfId="0" applyFill="1" applyBorder="1" applyAlignment="1">
      <alignment horizontal="left"/>
    </xf>
    <xf numFmtId="0" fontId="48" fillId="0" borderId="51" xfId="0" applyFont="1" applyFill="1" applyBorder="1" applyAlignment="1">
      <alignment horizontal="center" vertical="center" wrapText="1"/>
    </xf>
    <xf numFmtId="0" fontId="48" fillId="0" borderId="52" xfId="0" applyFont="1" applyFill="1" applyBorder="1" applyAlignment="1">
      <alignment horizontal="center" vertical="center" wrapText="1"/>
    </xf>
    <xf numFmtId="0" fontId="48" fillId="0" borderId="53" xfId="0" applyFont="1" applyFill="1" applyBorder="1" applyAlignment="1">
      <alignment horizontal="center" vertical="center" wrapText="1"/>
    </xf>
    <xf numFmtId="0" fontId="48" fillId="0" borderId="34" xfId="0" applyFont="1" applyFill="1" applyBorder="1" applyAlignment="1">
      <alignment horizontal="center" vertical="center" wrapText="1"/>
    </xf>
    <xf numFmtId="0" fontId="48" fillId="0" borderId="6" xfId="0" applyFont="1" applyFill="1" applyBorder="1" applyAlignment="1">
      <alignment horizontal="center" vertical="center" wrapText="1"/>
    </xf>
    <xf numFmtId="0" fontId="48" fillId="0" borderId="54" xfId="0" applyFont="1" applyFill="1" applyBorder="1" applyAlignment="1">
      <alignment horizontal="center" vertical="center" wrapText="1"/>
    </xf>
    <xf numFmtId="0" fontId="48" fillId="9" borderId="51" xfId="0" applyFont="1" applyFill="1" applyBorder="1" applyAlignment="1">
      <alignment horizontal="center" vertical="center" wrapText="1"/>
    </xf>
    <xf numFmtId="0" fontId="48" fillId="9" borderId="53" xfId="0" applyFont="1" applyFill="1" applyBorder="1" applyAlignment="1">
      <alignment horizontal="center" vertical="center" wrapText="1"/>
    </xf>
    <xf numFmtId="0" fontId="48" fillId="9" borderId="34" xfId="0" applyFont="1" applyFill="1" applyBorder="1" applyAlignment="1">
      <alignment horizontal="center" vertical="center" wrapText="1"/>
    </xf>
    <xf numFmtId="0" fontId="48" fillId="9" borderId="54" xfId="0" applyFont="1" applyFill="1" applyBorder="1" applyAlignment="1">
      <alignment horizontal="center" vertical="center" wrapText="1"/>
    </xf>
    <xf numFmtId="0" fontId="18" fillId="9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8" fillId="9" borderId="0" xfId="0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51" fillId="0" borderId="0" xfId="0" applyFont="1" applyFill="1" applyAlignment="1">
      <alignment horizontal="left" vertical="center" wrapText="1"/>
    </xf>
    <xf numFmtId="0" fontId="51" fillId="0" borderId="0" xfId="0" applyFont="1" applyAlignment="1">
      <alignment horizontal="left" vertical="center" wrapText="1"/>
    </xf>
    <xf numFmtId="0" fontId="39" fillId="0" borderId="0" xfId="0" applyFont="1" applyFill="1" applyAlignment="1">
      <alignment horizontal="left" vertical="center"/>
    </xf>
    <xf numFmtId="0" fontId="39" fillId="9" borderId="46" xfId="0" applyFont="1" applyFill="1" applyBorder="1" applyAlignment="1">
      <alignment horizontal="center"/>
    </xf>
    <xf numFmtId="0" fontId="39" fillId="9" borderId="47" xfId="0" applyFont="1" applyFill="1" applyBorder="1" applyAlignment="1">
      <alignment horizontal="center"/>
    </xf>
    <xf numFmtId="0" fontId="39" fillId="9" borderId="56" xfId="0" applyFont="1" applyFill="1" applyBorder="1" applyAlignment="1">
      <alignment horizontal="center"/>
    </xf>
    <xf numFmtId="0" fontId="3" fillId="9" borderId="51" xfId="0" applyFont="1" applyFill="1" applyBorder="1" applyAlignment="1">
      <alignment horizontal="center" vertical="center"/>
    </xf>
    <xf numFmtId="0" fontId="3" fillId="9" borderId="52" xfId="0" applyFont="1" applyFill="1" applyBorder="1" applyAlignment="1">
      <alignment horizontal="center" vertical="center"/>
    </xf>
    <xf numFmtId="0" fontId="3" fillId="9" borderId="53" xfId="0" applyFont="1" applyFill="1" applyBorder="1" applyAlignment="1">
      <alignment horizontal="center" vertical="center"/>
    </xf>
    <xf numFmtId="0" fontId="3" fillId="9" borderId="34" xfId="0" applyFont="1" applyFill="1" applyBorder="1" applyAlignment="1">
      <alignment horizontal="center" vertical="center"/>
    </xf>
    <xf numFmtId="0" fontId="3" fillId="9" borderId="6" xfId="0" applyFont="1" applyFill="1" applyBorder="1" applyAlignment="1">
      <alignment horizontal="center" vertical="center"/>
    </xf>
    <xf numFmtId="0" fontId="3" fillId="9" borderId="54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left" wrapText="1"/>
    </xf>
    <xf numFmtId="0" fontId="0" fillId="0" borderId="17" xfId="0" applyFont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wrapText="1"/>
    </xf>
    <xf numFmtId="0" fontId="0" fillId="0" borderId="39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wrapText="1"/>
    </xf>
    <xf numFmtId="0" fontId="0" fillId="0" borderId="25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wrapText="1"/>
    </xf>
    <xf numFmtId="0" fontId="0" fillId="0" borderId="26" xfId="0" applyFont="1" applyBorder="1" applyAlignment="1">
      <alignment horizontal="center" vertical="center"/>
    </xf>
    <xf numFmtId="0" fontId="10" fillId="0" borderId="16" xfId="0" applyFont="1" applyBorder="1" applyAlignment="1">
      <alignment horizontal="left" vertical="top" wrapText="1"/>
    </xf>
    <xf numFmtId="0" fontId="0" fillId="0" borderId="36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top"/>
    </xf>
    <xf numFmtId="0" fontId="0" fillId="0" borderId="0" xfId="0" applyFont="1" applyBorder="1" applyAlignment="1">
      <alignment horizontal="center" vertical="center"/>
    </xf>
    <xf numFmtId="0" fontId="35" fillId="0" borderId="16" xfId="0" applyFont="1" applyBorder="1" applyAlignment="1">
      <alignment horizontal="left" vertical="top" wrapText="1"/>
    </xf>
    <xf numFmtId="0" fontId="35" fillId="0" borderId="0" xfId="0" applyFont="1" applyBorder="1" applyAlignment="1">
      <alignment horizontal="left" vertical="top"/>
    </xf>
    <xf numFmtId="0" fontId="9" fillId="0" borderId="0" xfId="0" applyFont="1" applyBorder="1" applyAlignment="1">
      <alignment horizontal="center" vertical="center" wrapText="1"/>
    </xf>
    <xf numFmtId="0" fontId="0" fillId="0" borderId="30" xfId="0" applyFont="1" applyBorder="1" applyAlignment="1">
      <alignment horizontal="center" vertical="center"/>
    </xf>
    <xf numFmtId="0" fontId="35" fillId="0" borderId="12" xfId="0" applyFont="1" applyBorder="1" applyAlignment="1">
      <alignment horizontal="left" wrapText="1"/>
    </xf>
    <xf numFmtId="0" fontId="35" fillId="0" borderId="38" xfId="0" applyFont="1" applyBorder="1" applyAlignment="1">
      <alignment horizontal="center" wrapText="1"/>
    </xf>
    <xf numFmtId="0" fontId="35" fillId="0" borderId="14" xfId="0" applyFont="1" applyBorder="1" applyAlignment="1">
      <alignment horizontal="center" wrapText="1"/>
    </xf>
    <xf numFmtId="0" fontId="35" fillId="0" borderId="15" xfId="0" applyFont="1" applyBorder="1" applyAlignment="1">
      <alignment horizontal="center" wrapText="1"/>
    </xf>
    <xf numFmtId="0" fontId="30" fillId="0" borderId="12" xfId="0" applyFont="1" applyBorder="1" applyAlignment="1">
      <alignment horizontal="left" wrapText="1"/>
    </xf>
    <xf numFmtId="0" fontId="30" fillId="0" borderId="38" xfId="0" applyFont="1" applyBorder="1" applyAlignment="1">
      <alignment horizontal="center" wrapText="1"/>
    </xf>
    <xf numFmtId="0" fontId="30" fillId="0" borderId="14" xfId="0" applyFont="1" applyBorder="1" applyAlignment="1">
      <alignment horizontal="center" wrapText="1"/>
    </xf>
    <xf numFmtId="0" fontId="30" fillId="0" borderId="15" xfId="0" applyFont="1" applyBorder="1" applyAlignment="1">
      <alignment horizontal="center" wrapText="1"/>
    </xf>
    <xf numFmtId="0" fontId="30" fillId="0" borderId="16" xfId="0" applyFont="1" applyBorder="1" applyAlignment="1">
      <alignment horizontal="left" vertical="top" wrapText="1"/>
    </xf>
    <xf numFmtId="0" fontId="30" fillId="0" borderId="0" xfId="0" applyFont="1" applyBorder="1" applyAlignment="1">
      <alignment horizontal="left" vertical="top"/>
    </xf>
    <xf numFmtId="0" fontId="19" fillId="0" borderId="40" xfId="0" applyFont="1" applyBorder="1" applyAlignment="1">
      <alignment horizontal="left" vertical="top"/>
    </xf>
    <xf numFmtId="0" fontId="19" fillId="0" borderId="0" xfId="0" applyFont="1" applyBorder="1" applyAlignment="1">
      <alignment horizontal="left" vertical="top"/>
    </xf>
    <xf numFmtId="0" fontId="12" fillId="0" borderId="37" xfId="0" applyFont="1" applyBorder="1" applyAlignment="1">
      <alignment horizontal="center" vertical="center" wrapText="1"/>
    </xf>
    <xf numFmtId="0" fontId="19" fillId="0" borderId="41" xfId="0" applyFont="1" applyBorder="1" applyAlignment="1">
      <alignment horizontal="left" wrapText="1"/>
    </xf>
    <xf numFmtId="0" fontId="19" fillId="0" borderId="17" xfId="0" applyFont="1" applyBorder="1" applyAlignment="1">
      <alignment horizontal="left" wrapText="1"/>
    </xf>
    <xf numFmtId="0" fontId="19" fillId="0" borderId="35" xfId="0" applyFont="1" applyBorder="1" applyAlignment="1">
      <alignment horizontal="left" wrapText="1"/>
    </xf>
    <xf numFmtId="0" fontId="19" fillId="0" borderId="10" xfId="0" applyFont="1" applyBorder="1" applyAlignment="1">
      <alignment horizontal="left" wrapText="1"/>
    </xf>
    <xf numFmtId="0" fontId="19" fillId="0" borderId="42" xfId="0" applyFont="1" applyBorder="1" applyAlignment="1">
      <alignment horizontal="center" wrapText="1"/>
    </xf>
    <xf numFmtId="0" fontId="19" fillId="0" borderId="39" xfId="0" applyFont="1" applyBorder="1" applyAlignment="1">
      <alignment horizontal="center" wrapText="1"/>
    </xf>
    <xf numFmtId="0" fontId="19" fillId="0" borderId="19" xfId="0" applyFont="1" applyBorder="1" applyAlignment="1">
      <alignment horizontal="center" wrapText="1"/>
    </xf>
    <xf numFmtId="0" fontId="19" fillId="0" borderId="25" xfId="0" applyFont="1" applyBorder="1" applyAlignment="1">
      <alignment horizontal="center" wrapText="1"/>
    </xf>
    <xf numFmtId="0" fontId="19" fillId="0" borderId="20" xfId="0" applyFont="1" applyBorder="1" applyAlignment="1">
      <alignment horizontal="center" wrapText="1"/>
    </xf>
    <xf numFmtId="0" fontId="19" fillId="0" borderId="26" xfId="0" applyFont="1" applyBorder="1" applyAlignment="1">
      <alignment horizontal="center" wrapText="1"/>
    </xf>
    <xf numFmtId="0" fontId="19" fillId="0" borderId="41" xfId="0" applyFont="1" applyBorder="1" applyAlignment="1">
      <alignment horizontal="left" vertical="top" wrapText="1"/>
    </xf>
    <xf numFmtId="0" fontId="19" fillId="0" borderId="36" xfId="0" applyFont="1" applyBorder="1" applyAlignment="1">
      <alignment horizontal="left" vertical="top" wrapText="1"/>
    </xf>
    <xf numFmtId="0" fontId="19" fillId="0" borderId="35" xfId="0" applyFont="1" applyBorder="1" applyAlignment="1">
      <alignment horizontal="left" vertical="top" wrapText="1"/>
    </xf>
    <xf numFmtId="0" fontId="19" fillId="0" borderId="16" xfId="0" applyFont="1" applyBorder="1" applyAlignment="1">
      <alignment horizontal="left" vertical="top" wrapText="1"/>
    </xf>
    <xf numFmtId="0" fontId="12" fillId="0" borderId="36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left" wrapText="1"/>
    </xf>
    <xf numFmtId="0" fontId="19" fillId="0" borderId="30" xfId="0" applyFont="1" applyBorder="1" applyAlignment="1">
      <alignment horizontal="left" wrapText="1"/>
    </xf>
    <xf numFmtId="0" fontId="9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2" fillId="0" borderId="30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9" fillId="0" borderId="38" xfId="0" applyFont="1" applyBorder="1" applyAlignment="1">
      <alignment horizontal="center" wrapText="1"/>
    </xf>
    <xf numFmtId="0" fontId="12" fillId="0" borderId="39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wrapText="1"/>
    </xf>
    <xf numFmtId="0" fontId="12" fillId="0" borderId="25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wrapText="1"/>
    </xf>
    <xf numFmtId="0" fontId="12" fillId="0" borderId="26" xfId="0" applyFont="1" applyBorder="1" applyAlignment="1">
      <alignment horizontal="center" vertical="center"/>
    </xf>
    <xf numFmtId="0" fontId="19" fillId="0" borderId="7" xfId="0" applyFont="1" applyBorder="1" applyAlignment="1">
      <alignment horizontal="left" vertical="top" wrapText="1"/>
    </xf>
    <xf numFmtId="0" fontId="9" fillId="0" borderId="17" xfId="0" applyFont="1" applyBorder="1" applyAlignment="1">
      <alignment horizontal="center" vertical="center"/>
    </xf>
    <xf numFmtId="0" fontId="19" fillId="0" borderId="8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wrapText="1"/>
    </xf>
    <xf numFmtId="0" fontId="12" fillId="0" borderId="24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wrapText="1"/>
    </xf>
    <xf numFmtId="0" fontId="19" fillId="0" borderId="24" xfId="0" applyFont="1" applyBorder="1" applyAlignment="1">
      <alignment horizontal="center" wrapText="1"/>
    </xf>
    <xf numFmtId="0" fontId="10" fillId="0" borderId="40" xfId="0" applyFont="1" applyBorder="1" applyAlignment="1">
      <alignment horizontal="left" vertical="top"/>
    </xf>
    <xf numFmtId="0" fontId="10" fillId="0" borderId="41" xfId="0" applyFont="1" applyBorder="1" applyAlignment="1">
      <alignment horizontal="left" wrapText="1"/>
    </xf>
    <xf numFmtId="0" fontId="10" fillId="0" borderId="17" xfId="0" applyFont="1" applyBorder="1" applyAlignment="1">
      <alignment horizontal="left" wrapText="1"/>
    </xf>
    <xf numFmtId="0" fontId="10" fillId="0" borderId="35" xfId="0" applyFont="1" applyBorder="1" applyAlignment="1">
      <alignment horizontal="left" wrapText="1"/>
    </xf>
    <xf numFmtId="0" fontId="10" fillId="0" borderId="10" xfId="0" applyFont="1" applyBorder="1" applyAlignment="1">
      <alignment horizontal="left" wrapText="1"/>
    </xf>
    <xf numFmtId="0" fontId="10" fillId="0" borderId="42" xfId="0" applyFont="1" applyBorder="1" applyAlignment="1">
      <alignment horizontal="center" wrapText="1"/>
    </xf>
    <xf numFmtId="0" fontId="10" fillId="0" borderId="39" xfId="0" applyFont="1" applyBorder="1" applyAlignment="1">
      <alignment horizontal="center" wrapText="1"/>
    </xf>
    <xf numFmtId="0" fontId="10" fillId="0" borderId="19" xfId="0" applyFont="1" applyBorder="1" applyAlignment="1">
      <alignment horizontal="center" wrapText="1"/>
    </xf>
    <xf numFmtId="0" fontId="10" fillId="0" borderId="25" xfId="0" applyFont="1" applyBorder="1" applyAlignment="1">
      <alignment horizontal="center" wrapText="1"/>
    </xf>
    <xf numFmtId="0" fontId="10" fillId="0" borderId="20" xfId="0" applyFont="1" applyBorder="1" applyAlignment="1">
      <alignment horizontal="center" wrapText="1"/>
    </xf>
    <xf numFmtId="0" fontId="10" fillId="0" borderId="26" xfId="0" applyFont="1" applyBorder="1" applyAlignment="1">
      <alignment horizontal="center" wrapText="1"/>
    </xf>
    <xf numFmtId="0" fontId="10" fillId="0" borderId="41" xfId="0" applyFont="1" applyBorder="1" applyAlignment="1">
      <alignment horizontal="left" vertical="top" wrapText="1"/>
    </xf>
    <xf numFmtId="0" fontId="10" fillId="0" borderId="36" xfId="0" applyFont="1" applyBorder="1" applyAlignment="1">
      <alignment horizontal="left" vertical="top" wrapText="1"/>
    </xf>
    <xf numFmtId="0" fontId="10" fillId="0" borderId="35" xfId="0" applyFont="1" applyBorder="1" applyAlignment="1">
      <alignment horizontal="left" vertical="top" wrapText="1"/>
    </xf>
    <xf numFmtId="0" fontId="10" fillId="0" borderId="16" xfId="0" applyFont="1" applyBorder="1" applyAlignment="1">
      <alignment horizontal="left" wrapText="1"/>
    </xf>
    <xf numFmtId="0" fontId="10" fillId="0" borderId="30" xfId="0" applyFont="1" applyBorder="1" applyAlignment="1">
      <alignment horizontal="left" wrapText="1"/>
    </xf>
    <xf numFmtId="0" fontId="10" fillId="0" borderId="8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</cellXfs>
  <cellStyles count="5">
    <cellStyle name="Good" xfId="2"/>
    <cellStyle name="Normal 2 3" xfId="4"/>
    <cellStyle name="Normal_Experimental results ver3" xfId="1"/>
    <cellStyle name="常规" xfId="0" builtinId="0"/>
    <cellStyle name="常规 3" xfId="3"/>
  </cellStyles>
  <dxfs count="0"/>
  <tableStyles count="0" defaultTableStyle="TableStyleMedium2" defaultPivotStyle="PivotStyleLight16"/>
  <colors>
    <mruColors>
      <color rgb="FF66FF33"/>
      <color rgb="FF0000FF"/>
      <color rgb="FFFF0000"/>
      <color rgb="FFFF5050"/>
      <color rgb="FF00CC00"/>
      <color rgb="FFFF7C80"/>
      <color rgb="FFFF00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M84"/>
  <sheetViews>
    <sheetView tabSelected="1" zoomScale="70" zoomScaleNormal="70" workbookViewId="0">
      <pane xSplit="6" ySplit="4" topLeftCell="H5" activePane="bottomRight" state="frozen"/>
      <selection pane="topRight" activeCell="K1" sqref="K1"/>
      <selection pane="bottomLeft" activeCell="A4" sqref="A4"/>
      <selection pane="bottomRight" activeCell="E9" sqref="E9"/>
    </sheetView>
  </sheetViews>
  <sheetFormatPr defaultColWidth="9.109375" defaultRowHeight="13.2" x14ac:dyDescent="0.25"/>
  <cols>
    <col min="1" max="1" width="23.44140625" style="228" customWidth="1"/>
    <col min="2" max="2" width="21" style="228" customWidth="1"/>
    <col min="3" max="3" width="9.109375" style="228"/>
    <col min="4" max="4" width="27.33203125" style="231" bestFit="1" customWidth="1"/>
    <col min="5" max="5" width="21.6640625" style="229" customWidth="1"/>
    <col min="6" max="6" width="34" style="229" customWidth="1"/>
    <col min="7" max="7" width="1.6640625" style="229" hidden="1" customWidth="1"/>
    <col min="8" max="8" width="7.6640625" style="227" customWidth="1"/>
    <col min="9" max="9" width="7.6640625" style="140" customWidth="1"/>
    <col min="10" max="10" width="8.6640625" style="140" customWidth="1"/>
    <col min="11" max="11" width="9.44140625" style="140" customWidth="1"/>
    <col min="12" max="12" width="7.44140625" style="140" customWidth="1"/>
    <col min="13" max="14" width="8" style="140" customWidth="1"/>
    <col min="15" max="15" width="7.6640625" style="140" customWidth="1"/>
    <col min="16" max="16" width="8.88671875" style="140" customWidth="1"/>
    <col min="17" max="17" width="7.5546875" style="140" customWidth="1"/>
    <col min="18" max="19" width="5.88671875" style="140" customWidth="1"/>
    <col min="20" max="20" width="8.6640625" style="242" customWidth="1"/>
    <col min="21" max="24" width="4.6640625" style="243" hidden="1" customWidth="1"/>
    <col min="25" max="25" width="5" style="243" hidden="1" customWidth="1"/>
    <col min="26" max="27" width="5.6640625" style="243" hidden="1" customWidth="1"/>
    <col min="28" max="29" width="5.33203125" style="243" hidden="1" customWidth="1"/>
    <col min="30" max="32" width="4.6640625" style="243" hidden="1" customWidth="1"/>
    <col min="33" max="33" width="19.33203125" style="243" hidden="1" customWidth="1"/>
    <col min="34" max="34" width="20.44140625" style="243" hidden="1" customWidth="1"/>
    <col min="35" max="46" width="5.5546875" style="243" hidden="1" customWidth="1"/>
    <col min="47" max="47" width="9.109375" style="243" hidden="1" customWidth="1"/>
    <col min="48" max="50" width="8.6640625" style="243" customWidth="1"/>
    <col min="51" max="51" width="9.109375" style="243" customWidth="1"/>
    <col min="52" max="52" width="8.44140625" style="244" customWidth="1"/>
    <col min="53" max="53" width="6.88671875" style="245" customWidth="1"/>
    <col min="54" max="54" width="6.88671875" style="243" customWidth="1"/>
    <col min="55" max="55" width="6.6640625" style="243" customWidth="1"/>
    <col min="56" max="57" width="6.88671875" style="243" customWidth="1"/>
    <col min="58" max="58" width="23.6640625" style="242" customWidth="1"/>
    <col min="59" max="59" width="21.6640625" style="244" customWidth="1"/>
    <col min="60" max="60" width="14.109375" style="244" customWidth="1"/>
    <col min="61" max="61" width="9.33203125" style="246" customWidth="1"/>
    <col min="62" max="62" width="7" style="246" hidden="1" customWidth="1"/>
    <col min="63" max="63" width="7.44140625" style="246" hidden="1" customWidth="1"/>
    <col min="64" max="64" width="14.77734375" style="245" customWidth="1"/>
    <col min="65" max="65" width="10.5546875" style="244" customWidth="1"/>
    <col min="66" max="66" width="9.88671875" style="244" hidden="1" customWidth="1"/>
    <col min="67" max="67" width="9.5546875" style="245" customWidth="1"/>
    <col min="68" max="68" width="6.33203125" style="243" customWidth="1"/>
    <col min="69" max="69" width="3.33203125" style="243" customWidth="1"/>
    <col min="70" max="70" width="10.88671875" style="243" hidden="1" customWidth="1"/>
    <col min="71" max="71" width="13.88671875" style="243" hidden="1" customWidth="1"/>
    <col min="72" max="72" width="13.109375" style="243" customWidth="1"/>
    <col min="73" max="73" width="31.6640625" style="243" customWidth="1"/>
    <col min="74" max="74" width="27.6640625" style="243" customWidth="1"/>
    <col min="75" max="75" width="11.109375" style="245" customWidth="1"/>
    <col min="76" max="76" width="8" style="246" hidden="1" customWidth="1"/>
    <col min="77" max="77" width="9.88671875" style="247" hidden="1" customWidth="1"/>
    <col min="78" max="78" width="21.44140625" style="247" customWidth="1"/>
    <col min="79" max="79" width="31.6640625" style="247" customWidth="1"/>
    <col min="80" max="80" width="8.6640625" style="247" customWidth="1"/>
    <col min="81" max="81" width="14.6640625" style="246" customWidth="1"/>
    <col min="82" max="82" width="76" style="246" hidden="1" customWidth="1"/>
    <col min="83" max="83" width="16" style="245" customWidth="1"/>
    <col min="84" max="84" width="13.109375" style="243" customWidth="1"/>
    <col min="85" max="85" width="7.77734375" style="243" customWidth="1"/>
    <col min="86" max="86" width="8.33203125" style="243" customWidth="1"/>
    <col min="87" max="87" width="7.5546875" style="243" customWidth="1"/>
    <col min="88" max="89" width="6.5546875" style="243" customWidth="1"/>
    <col min="90" max="92" width="7.77734375" style="243" customWidth="1"/>
    <col min="93" max="93" width="7.5546875" style="243" customWidth="1"/>
    <col min="94" max="94" width="7.77734375" style="243" customWidth="1"/>
    <col min="95" max="95" width="6.44140625" style="243" customWidth="1"/>
    <col min="96" max="96" width="8.6640625" style="243" customWidth="1"/>
    <col min="97" max="97" width="6.88671875" style="243" customWidth="1"/>
    <col min="98" max="98" width="5.6640625" style="243" customWidth="1"/>
    <col min="99" max="99" width="8.5546875" style="243" customWidth="1"/>
    <col min="100" max="100" width="7.21875" style="243" customWidth="1"/>
    <col min="101" max="101" width="6.88671875" style="243" customWidth="1"/>
    <col min="102" max="102" width="5.6640625" style="243" customWidth="1"/>
    <col min="103" max="103" width="7.21875" style="243" customWidth="1"/>
    <col min="104" max="104" width="8.21875" style="243" customWidth="1"/>
    <col min="105" max="109" width="6.6640625" style="243" customWidth="1"/>
    <col min="110" max="110" width="8.88671875" style="243" customWidth="1"/>
    <col min="111" max="111" width="5.6640625" style="243" hidden="1" customWidth="1"/>
    <col min="112" max="112" width="5.6640625" style="243" customWidth="1"/>
    <col min="113" max="113" width="15.6640625" style="243" customWidth="1"/>
    <col min="114" max="114" width="8.21875" style="243" customWidth="1"/>
    <col min="115" max="115" width="8.33203125" style="243" customWidth="1"/>
    <col min="116" max="116" width="8.5546875" style="243" customWidth="1"/>
    <col min="117" max="16384" width="9.109375" style="228"/>
  </cols>
  <sheetData>
    <row r="1" spans="1:117" ht="27.6" customHeight="1" x14ac:dyDescent="0.25">
      <c r="A1" s="348" t="s">
        <v>566</v>
      </c>
      <c r="B1" s="348"/>
      <c r="C1" s="348"/>
      <c r="D1" s="348"/>
      <c r="E1" s="348"/>
      <c r="F1" s="348"/>
      <c r="G1" s="348"/>
      <c r="H1" s="348"/>
      <c r="I1" s="348"/>
      <c r="J1" s="348"/>
      <c r="K1" s="348"/>
      <c r="L1" s="348"/>
      <c r="M1" s="348"/>
      <c r="N1" s="348"/>
      <c r="O1" s="348"/>
      <c r="P1" s="348"/>
      <c r="Q1" s="348"/>
      <c r="R1" s="348"/>
      <c r="S1" s="348"/>
      <c r="T1" s="348"/>
      <c r="U1" s="348"/>
      <c r="V1" s="348"/>
      <c r="W1" s="348"/>
      <c r="X1" s="348"/>
      <c r="Y1" s="348"/>
      <c r="Z1" s="348"/>
      <c r="AA1" s="348"/>
      <c r="AB1" s="348"/>
      <c r="AC1" s="348"/>
      <c r="AD1" s="348"/>
      <c r="AE1" s="348"/>
      <c r="AF1" s="348"/>
      <c r="AG1" s="348"/>
      <c r="AH1" s="348"/>
      <c r="AI1" s="348"/>
      <c r="AJ1" s="348"/>
      <c r="AK1" s="348"/>
      <c r="AL1" s="348"/>
      <c r="AM1" s="348"/>
      <c r="AN1" s="348"/>
      <c r="AO1" s="348"/>
      <c r="AP1" s="348"/>
      <c r="AQ1" s="348"/>
      <c r="AR1" s="348"/>
      <c r="AS1" s="348"/>
      <c r="AT1" s="348"/>
      <c r="AU1" s="348"/>
      <c r="AV1" s="348"/>
      <c r="AW1" s="348"/>
      <c r="AX1" s="348"/>
      <c r="AY1" s="348"/>
      <c r="AZ1" s="348"/>
      <c r="BA1" s="348"/>
      <c r="BB1" s="348"/>
      <c r="BC1" s="348"/>
      <c r="BD1" s="348"/>
      <c r="BE1" s="348"/>
      <c r="BF1" s="348"/>
      <c r="BG1" s="348"/>
      <c r="BH1" s="348"/>
      <c r="BI1" s="348"/>
      <c r="BJ1" s="348"/>
      <c r="BK1" s="348"/>
      <c r="BL1" s="348"/>
      <c r="BM1" s="348"/>
      <c r="BN1" s="348"/>
      <c r="BO1" s="348"/>
      <c r="BP1" s="348"/>
      <c r="BQ1" s="348"/>
      <c r="BR1" s="348"/>
      <c r="BS1" s="348"/>
      <c r="BT1" s="348"/>
      <c r="BU1" s="348"/>
      <c r="BV1" s="348"/>
      <c r="BW1" s="348"/>
      <c r="BX1" s="348"/>
      <c r="BY1" s="348"/>
      <c r="BZ1" s="348"/>
      <c r="CA1" s="348"/>
      <c r="CB1" s="348"/>
      <c r="CC1" s="348"/>
      <c r="CD1" s="348"/>
      <c r="CE1" s="348"/>
      <c r="CF1" s="348"/>
      <c r="CG1" s="348"/>
      <c r="CH1" s="348"/>
      <c r="CI1" s="348"/>
      <c r="CJ1" s="348"/>
      <c r="CK1" s="348"/>
      <c r="CL1" s="348"/>
      <c r="CM1" s="348"/>
      <c r="CN1" s="348"/>
      <c r="CO1" s="348"/>
      <c r="CP1" s="348"/>
      <c r="CQ1" s="348"/>
      <c r="CR1" s="348"/>
      <c r="CS1" s="348"/>
      <c r="CT1" s="348"/>
      <c r="CU1" s="348"/>
      <c r="CV1" s="348"/>
      <c r="CW1" s="348"/>
      <c r="CX1" s="348"/>
      <c r="CY1" s="348"/>
      <c r="CZ1" s="348"/>
      <c r="DA1" s="348"/>
      <c r="DB1" s="348"/>
      <c r="DC1" s="348"/>
      <c r="DD1" s="348"/>
      <c r="DE1" s="348"/>
      <c r="DF1" s="348"/>
      <c r="DG1" s="348"/>
      <c r="DH1" s="348"/>
      <c r="DI1" s="348"/>
      <c r="DJ1" s="348"/>
      <c r="DK1" s="348"/>
      <c r="DL1" s="348"/>
    </row>
    <row r="2" spans="1:117" s="250" customFormat="1" ht="22.8" customHeight="1" x14ac:dyDescent="0.4">
      <c r="A2" s="349" t="s">
        <v>477</v>
      </c>
      <c r="B2" s="350"/>
      <c r="C2" s="350"/>
      <c r="D2" s="350"/>
      <c r="E2" s="350"/>
      <c r="F2" s="351"/>
      <c r="G2" s="232"/>
      <c r="H2" s="349" t="s">
        <v>373</v>
      </c>
      <c r="I2" s="350"/>
      <c r="J2" s="350"/>
      <c r="K2" s="350"/>
      <c r="L2" s="350"/>
      <c r="M2" s="350"/>
      <c r="N2" s="350"/>
      <c r="O2" s="350"/>
      <c r="P2" s="350"/>
      <c r="Q2" s="350"/>
      <c r="R2" s="350"/>
      <c r="S2" s="351"/>
      <c r="T2" s="349" t="s">
        <v>561</v>
      </c>
      <c r="U2" s="350"/>
      <c r="V2" s="350"/>
      <c r="W2" s="350"/>
      <c r="X2" s="350"/>
      <c r="Y2" s="350"/>
      <c r="Z2" s="350"/>
      <c r="AA2" s="350"/>
      <c r="AB2" s="350"/>
      <c r="AC2" s="350"/>
      <c r="AD2" s="350"/>
      <c r="AE2" s="350"/>
      <c r="AF2" s="350"/>
      <c r="AG2" s="350"/>
      <c r="AH2" s="350"/>
      <c r="AI2" s="350"/>
      <c r="AJ2" s="350"/>
      <c r="AK2" s="350"/>
      <c r="AL2" s="350"/>
      <c r="AM2" s="350"/>
      <c r="AN2" s="350"/>
      <c r="AO2" s="350"/>
      <c r="AP2" s="350"/>
      <c r="AQ2" s="350"/>
      <c r="AR2" s="350"/>
      <c r="AS2" s="350"/>
      <c r="AT2" s="350"/>
      <c r="AU2" s="350"/>
      <c r="AV2" s="350"/>
      <c r="AW2" s="350"/>
      <c r="AX2" s="350"/>
      <c r="AY2" s="350"/>
      <c r="AZ2" s="350"/>
      <c r="BA2" s="350"/>
      <c r="BB2" s="350"/>
      <c r="BC2" s="350"/>
      <c r="BD2" s="350"/>
      <c r="BE2" s="350"/>
      <c r="BF2" s="350"/>
      <c r="BG2" s="350"/>
      <c r="BH2" s="350"/>
      <c r="BI2" s="350"/>
      <c r="BJ2" s="350"/>
      <c r="BK2" s="350"/>
      <c r="BL2" s="350"/>
      <c r="BM2" s="350"/>
      <c r="BN2" s="350"/>
      <c r="BO2" s="350"/>
      <c r="BP2" s="350"/>
      <c r="BQ2" s="350"/>
      <c r="BR2" s="350"/>
      <c r="BS2" s="350"/>
      <c r="BT2" s="351"/>
      <c r="BU2" s="278"/>
      <c r="BV2" s="283"/>
      <c r="BW2" s="332" t="s">
        <v>544</v>
      </c>
      <c r="BX2" s="333"/>
      <c r="BY2" s="333"/>
      <c r="BZ2" s="334"/>
      <c r="CA2" s="338" t="s">
        <v>545</v>
      </c>
      <c r="CB2" s="339"/>
      <c r="CC2" s="352" t="s">
        <v>553</v>
      </c>
      <c r="CD2" s="353"/>
      <c r="CE2" s="353"/>
      <c r="CF2" s="354"/>
      <c r="CG2" s="248"/>
      <c r="CH2" s="248"/>
      <c r="CI2" s="248"/>
      <c r="CJ2" s="248"/>
      <c r="CK2" s="248"/>
      <c r="CL2" s="248"/>
      <c r="CM2" s="248"/>
      <c r="CN2" s="248"/>
      <c r="CO2" s="248"/>
      <c r="CP2" s="248"/>
      <c r="CQ2" s="248"/>
      <c r="CR2" s="248"/>
      <c r="CS2" s="248"/>
      <c r="CT2" s="248"/>
      <c r="CU2" s="248"/>
      <c r="CV2" s="248"/>
      <c r="CW2" s="248"/>
      <c r="CX2" s="248"/>
      <c r="CY2" s="248"/>
      <c r="CZ2" s="248"/>
      <c r="DA2" s="248"/>
      <c r="DB2" s="248"/>
      <c r="DC2" s="248"/>
      <c r="DD2" s="248"/>
      <c r="DE2" s="248"/>
      <c r="DF2" s="248"/>
      <c r="DG2" s="248"/>
      <c r="DH2" s="248"/>
      <c r="DI2" s="248"/>
      <c r="DJ2" s="248"/>
      <c r="DK2" s="248"/>
      <c r="DL2" s="248"/>
      <c r="DM2" s="251"/>
    </row>
    <row r="3" spans="1:117" s="254" customFormat="1" ht="17.399999999999999" customHeight="1" x14ac:dyDescent="0.3">
      <c r="A3" s="345" t="s">
        <v>562</v>
      </c>
      <c r="B3" s="345" t="s">
        <v>536</v>
      </c>
      <c r="C3" s="345" t="s">
        <v>533</v>
      </c>
      <c r="D3" s="344" t="s">
        <v>532</v>
      </c>
      <c r="E3" s="344" t="s">
        <v>531</v>
      </c>
      <c r="F3" s="342" t="s">
        <v>546</v>
      </c>
      <c r="G3" s="252"/>
      <c r="H3" s="280" t="s">
        <v>79</v>
      </c>
      <c r="I3" s="281"/>
      <c r="J3" s="281"/>
      <c r="K3" s="281"/>
      <c r="L3" s="281"/>
      <c r="M3" s="281"/>
      <c r="N3" s="281"/>
      <c r="O3" s="281"/>
      <c r="P3" s="281"/>
      <c r="Q3" s="281"/>
      <c r="R3" s="281"/>
      <c r="S3" s="281"/>
      <c r="T3" s="253" t="s">
        <v>472</v>
      </c>
      <c r="U3" s="249" t="s">
        <v>80</v>
      </c>
      <c r="V3" s="249"/>
      <c r="W3" s="249"/>
      <c r="X3" s="249"/>
      <c r="Y3" s="249"/>
      <c r="Z3" s="249"/>
      <c r="AA3" s="249"/>
      <c r="AB3" s="249"/>
      <c r="AC3" s="249"/>
      <c r="AD3" s="249"/>
      <c r="AE3" s="249"/>
      <c r="AF3" s="249"/>
      <c r="AG3" s="249"/>
      <c r="AH3" s="249"/>
      <c r="AI3" s="249" t="s">
        <v>82</v>
      </c>
      <c r="AJ3" s="249"/>
      <c r="AK3" s="249"/>
      <c r="AL3" s="249"/>
      <c r="AM3" s="249"/>
      <c r="AN3" s="249"/>
      <c r="AO3" s="249"/>
      <c r="AP3" s="249"/>
      <c r="AQ3" s="249"/>
      <c r="AR3" s="249"/>
      <c r="AS3" s="249"/>
      <c r="AT3" s="249"/>
      <c r="AU3" s="249"/>
      <c r="AV3" s="249"/>
      <c r="AW3" s="249"/>
      <c r="AX3" s="249"/>
      <c r="AY3" s="249"/>
      <c r="AZ3" s="249"/>
      <c r="BA3" s="253" t="s">
        <v>478</v>
      </c>
      <c r="BB3" s="233"/>
      <c r="BC3" s="233"/>
      <c r="BD3" s="233"/>
      <c r="BE3" s="233"/>
      <c r="BF3" s="253" t="s">
        <v>482</v>
      </c>
      <c r="BG3" s="261"/>
      <c r="BH3" s="261"/>
      <c r="BI3" s="249"/>
      <c r="BJ3" s="249"/>
      <c r="BK3" s="249"/>
      <c r="BL3" s="255" t="s">
        <v>481</v>
      </c>
      <c r="BM3" s="256"/>
      <c r="BN3" s="256"/>
      <c r="BO3" s="256"/>
      <c r="BP3" s="256"/>
      <c r="BQ3" s="256"/>
      <c r="BR3" s="256"/>
      <c r="BS3" s="256"/>
      <c r="BT3" s="256"/>
      <c r="BU3" s="279" t="s">
        <v>549</v>
      </c>
      <c r="BV3" s="284" t="s">
        <v>551</v>
      </c>
      <c r="BW3" s="335"/>
      <c r="BX3" s="336"/>
      <c r="BY3" s="336"/>
      <c r="BZ3" s="337"/>
      <c r="CA3" s="340"/>
      <c r="CB3" s="341"/>
      <c r="CC3" s="355"/>
      <c r="CD3" s="356"/>
      <c r="CE3" s="356"/>
      <c r="CF3" s="357"/>
      <c r="CG3" s="249"/>
      <c r="CH3" s="249"/>
      <c r="CI3" s="249"/>
      <c r="CJ3" s="249"/>
      <c r="CK3" s="249"/>
      <c r="CL3" s="249"/>
      <c r="CM3" s="249"/>
      <c r="CN3" s="249"/>
      <c r="CO3" s="249"/>
      <c r="CP3" s="249"/>
      <c r="CQ3" s="249"/>
      <c r="CR3" s="249"/>
      <c r="CS3" s="249"/>
      <c r="CT3" s="249"/>
      <c r="CU3" s="249"/>
      <c r="CV3" s="249"/>
      <c r="CW3" s="249"/>
      <c r="CX3" s="249"/>
      <c r="CY3" s="249"/>
      <c r="CZ3" s="249"/>
      <c r="DA3" s="249"/>
      <c r="DB3" s="249"/>
      <c r="DC3" s="249"/>
      <c r="DD3" s="249"/>
      <c r="DE3" s="249"/>
      <c r="DF3" s="249"/>
      <c r="DG3" s="249"/>
      <c r="DH3" s="249"/>
      <c r="DI3" s="249"/>
      <c r="DJ3" s="249"/>
      <c r="DK3" s="249"/>
      <c r="DL3" s="249"/>
    </row>
    <row r="4" spans="1:117" s="139" customFormat="1" ht="19.2" x14ac:dyDescent="0.4">
      <c r="A4" s="345"/>
      <c r="B4" s="345"/>
      <c r="C4" s="345"/>
      <c r="D4" s="344"/>
      <c r="E4" s="344"/>
      <c r="F4" s="343"/>
      <c r="G4" s="230"/>
      <c r="H4" s="141" t="s">
        <v>376</v>
      </c>
      <c r="I4" s="142" t="s">
        <v>377</v>
      </c>
      <c r="J4" s="142" t="s">
        <v>378</v>
      </c>
      <c r="K4" s="142" t="s">
        <v>379</v>
      </c>
      <c r="L4" s="142" t="s">
        <v>68</v>
      </c>
      <c r="M4" s="142" t="s">
        <v>69</v>
      </c>
      <c r="N4" s="142" t="s">
        <v>70</v>
      </c>
      <c r="O4" s="142" t="s">
        <v>71</v>
      </c>
      <c r="P4" s="142" t="s">
        <v>380</v>
      </c>
      <c r="Q4" s="142" t="s">
        <v>381</v>
      </c>
      <c r="R4" s="142" t="s">
        <v>85</v>
      </c>
      <c r="S4" s="142" t="s">
        <v>74</v>
      </c>
      <c r="T4" s="234" t="s">
        <v>216</v>
      </c>
      <c r="U4" s="235" t="s">
        <v>46</v>
      </c>
      <c r="V4" s="235" t="s">
        <v>47</v>
      </c>
      <c r="W4" s="235" t="s">
        <v>48</v>
      </c>
      <c r="X4" s="235" t="s">
        <v>78</v>
      </c>
      <c r="Y4" s="235" t="s">
        <v>49</v>
      </c>
      <c r="Z4" s="235" t="s">
        <v>50</v>
      </c>
      <c r="AA4" s="235" t="s">
        <v>51</v>
      </c>
      <c r="AB4" s="235" t="s">
        <v>52</v>
      </c>
      <c r="AC4" s="235" t="s">
        <v>53</v>
      </c>
      <c r="AD4" s="235" t="s">
        <v>54</v>
      </c>
      <c r="AE4" s="235" t="s">
        <v>85</v>
      </c>
      <c r="AF4" s="235" t="s">
        <v>74</v>
      </c>
      <c r="AG4" s="235" t="s">
        <v>81</v>
      </c>
      <c r="AH4" s="235" t="s">
        <v>435</v>
      </c>
      <c r="AI4" s="235" t="s">
        <v>46</v>
      </c>
      <c r="AJ4" s="235" t="s">
        <v>47</v>
      </c>
      <c r="AK4" s="235" t="s">
        <v>48</v>
      </c>
      <c r="AL4" s="235" t="s">
        <v>78</v>
      </c>
      <c r="AM4" s="235" t="s">
        <v>49</v>
      </c>
      <c r="AN4" s="235" t="s">
        <v>50</v>
      </c>
      <c r="AO4" s="235" t="s">
        <v>51</v>
      </c>
      <c r="AP4" s="235" t="s">
        <v>52</v>
      </c>
      <c r="AQ4" s="235" t="s">
        <v>53</v>
      </c>
      <c r="AR4" s="235" t="s">
        <v>54</v>
      </c>
      <c r="AS4" s="235" t="s">
        <v>85</v>
      </c>
      <c r="AT4" s="235" t="s">
        <v>74</v>
      </c>
      <c r="AU4" s="235" t="s">
        <v>55</v>
      </c>
      <c r="AV4" s="235" t="s">
        <v>382</v>
      </c>
      <c r="AW4" s="235" t="s">
        <v>383</v>
      </c>
      <c r="AX4" s="235" t="s">
        <v>68</v>
      </c>
      <c r="AY4" s="235" t="s">
        <v>467</v>
      </c>
      <c r="AZ4" s="235" t="s">
        <v>83</v>
      </c>
      <c r="BA4" s="236" t="s">
        <v>177</v>
      </c>
      <c r="BB4" s="237" t="s">
        <v>41</v>
      </c>
      <c r="BC4" s="237" t="s">
        <v>172</v>
      </c>
      <c r="BD4" s="237" t="s">
        <v>173</v>
      </c>
      <c r="BE4" s="237" t="s">
        <v>40</v>
      </c>
      <c r="BF4" s="262" t="s">
        <v>509</v>
      </c>
      <c r="BG4" s="263" t="s">
        <v>510</v>
      </c>
      <c r="BH4" s="263" t="s">
        <v>511</v>
      </c>
      <c r="BI4" s="238" t="s">
        <v>176</v>
      </c>
      <c r="BJ4" s="235" t="s">
        <v>175</v>
      </c>
      <c r="BK4" s="235" t="s">
        <v>174</v>
      </c>
      <c r="BL4" s="234" t="s">
        <v>374</v>
      </c>
      <c r="BM4" s="239" t="s">
        <v>471</v>
      </c>
      <c r="BN4" s="239" t="s">
        <v>470</v>
      </c>
      <c r="BO4" s="234" t="s">
        <v>375</v>
      </c>
      <c r="BP4" s="239" t="s">
        <v>0</v>
      </c>
      <c r="BQ4" s="239" t="s">
        <v>416</v>
      </c>
      <c r="BR4" s="239" t="s">
        <v>417</v>
      </c>
      <c r="BS4" s="240" t="s">
        <v>415</v>
      </c>
      <c r="BT4" s="239" t="s">
        <v>402</v>
      </c>
      <c r="BU4" s="234" t="s">
        <v>548</v>
      </c>
      <c r="BV4" s="234" t="s">
        <v>374</v>
      </c>
      <c r="BW4" s="234" t="s">
        <v>541</v>
      </c>
      <c r="BX4" s="235" t="s">
        <v>44</v>
      </c>
      <c r="BY4" s="235" t="s">
        <v>412</v>
      </c>
      <c r="BZ4" s="235" t="s">
        <v>540</v>
      </c>
      <c r="CA4" s="235" t="s">
        <v>542</v>
      </c>
      <c r="CB4" s="235" t="s">
        <v>543</v>
      </c>
      <c r="CC4" s="235" t="s">
        <v>560</v>
      </c>
      <c r="CD4" s="235"/>
      <c r="CE4" s="234" t="s">
        <v>512</v>
      </c>
      <c r="CF4" s="241" t="s">
        <v>403</v>
      </c>
      <c r="CG4" s="235" t="s">
        <v>46</v>
      </c>
      <c r="CH4" s="235" t="s">
        <v>479</v>
      </c>
      <c r="CI4" s="235" t="s">
        <v>47</v>
      </c>
      <c r="CJ4" s="235" t="s">
        <v>473</v>
      </c>
      <c r="CK4" s="235"/>
      <c r="CL4" s="235" t="s">
        <v>480</v>
      </c>
      <c r="CM4" s="235" t="s">
        <v>47</v>
      </c>
      <c r="CN4" s="235" t="s">
        <v>78</v>
      </c>
      <c r="CO4" s="235" t="s">
        <v>386</v>
      </c>
      <c r="CP4" s="235" t="s">
        <v>51</v>
      </c>
      <c r="CQ4" s="235" t="s">
        <v>387</v>
      </c>
      <c r="CR4" s="235" t="s">
        <v>50</v>
      </c>
      <c r="CS4" s="235" t="s">
        <v>474</v>
      </c>
      <c r="CT4" s="235"/>
      <c r="CU4" s="235" t="s">
        <v>52</v>
      </c>
      <c r="CV4" s="235" t="s">
        <v>53</v>
      </c>
      <c r="CW4" s="235" t="s">
        <v>475</v>
      </c>
      <c r="CX4" s="235"/>
      <c r="CY4" s="235" t="s">
        <v>53</v>
      </c>
      <c r="CZ4" s="235" t="s">
        <v>54</v>
      </c>
      <c r="DA4" s="235" t="s">
        <v>476</v>
      </c>
      <c r="DB4" s="235"/>
      <c r="DC4" s="235" t="s">
        <v>406</v>
      </c>
      <c r="DD4" s="235" t="s">
        <v>85</v>
      </c>
      <c r="DE4" s="235" t="s">
        <v>74</v>
      </c>
      <c r="DF4" s="235" t="s">
        <v>407</v>
      </c>
      <c r="DG4" s="235" t="s">
        <v>14</v>
      </c>
      <c r="DH4" s="235"/>
      <c r="DI4" s="235" t="s">
        <v>384</v>
      </c>
      <c r="DJ4" s="235" t="s">
        <v>563</v>
      </c>
      <c r="DK4" s="235" t="s">
        <v>564</v>
      </c>
      <c r="DL4" s="235" t="s">
        <v>385</v>
      </c>
    </row>
    <row r="5" spans="1:117" ht="13.8" x14ac:dyDescent="0.25">
      <c r="A5" s="287" t="s">
        <v>556</v>
      </c>
      <c r="B5" s="288" t="s">
        <v>538</v>
      </c>
      <c r="C5" s="289">
        <v>42</v>
      </c>
      <c r="D5" s="289" t="s">
        <v>516</v>
      </c>
      <c r="E5" s="290" t="s">
        <v>514</v>
      </c>
      <c r="F5" s="289" t="s">
        <v>534</v>
      </c>
      <c r="G5" s="291"/>
      <c r="H5" s="292">
        <v>39.865000000000002</v>
      </c>
      <c r="I5" s="292">
        <v>2.0179999999999998</v>
      </c>
      <c r="J5" s="292">
        <v>13.430999999999999</v>
      </c>
      <c r="K5" s="292">
        <v>5.0000000000000001E-3</v>
      </c>
      <c r="L5" s="292">
        <v>16.762</v>
      </c>
      <c r="M5" s="292">
        <v>0.378</v>
      </c>
      <c r="N5" s="292">
        <v>10.114000000000001</v>
      </c>
      <c r="O5" s="292">
        <v>11.537000000000001</v>
      </c>
      <c r="P5" s="292">
        <v>1.9450000000000001</v>
      </c>
      <c r="Q5" s="292">
        <v>1.07</v>
      </c>
      <c r="R5" s="293">
        <v>0</v>
      </c>
      <c r="S5" s="293">
        <v>3.3000000000000002E-2</v>
      </c>
      <c r="T5" s="294">
        <f t="shared" ref="T5:T10" si="0">IF(SUM(H5:S5)&lt;90," ",SUM(H5:S5))</f>
        <v>97.158000000000001</v>
      </c>
      <c r="U5" s="295">
        <f>IF(SUM(H5:S5)&lt;90," ",H5/stab.data!$U$7)</f>
        <v>0.66348778376938955</v>
      </c>
      <c r="V5" s="295">
        <f>IF(SUM(H5:S5)&lt;90," ",I5/stab.data!$U$8)</f>
        <v>2.5257202933740518E-2</v>
      </c>
      <c r="W5" s="295">
        <f>IF(SUM(H5:S5)&lt;90," ",J5*2/stab.data!$U$9)</f>
        <v>0.26345367346338305</v>
      </c>
      <c r="X5" s="295">
        <f>IF(SUM(H5:S5)&lt;90," ",K5*2/stab.data!$U$10)</f>
        <v>6.5793715647456211E-5</v>
      </c>
      <c r="Y5" s="295">
        <f>IF(SUM(H5:S5)&lt;90," ",L5/stab.data!$U$11)</f>
        <v>0.23330456810400022</v>
      </c>
      <c r="Z5" s="295">
        <f>IF(SUM(H5:S5)&lt;90," ",M5/stab.data!$U$12)</f>
        <v>5.3286719201545039E-3</v>
      </c>
      <c r="AA5" s="295">
        <f>IF(SUM(H5:S5)&lt;90," ",N5/stab.data!$U$13)</f>
        <v>0.25094283445811832</v>
      </c>
      <c r="AB5" s="295">
        <f>IF(SUM(H5:S5)&lt;90," ",O5/stab.data!$U$14)</f>
        <v>0.20572763423028229</v>
      </c>
      <c r="AC5" s="295">
        <f>IF(SUM(H5:S5)&lt;90," ",P5*2/stab.data!$U$15)</f>
        <v>6.2763193985059459E-2</v>
      </c>
      <c r="AD5" s="295">
        <f>IF(SUM(H5:S5)&lt;90," ",Q5*2/stab.data!$U$16)</f>
        <v>2.2718827963267692E-2</v>
      </c>
      <c r="AE5" s="295">
        <f>IF(SUM(H5:S5)&lt;90," ",R5/stab.data!$U$17)</f>
        <v>0</v>
      </c>
      <c r="AF5" s="295">
        <f>IF(SUM(H5:S5)&lt;90," ",S5/stab.data!$U$18)</f>
        <v>9.3080980452994104E-4</v>
      </c>
      <c r="AG5" s="295">
        <f t="shared" ref="AG5:AG10" si="1">IF(SUM(H5:S5)&lt;90," ",SUM(U5:AA5))</f>
        <v>1.4418405283644335</v>
      </c>
      <c r="AH5" s="295">
        <f t="shared" ref="AH5:AH10" si="2">IF(SUM(H5:S5)&lt;90," ",AK5/SUM(AI5:AR5))</f>
        <v>0.15201733672406517</v>
      </c>
      <c r="AI5" s="296">
        <f t="shared" ref="AI5:AI10" si="3">IF(SUM(H5:S5)&lt;90," ",U5*13/$AG5)</f>
        <v>5.9821741859249222</v>
      </c>
      <c r="AJ5" s="296">
        <f t="shared" ref="AJ5:AJ10" si="4">IF(SUM(H5:S5)&lt;90," ",V5*13/$AG5)</f>
        <v>0.22772534942618561</v>
      </c>
      <c r="AK5" s="296">
        <f t="shared" ref="AK5:AK10" si="5">IF(SUM(H5:S5)&lt;90," ",W5*13/$AG5)</f>
        <v>2.3753651583847817</v>
      </c>
      <c r="AL5" s="296">
        <f t="shared" ref="AL5:AL10" si="6">IF(SUM(H5:S5)&lt;90," ",X5*13/$AG5)</f>
        <v>5.9321283220355148E-4</v>
      </c>
      <c r="AM5" s="296">
        <f t="shared" ref="AM5:AM10" si="7">IF(SUM(H5:S5)&lt;90," ",Y5*13/$AG5)</f>
        <v>2.1035331756088662</v>
      </c>
      <c r="AN5" s="296">
        <f t="shared" ref="AN5:AN10" si="8">IF(SUM(H5:S5)&lt;90," ",Z5*13/$AG5)</f>
        <v>4.8044657921073125E-2</v>
      </c>
      <c r="AO5" s="296">
        <f t="shared" ref="AO5:AO10" si="9">IF(SUM(H5:S5)&lt;90," ",AA5*13/$AG5)</f>
        <v>2.2625642599019686</v>
      </c>
      <c r="AP5" s="296">
        <f t="shared" ref="AP5:AP10" si="10">IF(SUM(H5:S5)&lt;90," ",AB5*13/$AG5)</f>
        <v>1.8548925435099743</v>
      </c>
      <c r="AQ5" s="296">
        <f t="shared" ref="AQ5:AQ10" si="11">IF(SUM(H5:S5)&lt;90," ",AC5*13/$AG5)</f>
        <v>0.56588888004925331</v>
      </c>
      <c r="AR5" s="296">
        <f t="shared" ref="AR5:AR10" si="12">IF(SUM(H5:S5)&lt;90," ",AD5*13/$AG5)</f>
        <v>0.20483871670434131</v>
      </c>
      <c r="AS5" s="296">
        <f t="shared" ref="AS5:AS10" si="13">IF(SUM(H5:S5)&lt;90," ",AE5*13/$AG5)</f>
        <v>0</v>
      </c>
      <c r="AT5" s="296">
        <f t="shared" ref="AT5:AT10" si="14">IF(SUM(H5:S5)&lt;90," ",AF5*13/$AG5)</f>
        <v>8.3924173449442356E-3</v>
      </c>
      <c r="AU5" s="295">
        <f t="shared" ref="AU5:AU10" si="15">IF(SUM(H5:S5)&lt;90," ",SUM(AI5:AR5))</f>
        <v>15.625620140263569</v>
      </c>
      <c r="AV5" s="295">
        <f t="shared" ref="AV5:AV10" si="16">IF(SUM(H5:S5)&lt;90," ",(2-AS5-AT5)*AG5*17/13/2)</f>
        <v>1.8775718845226779</v>
      </c>
      <c r="AW5" s="295">
        <f>IF(SUM(H5:S5)&lt;90," ",CO5*AG5*stab.data!$U$20/13/2)</f>
        <v>6.4091556865923156</v>
      </c>
      <c r="AX5" s="295">
        <f>IF(SUM(H5:S5)&lt;90," ",CQ5*AG5*stab.data!$U$11/13)</f>
        <v>10.994959910590932</v>
      </c>
      <c r="AY5" s="295">
        <f t="shared" ref="AY5:AY10" si="17">IF(SUM(H5:S5)&lt;90," ",-(R5*0.421070639014633+S5*0.225636758525372))</f>
        <v>-7.4460130313372761E-3</v>
      </c>
      <c r="AZ5" s="297">
        <f t="shared" ref="AZ5:AZ10" si="18">IF(SUM(H5:S5)&lt;90," ",SUM(H5:S5)-L5+AV5+AW5+AX5+AY5)</f>
        <v>99.67024146867459</v>
      </c>
      <c r="BA5" s="298">
        <f>IF(SUM(H5:S5)&lt;90," ",EXP('eq. coef.'!$C$104+'eq. coef.'!$C$105*'Amp (T-P-fO2 calculation)'!AI5+'eq. coef.'!$C$106*'Amp (T-P-fO2 calculation)'!AJ5+'eq. coef.'!$C$107*'Amp (T-P-fO2 calculation)'!AK5+'eq. coef.'!$C$108*'Amp (T-P-fO2 calculation)'!AM5+'eq. coef.'!$C$109*'Amp (T-P-fO2 calculation)'!AO5+'eq. coef.'!$C$110*'Amp (T-P-fO2 calculation)'!AP5+'eq. coef.'!$C$111*'Amp (T-P-fO2 calculation)'!AQ5+'eq. coef.'!$C$112*'Amp (T-P-fO2 calculation)'!AR5))</f>
        <v>594.94990385212793</v>
      </c>
      <c r="BB5" s="299">
        <f>IF(SUM(H5:S5)&lt;90," ",EXP('eq. coef.'!$C$176+'eq. coef.'!$C$177*'Amp (T-P-fO2 calculation)'!AI5+'eq. coef.'!$C$178*'Amp (T-P-fO2 calculation)'!AJ5+'eq. coef.'!$C$179*'Amp (T-P-fO2 calculation)'!AK5+'eq. coef.'!$C$180*'Amp (T-P-fO2 calculation)'!AM5+'eq. coef.'!$C$181*'Amp (T-P-fO2 calculation)'!AO5+'eq. coef.'!$C$182*'Amp (T-P-fO2 calculation)'!AP5+'eq. coef.'!$C$183*'Amp (T-P-fO2 calculation)'!AQ5+'eq. coef.'!$C$184*'Amp (T-P-fO2 calculation)'!AR5))</f>
        <v>468.74219748304165</v>
      </c>
      <c r="BC5" s="299">
        <f>IF(SUM(H5:S5)&lt;90," ",('eq. coef.'!$C$234+'eq. coef.'!$C$235*'Amp (T-P-fO2 calculation)'!AI5+'eq. coef.'!$C$236*'Amp (T-P-fO2 calculation)'!AJ5+'eq. coef.'!$C$237*'Amp (T-P-fO2 calculation)'!AK5+'eq. coef.'!$C$238*'Amp (T-P-fO2 calculation)'!AM5+'eq. coef.'!$C$239*'Amp (T-P-fO2 calculation)'!AO5+'eq. coef.'!$C$240*'Amp (T-P-fO2 calculation)'!AP5+'eq. coef.'!$C$241*'Amp (T-P-fO2 calculation)'!AQ5+'eq. coef.'!$C$242*'Amp (T-P-fO2 calculation)'!AR5))</f>
        <v>507.65915974022016</v>
      </c>
      <c r="BD5" s="299">
        <f>IF(SUM(H5:S5)&lt;90," ",('eq. coef.'!$C$270+'eq. coef.'!$C$271*'Amp (T-P-fO2 calculation)'!AI5+'eq. coef.'!$C$272*'Amp (T-P-fO2 calculation)'!AJ5+'eq. coef.'!$C$273*'Amp (T-P-fO2 calculation)'!AK5+'eq. coef.'!$C$274*'Amp (T-P-fO2 calculation)'!AM5+'eq. coef.'!$C$275*'Amp (T-P-fO2 calculation)'!AO5+'eq. coef.'!$C$276*'Amp (T-P-fO2 calculation)'!AP5+'eq. coef.'!$C$277*'Amp (T-P-fO2 calculation)'!AQ5+'eq. coef.'!$C$278*'Amp (T-P-fO2 calculation)'!AR5))</f>
        <v>471.60991068870032</v>
      </c>
      <c r="BE5" s="299">
        <f>IF(SUM(H5:S5)&lt;90," ",EXP('eq. coef.'!$C$328+'eq. coef.'!$C$329*'Amp (T-P-fO2 calculation)'!AI5+'eq. coef.'!$C$330*'Amp (T-P-fO2 calculation)'!AJ5+'eq. coef.'!$C$331*'Amp (T-P-fO2 calculation)'!AK5+'eq. coef.'!$C$332*'Amp (T-P-fO2 calculation)'!AM5+'eq. coef.'!$C$333*'Amp (T-P-fO2 calculation)'!AO5+'eq. coef.'!$C$334*'Amp (T-P-fO2 calculation)'!AP5+'eq. coef.'!$C$335*'Amp (T-P-fO2 calculation)'!AQ5+'eq. coef.'!$C$336*'Amp (T-P-fO2 calculation)'!AR5))</f>
        <v>820.39150783424407</v>
      </c>
      <c r="BF5" s="300" t="str">
        <f t="shared" ref="BF5:BF41" si="19">IF(SUM(H5:S5)&lt;90," ",IF(AZ5&lt;98.5,"low Total",IF(AZ5&gt;102,"high Total",IF(DG5&gt;46.5,"unbalanced",IF(CQ5&lt;0,"unbalanced",IF(DI5&lt;0.54,"low-Mg",IF(CU5&lt;1.5,"low-Ca",IF(CW5&lt;1.99,"low-B cations",IF(CU5&gt;2.05,"high-Ca",IF(DK5&gt;0.25,"high-Al#",IF(H5&lt;38.8-0.42,"low-SiO2",IF(H5&gt;49.8,"high-SiO2",IF(CI5&gt;0.06+0.06*0.2,"high-[4]Ti",IF(CL5&gt;0.57+0.57*0.074,"high-[6]Al",IF(CM5&gt;0.7+0.7*0.07,"high-[6]Ti",IF(CN5&gt;0.04+0.04*0.1,"high-Cr2O3",IF(CO5&gt;1.37+1.37*0.28,"high-Fe3+",IF(N5&lt;9.71-0.35,"low-MgO",IF(N5&gt;18.01+0.35,"high-MgO",IF(CQ5&gt;1.69+1.69*0.28,"high-Fe2+",IF(M5&gt;0.58+0.58*0.3,"high-MnO",IF(O5&gt;12.35+0.25,"high-CaO",IF(CY5&lt;0,"low-ANa",IF(CY5&gt;0.58+0.58*0.11,"high-ANa",IF(Q5&lt;0,"low-K2O",IF(Q5&gt;2.03+0.05,"high-K2O",IF(DA5&lt;0.03-0.03*0.3,"low-A(Na+K)",IF(DA5&gt;1,"high-A(Na+K)",IF(J5&lt;6.5,"low-Al2O3",IF(J5&gt;15.9+0.36,"high-Al2O3",IF(I5&lt;1.1-0.2,"low-TiO2",IF(L5&lt;5.85-0.44,"low-FeO",IF(L5&gt;16.92+0.44,"high-FeO",IF(P5&lt;1.07-0.1,"low-Na2O",IF(P5&gt;3.05+0.1,"high-Na2O","ok")))))))))))))))))))))))))))))))))))</f>
        <v>ok</v>
      </c>
      <c r="BG5" s="301" t="str">
        <f t="shared" ref="BG5:BG41" si="20">IF(SUM(H5:S5)&lt;90," ",IF(DI5&lt;0.54,"low-Mg",IF(CU5&lt;1.5,"low-Ca",IF(CW5&lt;1.99,"low-B cations",IF(CU5&gt;2.05,"high-Ca",IF(DK5&gt;0.24,"high-Al#",IF(H5&lt;39.2-0.42,"low-SiO2",IF(H5&gt;46.2+0.42,"high-SiO2",IF(CI5&gt;0.06+0.06*0.2,"high-[4]Ti",IF(CL5&gt;0.48+0.48*0.074,"high-[6]Al",IF(CM5&gt;0.66+0.66*0.07,"high-[6]Ti",IF(CN5&gt;0.04+0.04*0.1,"high-Cr2O3",IF(CO5&gt;1.25+1.25*0.28,"high-Fe3+",IF(N5&lt;9.71-0.35,"low-MgO",IF(N5&gt;16.7+0.35,"high-MgO",IF(CQ5&gt;1.69+1.69*0.28,"high-Fe2+",IF(M5&gt;0.32+0.32*0.3,"high-MnO",IF(O5&gt;12.35+0.25,"high-CaO",IF(CY5&lt;0.1,"low-ANa",IF(CY5&gt;0.57+0.57*0.11,"high-ANa",IF(Q5&lt;0,"low-K2O",IF(Q5&gt;1.3+0.05,"high-K2O",IF(DA5&lt;0.17-0.17*0.3,"low-A(Na+K)",IF(DA5&gt;0.9,"high-A(Na+K)",IF(J5&lt;8.5,"low-Al2O3",IF(J5&gt;14.6+0.4,"high-Al2O3",IF(I5&lt;1.3-0.2,"low-TiO2",IF(L5&lt;8.7-0.44,"low-FeO",IF(L5&gt;16.92+0.44,"high-FeO",IF(P5&lt;1.6-0.1,"low-Na2O",IF(P5&gt;2.65+0.1,"high-Na2O","ok")))))))))))))))))))))))))))))))</f>
        <v>ok</v>
      </c>
      <c r="BH5" s="301" t="str">
        <f t="shared" ref="BH5:BH41" si="21">IF(SUM(H5:S5)&lt;90," ",IF(DI5&lt;0.54,"low-Mg",IF(CU5&lt;1.5,"low-Ca",IF(CW5&lt;1.99,"low-B cations",IF(CU5&gt;2.05,"high-Ca",IF(DK5&gt;0.24,"high-Al#",IF(H5&lt;38.8-0.42,"low-SiO2",IF(H5&gt;47.9+0.42,"high-SiO2",IF(CI5&gt;0.06+0.06*0.2,"high-[4]Ti",IF(CL5&gt;0.55+0.55*0.074,"high-[6]Al",IF(CM5&gt;0.7+0.7*0.07,"high-[6]Ti",IF(CN5&gt;0.03+0.03*0.1,"high-Cr2O3",IF(CO5&gt;1.37+1.37*0.28,"high-Fe3+",IF(N5&lt;9.71-0.35,"low-MgO",IF(N5&gt;18+0.35,"high-MgO",IF(CQ5&gt;1.69+1.69*0.28,"high-Fe2+",IF(M5&gt;0.58+0.58*0.3,"high-MnO",IF(O5&gt;12.35+0.25,"high-CaO",IF(CY5&lt;0,"low-ANa",IF(CY5&gt;0.58+0.58*0.11,"high-ANa",IF(Q5&lt;0,"low-K2O",IF(Q5&gt;2+0.05,"high-K2O",IF(DA5&lt;0.07-0.07*0.3,"low-A(Na+K)",IF(DA5&gt;0.9,"high-A(Na+K)",IF(J5&lt;6.5,"low-Al2O3",IF(J5&gt;15.9+0.4,"high-Al2O3",IF(I5&lt;1.1-0.2,"low-TiO2",IF(L5&lt;5.9-0.44,"low-FeO",IF(L5&gt;16.92+0.44,"high-FeO",IF(P5&lt;1.28-0.1,"low-Na2O",IF(P5&gt;2.9+0.1,"high-Na2O","ok")))))))))))))))))))))))))))))))</f>
        <v>ok</v>
      </c>
      <c r="BI5" s="299">
        <f t="shared" ref="BI5:BI31" si="22">IF(SUM(H5:S5)&lt;90," ",ABS(BA5-BO5)/(BA5+BO5)*200)</f>
        <v>15.833489310800827</v>
      </c>
      <c r="BJ5" s="302">
        <f t="shared" ref="BJ5:BJ10" si="23">IF(SUM(H5:S5)&lt;90," ",(BA5-BE5)/BA5)</f>
        <v>-0.37892535576936343</v>
      </c>
      <c r="BK5" s="299">
        <f t="shared" ref="BK5:BK10" si="24">IF(SUM(H5:S5)&lt;90," ",BD5-BB5)</f>
        <v>2.8677132056586743</v>
      </c>
      <c r="BL5" s="303">
        <f>IF(SUM(H5:S5)&lt;90," ",'eq. coef.'!$C$360+'eq. coef.'!$C$361*'Amp (T-P-fO2 calculation)'!AI5+'eq. coef.'!$C$362*'Amp (T-P-fO2 calculation)'!AJ5+'eq. coef.'!$C$363*'Amp (T-P-fO2 calculation)'!AK5+'eq. coef.'!$C$364*'Amp (T-P-fO2 calculation)'!AM5+'eq. coef.'!$C$365*'Amp (T-P-fO2 calculation)'!AO5+'eq. coef.'!$C$366*'Amp (T-P-fO2 calculation)'!AP5+'eq. coef.'!$C$367*'Amp (T-P-fO2 calculation)'!AQ5+'eq. coef.'!$C$368*'Amp (T-P-fO2 calculation)'!AR5+'eq. coef.'!$C$369*LN(BO5))</f>
        <v>904.6773376286294</v>
      </c>
      <c r="BM5" s="304">
        <f t="shared" ref="BM5:BM31" si="25">IF(SUM(H5:S5)&lt;90," ",22)</f>
        <v>22</v>
      </c>
      <c r="BN5" s="305">
        <f t="shared" ref="BN5:BN31" si="26">IF(SUM(H5:S5)&lt;90," ",BM5^2)</f>
        <v>484</v>
      </c>
      <c r="BO5" s="306">
        <f t="shared" ref="BO5:BO31" si="27">IF(SUM(H5:S5)&lt;90," ",IF(BB5&lt;335,BB5,IF(BB5&lt;399,AVERAGE(BB5:BC5),IF(BC5&lt;415,BC5,IF(BD5&lt;470,BC5,IF(BJ5&gt;0.22,AVERAGE(BC5:BD5),IF(BK5&gt;350,BE5,IF(BK5&gt;210,BD5,IF(BK5&lt;75,BC5,IF(BJ5&lt;-0.2,AVERAGE(BB5:BC5),IF(BJ5&gt;0.05,AVERAGE(BC5:BD5),BA5)))))))))))</f>
        <v>507.65915974022016</v>
      </c>
      <c r="BP5" s="299" t="str">
        <f t="shared" ref="BP5:BP31" si="28">IF(SUM(H5:S5)&lt;90," ",IF(BO5=BA5,"P1a",IF(BO5=BB5,"P1b",IF(BO5=BC5,"P1c",IF(BO5=BD5,"P1d",IF(BO5=BE5,"P1e",IF(BO5=AVERAGE(BB5:BC5),"P1b_c","P1c_d")))))))</f>
        <v>P1c</v>
      </c>
      <c r="BQ5" s="302"/>
      <c r="BR5" s="302">
        <f t="shared" ref="BR5:BR10" si="29">ABS(BQ5)</f>
        <v>0</v>
      </c>
      <c r="BS5" s="302">
        <f t="shared" ref="BS5:BS10" si="30">BQ5^2</f>
        <v>0</v>
      </c>
      <c r="BT5" s="299">
        <f t="shared" ref="BT5:BT31" si="31">IF(SUM(H5:S5)&lt;90," ",BO5*0.12)</f>
        <v>60.919099168826421</v>
      </c>
      <c r="BU5" s="307">
        <f>(-4.76+5.6*DL5)*100</f>
        <v>854.20448869547772</v>
      </c>
      <c r="BV5" s="308">
        <f>2400/(1.52-LOG10(CM5))-273</f>
        <v>836.78110891162987</v>
      </c>
      <c r="BW5" s="267">
        <f>IF(SUM(H5:S5)&lt;90," ",'eq. coef.'!$B$1128*'Amp (T-P-fO2 calculation)'!CH5+'eq. coef.'!$B$1129*'Amp (T-P-fO2 calculation)'!CL5+'eq. coef.'!$B$1130*'Amp (T-P-fO2 calculation)'!CM5+'eq. coef.'!$B$1131*'Amp (T-P-fO2 calculation)'!CO5+'eq. coef.'!$B$1132*'Amp (T-P-fO2 calculation)'!CP5+'eq. coef.'!$B$1133*'Amp (T-P-fO2 calculation)'!CQ5+'eq. coef.'!$B$1134*'Amp (T-P-fO2 calculation)'!CR5+'eq. coef.'!$B$1135*'Amp (T-P-fO2 calculation)'!CU5+'eq. coef.'!$B$1135*'Amp (T-P-fO2 calculation)'!CY5+'eq. coef.'!$B$1137*'Amp (T-P-fO2 calculation)'!CZ5)</f>
        <v>1.9101695261890086</v>
      </c>
      <c r="BX5" s="268">
        <f t="shared" ref="BX5:BX41" si="32">IF(SUM(H5:S5)&lt;90," ",0.4)</f>
        <v>0.4</v>
      </c>
      <c r="BY5" s="269"/>
      <c r="BZ5" s="282">
        <f>12.78-25073/(BL5+273.15)-1.1*LOG10(BL5+273.15)+450*(BO5/1000)/(BL5+273.15)+0.025*(BO5/1000)</f>
        <v>-11.679042829926601</v>
      </c>
      <c r="CA5" s="269">
        <f>CC5-CB5</f>
        <v>0.48778226784893697</v>
      </c>
      <c r="CB5" s="282">
        <f>2.19144+15305300/(BL5+273.15)/(BL5+273.15)/(BL5+273.15)-1551.42/(BL5+273.15)/(BL5+273.15)+(-25137+0.0477703*(BO5*10))/(BL5+273.15)+0.000109305*(BL5+273.15)+2.7838*LOG10(BL5+273.15)</f>
        <v>-10.25823343027548</v>
      </c>
      <c r="CC5" s="268">
        <f t="shared" ref="CC5:CC41" si="33">IF(SUM(H5:S5)&lt;90," ",-25018.7/(BL5+273.15) + 12.981 + 0.046*(BO5*10- 1)/(BL5+273.15) + -0.5117*LN(BL5+273.15)+BW5)</f>
        <v>-9.7704511624265429</v>
      </c>
      <c r="CD5" s="268"/>
      <c r="CE5" s="267">
        <f>IF(SUM(H5:S5)&lt;90," ",EXP('eq. coef.'!$B$1156*'Amp (T-P-fO2 calculation)'!CH5+'eq. coef.'!$B$1157*'Amp (T-P-fO2 calculation)'!CL5+'eq. coef.'!$B$1158*'Amp (T-P-fO2 calculation)'!CM5+'eq. coef.'!$B$1159*'Amp (T-P-fO2 calculation)'!CO5+'eq. coef.'!$B$1160*'Amp (T-P-fO2 calculation)'!CP5+'eq. coef.'!$B$1161*'Amp (T-P-fO2 calculation)'!CQ5+'eq. coef.'!$B$1162*'Amp (T-P-fO2 calculation)'!CR5+'eq. coef.'!$B$1163*'Amp (T-P-fO2 calculation)'!CU5+'eq. coef.'!$B$1164*'Amp (T-P-fO2 calculation)'!CY5+'eq. coef.'!$B$1165*'Amp (T-P-fO2 calculation)'!CZ5))</f>
        <v>8.0094969982250817</v>
      </c>
      <c r="CF5" s="302">
        <f t="shared" ref="CF5:CF41" si="34">IF(SUM(H5:S5)&lt;90," ",CE5*0.17)</f>
        <v>1.361614489698264</v>
      </c>
      <c r="CG5" s="296">
        <f t="shared" ref="CG5:CG41" si="35">IF(SUM(H5:S5)&lt;90," ",AI5)</f>
        <v>5.9821741859249222</v>
      </c>
      <c r="CH5" s="296">
        <f t="shared" ref="CH5:CH41" si="36">IF(SUM(H5:S5)&lt;90," ",IF(AI5+AK5&gt;8,8-AI5,AK5))</f>
        <v>2.0178258140750778</v>
      </c>
      <c r="CI5" s="296">
        <f t="shared" ref="CI5:CI41" si="37">IF(SUM(H5:S5)&lt;90," ",IF(CG5+CH5&lt;8,8-CG5-CH5,0))</f>
        <v>0</v>
      </c>
      <c r="CJ5" s="296">
        <f t="shared" ref="CJ5:CJ41" si="38">IF(SUM(H5:S5)&lt;90," ",SUM(CG5:CI5))</f>
        <v>8</v>
      </c>
      <c r="CK5" s="296"/>
      <c r="CL5" s="296">
        <f t="shared" ref="CL5:CL41" si="39">IF(SUM(H5:S5)&lt;90," ",AK5-CH5)</f>
        <v>0.35753934430970391</v>
      </c>
      <c r="CM5" s="296">
        <f t="shared" ref="CM5:CM41" si="40">IF(SUM(H5:S5)&lt;90," ",AJ5-CI5)</f>
        <v>0.22772534942618561</v>
      </c>
      <c r="CN5" s="296">
        <f t="shared" ref="CN5:CN41" si="41">IF(SUM(H5:S5)&lt;90," ",AL5)</f>
        <v>5.9321283220355148E-4</v>
      </c>
      <c r="CO5" s="296">
        <f t="shared" ref="CO5:CO41" si="42">IF(SUM(H5:S5)&lt;90," ",IF(DG5&gt;46,0,46-DG5))</f>
        <v>0.72372987430725999</v>
      </c>
      <c r="CP5" s="296">
        <f t="shared" ref="CP5:CP41" si="43">IF(SUM(H5:S5)&lt;90," ",AO5)</f>
        <v>2.2625642599019686</v>
      </c>
      <c r="CQ5" s="296">
        <f t="shared" ref="CQ5:CQ41" si="44">IF(SUM(H5:S5)&lt;90," ",AM5-CO5)</f>
        <v>1.3798033013016062</v>
      </c>
      <c r="CR5" s="296">
        <f t="shared" ref="CR5:CR41" si="45">IF(SUM(H5:S5)&lt;90," ",AN5)</f>
        <v>4.8044657921073125E-2</v>
      </c>
      <c r="CS5" s="296">
        <f t="shared" ref="CS5:CS41" si="46">IF(SUM(H5:S5)&lt;90," ",SUM(CL5:CR5))</f>
        <v>5.0000000000000018</v>
      </c>
      <c r="CT5" s="296"/>
      <c r="CU5" s="296">
        <f t="shared" ref="CU5:CU41" si="47">IF(SUM(H5:S5)&lt;90," ",AP5)</f>
        <v>1.8548925435099743</v>
      </c>
      <c r="CV5" s="296">
        <f t="shared" ref="CV5:CV41" si="48">IF(SUM(H5:S5)&lt;90," ",IF(2-CU5&lt;=AQ5,2-CU5,AQ5))</f>
        <v>0.14510745649002565</v>
      </c>
      <c r="CW5" s="296">
        <f t="shared" ref="CW5:CW41" si="49">IF(SUM(H5:S5)&lt;90," ",SUM(CU5:CV5))</f>
        <v>2</v>
      </c>
      <c r="CX5" s="296"/>
      <c r="CY5" s="296">
        <f t="shared" ref="CY5:CY41" si="50">IF(SUM(H5:S5)&lt;90," ",AQ5-CV5)</f>
        <v>0.42078142355922765</v>
      </c>
      <c r="CZ5" s="296">
        <f t="shared" ref="CZ5:CZ41" si="51">IF(SUM(H5:S5)&lt;90," ",AR5)</f>
        <v>0.20483871670434131</v>
      </c>
      <c r="DA5" s="296">
        <f t="shared" ref="DA5:DA41" si="52">IF(SUM(H5:S5)&lt;90," ",SUM(CY5:CZ5))</f>
        <v>0.62562014026356894</v>
      </c>
      <c r="DB5" s="296"/>
      <c r="DC5" s="296">
        <f t="shared" ref="DC5:DC41" si="53">IF(SUM(H5:S5)&lt;90," ",2-DD5-DE5)</f>
        <v>1.9916075826550557</v>
      </c>
      <c r="DD5" s="296">
        <f t="shared" ref="DD5:DD41" si="54">IF(SUM(H5:S5)&lt;90," ",AS5)</f>
        <v>0</v>
      </c>
      <c r="DE5" s="296">
        <f t="shared" ref="DE5:DE41" si="55">IF(SUM(H5:S5)&lt;90," ",AT5)</f>
        <v>8.3924173449442356E-3</v>
      </c>
      <c r="DF5" s="296">
        <f t="shared" ref="DF5:DF41" si="56">IF(SUM(H5:S5)&lt;90," ",SUM(DC5:DE5))</f>
        <v>2</v>
      </c>
      <c r="DG5" s="302">
        <f t="shared" ref="DG5:DG41" si="57">IF(SUM(H5:S5)&lt;90," ",AI5*4+AJ5*4+AK5*3+AL5*3+AM5*2+AN5*2+AO5*2+AP5*2+AQ5+AR5)</f>
        <v>45.27627012569274</v>
      </c>
      <c r="DH5" s="302"/>
      <c r="DI5" s="295">
        <f t="shared" ref="DI5:DI41" si="58">IF(SUM(H5:S5)&lt;90," ",CP5/(CP5+CQ5))</f>
        <v>0.62117955474936537</v>
      </c>
      <c r="DJ5" s="295">
        <f t="shared" ref="DJ5:DJ41" si="59">IF(SUM(H5:S5)&lt;90," ",CP5/(CP5+CO5+CQ5))</f>
        <v>0.51821204023067069</v>
      </c>
      <c r="DK5" s="295">
        <f t="shared" ref="DK5:DK41" si="60">IF(SUM(H5:S5)&lt;90," ",CL5/(CL5+CH5))</f>
        <v>0.15051973926940401</v>
      </c>
      <c r="DL5" s="296">
        <f t="shared" ref="DL5:DL41" si="61">IF(SUM(H5:S5)&lt;90," ",CL5+CH5)</f>
        <v>2.3753651583847817</v>
      </c>
    </row>
    <row r="6" spans="1:117" ht="13.8" x14ac:dyDescent="0.25">
      <c r="A6" s="287" t="s">
        <v>557</v>
      </c>
      <c r="B6" s="288" t="s">
        <v>538</v>
      </c>
      <c r="C6" s="289">
        <v>55</v>
      </c>
      <c r="D6" s="289" t="s">
        <v>517</v>
      </c>
      <c r="E6" s="309" t="s">
        <v>513</v>
      </c>
      <c r="F6" s="289" t="s">
        <v>534</v>
      </c>
      <c r="G6" s="291"/>
      <c r="H6" s="292">
        <v>39.276000000000003</v>
      </c>
      <c r="I6" s="292">
        <v>2.3260000000000001</v>
      </c>
      <c r="J6" s="292">
        <v>14.225</v>
      </c>
      <c r="K6" s="292">
        <v>0</v>
      </c>
      <c r="L6" s="292">
        <v>16.68</v>
      </c>
      <c r="M6" s="292">
        <v>0.36299999999999999</v>
      </c>
      <c r="N6" s="292">
        <v>9.64</v>
      </c>
      <c r="O6" s="292">
        <v>11.661</v>
      </c>
      <c r="P6" s="292">
        <v>1.837</v>
      </c>
      <c r="Q6" s="292">
        <v>1.296</v>
      </c>
      <c r="R6" s="293">
        <v>0</v>
      </c>
      <c r="S6" s="293">
        <v>3.5999999999999997E-2</v>
      </c>
      <c r="T6" s="294">
        <f t="shared" si="0"/>
        <v>97.340000000000018</v>
      </c>
      <c r="U6" s="295">
        <f>IF(SUM(H6:S6)&lt;90," ",H6/stab.data!$U$7)</f>
        <v>0.65368484122228887</v>
      </c>
      <c r="V6" s="295">
        <f>IF(SUM(H6:S6)&lt;90," ",I6/stab.data!$U$8)</f>
        <v>2.9112117950386745E-2</v>
      </c>
      <c r="W6" s="295">
        <f>IF(SUM(H6:S6)&lt;90," ",J6*2/stab.data!$U$9)</f>
        <v>0.27902825590176633</v>
      </c>
      <c r="X6" s="295">
        <f>IF(SUM(H6:S6)&lt;90," ",K6*2/stab.data!$U$10)</f>
        <v>0</v>
      </c>
      <c r="Y6" s="295">
        <f>IF(SUM(H6:S6)&lt;90," ",L6/stab.data!$U$11)</f>
        <v>0.23216323803691227</v>
      </c>
      <c r="Z6" s="295">
        <f>IF(SUM(H6:S6)&lt;90," ",M6/stab.data!$U$12)</f>
        <v>5.1172166852277374E-3</v>
      </c>
      <c r="AA6" s="295">
        <f>IF(SUM(H6:S6)&lt;90," ",N6/stab.data!$U$13)</f>
        <v>0.23918221516474791</v>
      </c>
      <c r="AB6" s="295">
        <f>IF(SUM(H6:S6)&lt;90," ",O6/stab.data!$U$14)</f>
        <v>0.20793880062055314</v>
      </c>
      <c r="AC6" s="295">
        <f>IF(SUM(H6:S6)&lt;90," ",P6*2/stab.data!$U$15)</f>
        <v>5.9278142596685977E-2</v>
      </c>
      <c r="AD6" s="295">
        <f>IF(SUM(H6:S6)&lt;90," ",Q6*2/stab.data!$U$16)</f>
        <v>2.7517384149901802E-2</v>
      </c>
      <c r="AE6" s="295">
        <f>IF(SUM(H6:S6)&lt;90," ",R6/stab.data!$U$17)</f>
        <v>0</v>
      </c>
      <c r="AF6" s="295">
        <f>IF(SUM(H6:S6)&lt;90," ",S6/stab.data!$U$18)</f>
        <v>1.0154288776690265E-3</v>
      </c>
      <c r="AG6" s="295">
        <f t="shared" si="1"/>
        <v>1.4382878849613299</v>
      </c>
      <c r="AH6" s="295">
        <f t="shared" si="2"/>
        <v>0.16100673950789518</v>
      </c>
      <c r="AI6" s="296">
        <f t="shared" si="3"/>
        <v>5.9083463225571364</v>
      </c>
      <c r="AJ6" s="296">
        <f t="shared" si="4"/>
        <v>0.26313058554699775</v>
      </c>
      <c r="AK6" s="296">
        <f t="shared" si="5"/>
        <v>2.5220036716227283</v>
      </c>
      <c r="AL6" s="296">
        <f t="shared" si="6"/>
        <v>0</v>
      </c>
      <c r="AM6" s="296">
        <f t="shared" si="7"/>
        <v>2.0984130687862987</v>
      </c>
      <c r="AN6" s="296">
        <f t="shared" si="8"/>
        <v>4.6252087362711226E-2</v>
      </c>
      <c r="AO6" s="296">
        <f t="shared" si="9"/>
        <v>2.161854264124127</v>
      </c>
      <c r="AP6" s="296">
        <f t="shared" si="10"/>
        <v>1.8794599025214414</v>
      </c>
      <c r="AQ6" s="296">
        <f t="shared" si="11"/>
        <v>0.53578693237594543</v>
      </c>
      <c r="AR6" s="296">
        <f t="shared" si="12"/>
        <v>0.24871654533775156</v>
      </c>
      <c r="AS6" s="296">
        <f t="shared" si="13"/>
        <v>0</v>
      </c>
      <c r="AT6" s="296">
        <f t="shared" si="14"/>
        <v>9.1779785867085011E-3</v>
      </c>
      <c r="AU6" s="295">
        <f t="shared" si="15"/>
        <v>15.663963380235138</v>
      </c>
      <c r="AV6" s="295">
        <f t="shared" si="16"/>
        <v>1.8722068579507829</v>
      </c>
      <c r="AW6" s="295">
        <f>IF(SUM(H6:S6)&lt;90," ",CO6*AG6*stab.data!$U$20/13/2)</f>
        <v>5.2263103587639188</v>
      </c>
      <c r="AX6" s="295">
        <f>IF(SUM(H6:S6)&lt;90," ",CQ6*AG6*stab.data!$U$11/13)</f>
        <v>11.977299233698172</v>
      </c>
      <c r="AY6" s="295">
        <f t="shared" si="17"/>
        <v>-8.1229233069133912E-3</v>
      </c>
      <c r="AZ6" s="297">
        <f t="shared" si="18"/>
        <v>99.727693527105998</v>
      </c>
      <c r="BA6" s="298">
        <f>IF(SUM(H6:S6)&lt;90," ",EXP('eq. coef.'!$C$104+'eq. coef.'!$C$105*'Amp (T-P-fO2 calculation)'!AI6+'eq. coef.'!$C$106*'Amp (T-P-fO2 calculation)'!AJ6+'eq. coef.'!$C$107*'Amp (T-P-fO2 calculation)'!AK6+'eq. coef.'!$C$108*'Amp (T-P-fO2 calculation)'!AM6+'eq. coef.'!$C$109*'Amp (T-P-fO2 calculation)'!AO6+'eq. coef.'!$C$110*'Amp (T-P-fO2 calculation)'!AP6+'eq. coef.'!$C$111*'Amp (T-P-fO2 calculation)'!AQ6+'eq. coef.'!$C$112*'Amp (T-P-fO2 calculation)'!AR6))</f>
        <v>643.72586285828277</v>
      </c>
      <c r="BB6" s="299">
        <f>IF(SUM(H6:S6)&lt;90," ",EXP('eq. coef.'!$C$176+'eq. coef.'!$C$177*'Amp (T-P-fO2 calculation)'!AI6+'eq. coef.'!$C$178*'Amp (T-P-fO2 calculation)'!AJ6+'eq. coef.'!$C$179*'Amp (T-P-fO2 calculation)'!AK6+'eq. coef.'!$C$180*'Amp (T-P-fO2 calculation)'!AM6+'eq. coef.'!$C$181*'Amp (T-P-fO2 calculation)'!AO6+'eq. coef.'!$C$182*'Amp (T-P-fO2 calculation)'!AP6+'eq. coef.'!$C$183*'Amp (T-P-fO2 calculation)'!AQ6+'eq. coef.'!$C$184*'Amp (T-P-fO2 calculation)'!AR6))</f>
        <v>564.57912451824257</v>
      </c>
      <c r="BC6" s="299">
        <f>IF(SUM(H6:S6)&lt;90," ",('eq. coef.'!$C$234+'eq. coef.'!$C$235*'Amp (T-P-fO2 calculation)'!AI6+'eq. coef.'!$C$236*'Amp (T-P-fO2 calculation)'!AJ6+'eq. coef.'!$C$237*'Amp (T-P-fO2 calculation)'!AK6+'eq. coef.'!$C$238*'Amp (T-P-fO2 calculation)'!AM6+'eq. coef.'!$C$239*'Amp (T-P-fO2 calculation)'!AO6+'eq. coef.'!$C$240*'Amp (T-P-fO2 calculation)'!AP6+'eq. coef.'!$C$241*'Amp (T-P-fO2 calculation)'!AQ6+'eq. coef.'!$C$242*'Amp (T-P-fO2 calculation)'!AR6))</f>
        <v>565.89451095009747</v>
      </c>
      <c r="BD6" s="299">
        <f>IF(SUM(H6:S6)&lt;90," ",('eq. coef.'!$C$270+'eq. coef.'!$C$271*'Amp (T-P-fO2 calculation)'!AI6+'eq. coef.'!$C$272*'Amp (T-P-fO2 calculation)'!AJ6+'eq. coef.'!$C$273*'Amp (T-P-fO2 calculation)'!AK6+'eq. coef.'!$C$274*'Amp (T-P-fO2 calculation)'!AM6+'eq. coef.'!$C$275*'Amp (T-P-fO2 calculation)'!AO6+'eq. coef.'!$C$276*'Amp (T-P-fO2 calculation)'!AP6+'eq. coef.'!$C$277*'Amp (T-P-fO2 calculation)'!AQ6+'eq. coef.'!$C$278*'Amp (T-P-fO2 calculation)'!AR6))</f>
        <v>516.75205788688913</v>
      </c>
      <c r="BE6" s="299">
        <f>IF(SUM(H6:S6)&lt;90," ",EXP('eq. coef.'!$C$328+'eq. coef.'!$C$329*'Amp (T-P-fO2 calculation)'!AI6+'eq. coef.'!$C$330*'Amp (T-P-fO2 calculation)'!AJ6+'eq. coef.'!$C$331*'Amp (T-P-fO2 calculation)'!AK6+'eq. coef.'!$C$332*'Amp (T-P-fO2 calculation)'!AM6+'eq. coef.'!$C$333*'Amp (T-P-fO2 calculation)'!AO6+'eq. coef.'!$C$334*'Amp (T-P-fO2 calculation)'!AP6+'eq. coef.'!$C$335*'Amp (T-P-fO2 calculation)'!AQ6+'eq. coef.'!$C$336*'Amp (T-P-fO2 calculation)'!AR6))</f>
        <v>884.07432861597249</v>
      </c>
      <c r="BF6" s="300" t="str">
        <f t="shared" si="19"/>
        <v>ok</v>
      </c>
      <c r="BG6" s="301" t="str">
        <f t="shared" si="20"/>
        <v>ok</v>
      </c>
      <c r="BH6" s="301" t="str">
        <f t="shared" si="21"/>
        <v>ok</v>
      </c>
      <c r="BI6" s="299">
        <f t="shared" si="22"/>
        <v>12.868723707610899</v>
      </c>
      <c r="BJ6" s="302">
        <f t="shared" si="23"/>
        <v>-0.37337083939814114</v>
      </c>
      <c r="BK6" s="299">
        <f t="shared" si="24"/>
        <v>-47.827066631353432</v>
      </c>
      <c r="BL6" s="303">
        <f>IF(SUM(H6:S6)&lt;90," ",'eq. coef.'!$C$360+'eq. coef.'!$C$361*'Amp (T-P-fO2 calculation)'!AI6+'eq. coef.'!$C$362*'Amp (T-P-fO2 calculation)'!AJ6+'eq. coef.'!$C$363*'Amp (T-P-fO2 calculation)'!AK6+'eq. coef.'!$C$364*'Amp (T-P-fO2 calculation)'!AM6+'eq. coef.'!$C$365*'Amp (T-P-fO2 calculation)'!AO6+'eq. coef.'!$C$366*'Amp (T-P-fO2 calculation)'!AP6+'eq. coef.'!$C$367*'Amp (T-P-fO2 calculation)'!AQ6+'eq. coef.'!$C$368*'Amp (T-P-fO2 calculation)'!AR6+'eq. coef.'!$C$369*LN(BO6))</f>
        <v>907.28482903273198</v>
      </c>
      <c r="BM6" s="304">
        <f t="shared" si="25"/>
        <v>22</v>
      </c>
      <c r="BN6" s="305">
        <f t="shared" si="26"/>
        <v>484</v>
      </c>
      <c r="BO6" s="306">
        <f t="shared" si="27"/>
        <v>565.89451095009747</v>
      </c>
      <c r="BP6" s="299" t="str">
        <f t="shared" si="28"/>
        <v>P1c</v>
      </c>
      <c r="BQ6" s="302"/>
      <c r="BR6" s="302">
        <f t="shared" si="29"/>
        <v>0</v>
      </c>
      <c r="BS6" s="302">
        <f t="shared" si="30"/>
        <v>0</v>
      </c>
      <c r="BT6" s="299">
        <f t="shared" si="31"/>
        <v>67.907341314011688</v>
      </c>
      <c r="BU6" s="307">
        <f t="shared" ref="BU6:BU41" si="62">(-4.76+5.6*DL6)*100</f>
        <v>936.32205610872779</v>
      </c>
      <c r="BV6" s="308">
        <f t="shared" ref="BV6:BV41" si="63">2400/(1.52-LOG10(CM6))-273</f>
        <v>869.95039246169563</v>
      </c>
      <c r="BW6" s="267">
        <f>IF(SUM(H6:S6)&lt;90," ",'eq. coef.'!$B$1128*'Amp (T-P-fO2 calculation)'!CH6+'eq. coef.'!$B$1129*'Amp (T-P-fO2 calculation)'!CL6+'eq. coef.'!$B$1130*'Amp (T-P-fO2 calculation)'!CM6+'eq. coef.'!$B$1131*'Amp (T-P-fO2 calculation)'!CO6+'eq. coef.'!$B$1132*'Amp (T-P-fO2 calculation)'!CP6+'eq. coef.'!$B$1133*'Amp (T-P-fO2 calculation)'!CQ6+'eq. coef.'!$B$1134*'Amp (T-P-fO2 calculation)'!CR6+'eq. coef.'!$B$1135*'Amp (T-P-fO2 calculation)'!CU6+'eq. coef.'!$B$1135*'Amp (T-P-fO2 calculation)'!CY6+'eq. coef.'!$B$1137*'Amp (T-P-fO2 calculation)'!CZ6)</f>
        <v>2.0859472123150749</v>
      </c>
      <c r="BX6" s="268">
        <f t="shared" si="32"/>
        <v>0.4</v>
      </c>
      <c r="BY6" s="269"/>
      <c r="BZ6" s="282">
        <f t="shared" ref="BZ6:BZ41" si="64">12.78-25073/(BL6+273.15)-1.1*LOG10(BL6+273.15)+450*(BO6/1000)/(BL6+273.15)+0.025*(BO6/1000)</f>
        <v>-11.609849106471978</v>
      </c>
      <c r="CA6" s="269">
        <f t="shared" ref="CA6:CA41" si="65">CC6-CB6</f>
        <v>0.65844858817103713</v>
      </c>
      <c r="CB6" s="282">
        <f t="shared" ref="CB6:CB41" si="66">2.19144+15305300/(BL6+273.15)/(BL6+273.15)/(BL6+273.15)-1551.42/(BL6+273.15)/(BL6+273.15)+(-25137+0.0477703*(BO6*10))/(BL6+273.15)+0.000109305*(BL6+273.15)+2.7838*LOG10(BL6+273.15)</f>
        <v>-10.185077290208747</v>
      </c>
      <c r="CC6" s="268">
        <f t="shared" si="33"/>
        <v>-9.5266287020377103</v>
      </c>
      <c r="CD6" s="268"/>
      <c r="CE6" s="267">
        <f>IF(SUM(H6:S6)&lt;90," ",EXP('eq. coef.'!$B$1156*'Amp (T-P-fO2 calculation)'!CH6+'eq. coef.'!$B$1157*'Amp (T-P-fO2 calculation)'!CL6+'eq. coef.'!$B$1158*'Amp (T-P-fO2 calculation)'!CM6+'eq. coef.'!$B$1159*'Amp (T-P-fO2 calculation)'!CO6+'eq. coef.'!$B$1160*'Amp (T-P-fO2 calculation)'!CP6+'eq. coef.'!$B$1161*'Amp (T-P-fO2 calculation)'!CQ6+'eq. coef.'!$B$1162*'Amp (T-P-fO2 calculation)'!CR6+'eq. coef.'!$B$1163*'Amp (T-P-fO2 calculation)'!CU6+'eq. coef.'!$B$1164*'Amp (T-P-fO2 calculation)'!CY6+'eq. coef.'!$B$1165*'Amp (T-P-fO2 calculation)'!CZ6))</f>
        <v>8.3082091770377904</v>
      </c>
      <c r="CF6" s="302">
        <f t="shared" si="34"/>
        <v>1.4123955600964244</v>
      </c>
      <c r="CG6" s="296">
        <f t="shared" si="35"/>
        <v>5.9083463225571364</v>
      </c>
      <c r="CH6" s="296">
        <f t="shared" si="36"/>
        <v>2.0916536774428636</v>
      </c>
      <c r="CI6" s="296">
        <f t="shared" si="37"/>
        <v>0</v>
      </c>
      <c r="CJ6" s="296">
        <f t="shared" si="38"/>
        <v>8</v>
      </c>
      <c r="CK6" s="296"/>
      <c r="CL6" s="296">
        <f t="shared" si="39"/>
        <v>0.43034999417986475</v>
      </c>
      <c r="CM6" s="296">
        <f t="shared" si="40"/>
        <v>0.26313058554699775</v>
      </c>
      <c r="CN6" s="296">
        <f t="shared" si="41"/>
        <v>0</v>
      </c>
      <c r="CO6" s="296">
        <f t="shared" si="42"/>
        <v>0.59161922941241585</v>
      </c>
      <c r="CP6" s="296">
        <f t="shared" si="43"/>
        <v>2.161854264124127</v>
      </c>
      <c r="CQ6" s="296">
        <f t="shared" si="44"/>
        <v>1.5067938393738829</v>
      </c>
      <c r="CR6" s="296">
        <f t="shared" si="45"/>
        <v>4.6252087362711226E-2</v>
      </c>
      <c r="CS6" s="296">
        <f t="shared" si="46"/>
        <v>4.9999999999999991</v>
      </c>
      <c r="CT6" s="296"/>
      <c r="CU6" s="296">
        <f t="shared" si="47"/>
        <v>1.8794599025214414</v>
      </c>
      <c r="CV6" s="296">
        <f t="shared" si="48"/>
        <v>0.12054009747855865</v>
      </c>
      <c r="CW6" s="296">
        <f t="shared" si="49"/>
        <v>2</v>
      </c>
      <c r="CX6" s="296"/>
      <c r="CY6" s="296">
        <f t="shared" si="50"/>
        <v>0.41524683489738679</v>
      </c>
      <c r="CZ6" s="296">
        <f t="shared" si="51"/>
        <v>0.24871654533775156</v>
      </c>
      <c r="DA6" s="296">
        <f t="shared" si="52"/>
        <v>0.66396338023513835</v>
      </c>
      <c r="DB6" s="296"/>
      <c r="DC6" s="296">
        <f t="shared" si="53"/>
        <v>1.9908220214132915</v>
      </c>
      <c r="DD6" s="296">
        <f t="shared" si="54"/>
        <v>0</v>
      </c>
      <c r="DE6" s="296">
        <f t="shared" si="55"/>
        <v>9.1779785867085011E-3</v>
      </c>
      <c r="DF6" s="296">
        <f t="shared" si="56"/>
        <v>2</v>
      </c>
      <c r="DG6" s="302">
        <f t="shared" si="57"/>
        <v>45.408380770587584</v>
      </c>
      <c r="DH6" s="302"/>
      <c r="DI6" s="295">
        <f t="shared" si="58"/>
        <v>0.58927817635679647</v>
      </c>
      <c r="DJ6" s="295">
        <f t="shared" si="59"/>
        <v>0.50744568243966137</v>
      </c>
      <c r="DK6" s="295">
        <f t="shared" si="60"/>
        <v>0.17063813150714624</v>
      </c>
      <c r="DL6" s="296">
        <f t="shared" si="61"/>
        <v>2.5220036716227283</v>
      </c>
    </row>
    <row r="7" spans="1:117" ht="13.8" x14ac:dyDescent="0.25">
      <c r="A7" s="287" t="s">
        <v>558</v>
      </c>
      <c r="B7" s="288" t="s">
        <v>538</v>
      </c>
      <c r="C7" s="289">
        <v>55</v>
      </c>
      <c r="D7" s="289" t="s">
        <v>517</v>
      </c>
      <c r="E7" s="290" t="s">
        <v>514</v>
      </c>
      <c r="F7" s="289" t="s">
        <v>534</v>
      </c>
      <c r="G7" s="291"/>
      <c r="H7" s="292">
        <v>39.44</v>
      </c>
      <c r="I7" s="292">
        <v>1.8080000000000001</v>
      </c>
      <c r="J7" s="292">
        <v>13.86</v>
      </c>
      <c r="K7" s="292">
        <v>0</v>
      </c>
      <c r="L7" s="292">
        <v>17.084</v>
      </c>
      <c r="M7" s="292">
        <v>0.41499999999999998</v>
      </c>
      <c r="N7" s="292">
        <v>9.7070000000000007</v>
      </c>
      <c r="O7" s="292">
        <v>11.404999999999999</v>
      </c>
      <c r="P7" s="292">
        <v>1.7310000000000001</v>
      </c>
      <c r="Q7" s="292">
        <v>1.274</v>
      </c>
      <c r="R7" s="293">
        <v>0</v>
      </c>
      <c r="S7" s="293">
        <v>3.4000000000000002E-2</v>
      </c>
      <c r="T7" s="294">
        <f t="shared" si="0"/>
        <v>96.757999999999996</v>
      </c>
      <c r="U7" s="295">
        <f>IF(SUM(H7:S7)&lt;90," ",H7/stab.data!$U$7)</f>
        <v>0.65641435323879893</v>
      </c>
      <c r="V7" s="295">
        <f>IF(SUM(H7:S7)&lt;90," ",I7/stab.data!$U$8)</f>
        <v>2.2628851786027186E-2</v>
      </c>
      <c r="W7" s="295">
        <f>IF(SUM(H7:S7)&lt;90," ",J7*2/stab.data!$U$9)</f>
        <v>0.27186865566245916</v>
      </c>
      <c r="X7" s="295">
        <f>IF(SUM(H7:S7)&lt;90," ",K7*2/stab.data!$U$10)</f>
        <v>0</v>
      </c>
      <c r="Y7" s="295">
        <f>IF(SUM(H7:S7)&lt;90," ",L7/stab.data!$U$11)</f>
        <v>0.23778637641622358</v>
      </c>
      <c r="Z7" s="295">
        <f>IF(SUM(H7:S7)&lt;90," ",M7/stab.data!$U$12)</f>
        <v>5.8502614996405258E-3</v>
      </c>
      <c r="AA7" s="295">
        <f>IF(SUM(H7:S7)&lt;90," ",N7/stab.data!$U$13)</f>
        <v>0.24084458118300914</v>
      </c>
      <c r="AB7" s="295">
        <f>IF(SUM(H7:S7)&lt;90," ",O7/stab.data!$U$14)</f>
        <v>0.20337381194386489</v>
      </c>
      <c r="AC7" s="295">
        <f>IF(SUM(H7:S7)&lt;90," ",P7*2/stab.data!$U$15)</f>
        <v>5.5857629196986079E-2</v>
      </c>
      <c r="AD7" s="295">
        <f>IF(SUM(H7:S7)&lt;90," ",Q7*2/stab.data!$U$16)</f>
        <v>2.7050268060937421E-2</v>
      </c>
      <c r="AE7" s="295">
        <f>IF(SUM(H7:S7)&lt;90," ",R7/stab.data!$U$17)</f>
        <v>0</v>
      </c>
      <c r="AF7" s="295">
        <f>IF(SUM(H7:S7)&lt;90," ",S7/stab.data!$U$18)</f>
        <v>9.5901616224296953E-4</v>
      </c>
      <c r="AG7" s="295">
        <f t="shared" si="1"/>
        <v>1.4353930797861585</v>
      </c>
      <c r="AH7" s="295">
        <f t="shared" si="2"/>
        <v>0.15790941320705049</v>
      </c>
      <c r="AI7" s="296">
        <f t="shared" si="3"/>
        <v>5.9449823970000395</v>
      </c>
      <c r="AJ7" s="296">
        <f t="shared" si="4"/>
        <v>0.20494391213184537</v>
      </c>
      <c r="AK7" s="296">
        <f t="shared" si="5"/>
        <v>2.4622471526325733</v>
      </c>
      <c r="AL7" s="296">
        <f t="shared" si="6"/>
        <v>0</v>
      </c>
      <c r="AM7" s="296">
        <f t="shared" si="7"/>
        <v>2.1535723816304237</v>
      </c>
      <c r="AN7" s="296">
        <f t="shared" si="8"/>
        <v>5.2984371017489568E-2</v>
      </c>
      <c r="AO7" s="296">
        <f t="shared" si="9"/>
        <v>2.1812697855876277</v>
      </c>
      <c r="AP7" s="296">
        <f t="shared" si="10"/>
        <v>1.8419062990495394</v>
      </c>
      <c r="AQ7" s="296">
        <f t="shared" si="11"/>
        <v>0.50588872817263342</v>
      </c>
      <c r="AR7" s="296">
        <f t="shared" si="12"/>
        <v>0.24498758545260296</v>
      </c>
      <c r="AS7" s="296">
        <f t="shared" si="13"/>
        <v>0</v>
      </c>
      <c r="AT7" s="296">
        <f t="shared" si="14"/>
        <v>8.6855721159084451E-3</v>
      </c>
      <c r="AU7" s="295">
        <f t="shared" si="15"/>
        <v>15.592782612674775</v>
      </c>
      <c r="AV7" s="295">
        <f t="shared" si="16"/>
        <v>1.8689008515720653</v>
      </c>
      <c r="AW7" s="295">
        <f>IF(SUM(H7:S7)&lt;90," ",CO7*AG7*stab.data!$U$20/13/2)</f>
        <v>7.0812146594571113</v>
      </c>
      <c r="AX7" s="295">
        <f>IF(SUM(H7:S7)&lt;90," ",CQ7*AG7*stab.data!$U$11/13)</f>
        <v>10.712232669050158</v>
      </c>
      <c r="AY7" s="295">
        <f t="shared" si="17"/>
        <v>-7.6716497898626484E-3</v>
      </c>
      <c r="AZ7" s="297">
        <f t="shared" si="18"/>
        <v>99.328676530289471</v>
      </c>
      <c r="BA7" s="298">
        <f>IF(SUM(H7:S7)&lt;90," ",EXP('eq. coef.'!$C$104+'eq. coef.'!$C$105*'Amp (T-P-fO2 calculation)'!AI7+'eq. coef.'!$C$106*'Amp (T-P-fO2 calculation)'!AJ7+'eq. coef.'!$C$107*'Amp (T-P-fO2 calculation)'!AK7+'eq. coef.'!$C$108*'Amp (T-P-fO2 calculation)'!AM7+'eq. coef.'!$C$109*'Amp (T-P-fO2 calculation)'!AO7+'eq. coef.'!$C$110*'Amp (T-P-fO2 calculation)'!AP7+'eq. coef.'!$C$111*'Amp (T-P-fO2 calculation)'!AQ7+'eq. coef.'!$C$112*'Amp (T-P-fO2 calculation)'!AR7))</f>
        <v>660.07018024788454</v>
      </c>
      <c r="BB7" s="299">
        <f>IF(SUM(H7:S7)&lt;90," ",EXP('eq. coef.'!$C$176+'eq. coef.'!$C$177*'Amp (T-P-fO2 calculation)'!AI7+'eq. coef.'!$C$178*'Amp (T-P-fO2 calculation)'!AJ7+'eq. coef.'!$C$179*'Amp (T-P-fO2 calculation)'!AK7+'eq. coef.'!$C$180*'Amp (T-P-fO2 calculation)'!AM7+'eq. coef.'!$C$181*'Amp (T-P-fO2 calculation)'!AO7+'eq. coef.'!$C$182*'Amp (T-P-fO2 calculation)'!AP7+'eq. coef.'!$C$183*'Amp (T-P-fO2 calculation)'!AQ7+'eq. coef.'!$C$184*'Amp (T-P-fO2 calculation)'!AR7))</f>
        <v>535.50579824812894</v>
      </c>
      <c r="BC7" s="299">
        <f>IF(SUM(H7:S7)&lt;90," ",('eq. coef.'!$C$234+'eq. coef.'!$C$235*'Amp (T-P-fO2 calculation)'!AI7+'eq. coef.'!$C$236*'Amp (T-P-fO2 calculation)'!AJ7+'eq. coef.'!$C$237*'Amp (T-P-fO2 calculation)'!AK7+'eq. coef.'!$C$238*'Amp (T-P-fO2 calculation)'!AM7+'eq. coef.'!$C$239*'Amp (T-P-fO2 calculation)'!AO7+'eq. coef.'!$C$240*'Amp (T-P-fO2 calculation)'!AP7+'eq. coef.'!$C$241*'Amp (T-P-fO2 calculation)'!AQ7+'eq. coef.'!$C$242*'Amp (T-P-fO2 calculation)'!AR7))</f>
        <v>554.45007904741124</v>
      </c>
      <c r="BD7" s="299">
        <f>IF(SUM(H7:S7)&lt;90," ",('eq. coef.'!$C$270+'eq. coef.'!$C$271*'Amp (T-P-fO2 calculation)'!AI7+'eq. coef.'!$C$272*'Amp (T-P-fO2 calculation)'!AJ7+'eq. coef.'!$C$273*'Amp (T-P-fO2 calculation)'!AK7+'eq. coef.'!$C$274*'Amp (T-P-fO2 calculation)'!AM7+'eq. coef.'!$C$275*'Amp (T-P-fO2 calculation)'!AO7+'eq. coef.'!$C$276*'Amp (T-P-fO2 calculation)'!AP7+'eq. coef.'!$C$277*'Amp (T-P-fO2 calculation)'!AQ7+'eq. coef.'!$C$278*'Amp (T-P-fO2 calculation)'!AR7))</f>
        <v>473.65445271199553</v>
      </c>
      <c r="BE7" s="299">
        <f>IF(SUM(H7:S7)&lt;90," ",EXP('eq. coef.'!$C$328+'eq. coef.'!$C$329*'Amp (T-P-fO2 calculation)'!AI7+'eq. coef.'!$C$330*'Amp (T-P-fO2 calculation)'!AJ7+'eq. coef.'!$C$331*'Amp (T-P-fO2 calculation)'!AK7+'eq. coef.'!$C$332*'Amp (T-P-fO2 calculation)'!AM7+'eq. coef.'!$C$333*'Amp (T-P-fO2 calculation)'!AO7+'eq. coef.'!$C$334*'Amp (T-P-fO2 calculation)'!AP7+'eq. coef.'!$C$335*'Amp (T-P-fO2 calculation)'!AQ7+'eq. coef.'!$C$336*'Amp (T-P-fO2 calculation)'!AR7))</f>
        <v>815.76565167446574</v>
      </c>
      <c r="BF7" s="300" t="str">
        <f t="shared" si="19"/>
        <v>ok</v>
      </c>
      <c r="BG7" s="301" t="str">
        <f t="shared" si="20"/>
        <v>ok</v>
      </c>
      <c r="BH7" s="301" t="str">
        <f t="shared" si="21"/>
        <v>ok</v>
      </c>
      <c r="BI7" s="299">
        <f t="shared" si="22"/>
        <v>17.392892443269332</v>
      </c>
      <c r="BJ7" s="302">
        <f t="shared" si="23"/>
        <v>-0.235877147742246</v>
      </c>
      <c r="BK7" s="299">
        <f t="shared" si="24"/>
        <v>-61.851345536133408</v>
      </c>
      <c r="BL7" s="303">
        <f>IF(SUM(H7:S7)&lt;90," ",'eq. coef.'!$C$360+'eq. coef.'!$C$361*'Amp (T-P-fO2 calculation)'!AI7+'eq. coef.'!$C$362*'Amp (T-P-fO2 calculation)'!AJ7+'eq. coef.'!$C$363*'Amp (T-P-fO2 calculation)'!AK7+'eq. coef.'!$C$364*'Amp (T-P-fO2 calculation)'!AM7+'eq. coef.'!$C$365*'Amp (T-P-fO2 calculation)'!AO7+'eq. coef.'!$C$366*'Amp (T-P-fO2 calculation)'!AP7+'eq. coef.'!$C$367*'Amp (T-P-fO2 calculation)'!AQ7+'eq. coef.'!$C$368*'Amp (T-P-fO2 calculation)'!AR7+'eq. coef.'!$C$369*LN(BO7))</f>
        <v>895.35160232498447</v>
      </c>
      <c r="BM7" s="304">
        <f t="shared" si="25"/>
        <v>22</v>
      </c>
      <c r="BN7" s="305">
        <f t="shared" si="26"/>
        <v>484</v>
      </c>
      <c r="BO7" s="306">
        <f t="shared" si="27"/>
        <v>554.45007904741124</v>
      </c>
      <c r="BP7" s="299" t="str">
        <f t="shared" si="28"/>
        <v>P1c</v>
      </c>
      <c r="BQ7" s="302"/>
      <c r="BR7" s="302">
        <f t="shared" si="29"/>
        <v>0</v>
      </c>
      <c r="BS7" s="302">
        <f t="shared" si="30"/>
        <v>0</v>
      </c>
      <c r="BT7" s="299">
        <f t="shared" si="31"/>
        <v>66.534009485689353</v>
      </c>
      <c r="BU7" s="307">
        <f t="shared" si="62"/>
        <v>902.85840547424095</v>
      </c>
      <c r="BV7" s="308">
        <f t="shared" si="63"/>
        <v>813.77687973922889</v>
      </c>
      <c r="BW7" s="267">
        <f>IF(SUM(H7:S7)&lt;90," ",'eq. coef.'!$B$1128*'Amp (T-P-fO2 calculation)'!CH7+'eq. coef.'!$B$1129*'Amp (T-P-fO2 calculation)'!CL7+'eq. coef.'!$B$1130*'Amp (T-P-fO2 calculation)'!CM7+'eq. coef.'!$B$1131*'Amp (T-P-fO2 calculation)'!CO7+'eq. coef.'!$B$1132*'Amp (T-P-fO2 calculation)'!CP7+'eq. coef.'!$B$1133*'Amp (T-P-fO2 calculation)'!CQ7+'eq. coef.'!$B$1134*'Amp (T-P-fO2 calculation)'!CR7+'eq. coef.'!$B$1135*'Amp (T-P-fO2 calculation)'!CU7+'eq. coef.'!$B$1135*'Amp (T-P-fO2 calculation)'!CY7+'eq. coef.'!$B$1137*'Amp (T-P-fO2 calculation)'!CZ7)</f>
        <v>2.4459289467648304</v>
      </c>
      <c r="BX7" s="268">
        <f t="shared" si="32"/>
        <v>0.4</v>
      </c>
      <c r="BY7" s="269"/>
      <c r="BZ7" s="282">
        <f t="shared" si="64"/>
        <v>-11.82440212958846</v>
      </c>
      <c r="CA7" s="269">
        <f t="shared" si="65"/>
        <v>1.0380625913103394</v>
      </c>
      <c r="CB7" s="282">
        <f t="shared" si="66"/>
        <v>-10.418210863192405</v>
      </c>
      <c r="CC7" s="268">
        <f t="shared" si="33"/>
        <v>-9.3801482718820655</v>
      </c>
      <c r="CD7" s="268"/>
      <c r="CE7" s="267">
        <f>IF(SUM(H7:S7)&lt;90," ",EXP('eq. coef.'!$B$1156*'Amp (T-P-fO2 calculation)'!CH7+'eq. coef.'!$B$1157*'Amp (T-P-fO2 calculation)'!CL7+'eq. coef.'!$B$1158*'Amp (T-P-fO2 calculation)'!CM7+'eq. coef.'!$B$1159*'Amp (T-P-fO2 calculation)'!CO7+'eq. coef.'!$B$1160*'Amp (T-P-fO2 calculation)'!CP7+'eq. coef.'!$B$1161*'Amp (T-P-fO2 calculation)'!CQ7+'eq. coef.'!$B$1162*'Amp (T-P-fO2 calculation)'!CR7+'eq. coef.'!$B$1163*'Amp (T-P-fO2 calculation)'!CU7+'eq. coef.'!$B$1164*'Amp (T-P-fO2 calculation)'!CY7+'eq. coef.'!$B$1165*'Amp (T-P-fO2 calculation)'!CZ7))</f>
        <v>8.5123478805099104</v>
      </c>
      <c r="CF7" s="302">
        <f t="shared" si="34"/>
        <v>1.4470991396866848</v>
      </c>
      <c r="CG7" s="296">
        <f t="shared" si="35"/>
        <v>5.9449823970000395</v>
      </c>
      <c r="CH7" s="296">
        <f t="shared" si="36"/>
        <v>2.0550176029999605</v>
      </c>
      <c r="CI7" s="296">
        <f t="shared" si="37"/>
        <v>0</v>
      </c>
      <c r="CJ7" s="296">
        <f t="shared" si="38"/>
        <v>8</v>
      </c>
      <c r="CK7" s="296"/>
      <c r="CL7" s="296">
        <f t="shared" si="39"/>
        <v>0.40722954963261282</v>
      </c>
      <c r="CM7" s="296">
        <f t="shared" si="40"/>
        <v>0.20494391213184537</v>
      </c>
      <c r="CN7" s="296">
        <f t="shared" si="41"/>
        <v>0</v>
      </c>
      <c r="CO7" s="296">
        <f t="shared" si="42"/>
        <v>0.80321131737933626</v>
      </c>
      <c r="CP7" s="296">
        <f t="shared" si="43"/>
        <v>2.1812697855876277</v>
      </c>
      <c r="CQ7" s="296">
        <f t="shared" si="44"/>
        <v>1.3503610642510875</v>
      </c>
      <c r="CR7" s="296">
        <f t="shared" si="45"/>
        <v>5.2984371017489568E-2</v>
      </c>
      <c r="CS7" s="296">
        <f t="shared" si="46"/>
        <v>4.9999999999999991</v>
      </c>
      <c r="CT7" s="296"/>
      <c r="CU7" s="296">
        <f t="shared" si="47"/>
        <v>1.8419062990495394</v>
      </c>
      <c r="CV7" s="296">
        <f t="shared" si="48"/>
        <v>0.1580937009504606</v>
      </c>
      <c r="CW7" s="296">
        <f t="shared" si="49"/>
        <v>2</v>
      </c>
      <c r="CX7" s="296"/>
      <c r="CY7" s="296">
        <f t="shared" si="50"/>
        <v>0.34779502722217281</v>
      </c>
      <c r="CZ7" s="296">
        <f t="shared" si="51"/>
        <v>0.24498758545260296</v>
      </c>
      <c r="DA7" s="296">
        <f t="shared" si="52"/>
        <v>0.59278261267477572</v>
      </c>
      <c r="DB7" s="296"/>
      <c r="DC7" s="296">
        <f t="shared" si="53"/>
        <v>1.9913144278840915</v>
      </c>
      <c r="DD7" s="296">
        <f t="shared" si="54"/>
        <v>0</v>
      </c>
      <c r="DE7" s="296">
        <f t="shared" si="55"/>
        <v>8.6855721159084451E-3</v>
      </c>
      <c r="DF7" s="296">
        <f t="shared" si="56"/>
        <v>2</v>
      </c>
      <c r="DG7" s="302">
        <f t="shared" si="57"/>
        <v>45.196788682620664</v>
      </c>
      <c r="DH7" s="302"/>
      <c r="DI7" s="295">
        <f t="shared" si="58"/>
        <v>0.61763810498122795</v>
      </c>
      <c r="DJ7" s="295">
        <f t="shared" si="59"/>
        <v>0.50319474191778701</v>
      </c>
      <c r="DK7" s="295">
        <f t="shared" si="60"/>
        <v>0.16538938798130526</v>
      </c>
      <c r="DL7" s="296">
        <f t="shared" si="61"/>
        <v>2.4622471526325733</v>
      </c>
    </row>
    <row r="8" spans="1:117" ht="13.8" x14ac:dyDescent="0.25">
      <c r="A8" s="287" t="s">
        <v>558</v>
      </c>
      <c r="B8" s="288" t="s">
        <v>537</v>
      </c>
      <c r="C8" s="289">
        <v>99</v>
      </c>
      <c r="D8" s="289" t="s">
        <v>518</v>
      </c>
      <c r="E8" s="290" t="s">
        <v>514</v>
      </c>
      <c r="F8" s="289" t="s">
        <v>534</v>
      </c>
      <c r="G8" s="291"/>
      <c r="H8" s="292">
        <v>41.081000000000003</v>
      </c>
      <c r="I8" s="292">
        <v>1.494</v>
      </c>
      <c r="J8" s="292">
        <v>12.795999999999999</v>
      </c>
      <c r="K8" s="292">
        <v>3.2000000000000001E-2</v>
      </c>
      <c r="L8" s="292">
        <v>14.731999999999999</v>
      </c>
      <c r="M8" s="292">
        <v>0.32600000000000001</v>
      </c>
      <c r="N8" s="292">
        <v>11.555</v>
      </c>
      <c r="O8" s="292">
        <v>11.726000000000001</v>
      </c>
      <c r="P8" s="292">
        <v>1.9159999999999999</v>
      </c>
      <c r="Q8" s="292">
        <v>1.1910000000000001</v>
      </c>
      <c r="R8" s="293">
        <v>0</v>
      </c>
      <c r="S8" s="293">
        <v>2.9000000000000001E-2</v>
      </c>
      <c r="T8" s="294">
        <f t="shared" si="0"/>
        <v>96.877999999999986</v>
      </c>
      <c r="U8" s="295">
        <f>IF(SUM(H8:S8)&lt;90," ",H8/stab.data!$U$7)</f>
        <v>0.68372611676985551</v>
      </c>
      <c r="V8" s="295">
        <f>IF(SUM(H8:S8)&lt;90," ",I8/stab.data!$U$8)</f>
        <v>1.8698841022303438E-2</v>
      </c>
      <c r="W8" s="295">
        <f>IF(SUM(H8:S8)&lt;90," ",J8*2/stab.data!$U$9)</f>
        <v>0.25099793058130071</v>
      </c>
      <c r="X8" s="295">
        <f>IF(SUM(H8:S8)&lt;90," ",K8*2/stab.data!$U$10)</f>
        <v>4.2107978014371974E-4</v>
      </c>
      <c r="Y8" s="295">
        <f>IF(SUM(H8:S8)&lt;90," ",L8/stab.data!$U$11)</f>
        <v>0.20504968961389636</v>
      </c>
      <c r="Z8" s="295">
        <f>IF(SUM(H8:S8)&lt;90," ",M8/stab.data!$U$12)</f>
        <v>4.5956271057417146E-3</v>
      </c>
      <c r="AA8" s="295">
        <f>IF(SUM(H8:S8)&lt;90," ",N8/stab.data!$U$13)</f>
        <v>0.28669610956728858</v>
      </c>
      <c r="AB8" s="295">
        <f>IF(SUM(H8:S8)&lt;90," ",O8/stab.data!$U$14)</f>
        <v>0.20909787977674354</v>
      </c>
      <c r="AC8" s="295">
        <f>IF(SUM(H8:S8)&lt;90," ",P8*2/stab.data!$U$15)</f>
        <v>6.1827393149292503E-2</v>
      </c>
      <c r="AD8" s="295">
        <f>IF(SUM(H8:S8)&lt;90," ",Q8*2/stab.data!$U$16)</f>
        <v>2.5287966452571795E-2</v>
      </c>
      <c r="AE8" s="295">
        <f>IF(SUM(H8:S8)&lt;90," ",R8/stab.data!$U$17)</f>
        <v>0</v>
      </c>
      <c r="AF8" s="295">
        <f>IF(SUM(H8:S8)&lt;90," ",S8/stab.data!$U$18)</f>
        <v>8.1798437367782697E-4</v>
      </c>
      <c r="AG8" s="295">
        <f t="shared" si="1"/>
        <v>1.4501853944405301</v>
      </c>
      <c r="AH8" s="295">
        <f t="shared" si="2"/>
        <v>0.14372316017701076</v>
      </c>
      <c r="AI8" s="296">
        <f t="shared" si="3"/>
        <v>6.1291746228331103</v>
      </c>
      <c r="AJ8" s="296">
        <f t="shared" si="4"/>
        <v>0.16762334955367889</v>
      </c>
      <c r="AK8" s="296">
        <f t="shared" si="5"/>
        <v>2.2500385882149492</v>
      </c>
      <c r="AL8" s="296">
        <f t="shared" si="6"/>
        <v>3.7747154004265752E-3</v>
      </c>
      <c r="AM8" s="296">
        <f t="shared" si="7"/>
        <v>1.8381415060444997</v>
      </c>
      <c r="AN8" s="296">
        <f t="shared" si="8"/>
        <v>4.119690668770714E-2</v>
      </c>
      <c r="AO8" s="296">
        <f t="shared" si="9"/>
        <v>2.5700503112656277</v>
      </c>
      <c r="AP8" s="296">
        <f t="shared" si="10"/>
        <v>1.8744309848371863</v>
      </c>
      <c r="AQ8" s="296">
        <f t="shared" si="11"/>
        <v>0.55424369464904533</v>
      </c>
      <c r="AR8" s="296">
        <f t="shared" si="12"/>
        <v>0.22669071495528334</v>
      </c>
      <c r="AS8" s="296">
        <f t="shared" si="13"/>
        <v>0</v>
      </c>
      <c r="AT8" s="296">
        <f t="shared" si="14"/>
        <v>7.3327154573323951E-3</v>
      </c>
      <c r="AU8" s="295">
        <f t="shared" si="15"/>
        <v>15.655365394441516</v>
      </c>
      <c r="AV8" s="295">
        <f t="shared" si="16"/>
        <v>1.8894434178613546</v>
      </c>
      <c r="AW8" s="295">
        <f>IF(SUM(H8:S8)&lt;90," ",CO8*AG8*stab.data!$U$20/13/2)</f>
        <v>5.5472188347273024</v>
      </c>
      <c r="AX8" s="295">
        <f>IF(SUM(H8:S8)&lt;90," ",CQ8*AG8*stab.data!$U$11/13)</f>
        <v>9.7405416911432976</v>
      </c>
      <c r="AY8" s="295">
        <f t="shared" si="17"/>
        <v>-6.5434659972357879E-3</v>
      </c>
      <c r="AZ8" s="297">
        <f t="shared" si="18"/>
        <v>99.3166604777347</v>
      </c>
      <c r="BA8" s="298">
        <f>IF(SUM(H8:S8)&lt;90," ",EXP('eq. coef.'!$C$104+'eq. coef.'!$C$105*'Amp (T-P-fO2 calculation)'!AI8+'eq. coef.'!$C$106*'Amp (T-P-fO2 calculation)'!AJ8+'eq. coef.'!$C$107*'Amp (T-P-fO2 calculation)'!AK8+'eq. coef.'!$C$108*'Amp (T-P-fO2 calculation)'!AM8+'eq. coef.'!$C$109*'Amp (T-P-fO2 calculation)'!AO8+'eq. coef.'!$C$110*'Amp (T-P-fO2 calculation)'!AP8+'eq. coef.'!$C$111*'Amp (T-P-fO2 calculation)'!AQ8+'eq. coef.'!$C$112*'Amp (T-P-fO2 calculation)'!AR8))</f>
        <v>572.32760741741038</v>
      </c>
      <c r="BB8" s="299">
        <f>IF(SUM(H8:S8)&lt;90," ",EXP('eq. coef.'!$C$176+'eq. coef.'!$C$177*'Amp (T-P-fO2 calculation)'!AI8+'eq. coef.'!$C$178*'Amp (T-P-fO2 calculation)'!AJ8+'eq. coef.'!$C$179*'Amp (T-P-fO2 calculation)'!AK8+'eq. coef.'!$C$180*'Amp (T-P-fO2 calculation)'!AM8+'eq. coef.'!$C$181*'Amp (T-P-fO2 calculation)'!AO8+'eq. coef.'!$C$182*'Amp (T-P-fO2 calculation)'!AP8+'eq. coef.'!$C$183*'Amp (T-P-fO2 calculation)'!AQ8+'eq. coef.'!$C$184*'Amp (T-P-fO2 calculation)'!AR8))</f>
        <v>413.47394059506172</v>
      </c>
      <c r="BC8" s="299">
        <f>IF(SUM(H8:S8)&lt;90," ",('eq. coef.'!$C$234+'eq. coef.'!$C$235*'Amp (T-P-fO2 calculation)'!AI8+'eq. coef.'!$C$236*'Amp (T-P-fO2 calculation)'!AJ8+'eq. coef.'!$C$237*'Amp (T-P-fO2 calculation)'!AK8+'eq. coef.'!$C$238*'Amp (T-P-fO2 calculation)'!AM8+'eq. coef.'!$C$239*'Amp (T-P-fO2 calculation)'!AO8+'eq. coef.'!$C$240*'Amp (T-P-fO2 calculation)'!AP8+'eq. coef.'!$C$241*'Amp (T-P-fO2 calculation)'!AQ8+'eq. coef.'!$C$242*'Amp (T-P-fO2 calculation)'!AR8))</f>
        <v>468.27827476833045</v>
      </c>
      <c r="BD8" s="299">
        <f>IF(SUM(H8:S8)&lt;90," ",('eq. coef.'!$C$270+'eq. coef.'!$C$271*'Amp (T-P-fO2 calculation)'!AI8+'eq. coef.'!$C$272*'Amp (T-P-fO2 calculation)'!AJ8+'eq. coef.'!$C$273*'Amp (T-P-fO2 calculation)'!AK8+'eq. coef.'!$C$274*'Amp (T-P-fO2 calculation)'!AM8+'eq. coef.'!$C$275*'Amp (T-P-fO2 calculation)'!AO8+'eq. coef.'!$C$276*'Amp (T-P-fO2 calculation)'!AP8+'eq. coef.'!$C$277*'Amp (T-P-fO2 calculation)'!AQ8+'eq. coef.'!$C$278*'Amp (T-P-fO2 calculation)'!AR8))</f>
        <v>543.92431846810518</v>
      </c>
      <c r="BE8" s="299">
        <f>IF(SUM(H8:S8)&lt;90," ",EXP('eq. coef.'!$C$328+'eq. coef.'!$C$329*'Amp (T-P-fO2 calculation)'!AI8+'eq. coef.'!$C$330*'Amp (T-P-fO2 calculation)'!AJ8+'eq. coef.'!$C$331*'Amp (T-P-fO2 calculation)'!AK8+'eq. coef.'!$C$332*'Amp (T-P-fO2 calculation)'!AM8+'eq. coef.'!$C$333*'Amp (T-P-fO2 calculation)'!AO8+'eq. coef.'!$C$334*'Amp (T-P-fO2 calculation)'!AP8+'eq. coef.'!$C$335*'Amp (T-P-fO2 calculation)'!AQ8+'eq. coef.'!$C$336*'Amp (T-P-fO2 calculation)'!AR8))</f>
        <v>967.56525116617297</v>
      </c>
      <c r="BF8" s="300" t="str">
        <f t="shared" si="19"/>
        <v>ok</v>
      </c>
      <c r="BG8" s="301" t="str">
        <f t="shared" si="20"/>
        <v>ok</v>
      </c>
      <c r="BH8" s="301" t="str">
        <f t="shared" si="21"/>
        <v>ok</v>
      </c>
      <c r="BI8" s="299">
        <f t="shared" si="22"/>
        <v>25.947693988243291</v>
      </c>
      <c r="BJ8" s="302">
        <f t="shared" si="23"/>
        <v>-0.69057937905921707</v>
      </c>
      <c r="BK8" s="299">
        <f t="shared" si="24"/>
        <v>130.45037787304346</v>
      </c>
      <c r="BL8" s="303">
        <f>IF(SUM(H8:S8)&lt;90," ",'eq. coef.'!$C$360+'eq. coef.'!$C$361*'Amp (T-P-fO2 calculation)'!AI8+'eq. coef.'!$C$362*'Amp (T-P-fO2 calculation)'!AJ8+'eq. coef.'!$C$363*'Amp (T-P-fO2 calculation)'!AK8+'eq. coef.'!$C$364*'Amp (T-P-fO2 calculation)'!AM8+'eq. coef.'!$C$365*'Amp (T-P-fO2 calculation)'!AO8+'eq. coef.'!$C$366*'Amp (T-P-fO2 calculation)'!AP8+'eq. coef.'!$C$367*'Amp (T-P-fO2 calculation)'!AQ8+'eq. coef.'!$C$368*'Amp (T-P-fO2 calculation)'!AR8+'eq. coef.'!$C$369*LN(BO8))</f>
        <v>884.59421329237648</v>
      </c>
      <c r="BM8" s="304">
        <f t="shared" si="25"/>
        <v>22</v>
      </c>
      <c r="BN8" s="305">
        <f t="shared" si="26"/>
        <v>484</v>
      </c>
      <c r="BO8" s="306">
        <f t="shared" si="27"/>
        <v>440.87610768169611</v>
      </c>
      <c r="BP8" s="299" t="str">
        <f t="shared" si="28"/>
        <v>P1b_c</v>
      </c>
      <c r="BQ8" s="302"/>
      <c r="BR8" s="302">
        <f t="shared" si="29"/>
        <v>0</v>
      </c>
      <c r="BS8" s="302">
        <f t="shared" si="30"/>
        <v>0</v>
      </c>
      <c r="BT8" s="299">
        <f t="shared" si="31"/>
        <v>52.905132921803535</v>
      </c>
      <c r="BU8" s="307">
        <f t="shared" si="62"/>
        <v>784.02160940037152</v>
      </c>
      <c r="BV8" s="308">
        <f t="shared" si="63"/>
        <v>772.44848342147816</v>
      </c>
      <c r="BW8" s="267">
        <f>IF(SUM(H8:S8)&lt;90," ",'eq. coef.'!$B$1128*'Amp (T-P-fO2 calculation)'!CH8+'eq. coef.'!$B$1129*'Amp (T-P-fO2 calculation)'!CL8+'eq. coef.'!$B$1130*'Amp (T-P-fO2 calculation)'!CM8+'eq. coef.'!$B$1131*'Amp (T-P-fO2 calculation)'!CO8+'eq. coef.'!$B$1132*'Amp (T-P-fO2 calculation)'!CP8+'eq. coef.'!$B$1133*'Amp (T-P-fO2 calculation)'!CQ8+'eq. coef.'!$B$1134*'Amp (T-P-fO2 calculation)'!CR8+'eq. coef.'!$B$1135*'Amp (T-P-fO2 calculation)'!CU8+'eq. coef.'!$B$1135*'Amp (T-P-fO2 calculation)'!CY8+'eq. coef.'!$B$1137*'Amp (T-P-fO2 calculation)'!CZ8)</f>
        <v>3.3473284517799211</v>
      </c>
      <c r="BX8" s="268">
        <f t="shared" si="32"/>
        <v>0.4</v>
      </c>
      <c r="BY8" s="269"/>
      <c r="BZ8" s="282">
        <f t="shared" si="64"/>
        <v>-12.064359087906999</v>
      </c>
      <c r="CA8" s="269">
        <f t="shared" si="65"/>
        <v>1.9589024532149804</v>
      </c>
      <c r="CB8" s="282">
        <f t="shared" si="66"/>
        <v>-10.674960080461203</v>
      </c>
      <c r="CC8" s="268">
        <f t="shared" si="33"/>
        <v>-8.7160576272462222</v>
      </c>
      <c r="CD8" s="268"/>
      <c r="CE8" s="267">
        <f>IF(SUM(H8:S8)&lt;90," ",EXP('eq. coef.'!$B$1156*'Amp (T-P-fO2 calculation)'!CH8+'eq. coef.'!$B$1157*'Amp (T-P-fO2 calculation)'!CL8+'eq. coef.'!$B$1158*'Amp (T-P-fO2 calculation)'!CM8+'eq. coef.'!$B$1159*'Amp (T-P-fO2 calculation)'!CO8+'eq. coef.'!$B$1160*'Amp (T-P-fO2 calculation)'!CP8+'eq. coef.'!$B$1161*'Amp (T-P-fO2 calculation)'!CQ8+'eq. coef.'!$B$1162*'Amp (T-P-fO2 calculation)'!CR8+'eq. coef.'!$B$1163*'Amp (T-P-fO2 calculation)'!CU8+'eq. coef.'!$B$1164*'Amp (T-P-fO2 calculation)'!CY8+'eq. coef.'!$B$1165*'Amp (T-P-fO2 calculation)'!CZ8))</f>
        <v>8.4687821192591723</v>
      </c>
      <c r="CF8" s="302">
        <f t="shared" si="34"/>
        <v>1.4396929602740594</v>
      </c>
      <c r="CG8" s="296">
        <f t="shared" si="35"/>
        <v>6.1291746228331103</v>
      </c>
      <c r="CH8" s="296">
        <f t="shared" si="36"/>
        <v>1.8708253771668897</v>
      </c>
      <c r="CI8" s="296">
        <f t="shared" si="37"/>
        <v>0</v>
      </c>
      <c r="CJ8" s="296">
        <f t="shared" si="38"/>
        <v>8</v>
      </c>
      <c r="CK8" s="296"/>
      <c r="CL8" s="296">
        <f t="shared" si="39"/>
        <v>0.3792132110480595</v>
      </c>
      <c r="CM8" s="296">
        <f t="shared" si="40"/>
        <v>0.16762334955367889</v>
      </c>
      <c r="CN8" s="296">
        <f t="shared" si="41"/>
        <v>3.7747154004265752E-3</v>
      </c>
      <c r="CO8" s="296">
        <f t="shared" si="42"/>
        <v>0.62279437233235058</v>
      </c>
      <c r="CP8" s="296">
        <f t="shared" si="43"/>
        <v>2.5700503112656277</v>
      </c>
      <c r="CQ8" s="296">
        <f t="shared" si="44"/>
        <v>1.2153471337121491</v>
      </c>
      <c r="CR8" s="296">
        <f t="shared" si="45"/>
        <v>4.119690668770714E-2</v>
      </c>
      <c r="CS8" s="296">
        <f t="shared" si="46"/>
        <v>5</v>
      </c>
      <c r="CT8" s="296"/>
      <c r="CU8" s="296">
        <f t="shared" si="47"/>
        <v>1.8744309848371863</v>
      </c>
      <c r="CV8" s="296">
        <f t="shared" si="48"/>
        <v>0.12556901516281371</v>
      </c>
      <c r="CW8" s="296">
        <f t="shared" si="49"/>
        <v>2</v>
      </c>
      <c r="CX8" s="296"/>
      <c r="CY8" s="296">
        <f t="shared" si="50"/>
        <v>0.42867467948623161</v>
      </c>
      <c r="CZ8" s="296">
        <f t="shared" si="51"/>
        <v>0.22669071495528334</v>
      </c>
      <c r="DA8" s="296">
        <f t="shared" si="52"/>
        <v>0.65536539444151498</v>
      </c>
      <c r="DB8" s="296"/>
      <c r="DC8" s="296">
        <f t="shared" si="53"/>
        <v>1.9926672845426676</v>
      </c>
      <c r="DD8" s="296">
        <f t="shared" si="54"/>
        <v>0</v>
      </c>
      <c r="DE8" s="296">
        <f t="shared" si="55"/>
        <v>7.3327154573323951E-3</v>
      </c>
      <c r="DF8" s="296">
        <f t="shared" si="56"/>
        <v>2</v>
      </c>
      <c r="DG8" s="302">
        <f t="shared" si="57"/>
        <v>45.377205627667649</v>
      </c>
      <c r="DH8" s="302"/>
      <c r="DI8" s="295">
        <f t="shared" si="58"/>
        <v>0.67893803718692891</v>
      </c>
      <c r="DJ8" s="295">
        <f t="shared" si="59"/>
        <v>0.58301689621888297</v>
      </c>
      <c r="DK8" s="295">
        <f t="shared" si="60"/>
        <v>0.16853631445890241</v>
      </c>
      <c r="DL8" s="296">
        <f t="shared" si="61"/>
        <v>2.2500385882149492</v>
      </c>
    </row>
    <row r="9" spans="1:117" ht="13.8" x14ac:dyDescent="0.25">
      <c r="A9" s="287" t="s">
        <v>558</v>
      </c>
      <c r="B9" s="288" t="s">
        <v>537</v>
      </c>
      <c r="C9" s="289">
        <v>99</v>
      </c>
      <c r="D9" s="289" t="s">
        <v>518</v>
      </c>
      <c r="E9" s="290" t="s">
        <v>514</v>
      </c>
      <c r="F9" s="289" t="s">
        <v>534</v>
      </c>
      <c r="G9" s="291"/>
      <c r="H9" s="292">
        <v>41.091000000000001</v>
      </c>
      <c r="I9" s="292">
        <v>1.5429999999999999</v>
      </c>
      <c r="J9" s="292">
        <v>12.618</v>
      </c>
      <c r="K9" s="292">
        <v>8.0000000000000002E-3</v>
      </c>
      <c r="L9" s="292">
        <v>14.746</v>
      </c>
      <c r="M9" s="292">
        <v>0.32800000000000001</v>
      </c>
      <c r="N9" s="292">
        <v>11.717000000000001</v>
      </c>
      <c r="O9" s="292">
        <v>11.813000000000001</v>
      </c>
      <c r="P9" s="292">
        <v>1.8129999999999999</v>
      </c>
      <c r="Q9" s="292">
        <v>1.256</v>
      </c>
      <c r="R9" s="293">
        <v>0</v>
      </c>
      <c r="S9" s="293">
        <v>3.5000000000000003E-2</v>
      </c>
      <c r="T9" s="294">
        <f t="shared" si="0"/>
        <v>96.968000000000004</v>
      </c>
      <c r="U9" s="295">
        <f>IF(SUM(H9:S9)&lt;90," ",H9/stab.data!$U$7)</f>
        <v>0.68389255042939878</v>
      </c>
      <c r="V9" s="295">
        <f>IF(SUM(H9:S9)&lt;90," ",I9/stab.data!$U$8)</f>
        <v>1.9312122956769883E-2</v>
      </c>
      <c r="W9" s="295">
        <f>IF(SUM(H9:S9)&lt;90," ",J9*2/stab.data!$U$9)</f>
        <v>0.24750639950569336</v>
      </c>
      <c r="X9" s="295">
        <f>IF(SUM(H9:S9)&lt;90," ",K9*2/stab.data!$U$10)</f>
        <v>1.0526994503592993E-4</v>
      </c>
      <c r="Y9" s="295">
        <f>IF(SUM(H9:S9)&lt;90," ",L9/stab.data!$U$11)</f>
        <v>0.20524455084486262</v>
      </c>
      <c r="Z9" s="295">
        <f>IF(SUM(H9:S9)&lt;90," ",M9/stab.data!$U$12)</f>
        <v>4.6238211370652838E-3</v>
      </c>
      <c r="AA9" s="295">
        <f>IF(SUM(H9:S9)&lt;90," ",N9/stab.data!$U$13)</f>
        <v>0.29071556173084556</v>
      </c>
      <c r="AB9" s="295">
        <f>IF(SUM(H9:S9)&lt;90," ",O9/stab.data!$U$14)</f>
        <v>0.2106492626473368</v>
      </c>
      <c r="AC9" s="295">
        <f>IF(SUM(H9:S9)&lt;90," ",P9*2/stab.data!$U$15)</f>
        <v>5.8503686732602977E-2</v>
      </c>
      <c r="AD9" s="295">
        <f>IF(SUM(H9:S9)&lt;90," ",Q9*2/stab.data!$U$16)</f>
        <v>2.6668082169966561E-2</v>
      </c>
      <c r="AE9" s="295">
        <f>IF(SUM(H9:S9)&lt;90," ",R9/stab.data!$U$17)</f>
        <v>0</v>
      </c>
      <c r="AF9" s="295">
        <f>IF(SUM(H9:S9)&lt;90," ",S9/stab.data!$U$18)</f>
        <v>9.8722251995599802E-4</v>
      </c>
      <c r="AG9" s="295">
        <f t="shared" si="1"/>
        <v>1.4514002765496712</v>
      </c>
      <c r="AH9" s="295">
        <f t="shared" si="2"/>
        <v>0.14165715491124692</v>
      </c>
      <c r="AI9" s="296">
        <f t="shared" si="3"/>
        <v>6.1255349742093852</v>
      </c>
      <c r="AJ9" s="296">
        <f t="shared" si="4"/>
        <v>0.17297612691299258</v>
      </c>
      <c r="AK9" s="296">
        <f t="shared" si="5"/>
        <v>2.2168820314840958</v>
      </c>
      <c r="AL9" s="296">
        <f t="shared" si="6"/>
        <v>9.4288895184749862E-4</v>
      </c>
      <c r="AM9" s="296">
        <f t="shared" si="7"/>
        <v>1.8383482517490766</v>
      </c>
      <c r="AN9" s="296">
        <f t="shared" si="8"/>
        <v>4.1414953375056462E-2</v>
      </c>
      <c r="AO9" s="296">
        <f t="shared" si="9"/>
        <v>2.6039007733175481</v>
      </c>
      <c r="AP9" s="296">
        <f t="shared" si="10"/>
        <v>1.8867575393642009</v>
      </c>
      <c r="AQ9" s="296">
        <f t="shared" si="11"/>
        <v>0.52400977167500939</v>
      </c>
      <c r="AR9" s="296">
        <f t="shared" si="12"/>
        <v>0.23886247909068847</v>
      </c>
      <c r="AS9" s="296">
        <f t="shared" si="13"/>
        <v>0</v>
      </c>
      <c r="AT9" s="296">
        <f t="shared" si="14"/>
        <v>8.8424213270354591E-3</v>
      </c>
      <c r="AU9" s="295">
        <f t="shared" si="15"/>
        <v>15.6496297901299</v>
      </c>
      <c r="AV9" s="295">
        <f t="shared" si="16"/>
        <v>1.8895935856068673</v>
      </c>
      <c r="AW9" s="295">
        <f>IF(SUM(H9:S9)&lt;90," ",CO9*AG9*stab.data!$U$20/13/2)</f>
        <v>5.78338458344549</v>
      </c>
      <c r="AX9" s="295">
        <f>IF(SUM(H9:S9)&lt;90," ",CQ9*AG9*stab.data!$U$11/13)</f>
        <v>9.5420367361689209</v>
      </c>
      <c r="AY9" s="295">
        <f t="shared" si="17"/>
        <v>-7.8972865483880206E-3</v>
      </c>
      <c r="AZ9" s="297">
        <f t="shared" si="18"/>
        <v>99.429117618672905</v>
      </c>
      <c r="BA9" s="298">
        <f>IF(SUM(H9:S9)&lt;90," ",EXP('eq. coef.'!$C$104+'eq. coef.'!$C$105*'Amp (T-P-fO2 calculation)'!AI9+'eq. coef.'!$C$106*'Amp (T-P-fO2 calculation)'!AJ9+'eq. coef.'!$C$107*'Amp (T-P-fO2 calculation)'!AK9+'eq. coef.'!$C$108*'Amp (T-P-fO2 calculation)'!AM9+'eq. coef.'!$C$109*'Amp (T-P-fO2 calculation)'!AO9+'eq. coef.'!$C$110*'Amp (T-P-fO2 calculation)'!AP9+'eq. coef.'!$C$111*'Amp (T-P-fO2 calculation)'!AQ9+'eq. coef.'!$C$112*'Amp (T-P-fO2 calculation)'!AR9))</f>
        <v>511.28991079750125</v>
      </c>
      <c r="BB9" s="299">
        <f>IF(SUM(H9:S9)&lt;90," ",EXP('eq. coef.'!$C$176+'eq. coef.'!$C$177*'Amp (T-P-fO2 calculation)'!AI9+'eq. coef.'!$C$178*'Amp (T-P-fO2 calculation)'!AJ9+'eq. coef.'!$C$179*'Amp (T-P-fO2 calculation)'!AK9+'eq. coef.'!$C$180*'Amp (T-P-fO2 calculation)'!AM9+'eq. coef.'!$C$181*'Amp (T-P-fO2 calculation)'!AO9+'eq. coef.'!$C$182*'Amp (T-P-fO2 calculation)'!AP9+'eq. coef.'!$C$183*'Amp (T-P-fO2 calculation)'!AQ9+'eq. coef.'!$C$184*'Amp (T-P-fO2 calculation)'!AR9))</f>
        <v>396.09306623570092</v>
      </c>
      <c r="BC9" s="299">
        <f>IF(SUM(H9:S9)&lt;90," ",('eq. coef.'!$C$234+'eq. coef.'!$C$235*'Amp (T-P-fO2 calculation)'!AI9+'eq. coef.'!$C$236*'Amp (T-P-fO2 calculation)'!AJ9+'eq. coef.'!$C$237*'Amp (T-P-fO2 calculation)'!AK9+'eq. coef.'!$C$238*'Amp (T-P-fO2 calculation)'!AM9+'eq. coef.'!$C$239*'Amp (T-P-fO2 calculation)'!AO9+'eq. coef.'!$C$240*'Amp (T-P-fO2 calculation)'!AP9+'eq. coef.'!$C$241*'Amp (T-P-fO2 calculation)'!AQ9+'eq. coef.'!$C$242*'Amp (T-P-fO2 calculation)'!AR9))</f>
        <v>457.94030881085956</v>
      </c>
      <c r="BD9" s="299">
        <f>IF(SUM(H9:S9)&lt;90," ",('eq. coef.'!$C$270+'eq. coef.'!$C$271*'Amp (T-P-fO2 calculation)'!AI9+'eq. coef.'!$C$272*'Amp (T-P-fO2 calculation)'!AJ9+'eq. coef.'!$C$273*'Amp (T-P-fO2 calculation)'!AK9+'eq. coef.'!$C$274*'Amp (T-P-fO2 calculation)'!AM9+'eq. coef.'!$C$275*'Amp (T-P-fO2 calculation)'!AO9+'eq. coef.'!$C$276*'Amp (T-P-fO2 calculation)'!AP9+'eq. coef.'!$C$277*'Amp (T-P-fO2 calculation)'!AQ9+'eq. coef.'!$C$278*'Amp (T-P-fO2 calculation)'!AR9))</f>
        <v>445.96641911517816</v>
      </c>
      <c r="BE9" s="299">
        <f>IF(SUM(H9:S9)&lt;90," ",EXP('eq. coef.'!$C$328+'eq. coef.'!$C$329*'Amp (T-P-fO2 calculation)'!AI9+'eq. coef.'!$C$330*'Amp (T-P-fO2 calculation)'!AJ9+'eq. coef.'!$C$331*'Amp (T-P-fO2 calculation)'!AK9+'eq. coef.'!$C$332*'Amp (T-P-fO2 calculation)'!AM9+'eq. coef.'!$C$333*'Amp (T-P-fO2 calculation)'!AO9+'eq. coef.'!$C$334*'Amp (T-P-fO2 calculation)'!AP9+'eq. coef.'!$C$335*'Amp (T-P-fO2 calculation)'!AQ9+'eq. coef.'!$C$336*'Amp (T-P-fO2 calculation)'!AR9))</f>
        <v>848.43329148820794</v>
      </c>
      <c r="BF9" s="300" t="str">
        <f t="shared" si="19"/>
        <v>ok</v>
      </c>
      <c r="BG9" s="301" t="str">
        <f t="shared" si="20"/>
        <v>ok</v>
      </c>
      <c r="BH9" s="301" t="str">
        <f t="shared" si="21"/>
        <v>ok</v>
      </c>
      <c r="BI9" s="299">
        <f t="shared" si="22"/>
        <v>17.962832921571405</v>
      </c>
      <c r="BJ9" s="302">
        <f t="shared" si="23"/>
        <v>-0.6593976794199522</v>
      </c>
      <c r="BK9" s="299">
        <f t="shared" si="24"/>
        <v>49.873352879477238</v>
      </c>
      <c r="BL9" s="303">
        <f>IF(SUM(H9:S9)&lt;90," ",'eq. coef.'!$C$360+'eq. coef.'!$C$361*'Amp (T-P-fO2 calculation)'!AI9+'eq. coef.'!$C$362*'Amp (T-P-fO2 calculation)'!AJ9+'eq. coef.'!$C$363*'Amp (T-P-fO2 calculation)'!AK9+'eq. coef.'!$C$364*'Amp (T-P-fO2 calculation)'!AM9+'eq. coef.'!$C$365*'Amp (T-P-fO2 calculation)'!AO9+'eq. coef.'!$C$366*'Amp (T-P-fO2 calculation)'!AP9+'eq. coef.'!$C$367*'Amp (T-P-fO2 calculation)'!AQ9+'eq. coef.'!$C$368*'Amp (T-P-fO2 calculation)'!AR9+'eq. coef.'!$C$369*LN(BO9))</f>
        <v>880.70654144734181</v>
      </c>
      <c r="BM9" s="304">
        <f t="shared" si="25"/>
        <v>22</v>
      </c>
      <c r="BN9" s="305">
        <f t="shared" si="26"/>
        <v>484</v>
      </c>
      <c r="BO9" s="306">
        <f t="shared" si="27"/>
        <v>427.01668752328021</v>
      </c>
      <c r="BP9" s="299" t="str">
        <f t="shared" si="28"/>
        <v>P1b_c</v>
      </c>
      <c r="BQ9" s="302"/>
      <c r="BR9" s="302">
        <f t="shared" si="29"/>
        <v>0</v>
      </c>
      <c r="BS9" s="302">
        <f t="shared" si="30"/>
        <v>0</v>
      </c>
      <c r="BT9" s="299">
        <f t="shared" si="31"/>
        <v>51.242002502793625</v>
      </c>
      <c r="BU9" s="307">
        <f t="shared" si="62"/>
        <v>765.45393763109359</v>
      </c>
      <c r="BV9" s="308">
        <f t="shared" si="63"/>
        <v>778.70265272970141</v>
      </c>
      <c r="BW9" s="267">
        <f>IF(SUM(H9:S9)&lt;90," ",'eq. coef.'!$B$1128*'Amp (T-P-fO2 calculation)'!CH9+'eq. coef.'!$B$1129*'Amp (T-P-fO2 calculation)'!CL9+'eq. coef.'!$B$1130*'Amp (T-P-fO2 calculation)'!CM9+'eq. coef.'!$B$1131*'Amp (T-P-fO2 calculation)'!CO9+'eq. coef.'!$B$1132*'Amp (T-P-fO2 calculation)'!CP9+'eq. coef.'!$B$1133*'Amp (T-P-fO2 calculation)'!CQ9+'eq. coef.'!$B$1134*'Amp (T-P-fO2 calculation)'!CR9+'eq. coef.'!$B$1135*'Amp (T-P-fO2 calculation)'!CU9+'eq. coef.'!$B$1135*'Amp (T-P-fO2 calculation)'!CY9+'eq. coef.'!$B$1137*'Amp (T-P-fO2 calculation)'!CZ9)</f>
        <v>3.6079887004603473</v>
      </c>
      <c r="BX9" s="268">
        <f t="shared" si="32"/>
        <v>0.4</v>
      </c>
      <c r="BY9" s="269"/>
      <c r="BZ9" s="282">
        <f t="shared" si="64"/>
        <v>-12.140894281543792</v>
      </c>
      <c r="CA9" s="269">
        <f t="shared" si="65"/>
        <v>2.2262172434329308</v>
      </c>
      <c r="CB9" s="282">
        <f t="shared" si="66"/>
        <v>-10.757638440088435</v>
      </c>
      <c r="CC9" s="268">
        <f t="shared" si="33"/>
        <v>-8.5314211966555042</v>
      </c>
      <c r="CD9" s="268"/>
      <c r="CE9" s="267">
        <f>IF(SUM(H9:S9)&lt;90," ",EXP('eq. coef.'!$B$1156*'Amp (T-P-fO2 calculation)'!CH9+'eq. coef.'!$B$1157*'Amp (T-P-fO2 calculation)'!CL9+'eq. coef.'!$B$1158*'Amp (T-P-fO2 calculation)'!CM9+'eq. coef.'!$B$1159*'Amp (T-P-fO2 calculation)'!CO9+'eq. coef.'!$B$1160*'Amp (T-P-fO2 calculation)'!CP9+'eq. coef.'!$B$1161*'Amp (T-P-fO2 calculation)'!CQ9+'eq. coef.'!$B$1162*'Amp (T-P-fO2 calculation)'!CR9+'eq. coef.'!$B$1163*'Amp (T-P-fO2 calculation)'!CU9+'eq. coef.'!$B$1164*'Amp (T-P-fO2 calculation)'!CY9+'eq. coef.'!$B$1165*'Amp (T-P-fO2 calculation)'!CZ9))</f>
        <v>8.2636768579278943</v>
      </c>
      <c r="CF9" s="302">
        <f t="shared" si="34"/>
        <v>1.4048250658477421</v>
      </c>
      <c r="CG9" s="296">
        <f t="shared" si="35"/>
        <v>6.1255349742093852</v>
      </c>
      <c r="CH9" s="296">
        <f t="shared" si="36"/>
        <v>1.8744650257906148</v>
      </c>
      <c r="CI9" s="296">
        <f t="shared" si="37"/>
        <v>0</v>
      </c>
      <c r="CJ9" s="296">
        <f t="shared" si="38"/>
        <v>8</v>
      </c>
      <c r="CK9" s="296"/>
      <c r="CL9" s="296">
        <f t="shared" si="39"/>
        <v>0.34241700569348099</v>
      </c>
      <c r="CM9" s="296">
        <f t="shared" si="40"/>
        <v>0.17297612691299258</v>
      </c>
      <c r="CN9" s="296">
        <f t="shared" si="41"/>
        <v>9.4288895184749862E-4</v>
      </c>
      <c r="CO9" s="296">
        <f t="shared" si="42"/>
        <v>0.64876554782519236</v>
      </c>
      <c r="CP9" s="296">
        <f t="shared" si="43"/>
        <v>2.6039007733175481</v>
      </c>
      <c r="CQ9" s="296">
        <f t="shared" si="44"/>
        <v>1.1895827039238842</v>
      </c>
      <c r="CR9" s="296">
        <f t="shared" si="45"/>
        <v>4.1414953375056462E-2</v>
      </c>
      <c r="CS9" s="296">
        <f t="shared" si="46"/>
        <v>5.0000000000000027</v>
      </c>
      <c r="CT9" s="296"/>
      <c r="CU9" s="296">
        <f t="shared" si="47"/>
        <v>1.8867575393642009</v>
      </c>
      <c r="CV9" s="296">
        <f t="shared" si="48"/>
        <v>0.11324246063579912</v>
      </c>
      <c r="CW9" s="296">
        <f t="shared" si="49"/>
        <v>2</v>
      </c>
      <c r="CX9" s="296"/>
      <c r="CY9" s="296">
        <f t="shared" si="50"/>
        <v>0.41076731103921027</v>
      </c>
      <c r="CZ9" s="296">
        <f t="shared" si="51"/>
        <v>0.23886247909068847</v>
      </c>
      <c r="DA9" s="296">
        <f t="shared" si="52"/>
        <v>0.64962979012989874</v>
      </c>
      <c r="DB9" s="296"/>
      <c r="DC9" s="296">
        <f t="shared" si="53"/>
        <v>1.9911575786729645</v>
      </c>
      <c r="DD9" s="296">
        <f t="shared" si="54"/>
        <v>0</v>
      </c>
      <c r="DE9" s="296">
        <f t="shared" si="55"/>
        <v>8.8424213270354591E-3</v>
      </c>
      <c r="DF9" s="296">
        <f t="shared" si="56"/>
        <v>2</v>
      </c>
      <c r="DG9" s="302">
        <f t="shared" si="57"/>
        <v>45.351234452174808</v>
      </c>
      <c r="DH9" s="302"/>
      <c r="DI9" s="295">
        <f t="shared" si="58"/>
        <v>0.68641415968709263</v>
      </c>
      <c r="DJ9" s="295">
        <f t="shared" si="59"/>
        <v>0.58616722264427645</v>
      </c>
      <c r="DK9" s="295">
        <f t="shared" si="60"/>
        <v>0.15445883038902583</v>
      </c>
      <c r="DL9" s="296">
        <f t="shared" si="61"/>
        <v>2.2168820314840958</v>
      </c>
    </row>
    <row r="10" spans="1:117" ht="13.8" x14ac:dyDescent="0.25">
      <c r="A10" s="287" t="s">
        <v>558</v>
      </c>
      <c r="B10" s="288" t="s">
        <v>537</v>
      </c>
      <c r="C10" s="289">
        <v>99</v>
      </c>
      <c r="D10" s="289" t="s">
        <v>518</v>
      </c>
      <c r="E10" s="290" t="s">
        <v>514</v>
      </c>
      <c r="F10" s="289" t="s">
        <v>534</v>
      </c>
      <c r="G10" s="291"/>
      <c r="H10" s="292">
        <v>41.005000000000003</v>
      </c>
      <c r="I10" s="292">
        <v>1.3149999999999999</v>
      </c>
      <c r="J10" s="292">
        <v>13.077</v>
      </c>
      <c r="K10" s="292">
        <v>4.4999999999999998E-2</v>
      </c>
      <c r="L10" s="292">
        <v>14.635</v>
      </c>
      <c r="M10" s="292">
        <v>0.28399999999999997</v>
      </c>
      <c r="N10" s="292">
        <v>11.848000000000001</v>
      </c>
      <c r="O10" s="292">
        <v>11.88</v>
      </c>
      <c r="P10" s="292">
        <v>1.794</v>
      </c>
      <c r="Q10" s="292">
        <v>1.175</v>
      </c>
      <c r="R10" s="293">
        <v>0</v>
      </c>
      <c r="S10" s="293">
        <v>2.1999999999999999E-2</v>
      </c>
      <c r="T10" s="294">
        <f t="shared" si="0"/>
        <v>97.08</v>
      </c>
      <c r="U10" s="295">
        <f>IF(SUM(H10:S10)&lt;90," ",H10/stab.data!$U$7)</f>
        <v>0.68246122095732642</v>
      </c>
      <c r="V10" s="295">
        <f>IF(SUM(H10:S10)&lt;90," ",I10/stab.data!$U$8)</f>
        <v>1.6458484567823974E-2</v>
      </c>
      <c r="W10" s="295">
        <f>IF(SUM(H10:S10)&lt;90," ",J10*2/stab.data!$U$9)</f>
        <v>0.25650984199841115</v>
      </c>
      <c r="X10" s="295">
        <f>IF(SUM(H10:S10)&lt;90," ",K10*2/stab.data!$U$10)</f>
        <v>5.9214344082710588E-4</v>
      </c>
      <c r="Y10" s="295">
        <f>IF(SUM(H10:S10)&lt;90," ",L10/stab.data!$U$11)</f>
        <v>0.20369957965648747</v>
      </c>
      <c r="Z10" s="295">
        <f>IF(SUM(H10:S10)&lt;90," ",M10/stab.data!$U$12)</f>
        <v>4.0035524479467696E-3</v>
      </c>
      <c r="AA10" s="295">
        <f>IF(SUM(H10:S10)&lt;90," ",N10/stab.data!$U$13)</f>
        <v>0.29396585946804288</v>
      </c>
      <c r="AB10" s="295">
        <f>IF(SUM(H10:S10)&lt;90," ",O10/stab.data!$U$14)</f>
        <v>0.21184400577756379</v>
      </c>
      <c r="AC10" s="295">
        <f>IF(SUM(H10:S10)&lt;90," ",P10*2/stab.data!$U$15)</f>
        <v>5.7890575840203941E-2</v>
      </c>
      <c r="AD10" s="295">
        <f>IF(SUM(H10:S10)&lt;90," ",Q10*2/stab.data!$U$16)</f>
        <v>2.4948245660597699E-2</v>
      </c>
      <c r="AE10" s="295">
        <f>IF(SUM(H10:S10)&lt;90," ",R10/stab.data!$U$17)</f>
        <v>0</v>
      </c>
      <c r="AF10" s="295">
        <f>IF(SUM(H10:S10)&lt;90," ",S10/stab.data!$U$18)</f>
        <v>6.2053986968662732E-4</v>
      </c>
      <c r="AG10" s="295">
        <f t="shared" si="1"/>
        <v>1.4576906825368656</v>
      </c>
      <c r="AH10" s="295">
        <f t="shared" si="2"/>
        <v>0.14637852065308685</v>
      </c>
      <c r="AI10" s="296">
        <f t="shared" si="3"/>
        <v>6.0863364078070568</v>
      </c>
      <c r="AJ10" s="296">
        <f t="shared" si="4"/>
        <v>0.14678031625293078</v>
      </c>
      <c r="AK10" s="296">
        <f t="shared" si="5"/>
        <v>2.2876101123017301</v>
      </c>
      <c r="AL10" s="296">
        <f t="shared" si="6"/>
        <v>5.280862958769509E-3</v>
      </c>
      <c r="AM10" s="296">
        <f t="shared" si="7"/>
        <v>1.8166367990538115</v>
      </c>
      <c r="AN10" s="296">
        <f t="shared" si="8"/>
        <v>3.5704544487264178E-2</v>
      </c>
      <c r="AO10" s="296">
        <f t="shared" si="9"/>
        <v>2.6216509571384385</v>
      </c>
      <c r="AP10" s="296">
        <f t="shared" si="10"/>
        <v>1.8892705483412324</v>
      </c>
      <c r="AQ10" s="296">
        <f t="shared" si="11"/>
        <v>0.51628064509057348</v>
      </c>
      <c r="AR10" s="296">
        <f t="shared" si="12"/>
        <v>0.22249383732310965</v>
      </c>
      <c r="AS10" s="296">
        <f t="shared" si="13"/>
        <v>0</v>
      </c>
      <c r="AT10" s="296">
        <f t="shared" si="14"/>
        <v>5.5341084377975615E-3</v>
      </c>
      <c r="AU10" s="295">
        <f t="shared" si="15"/>
        <v>15.628045030754917</v>
      </c>
      <c r="AV10" s="295">
        <f t="shared" si="16"/>
        <v>1.9009363036558726</v>
      </c>
      <c r="AW10" s="295">
        <f>IF(SUM(H10:S10)&lt;90," ",CO10*AG10*stab.data!$U$20/13/2)</f>
        <v>6.4780906201308266</v>
      </c>
      <c r="AX10" s="295">
        <f>IF(SUM(H10:S10)&lt;90," ",CQ10*AG10*stab.data!$U$11/13)</f>
        <v>8.8059313775488999</v>
      </c>
      <c r="AY10" s="295">
        <f t="shared" si="17"/>
        <v>-4.9640086875581838E-3</v>
      </c>
      <c r="AZ10" s="297">
        <f t="shared" si="18"/>
        <v>99.62499429264804</v>
      </c>
      <c r="BA10" s="298">
        <f>IF(SUM(H10:S10)&lt;90," ",EXP('eq. coef.'!$C$104+'eq. coef.'!$C$105*'Amp (T-P-fO2 calculation)'!AI10+'eq. coef.'!$C$106*'Amp (T-P-fO2 calculation)'!AJ10+'eq. coef.'!$C$107*'Amp (T-P-fO2 calculation)'!AK10+'eq. coef.'!$C$108*'Amp (T-P-fO2 calculation)'!AM10+'eq. coef.'!$C$109*'Amp (T-P-fO2 calculation)'!AO10+'eq. coef.'!$C$110*'Amp (T-P-fO2 calculation)'!AP10+'eq. coef.'!$C$111*'Amp (T-P-fO2 calculation)'!AQ10+'eq. coef.'!$C$112*'Amp (T-P-fO2 calculation)'!AR10))</f>
        <v>533.40133705175754</v>
      </c>
      <c r="BB10" s="299">
        <f>IF(SUM(H10:S10)&lt;90," ",EXP('eq. coef.'!$C$176+'eq. coef.'!$C$177*'Amp (T-P-fO2 calculation)'!AI10+'eq. coef.'!$C$178*'Amp (T-P-fO2 calculation)'!AJ10+'eq. coef.'!$C$179*'Amp (T-P-fO2 calculation)'!AK10+'eq. coef.'!$C$180*'Amp (T-P-fO2 calculation)'!AM10+'eq. coef.'!$C$181*'Amp (T-P-fO2 calculation)'!AO10+'eq. coef.'!$C$182*'Amp (T-P-fO2 calculation)'!AP10+'eq. coef.'!$C$183*'Amp (T-P-fO2 calculation)'!AQ10+'eq. coef.'!$C$184*'Amp (T-P-fO2 calculation)'!AR10))</f>
        <v>433.49443022599968</v>
      </c>
      <c r="BC10" s="299">
        <f>IF(SUM(H10:S10)&lt;90," ",('eq. coef.'!$C$234+'eq. coef.'!$C$235*'Amp (T-P-fO2 calculation)'!AI10+'eq. coef.'!$C$236*'Amp (T-P-fO2 calculation)'!AJ10+'eq. coef.'!$C$237*'Amp (T-P-fO2 calculation)'!AK10+'eq. coef.'!$C$238*'Amp (T-P-fO2 calculation)'!AM10+'eq. coef.'!$C$239*'Amp (T-P-fO2 calculation)'!AO10+'eq. coef.'!$C$240*'Amp (T-P-fO2 calculation)'!AP10+'eq. coef.'!$C$241*'Amp (T-P-fO2 calculation)'!AQ10+'eq. coef.'!$C$242*'Amp (T-P-fO2 calculation)'!AR10))</f>
        <v>478.68335170238709</v>
      </c>
      <c r="BD10" s="299">
        <f>IF(SUM(H10:S10)&lt;90," ",('eq. coef.'!$C$270+'eq. coef.'!$C$271*'Amp (T-P-fO2 calculation)'!AI10+'eq. coef.'!$C$272*'Amp (T-P-fO2 calculation)'!AJ10+'eq. coef.'!$C$273*'Amp (T-P-fO2 calculation)'!AK10+'eq. coef.'!$C$274*'Amp (T-P-fO2 calculation)'!AM10+'eq. coef.'!$C$275*'Amp (T-P-fO2 calculation)'!AO10+'eq. coef.'!$C$276*'Amp (T-P-fO2 calculation)'!AP10+'eq. coef.'!$C$277*'Amp (T-P-fO2 calculation)'!AQ10+'eq. coef.'!$C$278*'Amp (T-P-fO2 calculation)'!AR10))</f>
        <v>455.88417458447748</v>
      </c>
      <c r="BE10" s="299">
        <f>IF(SUM(H10:S10)&lt;90," ",EXP('eq. coef.'!$C$328+'eq. coef.'!$C$329*'Amp (T-P-fO2 calculation)'!AI10+'eq. coef.'!$C$330*'Amp (T-P-fO2 calculation)'!AJ10+'eq. coef.'!$C$331*'Amp (T-P-fO2 calculation)'!AK10+'eq. coef.'!$C$332*'Amp (T-P-fO2 calculation)'!AM10+'eq. coef.'!$C$333*'Amp (T-P-fO2 calculation)'!AO10+'eq. coef.'!$C$334*'Amp (T-P-fO2 calculation)'!AP10+'eq. coef.'!$C$335*'Amp (T-P-fO2 calculation)'!AQ10+'eq. coef.'!$C$336*'Amp (T-P-fO2 calculation)'!AR10))</f>
        <v>878.6400953564123</v>
      </c>
      <c r="BF10" s="300" t="str">
        <f t="shared" si="19"/>
        <v>ok</v>
      </c>
      <c r="BG10" s="301" t="str">
        <f t="shared" si="20"/>
        <v>ok</v>
      </c>
      <c r="BH10" s="301" t="str">
        <f t="shared" si="21"/>
        <v>ok</v>
      </c>
      <c r="BI10" s="299">
        <f t="shared" si="22"/>
        <v>10.812926221960172</v>
      </c>
      <c r="BJ10" s="302">
        <f t="shared" si="23"/>
        <v>-0.64724014419025577</v>
      </c>
      <c r="BK10" s="299">
        <f t="shared" si="24"/>
        <v>22.389744358477799</v>
      </c>
      <c r="BL10" s="303">
        <f>IF(SUM(H10:S10)&lt;90," ",'eq. coef.'!$C$360+'eq. coef.'!$C$361*'Amp (T-P-fO2 calculation)'!AI10+'eq. coef.'!$C$362*'Amp (T-P-fO2 calculation)'!AJ10+'eq. coef.'!$C$363*'Amp (T-P-fO2 calculation)'!AK10+'eq. coef.'!$C$364*'Amp (T-P-fO2 calculation)'!AM10+'eq. coef.'!$C$365*'Amp (T-P-fO2 calculation)'!AO10+'eq. coef.'!$C$366*'Amp (T-P-fO2 calculation)'!AP10+'eq. coef.'!$C$367*'Amp (T-P-fO2 calculation)'!AQ10+'eq. coef.'!$C$368*'Amp (T-P-fO2 calculation)'!AR10+'eq. coef.'!$C$369*LN(BO10))</f>
        <v>884.45363754709842</v>
      </c>
      <c r="BM10" s="304">
        <f t="shared" si="25"/>
        <v>22</v>
      </c>
      <c r="BN10" s="305">
        <f t="shared" si="26"/>
        <v>484</v>
      </c>
      <c r="BO10" s="306">
        <f t="shared" si="27"/>
        <v>478.68335170238709</v>
      </c>
      <c r="BP10" s="299" t="str">
        <f t="shared" si="28"/>
        <v>P1c</v>
      </c>
      <c r="BQ10" s="302"/>
      <c r="BR10" s="302">
        <f t="shared" si="29"/>
        <v>0</v>
      </c>
      <c r="BS10" s="302">
        <f t="shared" si="30"/>
        <v>0</v>
      </c>
      <c r="BT10" s="299">
        <f t="shared" si="31"/>
        <v>57.442002204286446</v>
      </c>
      <c r="BU10" s="307">
        <f t="shared" si="62"/>
        <v>805.06166288896884</v>
      </c>
      <c r="BV10" s="308">
        <f t="shared" si="63"/>
        <v>746.83052774035377</v>
      </c>
      <c r="BW10" s="267">
        <f>IF(SUM(H10:S10)&lt;90," ",'eq. coef.'!$B$1128*'Amp (T-P-fO2 calculation)'!CH10+'eq. coef.'!$B$1129*'Amp (T-P-fO2 calculation)'!CL10+'eq. coef.'!$B$1130*'Amp (T-P-fO2 calculation)'!CM10+'eq. coef.'!$B$1131*'Amp (T-P-fO2 calculation)'!CO10+'eq. coef.'!$B$1132*'Amp (T-P-fO2 calculation)'!CP10+'eq. coef.'!$B$1133*'Amp (T-P-fO2 calculation)'!CQ10+'eq. coef.'!$B$1134*'Amp (T-P-fO2 calculation)'!CR10+'eq. coef.'!$B$1135*'Amp (T-P-fO2 calculation)'!CU10+'eq. coef.'!$B$1135*'Amp (T-P-fO2 calculation)'!CY10+'eq. coef.'!$B$1137*'Amp (T-P-fO2 calculation)'!CZ10)</f>
        <v>3.777593688750156</v>
      </c>
      <c r="BX10" s="268">
        <f t="shared" si="32"/>
        <v>0.4</v>
      </c>
      <c r="BY10" s="269"/>
      <c r="BZ10" s="282">
        <f t="shared" si="64"/>
        <v>-12.051268052598338</v>
      </c>
      <c r="CA10" s="269">
        <f t="shared" si="65"/>
        <v>2.3888220922550385</v>
      </c>
      <c r="CB10" s="282">
        <f t="shared" si="66"/>
        <v>-10.66213175021957</v>
      </c>
      <c r="CC10" s="268">
        <f t="shared" si="33"/>
        <v>-8.273309657964532</v>
      </c>
      <c r="CD10" s="268"/>
      <c r="CE10" s="267">
        <f>IF(SUM(H10:S10)&lt;90," ",EXP('eq. coef.'!$B$1156*'Amp (T-P-fO2 calculation)'!CH10+'eq. coef.'!$B$1157*'Amp (T-P-fO2 calculation)'!CL10+'eq. coef.'!$B$1158*'Amp (T-P-fO2 calculation)'!CM10+'eq. coef.'!$B$1159*'Amp (T-P-fO2 calculation)'!CO10+'eq. coef.'!$B$1160*'Amp (T-P-fO2 calculation)'!CP10+'eq. coef.'!$B$1161*'Amp (T-P-fO2 calculation)'!CQ10+'eq. coef.'!$B$1162*'Amp (T-P-fO2 calculation)'!CR10+'eq. coef.'!$B$1163*'Amp (T-P-fO2 calculation)'!CU10+'eq. coef.'!$B$1164*'Amp (T-P-fO2 calculation)'!CY10+'eq. coef.'!$B$1165*'Amp (T-P-fO2 calculation)'!CZ10))</f>
        <v>9.1998518887467924</v>
      </c>
      <c r="CF10" s="302">
        <f t="shared" si="34"/>
        <v>1.5639748210869548</v>
      </c>
      <c r="CG10" s="296">
        <f t="shared" si="35"/>
        <v>6.0863364078070568</v>
      </c>
      <c r="CH10" s="296">
        <f t="shared" si="36"/>
        <v>1.9136635921929432</v>
      </c>
      <c r="CI10" s="296">
        <f t="shared" si="37"/>
        <v>0</v>
      </c>
      <c r="CJ10" s="296">
        <f t="shared" si="38"/>
        <v>8</v>
      </c>
      <c r="CK10" s="296"/>
      <c r="CL10" s="296">
        <f t="shared" si="39"/>
        <v>0.37394652010878682</v>
      </c>
      <c r="CM10" s="296">
        <f t="shared" si="40"/>
        <v>0.14678031625293078</v>
      </c>
      <c r="CN10" s="296">
        <f t="shared" si="41"/>
        <v>5.280862958769509E-3</v>
      </c>
      <c r="CO10" s="296">
        <f t="shared" si="42"/>
        <v>0.72355999752337397</v>
      </c>
      <c r="CP10" s="296">
        <f t="shared" si="43"/>
        <v>2.6216509571384385</v>
      </c>
      <c r="CQ10" s="296">
        <f t="shared" si="44"/>
        <v>1.0930768015304375</v>
      </c>
      <c r="CR10" s="296">
        <f t="shared" si="45"/>
        <v>3.5704544487264178E-2</v>
      </c>
      <c r="CS10" s="296">
        <f t="shared" si="46"/>
        <v>5.0000000000000009</v>
      </c>
      <c r="CT10" s="296"/>
      <c r="CU10" s="296">
        <f t="shared" si="47"/>
        <v>1.8892705483412324</v>
      </c>
      <c r="CV10" s="296">
        <f t="shared" si="48"/>
        <v>0.11072945165876757</v>
      </c>
      <c r="CW10" s="296">
        <f t="shared" si="49"/>
        <v>2</v>
      </c>
      <c r="CX10" s="296"/>
      <c r="CY10" s="296">
        <f t="shared" si="50"/>
        <v>0.4055511934318059</v>
      </c>
      <c r="CZ10" s="296">
        <f t="shared" si="51"/>
        <v>0.22249383732310965</v>
      </c>
      <c r="DA10" s="296">
        <f t="shared" si="52"/>
        <v>0.62804503075491558</v>
      </c>
      <c r="DB10" s="296"/>
      <c r="DC10" s="296">
        <f t="shared" si="53"/>
        <v>1.9944658915622024</v>
      </c>
      <c r="DD10" s="296">
        <f t="shared" si="54"/>
        <v>0</v>
      </c>
      <c r="DE10" s="296">
        <f t="shared" si="55"/>
        <v>5.5341084377975615E-3</v>
      </c>
      <c r="DF10" s="296">
        <f t="shared" si="56"/>
        <v>2</v>
      </c>
      <c r="DG10" s="302">
        <f t="shared" si="57"/>
        <v>45.276440002476626</v>
      </c>
      <c r="DH10" s="302"/>
      <c r="DI10" s="295">
        <f t="shared" si="58"/>
        <v>0.70574511174349763</v>
      </c>
      <c r="DJ10" s="295">
        <f t="shared" si="59"/>
        <v>0.59068972116121587</v>
      </c>
      <c r="DK10" s="295">
        <f t="shared" si="60"/>
        <v>0.1634660198859377</v>
      </c>
      <c r="DL10" s="296">
        <f t="shared" si="61"/>
        <v>2.2876101123017301</v>
      </c>
    </row>
    <row r="11" spans="1:117" ht="13.8" x14ac:dyDescent="0.25">
      <c r="A11" s="287" t="s">
        <v>558</v>
      </c>
      <c r="B11" s="288" t="s">
        <v>537</v>
      </c>
      <c r="C11" s="289">
        <v>343</v>
      </c>
      <c r="D11" s="289" t="s">
        <v>519</v>
      </c>
      <c r="E11" s="290" t="s">
        <v>514</v>
      </c>
      <c r="F11" s="289" t="s">
        <v>534</v>
      </c>
      <c r="G11" s="291"/>
      <c r="H11" s="292">
        <v>38.872</v>
      </c>
      <c r="I11" s="292">
        <v>1.93</v>
      </c>
      <c r="J11" s="292">
        <v>14.541</v>
      </c>
      <c r="K11" s="292">
        <v>0</v>
      </c>
      <c r="L11" s="292">
        <v>16.861000000000001</v>
      </c>
      <c r="M11" s="292">
        <v>0.315</v>
      </c>
      <c r="N11" s="292">
        <v>9.9420000000000002</v>
      </c>
      <c r="O11" s="292">
        <v>12.071</v>
      </c>
      <c r="P11" s="292">
        <v>1.9179999999999999</v>
      </c>
      <c r="Q11" s="292">
        <v>1.04</v>
      </c>
      <c r="R11" s="293">
        <v>0</v>
      </c>
      <c r="S11" s="293">
        <v>1.6E-2</v>
      </c>
      <c r="T11" s="294">
        <f t="shared" ref="T11:T32" si="67">IF(SUM(H11:S11)&lt;90," ",SUM(H11:S11))</f>
        <v>97.506000000000029</v>
      </c>
      <c r="U11" s="295">
        <f>IF(SUM(H11:S11)&lt;90," ",H11/stab.data!$U$7)</f>
        <v>0.64696092137673922</v>
      </c>
      <c r="V11" s="295">
        <f>IF(SUM(H11:S11)&lt;90," ",I11/stab.data!$U$8)</f>
        <v>2.4155798643270169E-2</v>
      </c>
      <c r="W11" s="295">
        <f>IF(SUM(H11:S11)&lt;90," ",J11*2/stab.data!$U$9)</f>
        <v>0.28522670432812547</v>
      </c>
      <c r="X11" s="295">
        <f>IF(SUM(H11:S11)&lt;90," ",K11*2/stab.data!$U$10)</f>
        <v>0</v>
      </c>
      <c r="Y11" s="295">
        <f>IF(SUM(H11:S11)&lt;90," ",L11/stab.data!$U$11)</f>
        <v>0.23468251538011858</v>
      </c>
      <c r="Z11" s="295">
        <f>IF(SUM(H11:S11)&lt;90," ",M11/stab.data!$U$12)</f>
        <v>4.4405599334620864E-3</v>
      </c>
      <c r="AA11" s="295">
        <f>IF(SUM(H11:S11)&lt;90," ",N11/stab.data!$U$13)</f>
        <v>0.24667526796347755</v>
      </c>
      <c r="AB11" s="295">
        <f>IF(SUM(H11:S11)&lt;90," ",O11/stab.data!$U$14)</f>
        <v>0.21524991529806164</v>
      </c>
      <c r="AC11" s="295">
        <f>IF(SUM(H11:S11)&lt;90," ",P11*2/stab.data!$U$15)</f>
        <v>6.1891931137966087E-2</v>
      </c>
      <c r="AD11" s="295">
        <f>IF(SUM(H11:S11)&lt;90," ",Q11*2/stab.data!$U$16)</f>
        <v>2.2081851478316261E-2</v>
      </c>
      <c r="AE11" s="295">
        <f>IF(SUM(H11:S11)&lt;90," ",R11/stab.data!$U$17)</f>
        <v>0</v>
      </c>
      <c r="AF11" s="295">
        <f>IF(SUM(H11:S11)&lt;90," ",S11/stab.data!$U$18)</f>
        <v>4.5130172340845622E-4</v>
      </c>
      <c r="AG11" s="295">
        <f t="shared" ref="AG11:AG32" si="68">IF(SUM(H11:S11)&lt;90," ",SUM(U11:AA11))</f>
        <v>1.4421417676251931</v>
      </c>
      <c r="AH11" s="295">
        <f t="shared" ref="AH11:AH32" si="69">IF(SUM(H11:S11)&lt;90," ",AK11/SUM(AI11:AR11))</f>
        <v>0.16379485522859619</v>
      </c>
      <c r="AI11" s="296">
        <f t="shared" ref="AI11:AI32" si="70">IF(SUM(H11:S11)&lt;90," ",U11*13/$AG11)</f>
        <v>5.8319453514943644</v>
      </c>
      <c r="AJ11" s="296">
        <f t="shared" ref="AJ11:AJ32" si="71">IF(SUM(H11:S11)&lt;90," ",V11*13/$AG11)</f>
        <v>0.21774931522829741</v>
      </c>
      <c r="AK11" s="296">
        <f t="shared" ref="AK11:AK32" si="72">IF(SUM(H11:S11)&lt;90," ",W11*13/$AG11)</f>
        <v>2.5711391483873252</v>
      </c>
      <c r="AL11" s="296">
        <f t="shared" ref="AL11:AL32" si="73">IF(SUM(H11:S11)&lt;90," ",X11*13/$AG11)</f>
        <v>0</v>
      </c>
      <c r="AM11" s="296">
        <f t="shared" ref="AM11:AM32" si="74">IF(SUM(H11:S11)&lt;90," ",Y11*13/$AG11)</f>
        <v>2.1155151098393619</v>
      </c>
      <c r="AN11" s="296">
        <f t="shared" ref="AN11:AN32" si="75">IF(SUM(H11:S11)&lt;90," ",Z11*13/$AG11)</f>
        <v>4.0028851830612965E-2</v>
      </c>
      <c r="AO11" s="296">
        <f t="shared" ref="AO11:AO32" si="76">IF(SUM(H11:S11)&lt;90," ",AA11*13/$AG11)</f>
        <v>2.2236222232200387</v>
      </c>
      <c r="AP11" s="296">
        <f t="shared" ref="AP11:AP32" si="77">IF(SUM(H11:S11)&lt;90," ",AB11*13/$AG11)</f>
        <v>1.9403424557092885</v>
      </c>
      <c r="AQ11" s="296">
        <f t="shared" ref="AQ11:AQ32" si="78">IF(SUM(H11:S11)&lt;90," ",AC11*13/$AG11)</f>
        <v>0.55791678935872147</v>
      </c>
      <c r="AR11" s="296">
        <f t="shared" ref="AR11:AR32" si="79">IF(SUM(H11:S11)&lt;90," ",AD11*13/$AG11)</f>
        <v>0.19905398738351929</v>
      </c>
      <c r="AS11" s="296">
        <f t="shared" ref="AS11:AS32" si="80">IF(SUM(H11:S11)&lt;90," ",AE11*13/$AG11)</f>
        <v>0</v>
      </c>
      <c r="AT11" s="296">
        <f t="shared" ref="AT11:AT32" si="81">IF(SUM(H11:S11)&lt;90," ",AF11*13/$AG11)</f>
        <v>4.0682008773458679E-3</v>
      </c>
      <c r="AU11" s="295">
        <f t="shared" ref="AU11:AU32" si="82">IF(SUM(H11:S11)&lt;90," ",SUM(AI11:AR11))</f>
        <v>15.697313232451528</v>
      </c>
      <c r="AV11" s="295">
        <f t="shared" ref="AV11:AV32" si="83">IF(SUM(H11:S11)&lt;90," ",(2-AS11-AT11)*AG11*17/13/2)</f>
        <v>1.8820416314762805</v>
      </c>
      <c r="AW11" s="295">
        <f>IF(SUM(H11:S11)&lt;90," ",CO11*AG11*stab.data!$U$20/13/2)</f>
        <v>6.1278135543596619</v>
      </c>
      <c r="AX11" s="295">
        <f>IF(SUM(H11:S11)&lt;90," ",CQ11*AG11*stab.data!$U$11/13)</f>
        <v>11.347115152055855</v>
      </c>
      <c r="AY11" s="295">
        <f t="shared" ref="AY11:AY32" si="84">IF(SUM(H11:S11)&lt;90," ",-(R11*0.421070639014633+S11*0.225636758525372))</f>
        <v>-3.6101881364059519E-3</v>
      </c>
      <c r="AZ11" s="297">
        <f t="shared" ref="AZ11:AZ32" si="85">IF(SUM(H11:S11)&lt;90," ",SUM(H11:S11)-L11+AV11+AW11+AX11+AY11)</f>
        <v>99.998360149755413</v>
      </c>
      <c r="BA11" s="298">
        <f>IF(SUM(H11:S11)&lt;90," ",EXP('eq. coef.'!$C$104+'eq. coef.'!$C$105*'Amp (T-P-fO2 calculation)'!AI11+'eq. coef.'!$C$106*'Amp (T-P-fO2 calculation)'!AJ11+'eq. coef.'!$C$107*'Amp (T-P-fO2 calculation)'!AK11+'eq. coef.'!$C$108*'Amp (T-P-fO2 calculation)'!AM11+'eq. coef.'!$C$109*'Amp (T-P-fO2 calculation)'!AO11+'eq. coef.'!$C$110*'Amp (T-P-fO2 calculation)'!AP11+'eq. coef.'!$C$111*'Amp (T-P-fO2 calculation)'!AQ11+'eq. coef.'!$C$112*'Amp (T-P-fO2 calculation)'!AR11))</f>
        <v>592.73262024328017</v>
      </c>
      <c r="BB11" s="299">
        <f>IF(SUM(H11:S11)&lt;90," ",EXP('eq. coef.'!$C$176+'eq. coef.'!$C$177*'Amp (T-P-fO2 calculation)'!AI11+'eq. coef.'!$C$178*'Amp (T-P-fO2 calculation)'!AJ11+'eq. coef.'!$C$179*'Amp (T-P-fO2 calculation)'!AK11+'eq. coef.'!$C$180*'Amp (T-P-fO2 calculation)'!AM11+'eq. coef.'!$C$181*'Amp (T-P-fO2 calculation)'!AO11+'eq. coef.'!$C$182*'Amp (T-P-fO2 calculation)'!AP11+'eq. coef.'!$C$183*'Amp (T-P-fO2 calculation)'!AQ11+'eq. coef.'!$C$184*'Amp (T-P-fO2 calculation)'!AR11))</f>
        <v>562.46659569709686</v>
      </c>
      <c r="BC11" s="299">
        <f>IF(SUM(H11:S11)&lt;90," ",('eq. coef.'!$C$234+'eq. coef.'!$C$235*'Amp (T-P-fO2 calculation)'!AI11+'eq. coef.'!$C$236*'Amp (T-P-fO2 calculation)'!AJ11+'eq. coef.'!$C$237*'Amp (T-P-fO2 calculation)'!AK11+'eq. coef.'!$C$238*'Amp (T-P-fO2 calculation)'!AM11+'eq. coef.'!$C$239*'Amp (T-P-fO2 calculation)'!AO11+'eq. coef.'!$C$240*'Amp (T-P-fO2 calculation)'!AP11+'eq. coef.'!$C$241*'Amp (T-P-fO2 calculation)'!AQ11+'eq. coef.'!$C$242*'Amp (T-P-fO2 calculation)'!AR11))</f>
        <v>555.87571905811512</v>
      </c>
      <c r="BD11" s="299">
        <f>IF(SUM(H11:S11)&lt;90," ",('eq. coef.'!$C$270+'eq. coef.'!$C$271*'Amp (T-P-fO2 calculation)'!AI11+'eq. coef.'!$C$272*'Amp (T-P-fO2 calculation)'!AJ11+'eq. coef.'!$C$273*'Amp (T-P-fO2 calculation)'!AK11+'eq. coef.'!$C$274*'Amp (T-P-fO2 calculation)'!AM11+'eq. coef.'!$C$275*'Amp (T-P-fO2 calculation)'!AO11+'eq. coef.'!$C$276*'Amp (T-P-fO2 calculation)'!AP11+'eq. coef.'!$C$277*'Amp (T-P-fO2 calculation)'!AQ11+'eq. coef.'!$C$278*'Amp (T-P-fO2 calculation)'!AR11))</f>
        <v>460.95568727512648</v>
      </c>
      <c r="BE11" s="299">
        <f>IF(SUM(H11:S11)&lt;90," ",EXP('eq. coef.'!$C$328+'eq. coef.'!$C$329*'Amp (T-P-fO2 calculation)'!AI11+'eq. coef.'!$C$330*'Amp (T-P-fO2 calculation)'!AJ11+'eq. coef.'!$C$331*'Amp (T-P-fO2 calculation)'!AK11+'eq. coef.'!$C$332*'Amp (T-P-fO2 calculation)'!AM11+'eq. coef.'!$C$333*'Amp (T-P-fO2 calculation)'!AO11+'eq. coef.'!$C$334*'Amp (T-P-fO2 calculation)'!AP11+'eq. coef.'!$C$335*'Amp (T-P-fO2 calculation)'!AQ11+'eq. coef.'!$C$336*'Amp (T-P-fO2 calculation)'!AR11))</f>
        <v>890.14618474730219</v>
      </c>
      <c r="BF11" s="300" t="str">
        <f t="shared" si="19"/>
        <v>ok</v>
      </c>
      <c r="BG11" s="301" t="str">
        <f t="shared" si="20"/>
        <v>ok</v>
      </c>
      <c r="BH11" s="301" t="str">
        <f t="shared" si="21"/>
        <v>ok</v>
      </c>
      <c r="BI11" s="299">
        <f t="shared" si="22"/>
        <v>6.4176621262530782</v>
      </c>
      <c r="BJ11" s="302">
        <f t="shared" ref="BJ11:BJ32" si="86">IF(SUM(H11:S11)&lt;90," ",(BA11-BE11)/BA11)</f>
        <v>-0.50176682427559349</v>
      </c>
      <c r="BK11" s="299">
        <f t="shared" ref="BK11:BK32" si="87">IF(SUM(H11:S11)&lt;90," ",BD11-BB11)</f>
        <v>-101.51090842197038</v>
      </c>
      <c r="BL11" s="303">
        <f>IF(SUM(H11:S11)&lt;90," ",'eq. coef.'!$C$360+'eq. coef.'!$C$361*'Amp (T-P-fO2 calculation)'!AI11+'eq. coef.'!$C$362*'Amp (T-P-fO2 calculation)'!AJ11+'eq. coef.'!$C$363*'Amp (T-P-fO2 calculation)'!AK11+'eq. coef.'!$C$364*'Amp (T-P-fO2 calculation)'!AM11+'eq. coef.'!$C$365*'Amp (T-P-fO2 calculation)'!AO11+'eq. coef.'!$C$366*'Amp (T-P-fO2 calculation)'!AP11+'eq. coef.'!$C$367*'Amp (T-P-fO2 calculation)'!AQ11+'eq. coef.'!$C$368*'Amp (T-P-fO2 calculation)'!AR11+'eq. coef.'!$C$369*LN(BO11))</f>
        <v>902.30552000273542</v>
      </c>
      <c r="BM11" s="304">
        <f t="shared" si="25"/>
        <v>22</v>
      </c>
      <c r="BN11" s="305">
        <f t="shared" si="26"/>
        <v>484</v>
      </c>
      <c r="BO11" s="306">
        <f t="shared" si="27"/>
        <v>555.87571905811512</v>
      </c>
      <c r="BP11" s="299" t="str">
        <f t="shared" si="28"/>
        <v>P1c</v>
      </c>
      <c r="BQ11" s="302"/>
      <c r="BR11" s="302">
        <f t="shared" ref="BR11:BR32" si="88">ABS(BQ11)</f>
        <v>0</v>
      </c>
      <c r="BS11" s="302">
        <f t="shared" ref="BS11:BS32" si="89">BQ11^2</f>
        <v>0</v>
      </c>
      <c r="BT11" s="299">
        <f t="shared" si="31"/>
        <v>66.70508628697381</v>
      </c>
      <c r="BU11" s="307">
        <f t="shared" si="62"/>
        <v>963.83792309690205</v>
      </c>
      <c r="BV11" s="308">
        <f t="shared" si="63"/>
        <v>826.88656398643775</v>
      </c>
      <c r="BW11" s="267">
        <f>IF(SUM(H11:S11)&lt;90," ",'eq. coef.'!$B$1128*'Amp (T-P-fO2 calculation)'!CH11+'eq. coef.'!$B$1129*'Amp (T-P-fO2 calculation)'!CL11+'eq. coef.'!$B$1130*'Amp (T-P-fO2 calculation)'!CM11+'eq. coef.'!$B$1131*'Amp (T-P-fO2 calculation)'!CO11+'eq. coef.'!$B$1132*'Amp (T-P-fO2 calculation)'!CP11+'eq. coef.'!$B$1133*'Amp (T-P-fO2 calculation)'!CQ11+'eq. coef.'!$B$1134*'Amp (T-P-fO2 calculation)'!CR11+'eq. coef.'!$B$1135*'Amp (T-P-fO2 calculation)'!CU11+'eq. coef.'!$B$1135*'Amp (T-P-fO2 calculation)'!CY11+'eq. coef.'!$B$1137*'Amp (T-P-fO2 calculation)'!CZ11)</f>
        <v>2.405190346653475</v>
      </c>
      <c r="BX11" s="268">
        <f t="shared" si="32"/>
        <v>0.4</v>
      </c>
      <c r="BY11" s="269"/>
      <c r="BZ11" s="282">
        <f t="shared" si="64"/>
        <v>-11.700977939848096</v>
      </c>
      <c r="CA11" s="269">
        <f t="shared" si="65"/>
        <v>0.98593954765444458</v>
      </c>
      <c r="CB11" s="282">
        <f t="shared" si="66"/>
        <v>-10.283930089732767</v>
      </c>
      <c r="CC11" s="268">
        <f t="shared" si="33"/>
        <v>-9.2979905420783222</v>
      </c>
      <c r="CD11" s="268"/>
      <c r="CE11" s="267">
        <f>IF(SUM(H11:S11)&lt;90," ",EXP('eq. coef.'!$B$1156*'Amp (T-P-fO2 calculation)'!CH11+'eq. coef.'!$B$1157*'Amp (T-P-fO2 calculation)'!CL11+'eq. coef.'!$B$1158*'Amp (T-P-fO2 calculation)'!CM11+'eq. coef.'!$B$1159*'Amp (T-P-fO2 calculation)'!CO11+'eq. coef.'!$B$1160*'Amp (T-P-fO2 calculation)'!CP11+'eq. coef.'!$B$1161*'Amp (T-P-fO2 calculation)'!CQ11+'eq. coef.'!$B$1162*'Amp (T-P-fO2 calculation)'!CR11+'eq. coef.'!$B$1163*'Amp (T-P-fO2 calculation)'!CU11+'eq. coef.'!$B$1164*'Amp (T-P-fO2 calculation)'!CY11+'eq. coef.'!$B$1165*'Amp (T-P-fO2 calculation)'!CZ11))</f>
        <v>9.8035510122487679</v>
      </c>
      <c r="CF11" s="302">
        <f t="shared" si="34"/>
        <v>1.6666036720822908</v>
      </c>
      <c r="CG11" s="296">
        <f t="shared" si="35"/>
        <v>5.8319453514943644</v>
      </c>
      <c r="CH11" s="296">
        <f t="shared" si="36"/>
        <v>2.1680546485056356</v>
      </c>
      <c r="CI11" s="296">
        <f t="shared" si="37"/>
        <v>0</v>
      </c>
      <c r="CJ11" s="296">
        <f t="shared" si="38"/>
        <v>8</v>
      </c>
      <c r="CK11" s="296"/>
      <c r="CL11" s="296">
        <f t="shared" si="39"/>
        <v>0.4030844998816896</v>
      </c>
      <c r="CM11" s="296">
        <f t="shared" si="40"/>
        <v>0.21774931522829741</v>
      </c>
      <c r="CN11" s="296">
        <f t="shared" si="41"/>
        <v>0</v>
      </c>
      <c r="CO11" s="296">
        <f t="shared" si="42"/>
        <v>0.69181583000653291</v>
      </c>
      <c r="CP11" s="296">
        <f t="shared" si="43"/>
        <v>2.2236222232200387</v>
      </c>
      <c r="CQ11" s="296">
        <f t="shared" si="44"/>
        <v>1.423699279832829</v>
      </c>
      <c r="CR11" s="296">
        <f t="shared" si="45"/>
        <v>4.0028851830612965E-2</v>
      </c>
      <c r="CS11" s="296">
        <f t="shared" si="46"/>
        <v>5</v>
      </c>
      <c r="CT11" s="296"/>
      <c r="CU11" s="296">
        <f t="shared" si="47"/>
        <v>1.9403424557092885</v>
      </c>
      <c r="CV11" s="296">
        <f t="shared" si="48"/>
        <v>5.9657544290711462E-2</v>
      </c>
      <c r="CW11" s="296">
        <f t="shared" si="49"/>
        <v>2</v>
      </c>
      <c r="CX11" s="296"/>
      <c r="CY11" s="296">
        <f t="shared" si="50"/>
        <v>0.49825924506801</v>
      </c>
      <c r="CZ11" s="296">
        <f t="shared" si="51"/>
        <v>0.19905398738351929</v>
      </c>
      <c r="DA11" s="296">
        <f t="shared" si="52"/>
        <v>0.69731323245152932</v>
      </c>
      <c r="DB11" s="296"/>
      <c r="DC11" s="296">
        <f t="shared" si="53"/>
        <v>1.9959317991226542</v>
      </c>
      <c r="DD11" s="296">
        <f t="shared" si="54"/>
        <v>0</v>
      </c>
      <c r="DE11" s="296">
        <f t="shared" si="55"/>
        <v>4.0682008773458679E-3</v>
      </c>
      <c r="DF11" s="296">
        <f t="shared" si="56"/>
        <v>2</v>
      </c>
      <c r="DG11" s="302">
        <f t="shared" si="57"/>
        <v>45.308184169993467</v>
      </c>
      <c r="DH11" s="302"/>
      <c r="DI11" s="295">
        <f t="shared" si="58"/>
        <v>0.60965895695206207</v>
      </c>
      <c r="DJ11" s="295">
        <f t="shared" si="59"/>
        <v>0.51245721269951761</v>
      </c>
      <c r="DK11" s="295">
        <f t="shared" si="60"/>
        <v>0.15677272859172675</v>
      </c>
      <c r="DL11" s="296">
        <f t="shared" si="61"/>
        <v>2.5711391483873252</v>
      </c>
    </row>
    <row r="12" spans="1:117" ht="13.8" x14ac:dyDescent="0.25">
      <c r="A12" s="287" t="s">
        <v>558</v>
      </c>
      <c r="B12" s="288" t="s">
        <v>537</v>
      </c>
      <c r="C12" s="289">
        <v>425</v>
      </c>
      <c r="D12" s="289" t="s">
        <v>520</v>
      </c>
      <c r="E12" s="290" t="s">
        <v>514</v>
      </c>
      <c r="F12" s="289" t="s">
        <v>534</v>
      </c>
      <c r="G12" s="291"/>
      <c r="H12" s="292">
        <v>39.395000000000003</v>
      </c>
      <c r="I12" s="292">
        <v>1.885</v>
      </c>
      <c r="J12" s="292">
        <v>14.278</v>
      </c>
      <c r="K12" s="292">
        <v>4.2000000000000003E-2</v>
      </c>
      <c r="L12" s="292">
        <v>15.137</v>
      </c>
      <c r="M12" s="292">
        <v>0.22</v>
      </c>
      <c r="N12" s="292">
        <v>11.086</v>
      </c>
      <c r="O12" s="292">
        <v>11.763</v>
      </c>
      <c r="P12" s="292">
        <v>1.952</v>
      </c>
      <c r="Q12" s="292">
        <v>1.3360000000000001</v>
      </c>
      <c r="R12" s="293">
        <v>0</v>
      </c>
      <c r="S12" s="293">
        <v>2.5000000000000001E-2</v>
      </c>
      <c r="T12" s="294">
        <f t="shared" si="67"/>
        <v>97.119</v>
      </c>
      <c r="U12" s="295">
        <f>IF(SUM(H12:S12)&lt;90," ",H12/stab.data!$U$7)</f>
        <v>0.65566540177085419</v>
      </c>
      <c r="V12" s="295">
        <f>IF(SUM(H12:S12)&lt;90," ",I12/stab.data!$U$8)</f>
        <v>2.3592580540188743E-2</v>
      </c>
      <c r="W12" s="295">
        <f>IF(SUM(H12:S12)&lt;90," ",J12*2/stab.data!$U$9)</f>
        <v>0.28006786908719999</v>
      </c>
      <c r="X12" s="295">
        <f>IF(SUM(H12:S12)&lt;90," ",K12*2/stab.data!$U$10)</f>
        <v>5.5266721143863219E-4</v>
      </c>
      <c r="Y12" s="295">
        <f>IF(SUM(H12:S12)&lt;90," ",L12/stab.data!$U$11)</f>
        <v>0.21068674665256243</v>
      </c>
      <c r="Z12" s="295">
        <f>IF(SUM(H12:S12)&lt;90," ",M12/stab.data!$U$12)</f>
        <v>3.1013434455925684E-3</v>
      </c>
      <c r="AA12" s="295">
        <f>IF(SUM(H12:S12)&lt;90," ",N12/stab.data!$U$13)</f>
        <v>0.27505954743946009</v>
      </c>
      <c r="AB12" s="295">
        <f>IF(SUM(H12:S12)&lt;90," ",O12/stab.data!$U$14)</f>
        <v>0.20975766329642112</v>
      </c>
      <c r="AC12" s="295">
        <f>IF(SUM(H12:S12)&lt;90," ",P12*2/stab.data!$U$15)</f>
        <v>6.2989076945417E-2</v>
      </c>
      <c r="AD12" s="295">
        <f>IF(SUM(H12:S12)&lt;90," ",Q12*2/stab.data!$U$16)</f>
        <v>2.8366686129837042E-2</v>
      </c>
      <c r="AE12" s="295">
        <f>IF(SUM(H12:S12)&lt;90," ",R12/stab.data!$U$17)</f>
        <v>0</v>
      </c>
      <c r="AF12" s="295">
        <f>IF(SUM(H12:S12)&lt;90," ",S12/stab.data!$U$18)</f>
        <v>7.051589428257129E-4</v>
      </c>
      <c r="AG12" s="295">
        <f t="shared" si="68"/>
        <v>1.4487261561472968</v>
      </c>
      <c r="AH12" s="295">
        <f t="shared" si="69"/>
        <v>0.16005345397663817</v>
      </c>
      <c r="AI12" s="296">
        <f t="shared" si="70"/>
        <v>5.8835482377764672</v>
      </c>
      <c r="AJ12" s="296">
        <f t="shared" si="71"/>
        <v>0.21170567378868399</v>
      </c>
      <c r="AK12" s="296">
        <f t="shared" si="72"/>
        <v>2.5131611538070548</v>
      </c>
      <c r="AL12" s="296">
        <f t="shared" si="73"/>
        <v>4.9593042261409466E-3</v>
      </c>
      <c r="AM12" s="296">
        <f t="shared" si="74"/>
        <v>1.8905765557288909</v>
      </c>
      <c r="AN12" s="296">
        <f t="shared" si="75"/>
        <v>2.7829596795520391E-2</v>
      </c>
      <c r="AO12" s="296">
        <f t="shared" si="76"/>
        <v>2.4682194778772395</v>
      </c>
      <c r="AP12" s="296">
        <f t="shared" si="77"/>
        <v>1.8822395186852876</v>
      </c>
      <c r="AQ12" s="296">
        <f t="shared" si="78"/>
        <v>0.56522621395065431</v>
      </c>
      <c r="AR12" s="296">
        <f t="shared" si="79"/>
        <v>0.25454563522796492</v>
      </c>
      <c r="AS12" s="296">
        <f t="shared" si="80"/>
        <v>0</v>
      </c>
      <c r="AT12" s="296">
        <f t="shared" si="81"/>
        <v>6.3276736033488316E-3</v>
      </c>
      <c r="AU12" s="295">
        <f t="shared" si="82"/>
        <v>15.702011367863904</v>
      </c>
      <c r="AV12" s="295">
        <f t="shared" si="83"/>
        <v>1.8884941993324464</v>
      </c>
      <c r="AW12" s="295">
        <f>IF(SUM(H12:S12)&lt;90," ",CO12*AG12*stab.data!$U$20/13/2)</f>
        <v>6.29197554203878</v>
      </c>
      <c r="AX12" s="295">
        <f>IF(SUM(H12:S12)&lt;90," ",CQ12*AG12*stab.data!$U$11/13)</f>
        <v>9.4754001002771844</v>
      </c>
      <c r="AY12" s="295">
        <f t="shared" si="84"/>
        <v>-5.6409189631342997E-3</v>
      </c>
      <c r="AZ12" s="297">
        <f t="shared" si="85"/>
        <v>99.632228922685272</v>
      </c>
      <c r="BA12" s="298">
        <f>IF(SUM(H12:S12)&lt;90," ",EXP('eq. coef.'!$C$104+'eq. coef.'!$C$105*'Amp (T-P-fO2 calculation)'!AI12+'eq. coef.'!$C$106*'Amp (T-P-fO2 calculation)'!AJ12+'eq. coef.'!$C$107*'Amp (T-P-fO2 calculation)'!AK12+'eq. coef.'!$C$108*'Amp (T-P-fO2 calculation)'!AM12+'eq. coef.'!$C$109*'Amp (T-P-fO2 calculation)'!AO12+'eq. coef.'!$C$110*'Amp (T-P-fO2 calculation)'!AP12+'eq. coef.'!$C$111*'Amp (T-P-fO2 calculation)'!AQ12+'eq. coef.'!$C$112*'Amp (T-P-fO2 calculation)'!AR12))</f>
        <v>738.20014868122803</v>
      </c>
      <c r="BB12" s="299">
        <f>IF(SUM(H12:S12)&lt;90," ",EXP('eq. coef.'!$C$176+'eq. coef.'!$C$177*'Amp (T-P-fO2 calculation)'!AI12+'eq. coef.'!$C$178*'Amp (T-P-fO2 calculation)'!AJ12+'eq. coef.'!$C$179*'Amp (T-P-fO2 calculation)'!AK12+'eq. coef.'!$C$180*'Amp (T-P-fO2 calculation)'!AM12+'eq. coef.'!$C$181*'Amp (T-P-fO2 calculation)'!AO12+'eq. coef.'!$C$182*'Amp (T-P-fO2 calculation)'!AP12+'eq. coef.'!$C$183*'Amp (T-P-fO2 calculation)'!AQ12+'eq. coef.'!$C$184*'Amp (T-P-fO2 calculation)'!AR12))</f>
        <v>568.41899564814332</v>
      </c>
      <c r="BC12" s="299">
        <f>IF(SUM(H12:S12)&lt;90," ",('eq. coef.'!$C$234+'eq. coef.'!$C$235*'Amp (T-P-fO2 calculation)'!AI12+'eq. coef.'!$C$236*'Amp (T-P-fO2 calculation)'!AJ12+'eq. coef.'!$C$237*'Amp (T-P-fO2 calculation)'!AK12+'eq. coef.'!$C$238*'Amp (T-P-fO2 calculation)'!AM12+'eq. coef.'!$C$239*'Amp (T-P-fO2 calculation)'!AO12+'eq. coef.'!$C$240*'Amp (T-P-fO2 calculation)'!AP12+'eq. coef.'!$C$241*'Amp (T-P-fO2 calculation)'!AQ12+'eq. coef.'!$C$242*'Amp (T-P-fO2 calculation)'!AR12))</f>
        <v>562.92247211139897</v>
      </c>
      <c r="BD12" s="299">
        <f>IF(SUM(H12:S12)&lt;90," ",('eq. coef.'!$C$270+'eq. coef.'!$C$271*'Amp (T-P-fO2 calculation)'!AI12+'eq. coef.'!$C$272*'Amp (T-P-fO2 calculation)'!AJ12+'eq. coef.'!$C$273*'Amp (T-P-fO2 calculation)'!AK12+'eq. coef.'!$C$274*'Amp (T-P-fO2 calculation)'!AM12+'eq. coef.'!$C$275*'Amp (T-P-fO2 calculation)'!AO12+'eq. coef.'!$C$276*'Amp (T-P-fO2 calculation)'!AP12+'eq. coef.'!$C$277*'Amp (T-P-fO2 calculation)'!AQ12+'eq. coef.'!$C$278*'Amp (T-P-fO2 calculation)'!AR12))</f>
        <v>684.44596453997838</v>
      </c>
      <c r="BE12" s="299">
        <f>IF(SUM(H12:S12)&lt;90," ",EXP('eq. coef.'!$C$328+'eq. coef.'!$C$329*'Amp (T-P-fO2 calculation)'!AI12+'eq. coef.'!$C$330*'Amp (T-P-fO2 calculation)'!AJ12+'eq. coef.'!$C$331*'Amp (T-P-fO2 calculation)'!AK12+'eq. coef.'!$C$332*'Amp (T-P-fO2 calculation)'!AM12+'eq. coef.'!$C$333*'Amp (T-P-fO2 calculation)'!AO12+'eq. coef.'!$C$334*'Amp (T-P-fO2 calculation)'!AP12+'eq. coef.'!$C$335*'Amp (T-P-fO2 calculation)'!AQ12+'eq. coef.'!$C$336*'Amp (T-P-fO2 calculation)'!AR12))</f>
        <v>1007.4143875836555</v>
      </c>
      <c r="BF12" s="300" t="str">
        <f t="shared" si="19"/>
        <v>ok</v>
      </c>
      <c r="BG12" s="301" t="str">
        <f t="shared" si="20"/>
        <v>ok</v>
      </c>
      <c r="BH12" s="301" t="str">
        <f t="shared" si="21"/>
        <v>ok</v>
      </c>
      <c r="BI12" s="299">
        <f t="shared" si="22"/>
        <v>26.464187076957042</v>
      </c>
      <c r="BJ12" s="302">
        <f t="shared" si="86"/>
        <v>-0.36469003614178419</v>
      </c>
      <c r="BK12" s="299">
        <f t="shared" si="87"/>
        <v>116.02696889183505</v>
      </c>
      <c r="BL12" s="303">
        <f>IF(SUM(H12:S12)&lt;90," ",'eq. coef.'!$C$360+'eq. coef.'!$C$361*'Amp (T-P-fO2 calculation)'!AI12+'eq. coef.'!$C$362*'Amp (T-P-fO2 calculation)'!AJ12+'eq. coef.'!$C$363*'Amp (T-P-fO2 calculation)'!AK12+'eq. coef.'!$C$364*'Amp (T-P-fO2 calculation)'!AM12+'eq. coef.'!$C$365*'Amp (T-P-fO2 calculation)'!AO12+'eq. coef.'!$C$366*'Amp (T-P-fO2 calculation)'!AP12+'eq. coef.'!$C$367*'Amp (T-P-fO2 calculation)'!AQ12+'eq. coef.'!$C$368*'Amp (T-P-fO2 calculation)'!AR12+'eq. coef.'!$C$369*LN(BO12))</f>
        <v>905.46905679826216</v>
      </c>
      <c r="BM12" s="304">
        <f t="shared" si="25"/>
        <v>22</v>
      </c>
      <c r="BN12" s="305">
        <f t="shared" si="26"/>
        <v>484</v>
      </c>
      <c r="BO12" s="306">
        <f t="shared" si="27"/>
        <v>565.67073387977121</v>
      </c>
      <c r="BP12" s="299" t="str">
        <f t="shared" si="28"/>
        <v>P1b_c</v>
      </c>
      <c r="BQ12" s="302"/>
      <c r="BR12" s="302">
        <f t="shared" si="88"/>
        <v>0</v>
      </c>
      <c r="BS12" s="302">
        <f t="shared" si="89"/>
        <v>0</v>
      </c>
      <c r="BT12" s="299">
        <f t="shared" si="31"/>
        <v>67.880488065572536</v>
      </c>
      <c r="BU12" s="307">
        <f t="shared" si="62"/>
        <v>931.37024613195058</v>
      </c>
      <c r="BV12" s="308">
        <f t="shared" si="63"/>
        <v>820.75907777116095</v>
      </c>
      <c r="BW12" s="267">
        <f>IF(SUM(H12:S12)&lt;90," ",'eq. coef.'!$B$1128*'Amp (T-P-fO2 calculation)'!CH12+'eq. coef.'!$B$1129*'Amp (T-P-fO2 calculation)'!CL12+'eq. coef.'!$B$1130*'Amp (T-P-fO2 calculation)'!CM12+'eq. coef.'!$B$1131*'Amp (T-P-fO2 calculation)'!CO12+'eq. coef.'!$B$1132*'Amp (T-P-fO2 calculation)'!CP12+'eq. coef.'!$B$1133*'Amp (T-P-fO2 calculation)'!CQ12+'eq. coef.'!$B$1134*'Amp (T-P-fO2 calculation)'!CR12+'eq. coef.'!$B$1135*'Amp (T-P-fO2 calculation)'!CU12+'eq. coef.'!$B$1135*'Amp (T-P-fO2 calculation)'!CY12+'eq. coef.'!$B$1137*'Amp (T-P-fO2 calculation)'!CZ12)</f>
        <v>3.7655863822340576</v>
      </c>
      <c r="BX12" s="268">
        <f t="shared" si="32"/>
        <v>0.4</v>
      </c>
      <c r="BY12" s="269"/>
      <c r="BZ12" s="282">
        <f t="shared" si="64"/>
        <v>-11.641595310268945</v>
      </c>
      <c r="CA12" s="269">
        <f t="shared" si="65"/>
        <v>2.3410400544628223</v>
      </c>
      <c r="CB12" s="282">
        <f t="shared" si="66"/>
        <v>-10.219641598809487</v>
      </c>
      <c r="CC12" s="268">
        <f t="shared" si="33"/>
        <v>-7.8786015443466644</v>
      </c>
      <c r="CD12" s="268"/>
      <c r="CE12" s="267">
        <f>IF(SUM(H12:S12)&lt;90," ",EXP('eq. coef.'!$B$1156*'Amp (T-P-fO2 calculation)'!CH12+'eq. coef.'!$B$1157*'Amp (T-P-fO2 calculation)'!CL12+'eq. coef.'!$B$1158*'Amp (T-P-fO2 calculation)'!CM12+'eq. coef.'!$B$1159*'Amp (T-P-fO2 calculation)'!CO12+'eq. coef.'!$B$1160*'Amp (T-P-fO2 calculation)'!CP12+'eq. coef.'!$B$1161*'Amp (T-P-fO2 calculation)'!CQ12+'eq. coef.'!$B$1162*'Amp (T-P-fO2 calculation)'!CR12+'eq. coef.'!$B$1163*'Amp (T-P-fO2 calculation)'!CU12+'eq. coef.'!$B$1164*'Amp (T-P-fO2 calculation)'!CY12+'eq. coef.'!$B$1165*'Amp (T-P-fO2 calculation)'!CZ12))</f>
        <v>9.1548792141821167</v>
      </c>
      <c r="CF12" s="302">
        <f t="shared" si="34"/>
        <v>1.5563294664109599</v>
      </c>
      <c r="CG12" s="296">
        <f t="shared" si="35"/>
        <v>5.8835482377764672</v>
      </c>
      <c r="CH12" s="296">
        <f t="shared" si="36"/>
        <v>2.1164517622235328</v>
      </c>
      <c r="CI12" s="296">
        <f t="shared" si="37"/>
        <v>0</v>
      </c>
      <c r="CJ12" s="296">
        <f t="shared" si="38"/>
        <v>8</v>
      </c>
      <c r="CK12" s="296"/>
      <c r="CL12" s="296">
        <f t="shared" si="39"/>
        <v>0.39670939158352203</v>
      </c>
      <c r="CM12" s="296">
        <f t="shared" si="40"/>
        <v>0.21170567378868399</v>
      </c>
      <c r="CN12" s="296">
        <f t="shared" si="41"/>
        <v>4.9593042261409466E-3</v>
      </c>
      <c r="CO12" s="296">
        <f t="shared" si="42"/>
        <v>0.70712083228730904</v>
      </c>
      <c r="CP12" s="296">
        <f t="shared" si="43"/>
        <v>2.4682194778772395</v>
      </c>
      <c r="CQ12" s="296">
        <f t="shared" si="44"/>
        <v>1.1834557234415819</v>
      </c>
      <c r="CR12" s="296">
        <f t="shared" si="45"/>
        <v>2.7829596795520391E-2</v>
      </c>
      <c r="CS12" s="296">
        <f t="shared" si="46"/>
        <v>4.9999999999999973</v>
      </c>
      <c r="CT12" s="296"/>
      <c r="CU12" s="296">
        <f t="shared" si="47"/>
        <v>1.8822395186852876</v>
      </c>
      <c r="CV12" s="296">
        <f t="shared" si="48"/>
        <v>0.1177604813147124</v>
      </c>
      <c r="CW12" s="296">
        <f t="shared" si="49"/>
        <v>2</v>
      </c>
      <c r="CX12" s="296"/>
      <c r="CY12" s="296">
        <f t="shared" si="50"/>
        <v>0.44746573263594192</v>
      </c>
      <c r="CZ12" s="296">
        <f t="shared" si="51"/>
        <v>0.25454563522796492</v>
      </c>
      <c r="DA12" s="296">
        <f t="shared" si="52"/>
        <v>0.70201136786390683</v>
      </c>
      <c r="DB12" s="296"/>
      <c r="DC12" s="296">
        <f t="shared" si="53"/>
        <v>1.9936723263966512</v>
      </c>
      <c r="DD12" s="296">
        <f t="shared" si="54"/>
        <v>0</v>
      </c>
      <c r="DE12" s="296">
        <f t="shared" si="55"/>
        <v>6.3276736033488316E-3</v>
      </c>
      <c r="DF12" s="296">
        <f t="shared" si="56"/>
        <v>2</v>
      </c>
      <c r="DG12" s="302">
        <f t="shared" si="57"/>
        <v>45.292879167712691</v>
      </c>
      <c r="DH12" s="302"/>
      <c r="DI12" s="295">
        <f t="shared" si="58"/>
        <v>0.67591429735750574</v>
      </c>
      <c r="DJ12" s="295">
        <f t="shared" si="59"/>
        <v>0.56626175183407834</v>
      </c>
      <c r="DK12" s="295">
        <f t="shared" si="60"/>
        <v>0.15785274692097162</v>
      </c>
      <c r="DL12" s="296">
        <f t="shared" si="61"/>
        <v>2.5131611538070548</v>
      </c>
    </row>
    <row r="13" spans="1:117" ht="13.8" x14ac:dyDescent="0.25">
      <c r="A13" s="287" t="s">
        <v>558</v>
      </c>
      <c r="B13" s="288" t="s">
        <v>537</v>
      </c>
      <c r="C13" s="289">
        <v>460</v>
      </c>
      <c r="D13" s="289" t="s">
        <v>521</v>
      </c>
      <c r="E13" s="290" t="s">
        <v>514</v>
      </c>
      <c r="F13" s="289" t="s">
        <v>534</v>
      </c>
      <c r="G13" s="291"/>
      <c r="H13" s="292">
        <v>39.776000000000003</v>
      </c>
      <c r="I13" s="292">
        <v>1.798</v>
      </c>
      <c r="J13" s="292">
        <v>13.757999999999999</v>
      </c>
      <c r="K13" s="292">
        <v>2.3E-2</v>
      </c>
      <c r="L13" s="292">
        <v>14.635999999999999</v>
      </c>
      <c r="M13" s="292">
        <v>0.217</v>
      </c>
      <c r="N13" s="292">
        <v>11.42</v>
      </c>
      <c r="O13" s="292">
        <v>11.927</v>
      </c>
      <c r="P13" s="292">
        <v>1.9530000000000001</v>
      </c>
      <c r="Q13" s="292">
        <v>1.26</v>
      </c>
      <c r="R13" s="293">
        <v>0</v>
      </c>
      <c r="S13" s="293">
        <v>1.2999999999999999E-2</v>
      </c>
      <c r="T13" s="294">
        <f t="shared" si="67"/>
        <v>96.78100000000002</v>
      </c>
      <c r="U13" s="295">
        <f>IF(SUM(H13:S13)&lt;90," ",H13/stab.data!$U$7)</f>
        <v>0.66200652419945416</v>
      </c>
      <c r="V13" s="295">
        <f>IF(SUM(H13:S13)&lt;90," ",I13/stab.data!$U$8)</f>
        <v>2.2503692207564648E-2</v>
      </c>
      <c r="W13" s="295">
        <f>IF(SUM(H13:S13)&lt;90," ",J13*2/stab.data!$U$9)</f>
        <v>0.2698678906640774</v>
      </c>
      <c r="X13" s="295">
        <f>IF(SUM(H13:S13)&lt;90," ",K13*2/stab.data!$U$10)</f>
        <v>3.0265109197829854E-4</v>
      </c>
      <c r="Y13" s="295">
        <f>IF(SUM(H13:S13)&lt;90," ",L13/stab.data!$U$11)</f>
        <v>0.20371349831584221</v>
      </c>
      <c r="Z13" s="295">
        <f>IF(SUM(H13:S13)&lt;90," ",M13/stab.data!$U$12)</f>
        <v>3.059052398607215E-3</v>
      </c>
      <c r="AA13" s="295">
        <f>IF(SUM(H13:S13)&lt;90," ",N13/stab.data!$U$13)</f>
        <v>0.28334656609765779</v>
      </c>
      <c r="AB13" s="295">
        <f>IF(SUM(H13:S13)&lt;90," ",O13/stab.data!$U$14)</f>
        <v>0.21268210916742453</v>
      </c>
      <c r="AC13" s="295">
        <f>IF(SUM(H13:S13)&lt;90," ",P13*2/stab.data!$U$15)</f>
        <v>6.3021345939753795E-2</v>
      </c>
      <c r="AD13" s="295">
        <f>IF(SUM(H13:S13)&lt;90," ",Q13*2/stab.data!$U$16)</f>
        <v>2.6753012367960086E-2</v>
      </c>
      <c r="AE13" s="295">
        <f>IF(SUM(H13:S13)&lt;90," ",R13/stab.data!$U$17)</f>
        <v>0</v>
      </c>
      <c r="AF13" s="295">
        <f>IF(SUM(H13:S13)&lt;90," ",S13/stab.data!$U$18)</f>
        <v>3.666826502693707E-4</v>
      </c>
      <c r="AG13" s="295">
        <f t="shared" si="68"/>
        <v>1.4447998749751816</v>
      </c>
      <c r="AH13" s="295">
        <f t="shared" si="69"/>
        <v>0.15445237433542217</v>
      </c>
      <c r="AI13" s="296">
        <f t="shared" si="70"/>
        <v>5.9565929950961118</v>
      </c>
      <c r="AJ13" s="296">
        <f t="shared" si="71"/>
        <v>0.20248340532516015</v>
      </c>
      <c r="AK13" s="296">
        <f t="shared" si="72"/>
        <v>2.4282135120570043</v>
      </c>
      <c r="AL13" s="296">
        <f t="shared" si="73"/>
        <v>2.7231897398838478E-3</v>
      </c>
      <c r="AM13" s="296">
        <f t="shared" si="74"/>
        <v>1.8329704507701732</v>
      </c>
      <c r="AN13" s="296">
        <f t="shared" si="75"/>
        <v>2.7524698659443694E-2</v>
      </c>
      <c r="AO13" s="296">
        <f t="shared" si="76"/>
        <v>2.5494917483522248</v>
      </c>
      <c r="AP13" s="296">
        <f t="shared" si="77"/>
        <v>1.9136680913846378</v>
      </c>
      <c r="AQ13" s="296">
        <f t="shared" si="78"/>
        <v>0.56705258036575668</v>
      </c>
      <c r="AR13" s="296">
        <f t="shared" si="79"/>
        <v>0.24071787851549706</v>
      </c>
      <c r="AS13" s="296">
        <f t="shared" si="80"/>
        <v>0</v>
      </c>
      <c r="AT13" s="296">
        <f t="shared" si="81"/>
        <v>3.2993319947398968E-3</v>
      </c>
      <c r="AU13" s="295">
        <f t="shared" si="82"/>
        <v>15.721438550265891</v>
      </c>
      <c r="AV13" s="295">
        <f t="shared" si="83"/>
        <v>1.8862368801325633</v>
      </c>
      <c r="AW13" s="295">
        <f>IF(SUM(H13:S13)&lt;90," ",CO13*AG13*stab.data!$U$20/13/2)</f>
        <v>5.4645850760819608</v>
      </c>
      <c r="AX13" s="295">
        <f>IF(SUM(H13:S13)&lt;90," ",CQ13*AG13*stab.data!$U$11/13)</f>
        <v>9.7188966018600347</v>
      </c>
      <c r="AY13" s="295">
        <f t="shared" si="84"/>
        <v>-2.9332778608298356E-3</v>
      </c>
      <c r="AZ13" s="297">
        <f t="shared" si="85"/>
        <v>99.211785280213746</v>
      </c>
      <c r="BA13" s="298">
        <f>IF(SUM(H13:S13)&lt;90," ",EXP('eq. coef.'!$C$104+'eq. coef.'!$C$105*'Amp (T-P-fO2 calculation)'!AI13+'eq. coef.'!$C$106*'Amp (T-P-fO2 calculation)'!AJ13+'eq. coef.'!$C$107*'Amp (T-P-fO2 calculation)'!AK13+'eq. coef.'!$C$108*'Amp (T-P-fO2 calculation)'!AM13+'eq. coef.'!$C$109*'Amp (T-P-fO2 calculation)'!AO13+'eq. coef.'!$C$110*'Amp (T-P-fO2 calculation)'!AP13+'eq. coef.'!$C$111*'Amp (T-P-fO2 calculation)'!AQ13+'eq. coef.'!$C$112*'Amp (T-P-fO2 calculation)'!AR13))</f>
        <v>617.49299466188938</v>
      </c>
      <c r="BB13" s="299">
        <f>IF(SUM(H13:S13)&lt;90," ",EXP('eq. coef.'!$C$176+'eq. coef.'!$C$177*'Amp (T-P-fO2 calculation)'!AI13+'eq. coef.'!$C$178*'Amp (T-P-fO2 calculation)'!AJ13+'eq. coef.'!$C$179*'Amp (T-P-fO2 calculation)'!AK13+'eq. coef.'!$C$180*'Amp (T-P-fO2 calculation)'!AM13+'eq. coef.'!$C$181*'Amp (T-P-fO2 calculation)'!AO13+'eq. coef.'!$C$182*'Amp (T-P-fO2 calculation)'!AP13+'eq. coef.'!$C$183*'Amp (T-P-fO2 calculation)'!AQ13+'eq. coef.'!$C$184*'Amp (T-P-fO2 calculation)'!AR13))</f>
        <v>499.45047543982275</v>
      </c>
      <c r="BC13" s="299">
        <f>IF(SUM(H13:S13)&lt;90," ",('eq. coef.'!$C$234+'eq. coef.'!$C$235*'Amp (T-P-fO2 calculation)'!AI13+'eq. coef.'!$C$236*'Amp (T-P-fO2 calculation)'!AJ13+'eq. coef.'!$C$237*'Amp (T-P-fO2 calculation)'!AK13+'eq. coef.'!$C$238*'Amp (T-P-fO2 calculation)'!AM13+'eq. coef.'!$C$239*'Amp (T-P-fO2 calculation)'!AO13+'eq. coef.'!$C$240*'Amp (T-P-fO2 calculation)'!AP13+'eq. coef.'!$C$241*'Amp (T-P-fO2 calculation)'!AQ13+'eq. coef.'!$C$242*'Amp (T-P-fO2 calculation)'!AR13))</f>
        <v>519.40311968845799</v>
      </c>
      <c r="BD13" s="299">
        <f>IF(SUM(H13:S13)&lt;90," ",('eq. coef.'!$C$270+'eq. coef.'!$C$271*'Amp (T-P-fO2 calculation)'!AI13+'eq. coef.'!$C$272*'Amp (T-P-fO2 calculation)'!AJ13+'eq. coef.'!$C$273*'Amp (T-P-fO2 calculation)'!AK13+'eq. coef.'!$C$274*'Amp (T-P-fO2 calculation)'!AM13+'eq. coef.'!$C$275*'Amp (T-P-fO2 calculation)'!AO13+'eq. coef.'!$C$276*'Amp (T-P-fO2 calculation)'!AP13+'eq. coef.'!$C$277*'Amp (T-P-fO2 calculation)'!AQ13+'eq. coef.'!$C$278*'Amp (T-P-fO2 calculation)'!AR13))</f>
        <v>609.00202432226024</v>
      </c>
      <c r="BE13" s="299">
        <f>IF(SUM(H13:S13)&lt;90," ",EXP('eq. coef.'!$C$328+'eq. coef.'!$C$329*'Amp (T-P-fO2 calculation)'!AI13+'eq. coef.'!$C$330*'Amp (T-P-fO2 calculation)'!AJ13+'eq. coef.'!$C$331*'Amp (T-P-fO2 calculation)'!AK13+'eq. coef.'!$C$332*'Amp (T-P-fO2 calculation)'!AM13+'eq. coef.'!$C$333*'Amp (T-P-fO2 calculation)'!AO13+'eq. coef.'!$C$334*'Amp (T-P-fO2 calculation)'!AP13+'eq. coef.'!$C$335*'Amp (T-P-fO2 calculation)'!AQ13+'eq. coef.'!$C$336*'Amp (T-P-fO2 calculation)'!AR13))</f>
        <v>997.29763303889411</v>
      </c>
      <c r="BF13" s="300" t="str">
        <f t="shared" si="19"/>
        <v>ok</v>
      </c>
      <c r="BG13" s="301" t="str">
        <f t="shared" si="20"/>
        <v>ok</v>
      </c>
      <c r="BH13" s="301" t="str">
        <f t="shared" si="21"/>
        <v>ok</v>
      </c>
      <c r="BI13" s="299">
        <f t="shared" si="22"/>
        <v>19.179039687338072</v>
      </c>
      <c r="BJ13" s="302">
        <f t="shared" si="86"/>
        <v>-0.61507521811639043</v>
      </c>
      <c r="BK13" s="299">
        <f t="shared" si="87"/>
        <v>109.55154888243749</v>
      </c>
      <c r="BL13" s="303">
        <f>IF(SUM(H13:S13)&lt;90," ",'eq. coef.'!$C$360+'eq. coef.'!$C$361*'Amp (T-P-fO2 calculation)'!AI13+'eq. coef.'!$C$362*'Amp (T-P-fO2 calculation)'!AJ13+'eq. coef.'!$C$363*'Amp (T-P-fO2 calculation)'!AK13+'eq. coef.'!$C$364*'Amp (T-P-fO2 calculation)'!AM13+'eq. coef.'!$C$365*'Amp (T-P-fO2 calculation)'!AO13+'eq. coef.'!$C$366*'Amp (T-P-fO2 calculation)'!AP13+'eq. coef.'!$C$367*'Amp (T-P-fO2 calculation)'!AQ13+'eq. coef.'!$C$368*'Amp (T-P-fO2 calculation)'!AR13+'eq. coef.'!$C$369*LN(BO13))</f>
        <v>896.94747583397645</v>
      </c>
      <c r="BM13" s="304">
        <f t="shared" si="25"/>
        <v>22</v>
      </c>
      <c r="BN13" s="305">
        <f t="shared" si="26"/>
        <v>484</v>
      </c>
      <c r="BO13" s="306">
        <f t="shared" si="27"/>
        <v>509.42679756414037</v>
      </c>
      <c r="BP13" s="299" t="str">
        <f t="shared" si="28"/>
        <v>P1b_c</v>
      </c>
      <c r="BQ13" s="302"/>
      <c r="BR13" s="302">
        <f t="shared" si="88"/>
        <v>0</v>
      </c>
      <c r="BS13" s="302">
        <f t="shared" si="89"/>
        <v>0</v>
      </c>
      <c r="BT13" s="299">
        <f t="shared" si="31"/>
        <v>61.131215707696839</v>
      </c>
      <c r="BU13" s="307">
        <f t="shared" si="62"/>
        <v>883.79956675192238</v>
      </c>
      <c r="BV13" s="308">
        <f t="shared" si="63"/>
        <v>811.20154797214241</v>
      </c>
      <c r="BW13" s="267">
        <f>IF(SUM(H13:S13)&lt;90," ",'eq. coef.'!$B$1128*'Amp (T-P-fO2 calculation)'!CH13+'eq. coef.'!$B$1129*'Amp (T-P-fO2 calculation)'!CL13+'eq. coef.'!$B$1130*'Amp (T-P-fO2 calculation)'!CM13+'eq. coef.'!$B$1131*'Amp (T-P-fO2 calculation)'!CO13+'eq. coef.'!$B$1132*'Amp (T-P-fO2 calculation)'!CP13+'eq. coef.'!$B$1133*'Amp (T-P-fO2 calculation)'!CQ13+'eq. coef.'!$B$1134*'Amp (T-P-fO2 calculation)'!CR13+'eq. coef.'!$B$1135*'Amp (T-P-fO2 calculation)'!CU13+'eq. coef.'!$B$1135*'Amp (T-P-fO2 calculation)'!CY13+'eq. coef.'!$B$1137*'Amp (T-P-fO2 calculation)'!CZ13)</f>
        <v>3.7837877443347745</v>
      </c>
      <c r="BX13" s="268">
        <f t="shared" si="32"/>
        <v>0.4</v>
      </c>
      <c r="BY13" s="269"/>
      <c r="BZ13" s="282">
        <f t="shared" si="64"/>
        <v>-11.814520810546034</v>
      </c>
      <c r="CA13" s="269">
        <f t="shared" si="65"/>
        <v>2.3739892457638945</v>
      </c>
      <c r="CB13" s="282">
        <f t="shared" si="66"/>
        <v>-10.405772769355082</v>
      </c>
      <c r="CC13" s="268">
        <f t="shared" si="33"/>
        <v>-8.0317835235911872</v>
      </c>
      <c r="CD13" s="268"/>
      <c r="CE13" s="267">
        <f>IF(SUM(H13:S13)&lt;90," ",EXP('eq. coef.'!$B$1156*'Amp (T-P-fO2 calculation)'!CH13+'eq. coef.'!$B$1157*'Amp (T-P-fO2 calculation)'!CL13+'eq. coef.'!$B$1158*'Amp (T-P-fO2 calculation)'!CM13+'eq. coef.'!$B$1159*'Amp (T-P-fO2 calculation)'!CO13+'eq. coef.'!$B$1160*'Amp (T-P-fO2 calculation)'!CP13+'eq. coef.'!$B$1161*'Amp (T-P-fO2 calculation)'!CQ13+'eq. coef.'!$B$1162*'Amp (T-P-fO2 calculation)'!CR13+'eq. coef.'!$B$1163*'Amp (T-P-fO2 calculation)'!CU13+'eq. coef.'!$B$1164*'Amp (T-P-fO2 calculation)'!CY13+'eq. coef.'!$B$1165*'Amp (T-P-fO2 calculation)'!CZ13))</f>
        <v>9.2077940802822305</v>
      </c>
      <c r="CF13" s="302">
        <f t="shared" si="34"/>
        <v>1.5653249936479794</v>
      </c>
      <c r="CG13" s="296">
        <f t="shared" si="35"/>
        <v>5.9565929950961118</v>
      </c>
      <c r="CH13" s="296">
        <f t="shared" si="36"/>
        <v>2.0434070049038882</v>
      </c>
      <c r="CI13" s="296">
        <f t="shared" si="37"/>
        <v>0</v>
      </c>
      <c r="CJ13" s="296">
        <f t="shared" si="38"/>
        <v>8</v>
      </c>
      <c r="CK13" s="296"/>
      <c r="CL13" s="296">
        <f t="shared" si="39"/>
        <v>0.38480650715311615</v>
      </c>
      <c r="CM13" s="296">
        <f t="shared" si="40"/>
        <v>0.20248340532516015</v>
      </c>
      <c r="CN13" s="296">
        <f t="shared" si="41"/>
        <v>2.7231897398838478E-3</v>
      </c>
      <c r="CO13" s="296">
        <f t="shared" si="42"/>
        <v>0.61580385571004115</v>
      </c>
      <c r="CP13" s="296">
        <f t="shared" si="43"/>
        <v>2.5494917483522248</v>
      </c>
      <c r="CQ13" s="296">
        <f t="shared" si="44"/>
        <v>1.217166595060132</v>
      </c>
      <c r="CR13" s="296">
        <f t="shared" si="45"/>
        <v>2.7524698659443694E-2</v>
      </c>
      <c r="CS13" s="296">
        <f t="shared" si="46"/>
        <v>5.0000000000000018</v>
      </c>
      <c r="CT13" s="296"/>
      <c r="CU13" s="296">
        <f t="shared" si="47"/>
        <v>1.9136680913846378</v>
      </c>
      <c r="CV13" s="296">
        <f t="shared" si="48"/>
        <v>8.6331908615362218E-2</v>
      </c>
      <c r="CW13" s="296">
        <f t="shared" si="49"/>
        <v>2</v>
      </c>
      <c r="CX13" s="296"/>
      <c r="CY13" s="296">
        <f t="shared" si="50"/>
        <v>0.48072067175039446</v>
      </c>
      <c r="CZ13" s="296">
        <f t="shared" si="51"/>
        <v>0.24071787851549706</v>
      </c>
      <c r="DA13" s="296">
        <f t="shared" si="52"/>
        <v>0.72143855026589154</v>
      </c>
      <c r="DB13" s="296"/>
      <c r="DC13" s="296">
        <f t="shared" si="53"/>
        <v>1.9967006680052601</v>
      </c>
      <c r="DD13" s="296">
        <f t="shared" si="54"/>
        <v>0</v>
      </c>
      <c r="DE13" s="296">
        <f t="shared" si="55"/>
        <v>3.2993319947398968E-3</v>
      </c>
      <c r="DF13" s="296">
        <f t="shared" si="56"/>
        <v>2</v>
      </c>
      <c r="DG13" s="302">
        <f t="shared" si="57"/>
        <v>45.384196144289959</v>
      </c>
      <c r="DH13" s="302"/>
      <c r="DI13" s="295">
        <f t="shared" si="58"/>
        <v>0.67685771203834344</v>
      </c>
      <c r="DJ13" s="295">
        <f t="shared" si="59"/>
        <v>0.58174871396786232</v>
      </c>
      <c r="DK13" s="295">
        <f t="shared" si="60"/>
        <v>0.15847309359016634</v>
      </c>
      <c r="DL13" s="296">
        <f t="shared" si="61"/>
        <v>2.4282135120570043</v>
      </c>
    </row>
    <row r="14" spans="1:117" ht="13.8" x14ac:dyDescent="0.25">
      <c r="A14" s="287" t="s">
        <v>558</v>
      </c>
      <c r="B14" s="288" t="s">
        <v>537</v>
      </c>
      <c r="C14" s="289">
        <v>460</v>
      </c>
      <c r="D14" s="289" t="s">
        <v>521</v>
      </c>
      <c r="E14" s="290" t="s">
        <v>514</v>
      </c>
      <c r="F14" s="289" t="s">
        <v>534</v>
      </c>
      <c r="G14" s="291"/>
      <c r="H14" s="292">
        <v>40</v>
      </c>
      <c r="I14" s="292">
        <v>1.8340000000000001</v>
      </c>
      <c r="J14" s="292">
        <v>13.878</v>
      </c>
      <c r="K14" s="292">
        <v>0</v>
      </c>
      <c r="L14" s="292">
        <v>14.489000000000001</v>
      </c>
      <c r="M14" s="292">
        <v>0.23699999999999999</v>
      </c>
      <c r="N14" s="292">
        <v>11.558999999999999</v>
      </c>
      <c r="O14" s="292">
        <v>11.563000000000001</v>
      </c>
      <c r="P14" s="292">
        <v>1.9330000000000001</v>
      </c>
      <c r="Q14" s="292">
        <v>1.304</v>
      </c>
      <c r="R14" s="293">
        <v>0</v>
      </c>
      <c r="S14" s="293">
        <v>2.8000000000000001E-2</v>
      </c>
      <c r="T14" s="294">
        <f t="shared" si="67"/>
        <v>96.825000000000017</v>
      </c>
      <c r="U14" s="295">
        <f>IF(SUM(H14:S14)&lt;90," ",H14/stab.data!$U$7)</f>
        <v>0.66573463817322409</v>
      </c>
      <c r="V14" s="295">
        <f>IF(SUM(H14:S14)&lt;90," ",I14/stab.data!$U$8)</f>
        <v>2.2954266690029791E-2</v>
      </c>
      <c r="W14" s="295">
        <f>IF(SUM(H14:S14)&lt;90," ",J14*2/stab.data!$U$9)</f>
        <v>0.27222173183864418</v>
      </c>
      <c r="X14" s="295">
        <f>IF(SUM(H14:S14)&lt;90," ",K14*2/stab.data!$U$10)</f>
        <v>0</v>
      </c>
      <c r="Y14" s="295">
        <f>IF(SUM(H14:S14)&lt;90," ",L14/stab.data!$U$11)</f>
        <v>0.20166745539069678</v>
      </c>
      <c r="Z14" s="295">
        <f>IF(SUM(H14:S14)&lt;90," ",M14/stab.data!$U$12)</f>
        <v>3.3409927118429029E-3</v>
      </c>
      <c r="AA14" s="295">
        <f>IF(SUM(H14:S14)&lt;90," ",N14/stab.data!$U$13)</f>
        <v>0.28679535529972205</v>
      </c>
      <c r="AB14" s="295">
        <f>IF(SUM(H14:S14)&lt;90," ",O14/stab.data!$U$14)</f>
        <v>0.20619126589275844</v>
      </c>
      <c r="AC14" s="295">
        <f>IF(SUM(H14:S14)&lt;90," ",P14*2/stab.data!$U$15)</f>
        <v>6.2375966053017963E-2</v>
      </c>
      <c r="AD14" s="295">
        <f>IF(SUM(H14:S14)&lt;90," ",Q14*2/stab.data!$U$16)</f>
        <v>2.7687244545888851E-2</v>
      </c>
      <c r="AE14" s="295">
        <f>IF(SUM(H14:S14)&lt;90," ",R14/stab.data!$U$17)</f>
        <v>0</v>
      </c>
      <c r="AF14" s="295">
        <f>IF(SUM(H14:S14)&lt;90," ",S14/stab.data!$U$18)</f>
        <v>7.8977801596479837E-4</v>
      </c>
      <c r="AG14" s="295">
        <f t="shared" si="68"/>
        <v>1.4527144401041596</v>
      </c>
      <c r="AH14" s="295">
        <f t="shared" si="69"/>
        <v>0.15564698106155805</v>
      </c>
      <c r="AI14" s="296">
        <f t="shared" si="70"/>
        <v>5.9575027667732012</v>
      </c>
      <c r="AJ14" s="296">
        <f t="shared" si="71"/>
        <v>0.20541233619801536</v>
      </c>
      <c r="AK14" s="296">
        <f t="shared" si="72"/>
        <v>2.4360482805200423</v>
      </c>
      <c r="AL14" s="296">
        <f t="shared" si="73"/>
        <v>0</v>
      </c>
      <c r="AM14" s="296">
        <f t="shared" si="74"/>
        <v>1.8046746474765432</v>
      </c>
      <c r="AN14" s="296">
        <f t="shared" si="75"/>
        <v>2.9897758330841399E-2</v>
      </c>
      <c r="AO14" s="296">
        <f t="shared" si="76"/>
        <v>2.5664642107013576</v>
      </c>
      <c r="AP14" s="296">
        <f t="shared" si="77"/>
        <v>1.8451571641386511</v>
      </c>
      <c r="AQ14" s="296">
        <f t="shared" si="78"/>
        <v>0.55818785599122489</v>
      </c>
      <c r="AR14" s="296">
        <f t="shared" si="79"/>
        <v>0.24776664233526019</v>
      </c>
      <c r="AS14" s="296">
        <f t="shared" si="80"/>
        <v>0</v>
      </c>
      <c r="AT14" s="296">
        <f t="shared" si="81"/>
        <v>7.0675377927724228E-3</v>
      </c>
      <c r="AU14" s="295">
        <f t="shared" si="82"/>
        <v>15.651111662465141</v>
      </c>
      <c r="AV14" s="295">
        <f t="shared" si="83"/>
        <v>1.8929903854620465</v>
      </c>
      <c r="AW14" s="295">
        <f>IF(SUM(H14:S14)&lt;90," ",CO14*AG14*stab.data!$U$20/13/2)</f>
        <v>6.6191926301529245</v>
      </c>
      <c r="AX14" s="295">
        <f>IF(SUM(H14:S14)&lt;90," ",CQ14*AG14*stab.data!$U$11/13)</f>
        <v>8.5329659879897175</v>
      </c>
      <c r="AY14" s="295">
        <f t="shared" si="84"/>
        <v>-6.3178292387104156E-3</v>
      </c>
      <c r="AZ14" s="297">
        <f t="shared" si="85"/>
        <v>99.37483117436598</v>
      </c>
      <c r="BA14" s="298">
        <f>IF(SUM(H14:S14)&lt;90," ",EXP('eq. coef.'!$C$104+'eq. coef.'!$C$105*'Amp (T-P-fO2 calculation)'!AI14+'eq. coef.'!$C$106*'Amp (T-P-fO2 calculation)'!AJ14+'eq. coef.'!$C$107*'Amp (T-P-fO2 calculation)'!AK14+'eq. coef.'!$C$108*'Amp (T-P-fO2 calculation)'!AM14+'eq. coef.'!$C$109*'Amp (T-P-fO2 calculation)'!AO14+'eq. coef.'!$C$110*'Amp (T-P-fO2 calculation)'!AP14+'eq. coef.'!$C$111*'Amp (T-P-fO2 calculation)'!AQ14+'eq. coef.'!$C$112*'Amp (T-P-fO2 calculation)'!AR14))</f>
        <v>695.73154267078837</v>
      </c>
      <c r="BB14" s="299">
        <f>IF(SUM(H14:S14)&lt;90," ",EXP('eq. coef.'!$C$176+'eq. coef.'!$C$177*'Amp (T-P-fO2 calculation)'!AI14+'eq. coef.'!$C$178*'Amp (T-P-fO2 calculation)'!AJ14+'eq. coef.'!$C$179*'Amp (T-P-fO2 calculation)'!AK14+'eq. coef.'!$C$180*'Amp (T-P-fO2 calculation)'!AM14+'eq. coef.'!$C$181*'Amp (T-P-fO2 calculation)'!AO14+'eq. coef.'!$C$182*'Amp (T-P-fO2 calculation)'!AP14+'eq. coef.'!$C$183*'Amp (T-P-fO2 calculation)'!AQ14+'eq. coef.'!$C$184*'Amp (T-P-fO2 calculation)'!AR14))</f>
        <v>533.20695305432173</v>
      </c>
      <c r="BC14" s="299">
        <f>IF(SUM(H14:S14)&lt;90," ",('eq. coef.'!$C$234+'eq. coef.'!$C$235*'Amp (T-P-fO2 calculation)'!AI14+'eq. coef.'!$C$236*'Amp (T-P-fO2 calculation)'!AJ14+'eq. coef.'!$C$237*'Amp (T-P-fO2 calculation)'!AK14+'eq. coef.'!$C$238*'Amp (T-P-fO2 calculation)'!AM14+'eq. coef.'!$C$239*'Amp (T-P-fO2 calculation)'!AO14+'eq. coef.'!$C$240*'Amp (T-P-fO2 calculation)'!AP14+'eq. coef.'!$C$241*'Amp (T-P-fO2 calculation)'!AQ14+'eq. coef.'!$C$242*'Amp (T-P-fO2 calculation)'!AR14))</f>
        <v>536.52192774035018</v>
      </c>
      <c r="BD14" s="299">
        <f>IF(SUM(H14:S14)&lt;90," ",('eq. coef.'!$C$270+'eq. coef.'!$C$271*'Amp (T-P-fO2 calculation)'!AI14+'eq. coef.'!$C$272*'Amp (T-P-fO2 calculation)'!AJ14+'eq. coef.'!$C$273*'Amp (T-P-fO2 calculation)'!AK14+'eq. coef.'!$C$274*'Amp (T-P-fO2 calculation)'!AM14+'eq. coef.'!$C$275*'Amp (T-P-fO2 calculation)'!AO14+'eq. coef.'!$C$276*'Amp (T-P-fO2 calculation)'!AP14+'eq. coef.'!$C$277*'Amp (T-P-fO2 calculation)'!AQ14+'eq. coef.'!$C$278*'Amp (T-P-fO2 calculation)'!AR14))</f>
        <v>668.57714465465438</v>
      </c>
      <c r="BE14" s="299">
        <f>IF(SUM(H14:S14)&lt;90," ",EXP('eq. coef.'!$C$328+'eq. coef.'!$C$329*'Amp (T-P-fO2 calculation)'!AI14+'eq. coef.'!$C$330*'Amp (T-P-fO2 calculation)'!AJ14+'eq. coef.'!$C$331*'Amp (T-P-fO2 calculation)'!AK14+'eq. coef.'!$C$332*'Amp (T-P-fO2 calculation)'!AM14+'eq. coef.'!$C$333*'Amp (T-P-fO2 calculation)'!AO14+'eq. coef.'!$C$334*'Amp (T-P-fO2 calculation)'!AP14+'eq. coef.'!$C$335*'Amp (T-P-fO2 calculation)'!AQ14+'eq. coef.'!$C$336*'Amp (T-P-fO2 calculation)'!AR14))</f>
        <v>965.39212901004635</v>
      </c>
      <c r="BF14" s="300" t="str">
        <f t="shared" si="19"/>
        <v>ok</v>
      </c>
      <c r="BG14" s="301" t="str">
        <f t="shared" si="20"/>
        <v>ok</v>
      </c>
      <c r="BH14" s="301" t="str">
        <f t="shared" si="21"/>
        <v>ok</v>
      </c>
      <c r="BI14" s="299">
        <f t="shared" si="22"/>
        <v>26.144584329355304</v>
      </c>
      <c r="BJ14" s="302">
        <f t="shared" si="86"/>
        <v>-0.38759287138840859</v>
      </c>
      <c r="BK14" s="299">
        <f t="shared" si="87"/>
        <v>135.37019160033265</v>
      </c>
      <c r="BL14" s="303">
        <f>IF(SUM(H14:S14)&lt;90," ",'eq. coef.'!$C$360+'eq. coef.'!$C$361*'Amp (T-P-fO2 calculation)'!AI14+'eq. coef.'!$C$362*'Amp (T-P-fO2 calculation)'!AJ14+'eq. coef.'!$C$363*'Amp (T-P-fO2 calculation)'!AK14+'eq. coef.'!$C$364*'Amp (T-P-fO2 calculation)'!AM14+'eq. coef.'!$C$365*'Amp (T-P-fO2 calculation)'!AO14+'eq. coef.'!$C$366*'Amp (T-P-fO2 calculation)'!AP14+'eq. coef.'!$C$367*'Amp (T-P-fO2 calculation)'!AQ14+'eq. coef.'!$C$368*'Amp (T-P-fO2 calculation)'!AR14+'eq. coef.'!$C$369*LN(BO14))</f>
        <v>902.04669834137758</v>
      </c>
      <c r="BM14" s="304">
        <f t="shared" si="25"/>
        <v>22</v>
      </c>
      <c r="BN14" s="305">
        <f t="shared" si="26"/>
        <v>484</v>
      </c>
      <c r="BO14" s="306">
        <f t="shared" si="27"/>
        <v>534.86444039733601</v>
      </c>
      <c r="BP14" s="299" t="str">
        <f t="shared" si="28"/>
        <v>P1b_c</v>
      </c>
      <c r="BQ14" s="302"/>
      <c r="BR14" s="302">
        <f t="shared" si="88"/>
        <v>0</v>
      </c>
      <c r="BS14" s="302">
        <f t="shared" si="89"/>
        <v>0</v>
      </c>
      <c r="BT14" s="299">
        <f t="shared" si="31"/>
        <v>64.183732847680318</v>
      </c>
      <c r="BU14" s="307">
        <f t="shared" si="62"/>
        <v>888.18703709122371</v>
      </c>
      <c r="BV14" s="308">
        <f t="shared" si="63"/>
        <v>814.26503414698732</v>
      </c>
      <c r="BW14" s="267">
        <f>IF(SUM(H14:S14)&lt;90," ",'eq. coef.'!$B$1128*'Amp (T-P-fO2 calculation)'!CH14+'eq. coef.'!$B$1129*'Amp (T-P-fO2 calculation)'!CL14+'eq. coef.'!$B$1130*'Amp (T-P-fO2 calculation)'!CM14+'eq. coef.'!$B$1131*'Amp (T-P-fO2 calculation)'!CO14+'eq. coef.'!$B$1132*'Amp (T-P-fO2 calculation)'!CP14+'eq. coef.'!$B$1133*'Amp (T-P-fO2 calculation)'!CQ14+'eq. coef.'!$B$1134*'Amp (T-P-fO2 calculation)'!CR14+'eq. coef.'!$B$1135*'Amp (T-P-fO2 calculation)'!CU14+'eq. coef.'!$B$1135*'Amp (T-P-fO2 calculation)'!CY14+'eq. coef.'!$B$1137*'Amp (T-P-fO2 calculation)'!CZ14)</f>
        <v>3.7195131923031104</v>
      </c>
      <c r="BX14" s="268">
        <f t="shared" si="32"/>
        <v>0.4</v>
      </c>
      <c r="BY14" s="269"/>
      <c r="BZ14" s="282">
        <f t="shared" si="64"/>
        <v>-11.714094431842105</v>
      </c>
      <c r="CA14" s="269">
        <f t="shared" si="65"/>
        <v>2.301000691797678</v>
      </c>
      <c r="CB14" s="282">
        <f t="shared" si="66"/>
        <v>-10.297419699058569</v>
      </c>
      <c r="CC14" s="268">
        <f t="shared" si="33"/>
        <v>-7.9964190072608909</v>
      </c>
      <c r="CD14" s="268"/>
      <c r="CE14" s="267">
        <f>IF(SUM(H14:S14)&lt;90," ",EXP('eq. coef.'!$B$1156*'Amp (T-P-fO2 calculation)'!CH14+'eq. coef.'!$B$1157*'Amp (T-P-fO2 calculation)'!CL14+'eq. coef.'!$B$1158*'Amp (T-P-fO2 calculation)'!CM14+'eq. coef.'!$B$1159*'Amp (T-P-fO2 calculation)'!CO14+'eq. coef.'!$B$1160*'Amp (T-P-fO2 calculation)'!CP14+'eq. coef.'!$B$1161*'Amp (T-P-fO2 calculation)'!CQ14+'eq. coef.'!$B$1162*'Amp (T-P-fO2 calculation)'!CR14+'eq. coef.'!$B$1163*'Amp (T-P-fO2 calculation)'!CU14+'eq. coef.'!$B$1164*'Amp (T-P-fO2 calculation)'!CY14+'eq. coef.'!$B$1165*'Amp (T-P-fO2 calculation)'!CZ14))</f>
        <v>8.5875672274067565</v>
      </c>
      <c r="CF14" s="302">
        <f t="shared" si="34"/>
        <v>1.4598864286591486</v>
      </c>
      <c r="CG14" s="296">
        <f t="shared" si="35"/>
        <v>5.9575027667732012</v>
      </c>
      <c r="CH14" s="296">
        <f t="shared" si="36"/>
        <v>2.0424972332267988</v>
      </c>
      <c r="CI14" s="296">
        <f t="shared" si="37"/>
        <v>0</v>
      </c>
      <c r="CJ14" s="296">
        <f t="shared" si="38"/>
        <v>8</v>
      </c>
      <c r="CK14" s="296"/>
      <c r="CL14" s="296">
        <f t="shared" si="39"/>
        <v>0.39355104729324353</v>
      </c>
      <c r="CM14" s="296">
        <f t="shared" si="40"/>
        <v>0.20541233619801536</v>
      </c>
      <c r="CN14" s="296">
        <f t="shared" si="41"/>
        <v>0</v>
      </c>
      <c r="CO14" s="296">
        <f t="shared" si="42"/>
        <v>0.74185268693373985</v>
      </c>
      <c r="CP14" s="296">
        <f t="shared" si="43"/>
        <v>2.5664642107013576</v>
      </c>
      <c r="CQ14" s="296">
        <f t="shared" si="44"/>
        <v>1.0628219605428033</v>
      </c>
      <c r="CR14" s="296">
        <f t="shared" si="45"/>
        <v>2.9897758330841399E-2</v>
      </c>
      <c r="CS14" s="296">
        <f t="shared" si="46"/>
        <v>5.0000000000000009</v>
      </c>
      <c r="CT14" s="296"/>
      <c r="CU14" s="296">
        <f t="shared" si="47"/>
        <v>1.8451571641386511</v>
      </c>
      <c r="CV14" s="296">
        <f t="shared" si="48"/>
        <v>0.15484283586134895</v>
      </c>
      <c r="CW14" s="296">
        <f t="shared" si="49"/>
        <v>2</v>
      </c>
      <c r="CX14" s="296"/>
      <c r="CY14" s="296">
        <f t="shared" si="50"/>
        <v>0.40334502012987594</v>
      </c>
      <c r="CZ14" s="296">
        <f t="shared" si="51"/>
        <v>0.24776664233526019</v>
      </c>
      <c r="DA14" s="296">
        <f t="shared" si="52"/>
        <v>0.65111166246513608</v>
      </c>
      <c r="DB14" s="296"/>
      <c r="DC14" s="296">
        <f t="shared" si="53"/>
        <v>1.9929324622072275</v>
      </c>
      <c r="DD14" s="296">
        <f t="shared" si="54"/>
        <v>0</v>
      </c>
      <c r="DE14" s="296">
        <f t="shared" si="55"/>
        <v>7.0675377927724228E-3</v>
      </c>
      <c r="DF14" s="296">
        <f t="shared" si="56"/>
        <v>2</v>
      </c>
      <c r="DG14" s="302">
        <f t="shared" si="57"/>
        <v>45.25814731306626</v>
      </c>
      <c r="DH14" s="302"/>
      <c r="DI14" s="295">
        <f t="shared" si="58"/>
        <v>0.7071539938173419</v>
      </c>
      <c r="DJ14" s="295">
        <f t="shared" si="59"/>
        <v>0.58713856822457078</v>
      </c>
      <c r="DK14" s="295">
        <f t="shared" si="60"/>
        <v>0.16155305723629956</v>
      </c>
      <c r="DL14" s="296">
        <f t="shared" si="61"/>
        <v>2.4360482805200423</v>
      </c>
    </row>
    <row r="15" spans="1:117" ht="13.8" x14ac:dyDescent="0.25">
      <c r="A15" s="287" t="s">
        <v>558</v>
      </c>
      <c r="B15" s="288" t="s">
        <v>537</v>
      </c>
      <c r="C15" s="289">
        <v>460</v>
      </c>
      <c r="D15" s="289" t="s">
        <v>521</v>
      </c>
      <c r="E15" s="290" t="s">
        <v>514</v>
      </c>
      <c r="F15" s="289" t="s">
        <v>534</v>
      </c>
      <c r="G15" s="291"/>
      <c r="H15" s="292">
        <v>39.326000000000001</v>
      </c>
      <c r="I15" s="292">
        <v>1.7629999999999999</v>
      </c>
      <c r="J15" s="292">
        <v>14.260999999999999</v>
      </c>
      <c r="K15" s="292">
        <v>2.1000000000000001E-2</v>
      </c>
      <c r="L15" s="292">
        <v>15.082000000000001</v>
      </c>
      <c r="M15" s="292">
        <v>0.223</v>
      </c>
      <c r="N15" s="292">
        <v>10.901</v>
      </c>
      <c r="O15" s="292">
        <v>11.77</v>
      </c>
      <c r="P15" s="292">
        <v>1.964</v>
      </c>
      <c r="Q15" s="292">
        <v>1.3460000000000001</v>
      </c>
      <c r="R15" s="293">
        <v>0</v>
      </c>
      <c r="S15" s="293">
        <v>0.02</v>
      </c>
      <c r="T15" s="294">
        <f t="shared" si="67"/>
        <v>96.676999999999992</v>
      </c>
      <c r="U15" s="295">
        <f>IF(SUM(H15:S15)&lt;90," ",H15/stab.data!$U$7)</f>
        <v>0.65451700952000536</v>
      </c>
      <c r="V15" s="295">
        <f>IF(SUM(H15:S15)&lt;90," ",I15/stab.data!$U$8)</f>
        <v>2.2065633682945757E-2</v>
      </c>
      <c r="W15" s="295">
        <f>IF(SUM(H15:S15)&lt;90," ",J15*2/stab.data!$U$9)</f>
        <v>0.27973440825413637</v>
      </c>
      <c r="X15" s="295">
        <f>IF(SUM(H15:S15)&lt;90," ",K15*2/stab.data!$U$10)</f>
        <v>2.7633360571931609E-4</v>
      </c>
      <c r="Y15" s="295">
        <f>IF(SUM(H15:S15)&lt;90," ",L15/stab.data!$U$11)</f>
        <v>0.20992122038805222</v>
      </c>
      <c r="Z15" s="295">
        <f>IF(SUM(H15:S15)&lt;90," ",M15/stab.data!$U$12)</f>
        <v>3.1436344925779213E-3</v>
      </c>
      <c r="AA15" s="295">
        <f>IF(SUM(H15:S15)&lt;90," ",N15/stab.data!$U$13)</f>
        <v>0.27046943231441045</v>
      </c>
      <c r="AB15" s="295">
        <f>IF(SUM(H15:S15)&lt;90," ",O15/stab.data!$U$14)</f>
        <v>0.20988248720554931</v>
      </c>
      <c r="AC15" s="295">
        <f>IF(SUM(H15:S15)&lt;90," ",P15*2/stab.data!$U$15)</f>
        <v>6.3376304877458489E-2</v>
      </c>
      <c r="AD15" s="295">
        <f>IF(SUM(H15:S15)&lt;90," ",Q15*2/stab.data!$U$16)</f>
        <v>2.8579011624820853E-2</v>
      </c>
      <c r="AE15" s="295">
        <f>IF(SUM(H15:S15)&lt;90," ",R15/stab.data!$U$17)</f>
        <v>0</v>
      </c>
      <c r="AF15" s="295">
        <f>IF(SUM(H15:S15)&lt;90," ",S15/stab.data!$U$18)</f>
        <v>5.6412715426057034E-4</v>
      </c>
      <c r="AG15" s="295">
        <f t="shared" si="68"/>
        <v>1.4401276722578475</v>
      </c>
      <c r="AH15" s="295">
        <f t="shared" si="69"/>
        <v>0.1605855064946467</v>
      </c>
      <c r="AI15" s="296">
        <f t="shared" si="70"/>
        <v>5.9083102753105257</v>
      </c>
      <c r="AJ15" s="296">
        <f t="shared" si="71"/>
        <v>0.19918597732974833</v>
      </c>
      <c r="AK15" s="296">
        <f t="shared" si="72"/>
        <v>2.5251561909107374</v>
      </c>
      <c r="AL15" s="296">
        <f t="shared" si="73"/>
        <v>2.4944572231703631E-3</v>
      </c>
      <c r="AM15" s="296">
        <f t="shared" si="74"/>
        <v>1.8949541194262043</v>
      </c>
      <c r="AN15" s="296">
        <f t="shared" si="75"/>
        <v>2.8377517626226059E-2</v>
      </c>
      <c r="AO15" s="296">
        <f t="shared" si="76"/>
        <v>2.4415214621733865</v>
      </c>
      <c r="AP15" s="296">
        <f t="shared" si="77"/>
        <v>1.8946044758617915</v>
      </c>
      <c r="AQ15" s="296">
        <f t="shared" si="78"/>
        <v>0.57209647399890162</v>
      </c>
      <c r="AR15" s="296">
        <f t="shared" si="79"/>
        <v>0.25798209303220099</v>
      </c>
      <c r="AS15" s="296">
        <f t="shared" si="80"/>
        <v>0</v>
      </c>
      <c r="AT15" s="296">
        <f t="shared" si="81"/>
        <v>5.0923630915928686E-3</v>
      </c>
      <c r="AU15" s="295">
        <f t="shared" si="82"/>
        <v>15.724683042892892</v>
      </c>
      <c r="AV15" s="295">
        <f t="shared" si="83"/>
        <v>1.8784487982952009</v>
      </c>
      <c r="AW15" s="295">
        <f>IF(SUM(H15:S15)&lt;90," ",CO15*AG15*stab.data!$U$20/13/2)</f>
        <v>5.6438564166191458</v>
      </c>
      <c r="AX15" s="295">
        <f>IF(SUM(H15:S15)&lt;90," ",CQ15*AG15*stab.data!$U$11/13)</f>
        <v>10.003585961532972</v>
      </c>
      <c r="AY15" s="295">
        <f t="shared" si="84"/>
        <v>-4.5127351705074401E-3</v>
      </c>
      <c r="AZ15" s="297">
        <f t="shared" si="85"/>
        <v>99.116378441276808</v>
      </c>
      <c r="BA15" s="298">
        <f>IF(SUM(H15:S15)&lt;90," ",EXP('eq. coef.'!$C$104+'eq. coef.'!$C$105*'Amp (T-P-fO2 calculation)'!AI15+'eq. coef.'!$C$106*'Amp (T-P-fO2 calculation)'!AJ15+'eq. coef.'!$C$107*'Amp (T-P-fO2 calculation)'!AK15+'eq. coef.'!$C$108*'Amp (T-P-fO2 calculation)'!AM15+'eq. coef.'!$C$109*'Amp (T-P-fO2 calculation)'!AO15+'eq. coef.'!$C$110*'Amp (T-P-fO2 calculation)'!AP15+'eq. coef.'!$C$111*'Amp (T-P-fO2 calculation)'!AQ15+'eq. coef.'!$C$112*'Amp (T-P-fO2 calculation)'!AR15))</f>
        <v>731.36796023889531</v>
      </c>
      <c r="BB15" s="299">
        <f>IF(SUM(H15:S15)&lt;90," ",EXP('eq. coef.'!$C$176+'eq. coef.'!$C$177*'Amp (T-P-fO2 calculation)'!AI15+'eq. coef.'!$C$178*'Amp (T-P-fO2 calculation)'!AJ15+'eq. coef.'!$C$179*'Amp (T-P-fO2 calculation)'!AK15+'eq. coef.'!$C$180*'Amp (T-P-fO2 calculation)'!AM15+'eq. coef.'!$C$181*'Amp (T-P-fO2 calculation)'!AO15+'eq. coef.'!$C$182*'Amp (T-P-fO2 calculation)'!AP15+'eq. coef.'!$C$183*'Amp (T-P-fO2 calculation)'!AQ15+'eq. coef.'!$C$184*'Amp (T-P-fO2 calculation)'!AR15))</f>
        <v>563.69314562172246</v>
      </c>
      <c r="BC15" s="299">
        <f>IF(SUM(H15:S15)&lt;90," ",('eq. coef.'!$C$234+'eq. coef.'!$C$235*'Amp (T-P-fO2 calculation)'!AI15+'eq. coef.'!$C$236*'Amp (T-P-fO2 calculation)'!AJ15+'eq. coef.'!$C$237*'Amp (T-P-fO2 calculation)'!AK15+'eq. coef.'!$C$238*'Amp (T-P-fO2 calculation)'!AM15+'eq. coef.'!$C$239*'Amp (T-P-fO2 calculation)'!AO15+'eq. coef.'!$C$240*'Amp (T-P-fO2 calculation)'!AP15+'eq. coef.'!$C$241*'Amp (T-P-fO2 calculation)'!AQ15+'eq. coef.'!$C$242*'Amp (T-P-fO2 calculation)'!AR15))</f>
        <v>556.26231270517746</v>
      </c>
      <c r="BD15" s="299">
        <f>IF(SUM(H15:S15)&lt;90," ",('eq. coef.'!$C$270+'eq. coef.'!$C$271*'Amp (T-P-fO2 calculation)'!AI15+'eq. coef.'!$C$272*'Amp (T-P-fO2 calculation)'!AJ15+'eq. coef.'!$C$273*'Amp (T-P-fO2 calculation)'!AK15+'eq. coef.'!$C$274*'Amp (T-P-fO2 calculation)'!AM15+'eq. coef.'!$C$275*'Amp (T-P-fO2 calculation)'!AO15+'eq. coef.'!$C$276*'Amp (T-P-fO2 calculation)'!AP15+'eq. coef.'!$C$277*'Amp (T-P-fO2 calculation)'!AQ15+'eq. coef.'!$C$278*'Amp (T-P-fO2 calculation)'!AR15))</f>
        <v>717.38146479134616</v>
      </c>
      <c r="BE15" s="299">
        <f>IF(SUM(H15:S15)&lt;90," ",EXP('eq. coef.'!$C$328+'eq. coef.'!$C$329*'Amp (T-P-fO2 calculation)'!AI15+'eq. coef.'!$C$330*'Amp (T-P-fO2 calculation)'!AJ15+'eq. coef.'!$C$331*'Amp (T-P-fO2 calculation)'!AK15+'eq. coef.'!$C$332*'Amp (T-P-fO2 calculation)'!AM15+'eq. coef.'!$C$333*'Amp (T-P-fO2 calculation)'!AO15+'eq. coef.'!$C$334*'Amp (T-P-fO2 calculation)'!AP15+'eq. coef.'!$C$335*'Amp (T-P-fO2 calculation)'!AQ15+'eq. coef.'!$C$336*'Amp (T-P-fO2 calculation)'!AR15))</f>
        <v>1109.0711782301894</v>
      </c>
      <c r="BF15" s="300" t="str">
        <f t="shared" si="19"/>
        <v>ok</v>
      </c>
      <c r="BG15" s="301" t="str">
        <f t="shared" si="20"/>
        <v>ok</v>
      </c>
      <c r="BH15" s="301" t="str">
        <f t="shared" si="21"/>
        <v>ok</v>
      </c>
      <c r="BI15" s="299">
        <f t="shared" si="22"/>
        <v>26.544438484905982</v>
      </c>
      <c r="BJ15" s="302">
        <f t="shared" si="86"/>
        <v>-0.51643391360474755</v>
      </c>
      <c r="BK15" s="299">
        <f t="shared" si="87"/>
        <v>153.6883191696237</v>
      </c>
      <c r="BL15" s="303">
        <f>IF(SUM(H15:S15)&lt;90," ",'eq. coef.'!$C$360+'eq. coef.'!$C$361*'Amp (T-P-fO2 calculation)'!AI15+'eq. coef.'!$C$362*'Amp (T-P-fO2 calculation)'!AJ15+'eq. coef.'!$C$363*'Amp (T-P-fO2 calculation)'!AK15+'eq. coef.'!$C$364*'Amp (T-P-fO2 calculation)'!AM15+'eq. coef.'!$C$365*'Amp (T-P-fO2 calculation)'!AO15+'eq. coef.'!$C$366*'Amp (T-P-fO2 calculation)'!AP15+'eq. coef.'!$C$367*'Amp (T-P-fO2 calculation)'!AQ15+'eq. coef.'!$C$368*'Amp (T-P-fO2 calculation)'!AR15+'eq. coef.'!$C$369*LN(BO15))</f>
        <v>897.171040721184</v>
      </c>
      <c r="BM15" s="304">
        <f t="shared" si="25"/>
        <v>22</v>
      </c>
      <c r="BN15" s="305">
        <f t="shared" si="26"/>
        <v>484</v>
      </c>
      <c r="BO15" s="306">
        <f t="shared" si="27"/>
        <v>559.97772916345002</v>
      </c>
      <c r="BP15" s="299" t="str">
        <f t="shared" si="28"/>
        <v>P1b_c</v>
      </c>
      <c r="BQ15" s="302"/>
      <c r="BR15" s="302">
        <f t="shared" si="88"/>
        <v>0</v>
      </c>
      <c r="BS15" s="302">
        <f t="shared" si="89"/>
        <v>0</v>
      </c>
      <c r="BT15" s="299">
        <f t="shared" si="31"/>
        <v>67.197327499614005</v>
      </c>
      <c r="BU15" s="307">
        <f t="shared" si="62"/>
        <v>938.08746691001284</v>
      </c>
      <c r="BV15" s="308">
        <f t="shared" si="63"/>
        <v>807.72023778539938</v>
      </c>
      <c r="BW15" s="267">
        <f>IF(SUM(H15:S15)&lt;90," ",'eq. coef.'!$B$1128*'Amp (T-P-fO2 calculation)'!CH15+'eq. coef.'!$B$1129*'Amp (T-P-fO2 calculation)'!CL15+'eq. coef.'!$B$1130*'Amp (T-P-fO2 calculation)'!CM15+'eq. coef.'!$B$1131*'Amp (T-P-fO2 calculation)'!CO15+'eq. coef.'!$B$1132*'Amp (T-P-fO2 calculation)'!CP15+'eq. coef.'!$B$1133*'Amp (T-P-fO2 calculation)'!CQ15+'eq. coef.'!$B$1134*'Amp (T-P-fO2 calculation)'!CR15+'eq. coef.'!$B$1135*'Amp (T-P-fO2 calculation)'!CU15+'eq. coef.'!$B$1135*'Amp (T-P-fO2 calculation)'!CY15+'eq. coef.'!$B$1137*'Amp (T-P-fO2 calculation)'!CZ15)</f>
        <v>3.8313856609496888</v>
      </c>
      <c r="BX15" s="268">
        <f t="shared" si="32"/>
        <v>0.4</v>
      </c>
      <c r="BY15" s="269"/>
      <c r="BZ15" s="282">
        <f t="shared" si="64"/>
        <v>-11.789855010888122</v>
      </c>
      <c r="CA15" s="269">
        <f t="shared" si="65"/>
        <v>2.4204565361484285</v>
      </c>
      <c r="CB15" s="282">
        <f t="shared" si="66"/>
        <v>-10.380824356183734</v>
      </c>
      <c r="CC15" s="268">
        <f t="shared" si="33"/>
        <v>-7.9603678200353052</v>
      </c>
      <c r="CD15" s="268"/>
      <c r="CE15" s="267">
        <f>IF(SUM(H15:S15)&lt;90," ",EXP('eq. coef.'!$B$1156*'Amp (T-P-fO2 calculation)'!CH15+'eq. coef.'!$B$1157*'Amp (T-P-fO2 calculation)'!CL15+'eq. coef.'!$B$1158*'Amp (T-P-fO2 calculation)'!CM15+'eq. coef.'!$B$1159*'Amp (T-P-fO2 calculation)'!CO15+'eq. coef.'!$B$1160*'Amp (T-P-fO2 calculation)'!CP15+'eq. coef.'!$B$1161*'Amp (T-P-fO2 calculation)'!CQ15+'eq. coef.'!$B$1162*'Amp (T-P-fO2 calculation)'!CR15+'eq. coef.'!$B$1163*'Amp (T-P-fO2 calculation)'!CU15+'eq. coef.'!$B$1164*'Amp (T-P-fO2 calculation)'!CY15+'eq. coef.'!$B$1165*'Amp (T-P-fO2 calculation)'!CZ15))</f>
        <v>9.6451251394841151</v>
      </c>
      <c r="CF15" s="302">
        <f t="shared" si="34"/>
        <v>1.6396712737122996</v>
      </c>
      <c r="CG15" s="296">
        <f t="shared" si="35"/>
        <v>5.9083102753105257</v>
      </c>
      <c r="CH15" s="296">
        <f t="shared" si="36"/>
        <v>2.0916897246894743</v>
      </c>
      <c r="CI15" s="296">
        <f t="shared" si="37"/>
        <v>0</v>
      </c>
      <c r="CJ15" s="296">
        <f t="shared" si="38"/>
        <v>8</v>
      </c>
      <c r="CK15" s="296"/>
      <c r="CL15" s="296">
        <f t="shared" si="39"/>
        <v>0.43346646622126306</v>
      </c>
      <c r="CM15" s="296">
        <f t="shared" si="40"/>
        <v>0.19918597732974833</v>
      </c>
      <c r="CN15" s="296">
        <f t="shared" si="41"/>
        <v>2.4944572231703631E-3</v>
      </c>
      <c r="CO15" s="296">
        <f t="shared" si="42"/>
        <v>0.63806932783085557</v>
      </c>
      <c r="CP15" s="296">
        <f t="shared" si="43"/>
        <v>2.4415214621733865</v>
      </c>
      <c r="CQ15" s="296">
        <f t="shared" si="44"/>
        <v>1.2568847915953487</v>
      </c>
      <c r="CR15" s="296">
        <f t="shared" si="45"/>
        <v>2.8377517626226059E-2</v>
      </c>
      <c r="CS15" s="296">
        <f t="shared" si="46"/>
        <v>4.9999999999999991</v>
      </c>
      <c r="CT15" s="296"/>
      <c r="CU15" s="296">
        <f t="shared" si="47"/>
        <v>1.8946044758617915</v>
      </c>
      <c r="CV15" s="296">
        <f t="shared" si="48"/>
        <v>0.10539552413820852</v>
      </c>
      <c r="CW15" s="296">
        <f t="shared" si="49"/>
        <v>2</v>
      </c>
      <c r="CX15" s="296"/>
      <c r="CY15" s="296">
        <f t="shared" si="50"/>
        <v>0.4667009498606931</v>
      </c>
      <c r="CZ15" s="296">
        <f t="shared" si="51"/>
        <v>0.25798209303220099</v>
      </c>
      <c r="DA15" s="296">
        <f t="shared" si="52"/>
        <v>0.72468304289289409</v>
      </c>
      <c r="DB15" s="296"/>
      <c r="DC15" s="296">
        <f t="shared" si="53"/>
        <v>1.9949076369084071</v>
      </c>
      <c r="DD15" s="296">
        <f t="shared" si="54"/>
        <v>0</v>
      </c>
      <c r="DE15" s="296">
        <f t="shared" si="55"/>
        <v>5.0923630915928686E-3</v>
      </c>
      <c r="DF15" s="296">
        <f t="shared" si="56"/>
        <v>2</v>
      </c>
      <c r="DG15" s="302">
        <f t="shared" si="57"/>
        <v>45.361930672169144</v>
      </c>
      <c r="DH15" s="302"/>
      <c r="DI15" s="295">
        <f t="shared" si="58"/>
        <v>0.66015502209510846</v>
      </c>
      <c r="DJ15" s="295">
        <f t="shared" si="59"/>
        <v>0.56301976483695204</v>
      </c>
      <c r="DK15" s="295">
        <f t="shared" si="60"/>
        <v>0.17165926914997148</v>
      </c>
      <c r="DL15" s="296">
        <f t="shared" si="61"/>
        <v>2.5251561909107374</v>
      </c>
    </row>
    <row r="16" spans="1:117" ht="13.8" x14ac:dyDescent="0.25">
      <c r="A16" s="287" t="s">
        <v>558</v>
      </c>
      <c r="B16" s="288" t="s">
        <v>537</v>
      </c>
      <c r="C16" s="289">
        <v>518</v>
      </c>
      <c r="D16" s="289" t="s">
        <v>522</v>
      </c>
      <c r="E16" s="310" t="s">
        <v>513</v>
      </c>
      <c r="F16" s="289" t="s">
        <v>535</v>
      </c>
      <c r="G16" s="291"/>
      <c r="H16" s="292">
        <v>40.536000000000001</v>
      </c>
      <c r="I16" s="292">
        <v>2.5230000000000001</v>
      </c>
      <c r="J16" s="292">
        <v>14.372</v>
      </c>
      <c r="K16" s="292">
        <v>1.6E-2</v>
      </c>
      <c r="L16" s="292">
        <v>12.726000000000001</v>
      </c>
      <c r="M16" s="292">
        <v>0.27400000000000002</v>
      </c>
      <c r="N16" s="292">
        <v>12.347</v>
      </c>
      <c r="O16" s="292">
        <v>11.266999999999999</v>
      </c>
      <c r="P16" s="292">
        <v>2.5110000000000001</v>
      </c>
      <c r="Q16" s="292">
        <v>0.79800000000000004</v>
      </c>
      <c r="R16" s="293">
        <v>0</v>
      </c>
      <c r="S16" s="293">
        <v>8.0000000000000002E-3</v>
      </c>
      <c r="T16" s="294">
        <f t="shared" si="67"/>
        <v>97.377999999999986</v>
      </c>
      <c r="U16" s="295">
        <f>IF(SUM(H16:S16)&lt;90," ",H16/stab.data!$U$7)</f>
        <v>0.67465548232474537</v>
      </c>
      <c r="V16" s="295">
        <f>IF(SUM(H16:S16)&lt;90," ",I16/stab.data!$U$8)</f>
        <v>3.1577761646098781E-2</v>
      </c>
      <c r="W16" s="295">
        <f>IF(SUM(H16:S16)&lt;90," ",J16*2/stab.data!$U$9)</f>
        <v>0.2819117113406106</v>
      </c>
      <c r="X16" s="295">
        <f>IF(SUM(H16:S16)&lt;90," ",K16*2/stab.data!$U$10)</f>
        <v>2.1053989007185987E-4</v>
      </c>
      <c r="Y16" s="295">
        <f>IF(SUM(H16:S16)&lt;90," ",L16/stab.data!$U$11)</f>
        <v>0.1771288589483061</v>
      </c>
      <c r="Z16" s="295">
        <f>IF(SUM(H16:S16)&lt;90," ",M16/stab.data!$U$12)</f>
        <v>3.8625822913289261E-3</v>
      </c>
      <c r="AA16" s="295">
        <f>IF(SUM(H16:S16)&lt;90," ",N16/stab.data!$U$13)</f>
        <v>0.30634676458912263</v>
      </c>
      <c r="AB16" s="295">
        <f>IF(SUM(H16:S16)&lt;90," ",O16/stab.data!$U$14)</f>
        <v>0.20091299773533763</v>
      </c>
      <c r="AC16" s="295">
        <f>IF(SUM(H16:S16)&lt;90," ",P16*2/stab.data!$U$15)</f>
        <v>8.1027444779683447E-2</v>
      </c>
      <c r="AD16" s="295">
        <f>IF(SUM(H16:S16)&lt;90," ",Q16*2/stab.data!$U$16)</f>
        <v>1.6943574499708056E-2</v>
      </c>
      <c r="AE16" s="295">
        <f>IF(SUM(H16:S16)&lt;90," ",R16/stab.data!$U$17)</f>
        <v>0</v>
      </c>
      <c r="AF16" s="295">
        <f>IF(SUM(H16:S16)&lt;90," ",S16/stab.data!$U$18)</f>
        <v>2.2565086170422811E-4</v>
      </c>
      <c r="AG16" s="295">
        <f t="shared" si="68"/>
        <v>1.4756937010302844</v>
      </c>
      <c r="AH16" s="295">
        <f t="shared" si="69"/>
        <v>0.15886129329471257</v>
      </c>
      <c r="AI16" s="296">
        <f t="shared" si="70"/>
        <v>5.9433209371960984</v>
      </c>
      <c r="AJ16" s="296">
        <f t="shared" si="71"/>
        <v>0.27818164508846105</v>
      </c>
      <c r="AK16" s="296">
        <f t="shared" si="72"/>
        <v>2.4834775975998609</v>
      </c>
      <c r="AL16" s="296">
        <f t="shared" si="73"/>
        <v>1.854733518902517E-3</v>
      </c>
      <c r="AM16" s="296">
        <f t="shared" si="74"/>
        <v>1.5604018399755462</v>
      </c>
      <c r="AN16" s="296">
        <f t="shared" si="75"/>
        <v>3.4027095021289616E-2</v>
      </c>
      <c r="AO16" s="296">
        <f t="shared" si="76"/>
        <v>2.6987361515998396</v>
      </c>
      <c r="AP16" s="296">
        <f t="shared" si="77"/>
        <v>1.7699262175720218</v>
      </c>
      <c r="AQ16" s="296">
        <f t="shared" si="78"/>
        <v>0.71380448490121173</v>
      </c>
      <c r="AR16" s="296">
        <f t="shared" si="79"/>
        <v>0.14926299972848117</v>
      </c>
      <c r="AS16" s="296">
        <f t="shared" si="80"/>
        <v>0</v>
      </c>
      <c r="AT16" s="296">
        <f t="shared" si="81"/>
        <v>1.9878523572384381E-3</v>
      </c>
      <c r="AU16" s="295">
        <f t="shared" si="82"/>
        <v>15.632993702201713</v>
      </c>
      <c r="AV16" s="295">
        <f t="shared" si="83"/>
        <v>1.9278352690228089</v>
      </c>
      <c r="AW16" s="295">
        <f>IF(SUM(H16:S16)&lt;90," ",CO16*AG16*stab.data!$U$20/13/2)</f>
        <v>6.0612513707454712</v>
      </c>
      <c r="AX16" s="295">
        <f>IF(SUM(H16:S16)&lt;90," ",CQ16*AG16*stab.data!$U$11/13)</f>
        <v>7.272008654431632</v>
      </c>
      <c r="AY16" s="295">
        <f t="shared" si="84"/>
        <v>-1.805094068202976E-3</v>
      </c>
      <c r="AZ16" s="297">
        <f t="shared" si="85"/>
        <v>99.911290200131688</v>
      </c>
      <c r="BA16" s="298">
        <f>IF(SUM(H16:S16)&lt;90," ",EXP('eq. coef.'!$C$104+'eq. coef.'!$C$105*'Amp (T-P-fO2 calculation)'!AI16+'eq. coef.'!$C$106*'Amp (T-P-fO2 calculation)'!AJ16+'eq. coef.'!$C$107*'Amp (T-P-fO2 calculation)'!AK16+'eq. coef.'!$C$108*'Amp (T-P-fO2 calculation)'!AM16+'eq. coef.'!$C$109*'Amp (T-P-fO2 calculation)'!AO16+'eq. coef.'!$C$110*'Amp (T-P-fO2 calculation)'!AP16+'eq. coef.'!$C$111*'Amp (T-P-fO2 calculation)'!AQ16+'eq. coef.'!$C$112*'Amp (T-P-fO2 calculation)'!AR16))</f>
        <v>1003.5829370021515</v>
      </c>
      <c r="BB16" s="299">
        <f>IF(SUM(H16:S16)&lt;90," ",EXP('eq. coef.'!$C$176+'eq. coef.'!$C$177*'Amp (T-P-fO2 calculation)'!AI16+'eq. coef.'!$C$178*'Amp (T-P-fO2 calculation)'!AJ16+'eq. coef.'!$C$179*'Amp (T-P-fO2 calculation)'!AK16+'eq. coef.'!$C$180*'Amp (T-P-fO2 calculation)'!AM16+'eq. coef.'!$C$181*'Amp (T-P-fO2 calculation)'!AO16+'eq. coef.'!$C$182*'Amp (T-P-fO2 calculation)'!AP16+'eq. coef.'!$C$183*'Amp (T-P-fO2 calculation)'!AQ16+'eq. coef.'!$C$184*'Amp (T-P-fO2 calculation)'!AR16))</f>
        <v>620.5882928755583</v>
      </c>
      <c r="BC16" s="299">
        <f>IF(SUM(H16:S16)&lt;90," ",('eq. coef.'!$C$234+'eq. coef.'!$C$235*'Amp (T-P-fO2 calculation)'!AI16+'eq. coef.'!$C$236*'Amp (T-P-fO2 calculation)'!AJ16+'eq. coef.'!$C$237*'Amp (T-P-fO2 calculation)'!AK16+'eq. coef.'!$C$238*'Amp (T-P-fO2 calculation)'!AM16+'eq. coef.'!$C$239*'Amp (T-P-fO2 calculation)'!AO16+'eq. coef.'!$C$240*'Amp (T-P-fO2 calculation)'!AP16+'eq. coef.'!$C$241*'Amp (T-P-fO2 calculation)'!AQ16+'eq. coef.'!$C$242*'Amp (T-P-fO2 calculation)'!AR16))</f>
        <v>568.30240142611751</v>
      </c>
      <c r="BD16" s="299">
        <f>IF(SUM(H16:S16)&lt;90," ",('eq. coef.'!$C$270+'eq. coef.'!$C$271*'Amp (T-P-fO2 calculation)'!AI16+'eq. coef.'!$C$272*'Amp (T-P-fO2 calculation)'!AJ16+'eq. coef.'!$C$273*'Amp (T-P-fO2 calculation)'!AK16+'eq. coef.'!$C$274*'Amp (T-P-fO2 calculation)'!AM16+'eq. coef.'!$C$275*'Amp (T-P-fO2 calculation)'!AO16+'eq. coef.'!$C$276*'Amp (T-P-fO2 calculation)'!AP16+'eq. coef.'!$C$277*'Amp (T-P-fO2 calculation)'!AQ16+'eq. coef.'!$C$278*'Amp (T-P-fO2 calculation)'!AR16))</f>
        <v>991.51347600943257</v>
      </c>
      <c r="BE16" s="299">
        <f>IF(SUM(H16:S16)&lt;90," ",EXP('eq. coef.'!$C$328+'eq. coef.'!$C$329*'Amp (T-P-fO2 calculation)'!AI16+'eq. coef.'!$C$330*'Amp (T-P-fO2 calculation)'!AJ16+'eq. coef.'!$C$331*'Amp (T-P-fO2 calculation)'!AK16+'eq. coef.'!$C$332*'Amp (T-P-fO2 calculation)'!AM16+'eq. coef.'!$C$333*'Amp (T-P-fO2 calculation)'!AO16+'eq. coef.'!$C$334*'Amp (T-P-fO2 calculation)'!AP16+'eq. coef.'!$C$335*'Amp (T-P-fO2 calculation)'!AQ16+'eq. coef.'!$C$336*'Amp (T-P-fO2 calculation)'!AR16))</f>
        <v>1289.2072156438705</v>
      </c>
      <c r="BF16" s="300" t="str">
        <f t="shared" si="19"/>
        <v>ok</v>
      </c>
      <c r="BG16" s="301" t="str">
        <f t="shared" si="20"/>
        <v>ok</v>
      </c>
      <c r="BH16" s="301" t="str">
        <f t="shared" si="21"/>
        <v>ok</v>
      </c>
      <c r="BI16" s="299">
        <f t="shared" si="22"/>
        <v>24.914995235136622</v>
      </c>
      <c r="BJ16" s="302">
        <f t="shared" si="86"/>
        <v>-0.2846045584383094</v>
      </c>
      <c r="BK16" s="299">
        <f t="shared" si="87"/>
        <v>370.92518313387427</v>
      </c>
      <c r="BL16" s="303">
        <f>IF(SUM(H16:S16)&lt;90," ",'eq. coef.'!$C$360+'eq. coef.'!$C$361*'Amp (T-P-fO2 calculation)'!AI16+'eq. coef.'!$C$362*'Amp (T-P-fO2 calculation)'!AJ16+'eq. coef.'!$C$363*'Amp (T-P-fO2 calculation)'!AK16+'eq. coef.'!$C$364*'Amp (T-P-fO2 calculation)'!AM16+'eq. coef.'!$C$365*'Amp (T-P-fO2 calculation)'!AO16+'eq. coef.'!$C$366*'Amp (T-P-fO2 calculation)'!AP16+'eq. coef.'!$C$367*'Amp (T-P-fO2 calculation)'!AQ16+'eq. coef.'!$C$368*'Amp (T-P-fO2 calculation)'!AR16+'eq. coef.'!$C$369*LN(BO16))</f>
        <v>1023.9350164472564</v>
      </c>
      <c r="BM16" s="304">
        <f t="shared" si="25"/>
        <v>22</v>
      </c>
      <c r="BN16" s="305">
        <f t="shared" si="26"/>
        <v>484</v>
      </c>
      <c r="BO16" s="306">
        <f t="shared" si="27"/>
        <v>1289.2072156438705</v>
      </c>
      <c r="BP16" s="299" t="str">
        <f t="shared" si="28"/>
        <v>P1e</v>
      </c>
      <c r="BQ16" s="302"/>
      <c r="BR16" s="302">
        <f t="shared" si="88"/>
        <v>0</v>
      </c>
      <c r="BS16" s="302">
        <f t="shared" si="89"/>
        <v>0</v>
      </c>
      <c r="BT16" s="299">
        <f t="shared" si="31"/>
        <v>154.70486587726447</v>
      </c>
      <c r="BU16" s="307">
        <f t="shared" si="62"/>
        <v>914.74745465592196</v>
      </c>
      <c r="BV16" s="308">
        <f t="shared" si="63"/>
        <v>883.25230995116226</v>
      </c>
      <c r="BW16" s="267">
        <f>IF(SUM(H16:S16)&lt;90," ",'eq. coef.'!$B$1128*'Amp (T-P-fO2 calculation)'!CH16+'eq. coef.'!$B$1129*'Amp (T-P-fO2 calculation)'!CL16+'eq. coef.'!$B$1130*'Amp (T-P-fO2 calculation)'!CM16+'eq. coef.'!$B$1131*'Amp (T-P-fO2 calculation)'!CO16+'eq. coef.'!$B$1132*'Amp (T-P-fO2 calculation)'!CP16+'eq. coef.'!$B$1133*'Amp (T-P-fO2 calculation)'!CQ16+'eq. coef.'!$B$1134*'Amp (T-P-fO2 calculation)'!CR16+'eq. coef.'!$B$1135*'Amp (T-P-fO2 calculation)'!CU16+'eq. coef.'!$B$1135*'Amp (T-P-fO2 calculation)'!CY16+'eq. coef.'!$B$1137*'Amp (T-P-fO2 calculation)'!CZ16)</f>
        <v>1.7582332716826325</v>
      </c>
      <c r="BX16" s="268">
        <f t="shared" si="32"/>
        <v>0.4</v>
      </c>
      <c r="BY16" s="269"/>
      <c r="BZ16" s="282">
        <f t="shared" si="64"/>
        <v>-9.4950354050373864</v>
      </c>
      <c r="CA16" s="269">
        <f t="shared" si="65"/>
        <v>0.13981450881577651</v>
      </c>
      <c r="CB16" s="282">
        <f t="shared" si="66"/>
        <v>-7.8996161340904116</v>
      </c>
      <c r="CC16" s="268">
        <f t="shared" si="33"/>
        <v>-7.7598016252746351</v>
      </c>
      <c r="CD16" s="268"/>
      <c r="CE16" s="267">
        <f>IF(SUM(H16:S16)&lt;90," ",EXP('eq. coef.'!$B$1156*'Amp (T-P-fO2 calculation)'!CH16+'eq. coef.'!$B$1157*'Amp (T-P-fO2 calculation)'!CL16+'eq. coef.'!$B$1158*'Amp (T-P-fO2 calculation)'!CM16+'eq. coef.'!$B$1159*'Amp (T-P-fO2 calculation)'!CO16+'eq. coef.'!$B$1160*'Amp (T-P-fO2 calculation)'!CP16+'eq. coef.'!$B$1161*'Amp (T-P-fO2 calculation)'!CQ16+'eq. coef.'!$B$1162*'Amp (T-P-fO2 calculation)'!CR16+'eq. coef.'!$B$1163*'Amp (T-P-fO2 calculation)'!CU16+'eq. coef.'!$B$1164*'Amp (T-P-fO2 calculation)'!CY16+'eq. coef.'!$B$1165*'Amp (T-P-fO2 calculation)'!CZ16))</f>
        <v>6.745185642597832</v>
      </c>
      <c r="CF16" s="302">
        <f t="shared" si="34"/>
        <v>1.1466815592416315</v>
      </c>
      <c r="CG16" s="296">
        <f t="shared" si="35"/>
        <v>5.9433209371960984</v>
      </c>
      <c r="CH16" s="296">
        <f t="shared" si="36"/>
        <v>2.0566790628039016</v>
      </c>
      <c r="CI16" s="296">
        <f t="shared" si="37"/>
        <v>0</v>
      </c>
      <c r="CJ16" s="296">
        <f t="shared" si="38"/>
        <v>8</v>
      </c>
      <c r="CK16" s="296"/>
      <c r="CL16" s="296">
        <f t="shared" si="39"/>
        <v>0.42679853479595931</v>
      </c>
      <c r="CM16" s="296">
        <f t="shared" si="40"/>
        <v>0.27818164508846105</v>
      </c>
      <c r="CN16" s="296">
        <f t="shared" si="41"/>
        <v>1.854733518902517E-3</v>
      </c>
      <c r="CO16" s="296">
        <f t="shared" si="42"/>
        <v>0.66874258453839275</v>
      </c>
      <c r="CP16" s="296">
        <f t="shared" si="43"/>
        <v>2.6987361515998396</v>
      </c>
      <c r="CQ16" s="296">
        <f t="shared" si="44"/>
        <v>0.89165925543715341</v>
      </c>
      <c r="CR16" s="296">
        <f t="shared" si="45"/>
        <v>3.4027095021289616E-2</v>
      </c>
      <c r="CS16" s="296">
        <f t="shared" si="46"/>
        <v>4.9999999999999973</v>
      </c>
      <c r="CT16" s="296"/>
      <c r="CU16" s="296">
        <f t="shared" si="47"/>
        <v>1.7699262175720218</v>
      </c>
      <c r="CV16" s="296">
        <f t="shared" si="48"/>
        <v>0.23007378242797816</v>
      </c>
      <c r="CW16" s="296">
        <f t="shared" si="49"/>
        <v>2</v>
      </c>
      <c r="CX16" s="296"/>
      <c r="CY16" s="296">
        <f t="shared" si="50"/>
        <v>0.48373070247323358</v>
      </c>
      <c r="CZ16" s="296">
        <f t="shared" si="51"/>
        <v>0.14926299972848117</v>
      </c>
      <c r="DA16" s="296">
        <f t="shared" si="52"/>
        <v>0.63299370220171469</v>
      </c>
      <c r="DB16" s="296"/>
      <c r="DC16" s="296">
        <f t="shared" si="53"/>
        <v>1.9980121476427615</v>
      </c>
      <c r="DD16" s="296">
        <f t="shared" si="54"/>
        <v>0</v>
      </c>
      <c r="DE16" s="296">
        <f t="shared" si="55"/>
        <v>1.9878523572384381E-3</v>
      </c>
      <c r="DF16" s="296">
        <f t="shared" si="56"/>
        <v>2</v>
      </c>
      <c r="DG16" s="302">
        <f t="shared" si="57"/>
        <v>45.331257415461607</v>
      </c>
      <c r="DH16" s="302"/>
      <c r="DI16" s="295">
        <f t="shared" si="58"/>
        <v>0.75165430144837353</v>
      </c>
      <c r="DJ16" s="295">
        <f t="shared" si="59"/>
        <v>0.63363435440175087</v>
      </c>
      <c r="DK16" s="295">
        <f t="shared" si="60"/>
        <v>0.17185519821416376</v>
      </c>
      <c r="DL16" s="296">
        <f t="shared" si="61"/>
        <v>2.4834775975998609</v>
      </c>
    </row>
    <row r="17" spans="1:116" ht="13.8" x14ac:dyDescent="0.25">
      <c r="A17" s="287" t="s">
        <v>558</v>
      </c>
      <c r="B17" s="288" t="s">
        <v>537</v>
      </c>
      <c r="C17" s="289">
        <v>518</v>
      </c>
      <c r="D17" s="289" t="s">
        <v>522</v>
      </c>
      <c r="E17" s="310" t="s">
        <v>513</v>
      </c>
      <c r="F17" s="289" t="s">
        <v>535</v>
      </c>
      <c r="G17" s="291"/>
      <c r="H17" s="292">
        <v>40.442999999999998</v>
      </c>
      <c r="I17" s="292">
        <v>2.544</v>
      </c>
      <c r="J17" s="292">
        <v>14.122999999999999</v>
      </c>
      <c r="K17" s="292">
        <v>9.8000000000000004E-2</v>
      </c>
      <c r="L17" s="292">
        <v>12.781000000000001</v>
      </c>
      <c r="M17" s="292">
        <v>0.3</v>
      </c>
      <c r="N17" s="292">
        <v>12.154999999999999</v>
      </c>
      <c r="O17" s="292">
        <v>11.262</v>
      </c>
      <c r="P17" s="292">
        <v>2.48</v>
      </c>
      <c r="Q17" s="292">
        <v>0.85899999999999999</v>
      </c>
      <c r="R17" s="293">
        <v>0</v>
      </c>
      <c r="S17" s="293">
        <v>7.0000000000000001E-3</v>
      </c>
      <c r="T17" s="294">
        <f t="shared" si="67"/>
        <v>97.051999999999992</v>
      </c>
      <c r="U17" s="295">
        <f>IF(SUM(H17:S17)&lt;90," ",H17/stab.data!$U$7)</f>
        <v>0.67310764929099254</v>
      </c>
      <c r="V17" s="295">
        <f>IF(SUM(H17:S17)&lt;90," ",I17/stab.data!$U$8)</f>
        <v>3.1840596760870109E-2</v>
      </c>
      <c r="W17" s="295">
        <f>IF(SUM(H17:S17)&lt;90," ",J17*2/stab.data!$U$9)</f>
        <v>0.27702749090338463</v>
      </c>
      <c r="X17" s="295">
        <f>IF(SUM(H17:S17)&lt;90," ",K17*2/stab.data!$U$10)</f>
        <v>1.2895568266901418E-3</v>
      </c>
      <c r="Y17" s="295">
        <f>IF(SUM(H17:S17)&lt;90," ",L17/stab.data!$U$11)</f>
        <v>0.17789438521281631</v>
      </c>
      <c r="Z17" s="295">
        <f>IF(SUM(H17:S17)&lt;90," ",M17/stab.data!$U$12)</f>
        <v>4.2291046985353199E-3</v>
      </c>
      <c r="AA17" s="295">
        <f>IF(SUM(H17:S17)&lt;90," ",N17/stab.data!$U$13)</f>
        <v>0.30158296943231439</v>
      </c>
      <c r="AB17" s="295">
        <f>IF(SUM(H17:S17)&lt;90," ",O17/stab.data!$U$14)</f>
        <v>0.2008238378002461</v>
      </c>
      <c r="AC17" s="295">
        <f>IF(SUM(H17:S17)&lt;90," ",P17*2/stab.data!$U$15)</f>
        <v>8.00271059552429E-2</v>
      </c>
      <c r="AD17" s="295">
        <f>IF(SUM(H17:S17)&lt;90," ",Q17*2/stab.data!$U$16)</f>
        <v>1.8238760019109297E-2</v>
      </c>
      <c r="AE17" s="295">
        <f>IF(SUM(H17:S17)&lt;90," ",R17/stab.data!$U$17)</f>
        <v>0</v>
      </c>
      <c r="AF17" s="295">
        <f>IF(SUM(H17:S17)&lt;90," ",S17/stab.data!$U$18)</f>
        <v>1.9744450399119959E-4</v>
      </c>
      <c r="AG17" s="295">
        <f t="shared" si="68"/>
        <v>1.4669717531256035</v>
      </c>
      <c r="AH17" s="295">
        <f t="shared" si="69"/>
        <v>0.15686175009426023</v>
      </c>
      <c r="AI17" s="296">
        <f t="shared" si="70"/>
        <v>5.9649406487472332</v>
      </c>
      <c r="AJ17" s="296">
        <f t="shared" si="71"/>
        <v>0.28216477720813382</v>
      </c>
      <c r="AK17" s="296">
        <f t="shared" si="72"/>
        <v>2.4549602772314927</v>
      </c>
      <c r="AL17" s="296">
        <f t="shared" si="73"/>
        <v>1.1427785648396513E-2</v>
      </c>
      <c r="AM17" s="296">
        <f t="shared" si="74"/>
        <v>1.5764632160361733</v>
      </c>
      <c r="AN17" s="296">
        <f t="shared" si="75"/>
        <v>3.747745037613677E-2</v>
      </c>
      <c r="AO17" s="296">
        <f t="shared" si="76"/>
        <v>2.6725658447524339</v>
      </c>
      <c r="AP17" s="296">
        <f t="shared" si="77"/>
        <v>1.7796592782653722</v>
      </c>
      <c r="AQ17" s="296">
        <f t="shared" si="78"/>
        <v>0.70918364665272593</v>
      </c>
      <c r="AR17" s="296">
        <f t="shared" si="79"/>
        <v>0.1616281157038201</v>
      </c>
      <c r="AS17" s="296">
        <f t="shared" si="80"/>
        <v>0</v>
      </c>
      <c r="AT17" s="296">
        <f t="shared" si="81"/>
        <v>1.7497123216017537E-3</v>
      </c>
      <c r="AU17" s="295">
        <f t="shared" si="82"/>
        <v>15.650471040621921</v>
      </c>
      <c r="AV17" s="295">
        <f t="shared" si="83"/>
        <v>1.9166693988803256</v>
      </c>
      <c r="AW17" s="295">
        <f>IF(SUM(H17:S17)&lt;90," ",CO17*AG17*stab.data!$U$20/13/2)</f>
        <v>5.48958083552502</v>
      </c>
      <c r="AX17" s="295">
        <f>IF(SUM(H17:S17)&lt;90," ",CQ17*AG17*stab.data!$U$11/13)</f>
        <v>7.8414050984823138</v>
      </c>
      <c r="AY17" s="295">
        <f t="shared" si="84"/>
        <v>-1.5794573096776039E-3</v>
      </c>
      <c r="AZ17" s="297">
        <f t="shared" si="85"/>
        <v>99.517075875577973</v>
      </c>
      <c r="BA17" s="298">
        <f>IF(SUM(H17:S17)&lt;90," ",EXP('eq. coef.'!$C$104+'eq. coef.'!$C$105*'Amp (T-P-fO2 calculation)'!AI17+'eq. coef.'!$C$106*'Amp (T-P-fO2 calculation)'!AJ17+'eq. coef.'!$C$107*'Amp (T-P-fO2 calculation)'!AK17+'eq. coef.'!$C$108*'Amp (T-P-fO2 calculation)'!AM17+'eq. coef.'!$C$109*'Amp (T-P-fO2 calculation)'!AO17+'eq. coef.'!$C$110*'Amp (T-P-fO2 calculation)'!AP17+'eq. coef.'!$C$111*'Amp (T-P-fO2 calculation)'!AQ17+'eq. coef.'!$C$112*'Amp (T-P-fO2 calculation)'!AR17))</f>
        <v>1077.3342135962512</v>
      </c>
      <c r="BB17" s="299">
        <f>IF(SUM(H17:S17)&lt;90," ",EXP('eq. coef.'!$C$176+'eq. coef.'!$C$177*'Amp (T-P-fO2 calculation)'!AI17+'eq. coef.'!$C$178*'Amp (T-P-fO2 calculation)'!AJ17+'eq. coef.'!$C$179*'Amp (T-P-fO2 calculation)'!AK17+'eq. coef.'!$C$180*'Amp (T-P-fO2 calculation)'!AM17+'eq. coef.'!$C$181*'Amp (T-P-fO2 calculation)'!AO17+'eq. coef.'!$C$182*'Amp (T-P-fO2 calculation)'!AP17+'eq. coef.'!$C$183*'Amp (T-P-fO2 calculation)'!AQ17+'eq. coef.'!$C$184*'Amp (T-P-fO2 calculation)'!AR17))</f>
        <v>611.96304490790953</v>
      </c>
      <c r="BC17" s="299">
        <f>IF(SUM(H17:S17)&lt;90," ",('eq. coef.'!$C$234+'eq. coef.'!$C$235*'Amp (T-P-fO2 calculation)'!AI17+'eq. coef.'!$C$236*'Amp (T-P-fO2 calculation)'!AJ17+'eq. coef.'!$C$237*'Amp (T-P-fO2 calculation)'!AK17+'eq. coef.'!$C$238*'Amp (T-P-fO2 calculation)'!AM17+'eq. coef.'!$C$239*'Amp (T-P-fO2 calculation)'!AO17+'eq. coef.'!$C$240*'Amp (T-P-fO2 calculation)'!AP17+'eq. coef.'!$C$241*'Amp (T-P-fO2 calculation)'!AQ17+'eq. coef.'!$C$242*'Amp (T-P-fO2 calculation)'!AR17))</f>
        <v>579.88341866092969</v>
      </c>
      <c r="BD17" s="299">
        <f>IF(SUM(H17:S17)&lt;90," ",('eq. coef.'!$C$270+'eq. coef.'!$C$271*'Amp (T-P-fO2 calculation)'!AI17+'eq. coef.'!$C$272*'Amp (T-P-fO2 calculation)'!AJ17+'eq. coef.'!$C$273*'Amp (T-P-fO2 calculation)'!AK17+'eq. coef.'!$C$274*'Amp (T-P-fO2 calculation)'!AM17+'eq. coef.'!$C$275*'Amp (T-P-fO2 calculation)'!AO17+'eq. coef.'!$C$276*'Amp (T-P-fO2 calculation)'!AP17+'eq. coef.'!$C$277*'Amp (T-P-fO2 calculation)'!AQ17+'eq. coef.'!$C$278*'Amp (T-P-fO2 calculation)'!AR17))</f>
        <v>1001.2015642385667</v>
      </c>
      <c r="BE17" s="299">
        <f>IF(SUM(H17:S17)&lt;90," ",EXP('eq. coef.'!$C$328+'eq. coef.'!$C$329*'Amp (T-P-fO2 calculation)'!AI17+'eq. coef.'!$C$330*'Amp (T-P-fO2 calculation)'!AJ17+'eq. coef.'!$C$331*'Amp (T-P-fO2 calculation)'!AK17+'eq. coef.'!$C$332*'Amp (T-P-fO2 calculation)'!AM17+'eq. coef.'!$C$333*'Amp (T-P-fO2 calculation)'!AO17+'eq. coef.'!$C$334*'Amp (T-P-fO2 calculation)'!AP17+'eq. coef.'!$C$335*'Amp (T-P-fO2 calculation)'!AQ17+'eq. coef.'!$C$336*'Amp (T-P-fO2 calculation)'!AR17))</f>
        <v>1323.600311289204</v>
      </c>
      <c r="BF17" s="300" t="str">
        <f t="shared" si="19"/>
        <v>ok</v>
      </c>
      <c r="BG17" s="301" t="str">
        <f t="shared" si="20"/>
        <v>ok</v>
      </c>
      <c r="BH17" s="301" t="str">
        <f t="shared" si="21"/>
        <v>ok</v>
      </c>
      <c r="BI17" s="299">
        <f t="shared" si="22"/>
        <v>20.514186883517933</v>
      </c>
      <c r="BJ17" s="302">
        <f t="shared" si="86"/>
        <v>-0.2285883940053213</v>
      </c>
      <c r="BK17" s="299">
        <f t="shared" si="87"/>
        <v>389.23851933065714</v>
      </c>
      <c r="BL17" s="303">
        <f>IF(SUM(H17:S17)&lt;90," ",'eq. coef.'!$C$360+'eq. coef.'!$C$361*'Amp (T-P-fO2 calculation)'!AI17+'eq. coef.'!$C$362*'Amp (T-P-fO2 calculation)'!AJ17+'eq. coef.'!$C$363*'Amp (T-P-fO2 calculation)'!AK17+'eq. coef.'!$C$364*'Amp (T-P-fO2 calculation)'!AM17+'eq. coef.'!$C$365*'Amp (T-P-fO2 calculation)'!AO17+'eq. coef.'!$C$366*'Amp (T-P-fO2 calculation)'!AP17+'eq. coef.'!$C$367*'Amp (T-P-fO2 calculation)'!AQ17+'eq. coef.'!$C$368*'Amp (T-P-fO2 calculation)'!AR17+'eq. coef.'!$C$369*LN(BO17))</f>
        <v>1031.6816533826463</v>
      </c>
      <c r="BM17" s="304">
        <f t="shared" si="25"/>
        <v>22</v>
      </c>
      <c r="BN17" s="305">
        <f t="shared" si="26"/>
        <v>484</v>
      </c>
      <c r="BO17" s="306">
        <f t="shared" si="27"/>
        <v>1323.600311289204</v>
      </c>
      <c r="BP17" s="299" t="str">
        <f t="shared" si="28"/>
        <v>P1e</v>
      </c>
      <c r="BQ17" s="302"/>
      <c r="BR17" s="302">
        <f t="shared" si="88"/>
        <v>0</v>
      </c>
      <c r="BS17" s="302">
        <f t="shared" si="89"/>
        <v>0</v>
      </c>
      <c r="BT17" s="299">
        <f t="shared" si="31"/>
        <v>158.83203735470448</v>
      </c>
      <c r="BU17" s="307">
        <f t="shared" si="62"/>
        <v>898.7777552496359</v>
      </c>
      <c r="BV17" s="308">
        <f t="shared" si="63"/>
        <v>886.70197954491323</v>
      </c>
      <c r="BW17" s="267">
        <f>IF(SUM(H17:S17)&lt;90," ",'eq. coef.'!$B$1128*'Amp (T-P-fO2 calculation)'!CH17+'eq. coef.'!$B$1129*'Amp (T-P-fO2 calculation)'!CL17+'eq. coef.'!$B$1130*'Amp (T-P-fO2 calculation)'!CM17+'eq. coef.'!$B$1131*'Amp (T-P-fO2 calculation)'!CO17+'eq. coef.'!$B$1132*'Amp (T-P-fO2 calculation)'!CP17+'eq. coef.'!$B$1133*'Amp (T-P-fO2 calculation)'!CQ17+'eq. coef.'!$B$1134*'Amp (T-P-fO2 calculation)'!CR17+'eq. coef.'!$B$1135*'Amp (T-P-fO2 calculation)'!CU17+'eq. coef.'!$B$1135*'Amp (T-P-fO2 calculation)'!CY17+'eq. coef.'!$B$1137*'Amp (T-P-fO2 calculation)'!CZ17)</f>
        <v>1.7205681146491694</v>
      </c>
      <c r="BX17" s="268">
        <f t="shared" si="32"/>
        <v>0.4</v>
      </c>
      <c r="BY17" s="269"/>
      <c r="BZ17" s="282">
        <f t="shared" si="64"/>
        <v>-9.3730527820716603</v>
      </c>
      <c r="CA17" s="269">
        <f t="shared" si="65"/>
        <v>9.0266466873894835E-2</v>
      </c>
      <c r="CB17" s="282">
        <f t="shared" si="66"/>
        <v>-7.7668565183870104</v>
      </c>
      <c r="CC17" s="268">
        <f t="shared" si="33"/>
        <v>-7.6765900515131156</v>
      </c>
      <c r="CD17" s="268"/>
      <c r="CE17" s="267">
        <f>IF(SUM(H17:S17)&lt;90," ",EXP('eq. coef.'!$B$1156*'Amp (T-P-fO2 calculation)'!CH17+'eq. coef.'!$B$1157*'Amp (T-P-fO2 calculation)'!CL17+'eq. coef.'!$B$1158*'Amp (T-P-fO2 calculation)'!CM17+'eq. coef.'!$B$1159*'Amp (T-P-fO2 calculation)'!CO17+'eq. coef.'!$B$1160*'Amp (T-P-fO2 calculation)'!CP17+'eq. coef.'!$B$1161*'Amp (T-P-fO2 calculation)'!CQ17+'eq. coef.'!$B$1162*'Amp (T-P-fO2 calculation)'!CR17+'eq. coef.'!$B$1163*'Amp (T-P-fO2 calculation)'!CU17+'eq. coef.'!$B$1164*'Amp (T-P-fO2 calculation)'!CY17+'eq. coef.'!$B$1165*'Amp (T-P-fO2 calculation)'!CZ17))</f>
        <v>6.507648457742838</v>
      </c>
      <c r="CF17" s="302">
        <f t="shared" si="34"/>
        <v>1.1063002378162825</v>
      </c>
      <c r="CG17" s="296">
        <f t="shared" si="35"/>
        <v>5.9649406487472332</v>
      </c>
      <c r="CH17" s="296">
        <f t="shared" si="36"/>
        <v>2.0350593512527668</v>
      </c>
      <c r="CI17" s="296">
        <f t="shared" si="37"/>
        <v>0</v>
      </c>
      <c r="CJ17" s="296">
        <f t="shared" si="38"/>
        <v>8</v>
      </c>
      <c r="CK17" s="296"/>
      <c r="CL17" s="296">
        <f t="shared" si="39"/>
        <v>0.41990092597872586</v>
      </c>
      <c r="CM17" s="296">
        <f t="shared" si="40"/>
        <v>0.28216477720813382</v>
      </c>
      <c r="CN17" s="296">
        <f t="shared" si="41"/>
        <v>1.1427785648396513E-2</v>
      </c>
      <c r="CO17" s="296">
        <f t="shared" si="42"/>
        <v>0.60927076632207644</v>
      </c>
      <c r="CP17" s="296">
        <f t="shared" si="43"/>
        <v>2.6725658447524339</v>
      </c>
      <c r="CQ17" s="296">
        <f t="shared" si="44"/>
        <v>0.9671924497140969</v>
      </c>
      <c r="CR17" s="296">
        <f t="shared" si="45"/>
        <v>3.747745037613677E-2</v>
      </c>
      <c r="CS17" s="296">
        <f t="shared" si="46"/>
        <v>5</v>
      </c>
      <c r="CT17" s="296"/>
      <c r="CU17" s="296">
        <f t="shared" si="47"/>
        <v>1.7796592782653722</v>
      </c>
      <c r="CV17" s="296">
        <f t="shared" si="48"/>
        <v>0.22034072173462782</v>
      </c>
      <c r="CW17" s="296">
        <f t="shared" si="49"/>
        <v>2</v>
      </c>
      <c r="CX17" s="296"/>
      <c r="CY17" s="296">
        <f t="shared" si="50"/>
        <v>0.48884292491809811</v>
      </c>
      <c r="CZ17" s="296">
        <f t="shared" si="51"/>
        <v>0.1616281157038201</v>
      </c>
      <c r="DA17" s="296">
        <f t="shared" si="52"/>
        <v>0.65047104062191818</v>
      </c>
      <c r="DB17" s="296"/>
      <c r="DC17" s="296">
        <f t="shared" si="53"/>
        <v>1.9982502876783983</v>
      </c>
      <c r="DD17" s="296">
        <f t="shared" si="54"/>
        <v>0</v>
      </c>
      <c r="DE17" s="296">
        <f t="shared" si="55"/>
        <v>1.7497123216017537E-3</v>
      </c>
      <c r="DF17" s="296">
        <f t="shared" si="56"/>
        <v>2</v>
      </c>
      <c r="DG17" s="302">
        <f t="shared" si="57"/>
        <v>45.390729233677924</v>
      </c>
      <c r="DH17" s="302"/>
      <c r="DI17" s="295">
        <f t="shared" si="58"/>
        <v>0.73427014338163477</v>
      </c>
      <c r="DJ17" s="295">
        <f t="shared" si="59"/>
        <v>0.62898271734964639</v>
      </c>
      <c r="DK17" s="295">
        <f t="shared" si="60"/>
        <v>0.17104184123592275</v>
      </c>
      <c r="DL17" s="296">
        <f t="shared" si="61"/>
        <v>2.4549602772314927</v>
      </c>
    </row>
    <row r="18" spans="1:116" ht="13.8" x14ac:dyDescent="0.25">
      <c r="A18" s="287" t="s">
        <v>558</v>
      </c>
      <c r="B18" s="288" t="s">
        <v>537</v>
      </c>
      <c r="C18" s="289">
        <v>579</v>
      </c>
      <c r="D18" s="289" t="s">
        <v>523</v>
      </c>
      <c r="E18" s="310" t="s">
        <v>513</v>
      </c>
      <c r="F18" s="289" t="s">
        <v>535</v>
      </c>
      <c r="G18" s="291"/>
      <c r="H18" s="292">
        <v>38.814</v>
      </c>
      <c r="I18" s="292">
        <v>1.712</v>
      </c>
      <c r="J18" s="292">
        <v>13.599</v>
      </c>
      <c r="K18" s="292">
        <v>0</v>
      </c>
      <c r="L18" s="292">
        <v>11.618</v>
      </c>
      <c r="M18" s="292">
        <v>0.23599999999999999</v>
      </c>
      <c r="N18" s="292">
        <v>12.364000000000001</v>
      </c>
      <c r="O18" s="292">
        <v>10.363</v>
      </c>
      <c r="P18" s="292">
        <v>2.5539999999999998</v>
      </c>
      <c r="Q18" s="292">
        <v>1.052</v>
      </c>
      <c r="R18" s="293">
        <v>0</v>
      </c>
      <c r="S18" s="293">
        <v>2.1999999999999999E-2</v>
      </c>
      <c r="T18" s="294">
        <f t="shared" si="67"/>
        <v>92.334000000000017</v>
      </c>
      <c r="U18" s="295">
        <f>IF(SUM(H18:S18)&lt;90," ",H18/stab.data!$U$7)</f>
        <v>0.64599560615138807</v>
      </c>
      <c r="V18" s="295">
        <f>IF(SUM(H18:S18)&lt;90," ",I18/stab.data!$U$8)</f>
        <v>2.1427319832786805E-2</v>
      </c>
      <c r="W18" s="295">
        <f>IF(SUM(H18:S18)&lt;90," ",J18*2/stab.data!$U$9)</f>
        <v>0.26674905110777652</v>
      </c>
      <c r="X18" s="295">
        <f>IF(SUM(H18:S18)&lt;90," ",K18*2/stab.data!$U$10)</f>
        <v>0</v>
      </c>
      <c r="Y18" s="295">
        <f>IF(SUM(H18:S18)&lt;90," ",L18/stab.data!$U$11)</f>
        <v>0.1617069843832642</v>
      </c>
      <c r="Z18" s="295">
        <f>IF(SUM(H18:S18)&lt;90," ",M18/stab.data!$U$12)</f>
        <v>3.3268956961811182E-3</v>
      </c>
      <c r="AA18" s="295">
        <f>IF(SUM(H18:S18)&lt;90," ",N18/stab.data!$U$13)</f>
        <v>0.30676855895196509</v>
      </c>
      <c r="AB18" s="295">
        <f>IF(SUM(H18:S18)&lt;90," ",O18/stab.data!$U$14)</f>
        <v>0.18479288147078227</v>
      </c>
      <c r="AC18" s="295">
        <f>IF(SUM(H18:S18)&lt;90," ",P18*2/stab.data!$U$15)</f>
        <v>8.2415011536165469E-2</v>
      </c>
      <c r="AD18" s="295">
        <f>IF(SUM(H18:S18)&lt;90," ",Q18*2/stab.data!$U$16)</f>
        <v>2.2336642072296832E-2</v>
      </c>
      <c r="AE18" s="295">
        <f>IF(SUM(H18:S18)&lt;90," ",R18/stab.data!$U$17)</f>
        <v>0</v>
      </c>
      <c r="AF18" s="295">
        <f>IF(SUM(H18:S18)&lt;90," ",S18/stab.data!$U$18)</f>
        <v>6.2053986968662732E-4</v>
      </c>
      <c r="AG18" s="295">
        <f t="shared" si="68"/>
        <v>1.4059744161233618</v>
      </c>
      <c r="AH18" s="295">
        <f t="shared" si="69"/>
        <v>0.15732590362294413</v>
      </c>
      <c r="AI18" s="296">
        <f t="shared" si="70"/>
        <v>5.9730410337930362</v>
      </c>
      <c r="AJ18" s="296">
        <f t="shared" si="71"/>
        <v>0.19812249400261328</v>
      </c>
      <c r="AK18" s="296">
        <f t="shared" si="72"/>
        <v>2.4664301317534298</v>
      </c>
      <c r="AL18" s="296">
        <f t="shared" si="73"/>
        <v>0</v>
      </c>
      <c r="AM18" s="296">
        <f t="shared" si="74"/>
        <v>1.4951842457978168</v>
      </c>
      <c r="AN18" s="296">
        <f t="shared" si="75"/>
        <v>3.0761330757073862E-2</v>
      </c>
      <c r="AO18" s="296">
        <f t="shared" si="76"/>
        <v>2.8364607638960302</v>
      </c>
      <c r="AP18" s="296">
        <f t="shared" si="77"/>
        <v>1.7086423704237503</v>
      </c>
      <c r="AQ18" s="296">
        <f t="shared" si="78"/>
        <v>0.76203033119497787</v>
      </c>
      <c r="AR18" s="296">
        <f t="shared" si="79"/>
        <v>0.20653032061600532</v>
      </c>
      <c r="AS18" s="296">
        <f t="shared" si="80"/>
        <v>0</v>
      </c>
      <c r="AT18" s="296">
        <f t="shared" si="81"/>
        <v>5.7376707665627571E-3</v>
      </c>
      <c r="AU18" s="295">
        <f t="shared" si="82"/>
        <v>15.677203022234732</v>
      </c>
      <c r="AV18" s="295">
        <f t="shared" si="83"/>
        <v>1.8333073398843676</v>
      </c>
      <c r="AW18" s="295">
        <f>IF(SUM(H18:S18)&lt;90," ",CO18*AG18*stab.data!$U$20/13/2)</f>
        <v>6.9549617311021148</v>
      </c>
      <c r="AX18" s="295">
        <f>IF(SUM(H18:S18)&lt;90," ",CQ18*AG18*stab.data!$U$11/13)</f>
        <v>5.3598366654005227</v>
      </c>
      <c r="AY18" s="295">
        <f t="shared" si="84"/>
        <v>-4.9640086875581838E-3</v>
      </c>
      <c r="AZ18" s="297">
        <f t="shared" si="85"/>
        <v>94.85914172769948</v>
      </c>
      <c r="BA18" s="298">
        <f>IF(SUM(H18:S18)&lt;90," ",EXP('eq. coef.'!$C$104+'eq. coef.'!$C$105*'Amp (T-P-fO2 calculation)'!AI18+'eq. coef.'!$C$106*'Amp (T-P-fO2 calculation)'!AJ18+'eq. coef.'!$C$107*'Amp (T-P-fO2 calculation)'!AK18+'eq. coef.'!$C$108*'Amp (T-P-fO2 calculation)'!AM18+'eq. coef.'!$C$109*'Amp (T-P-fO2 calculation)'!AO18+'eq. coef.'!$C$110*'Amp (T-P-fO2 calculation)'!AP18+'eq. coef.'!$C$111*'Amp (T-P-fO2 calculation)'!AQ18+'eq. coef.'!$C$112*'Amp (T-P-fO2 calculation)'!AR18))</f>
        <v>1529.0117607953136</v>
      </c>
      <c r="BB18" s="299">
        <f>IF(SUM(H18:S18)&lt;90," ",EXP('eq. coef.'!$C$176+'eq. coef.'!$C$177*'Amp (T-P-fO2 calculation)'!AI18+'eq. coef.'!$C$178*'Amp (T-P-fO2 calculation)'!AJ18+'eq. coef.'!$C$179*'Amp (T-P-fO2 calculation)'!AK18+'eq. coef.'!$C$180*'Amp (T-P-fO2 calculation)'!AM18+'eq. coef.'!$C$181*'Amp (T-P-fO2 calculation)'!AO18+'eq. coef.'!$C$182*'Amp (T-P-fO2 calculation)'!AP18+'eq. coef.'!$C$183*'Amp (T-P-fO2 calculation)'!AQ18+'eq. coef.'!$C$184*'Amp (T-P-fO2 calculation)'!AR18))</f>
        <v>622.87782856061426</v>
      </c>
      <c r="BC18" s="299">
        <f>IF(SUM(H18:S18)&lt;90," ",('eq. coef.'!$C$234+'eq. coef.'!$C$235*'Amp (T-P-fO2 calculation)'!AI18+'eq. coef.'!$C$236*'Amp (T-P-fO2 calculation)'!AJ18+'eq. coef.'!$C$237*'Amp (T-P-fO2 calculation)'!AK18+'eq. coef.'!$C$238*'Amp (T-P-fO2 calculation)'!AM18+'eq. coef.'!$C$239*'Amp (T-P-fO2 calculation)'!AO18+'eq. coef.'!$C$240*'Amp (T-P-fO2 calculation)'!AP18+'eq. coef.'!$C$241*'Amp (T-P-fO2 calculation)'!AQ18+'eq. coef.'!$C$242*'Amp (T-P-fO2 calculation)'!AR18))</f>
        <v>575.91906353887896</v>
      </c>
      <c r="BD18" s="299">
        <f>IF(SUM(H18:S18)&lt;90," ",('eq. coef.'!$C$270+'eq. coef.'!$C$271*'Amp (T-P-fO2 calculation)'!AI18+'eq. coef.'!$C$272*'Amp (T-P-fO2 calculation)'!AJ18+'eq. coef.'!$C$273*'Amp (T-P-fO2 calculation)'!AK18+'eq. coef.'!$C$274*'Amp (T-P-fO2 calculation)'!AM18+'eq. coef.'!$C$275*'Amp (T-P-fO2 calculation)'!AO18+'eq. coef.'!$C$276*'Amp (T-P-fO2 calculation)'!AP18+'eq. coef.'!$C$277*'Amp (T-P-fO2 calculation)'!AQ18+'eq. coef.'!$C$278*'Amp (T-P-fO2 calculation)'!AR18))</f>
        <v>1375.4720109851378</v>
      </c>
      <c r="BE18" s="299">
        <f>IF(SUM(H18:S18)&lt;90," ",EXP('eq. coef.'!$C$328+'eq. coef.'!$C$329*'Amp (T-P-fO2 calculation)'!AI18+'eq. coef.'!$C$330*'Amp (T-P-fO2 calculation)'!AJ18+'eq. coef.'!$C$331*'Amp (T-P-fO2 calculation)'!AK18+'eq. coef.'!$C$332*'Amp (T-P-fO2 calculation)'!AM18+'eq. coef.'!$C$333*'Amp (T-P-fO2 calculation)'!AO18+'eq. coef.'!$C$334*'Amp (T-P-fO2 calculation)'!AP18+'eq. coef.'!$C$335*'Amp (T-P-fO2 calculation)'!AQ18+'eq. coef.'!$C$336*'Amp (T-P-fO2 calculation)'!AR18))</f>
        <v>1798.0665792753607</v>
      </c>
      <c r="BF18" s="300" t="str">
        <f t="shared" si="19"/>
        <v>low Total</v>
      </c>
      <c r="BG18" s="301" t="str">
        <f t="shared" si="20"/>
        <v>ok</v>
      </c>
      <c r="BH18" s="301" t="str">
        <f t="shared" si="21"/>
        <v>ok</v>
      </c>
      <c r="BI18" s="299">
        <f t="shared" si="22"/>
        <v>16.173638909526357</v>
      </c>
      <c r="BJ18" s="302">
        <f t="shared" si="86"/>
        <v>-0.17596648068952622</v>
      </c>
      <c r="BK18" s="299">
        <f t="shared" si="87"/>
        <v>752.59418242452352</v>
      </c>
      <c r="BL18" s="303">
        <f>IF(SUM(H18:S18)&lt;90," ",'eq. coef.'!$C$360+'eq. coef.'!$C$361*'Amp (T-P-fO2 calculation)'!AI18+'eq. coef.'!$C$362*'Amp (T-P-fO2 calculation)'!AJ18+'eq. coef.'!$C$363*'Amp (T-P-fO2 calculation)'!AK18+'eq. coef.'!$C$364*'Amp (T-P-fO2 calculation)'!AM18+'eq. coef.'!$C$365*'Amp (T-P-fO2 calculation)'!AO18+'eq. coef.'!$C$366*'Amp (T-P-fO2 calculation)'!AP18+'eq. coef.'!$C$367*'Amp (T-P-fO2 calculation)'!AQ18+'eq. coef.'!$C$368*'Amp (T-P-fO2 calculation)'!AR18+'eq. coef.'!$C$369*LN(BO18))</f>
        <v>1032.7604952994416</v>
      </c>
      <c r="BM18" s="304">
        <f t="shared" si="25"/>
        <v>22</v>
      </c>
      <c r="BN18" s="305">
        <f t="shared" si="26"/>
        <v>484</v>
      </c>
      <c r="BO18" s="306">
        <f t="shared" si="27"/>
        <v>1798.0665792753607</v>
      </c>
      <c r="BP18" s="299" t="str">
        <f t="shared" si="28"/>
        <v>P1e</v>
      </c>
      <c r="BQ18" s="302"/>
      <c r="BR18" s="302">
        <f t="shared" si="88"/>
        <v>0</v>
      </c>
      <c r="BS18" s="302">
        <f t="shared" si="89"/>
        <v>0</v>
      </c>
      <c r="BT18" s="299">
        <f t="shared" si="31"/>
        <v>215.76798951304329</v>
      </c>
      <c r="BU18" s="307">
        <f t="shared" si="62"/>
        <v>905.20087378192079</v>
      </c>
      <c r="BV18" s="308">
        <f t="shared" si="63"/>
        <v>806.58997587910881</v>
      </c>
      <c r="BW18" s="267">
        <f>IF(SUM(H18:S18)&lt;90," ",'eq. coef.'!$B$1128*'Amp (T-P-fO2 calculation)'!CH18+'eq. coef.'!$B$1129*'Amp (T-P-fO2 calculation)'!CL18+'eq. coef.'!$B$1130*'Amp (T-P-fO2 calculation)'!CM18+'eq. coef.'!$B$1131*'Amp (T-P-fO2 calculation)'!CO18+'eq. coef.'!$B$1132*'Amp (T-P-fO2 calculation)'!CP18+'eq. coef.'!$B$1133*'Amp (T-P-fO2 calculation)'!CQ18+'eq. coef.'!$B$1134*'Amp (T-P-fO2 calculation)'!CR18+'eq. coef.'!$B$1135*'Amp (T-P-fO2 calculation)'!CU18+'eq. coef.'!$B$1135*'Amp (T-P-fO2 calculation)'!CY18+'eq. coef.'!$B$1137*'Amp (T-P-fO2 calculation)'!CZ18)</f>
        <v>3.6796782477309851</v>
      </c>
      <c r="BX18" s="268">
        <f t="shared" si="32"/>
        <v>0.4</v>
      </c>
      <c r="BY18" s="269"/>
      <c r="BZ18" s="282">
        <f t="shared" si="64"/>
        <v>-9.1825937017398402</v>
      </c>
      <c r="CA18" s="269">
        <f t="shared" si="65"/>
        <v>2.0413602179954964</v>
      </c>
      <c r="CB18" s="282">
        <f t="shared" si="66"/>
        <v>-7.5766803004875847</v>
      </c>
      <c r="CC18" s="268">
        <f t="shared" si="33"/>
        <v>-5.5353200824920883</v>
      </c>
      <c r="CD18" s="268"/>
      <c r="CE18" s="267">
        <f>IF(SUM(H18:S18)&lt;90," ",EXP('eq. coef.'!$B$1156*'Amp (T-P-fO2 calculation)'!CH18+'eq. coef.'!$B$1157*'Amp (T-P-fO2 calculation)'!CL18+'eq. coef.'!$B$1158*'Amp (T-P-fO2 calculation)'!CM18+'eq. coef.'!$B$1159*'Amp (T-P-fO2 calculation)'!CO18+'eq. coef.'!$B$1160*'Amp (T-P-fO2 calculation)'!CP18+'eq. coef.'!$B$1161*'Amp (T-P-fO2 calculation)'!CQ18+'eq. coef.'!$B$1162*'Amp (T-P-fO2 calculation)'!CR18+'eq. coef.'!$B$1163*'Amp (T-P-fO2 calculation)'!CU18+'eq. coef.'!$B$1164*'Amp (T-P-fO2 calculation)'!CY18+'eq. coef.'!$B$1165*'Amp (T-P-fO2 calculation)'!CZ18))</f>
        <v>7.1667650514447852</v>
      </c>
      <c r="CF18" s="302">
        <f t="shared" si="34"/>
        <v>1.2183500587456135</v>
      </c>
      <c r="CG18" s="296">
        <f t="shared" si="35"/>
        <v>5.9730410337930362</v>
      </c>
      <c r="CH18" s="296">
        <f t="shared" si="36"/>
        <v>2.0269589662069638</v>
      </c>
      <c r="CI18" s="296">
        <f t="shared" si="37"/>
        <v>0</v>
      </c>
      <c r="CJ18" s="296">
        <f t="shared" si="38"/>
        <v>8</v>
      </c>
      <c r="CK18" s="296"/>
      <c r="CL18" s="296">
        <f t="shared" si="39"/>
        <v>0.43947116554646604</v>
      </c>
      <c r="CM18" s="296">
        <f t="shared" si="40"/>
        <v>0.19812249400261328</v>
      </c>
      <c r="CN18" s="296">
        <f t="shared" si="41"/>
        <v>0</v>
      </c>
      <c r="CO18" s="296">
        <f t="shared" si="42"/>
        <v>0.80539741999678682</v>
      </c>
      <c r="CP18" s="296">
        <f t="shared" si="43"/>
        <v>2.8364607638960302</v>
      </c>
      <c r="CQ18" s="296">
        <f t="shared" si="44"/>
        <v>0.68978682580103001</v>
      </c>
      <c r="CR18" s="296">
        <f t="shared" si="45"/>
        <v>3.0761330757073862E-2</v>
      </c>
      <c r="CS18" s="296">
        <f t="shared" si="46"/>
        <v>5</v>
      </c>
      <c r="CT18" s="296"/>
      <c r="CU18" s="296">
        <f t="shared" si="47"/>
        <v>1.7086423704237503</v>
      </c>
      <c r="CV18" s="296">
        <f t="shared" si="48"/>
        <v>0.29135762957624967</v>
      </c>
      <c r="CW18" s="296">
        <f t="shared" si="49"/>
        <v>2</v>
      </c>
      <c r="CX18" s="296"/>
      <c r="CY18" s="296">
        <f t="shared" si="50"/>
        <v>0.47067270161872821</v>
      </c>
      <c r="CZ18" s="296">
        <f t="shared" si="51"/>
        <v>0.20653032061600532</v>
      </c>
      <c r="DA18" s="296">
        <f t="shared" si="52"/>
        <v>0.6772030222347335</v>
      </c>
      <c r="DB18" s="296"/>
      <c r="DC18" s="296">
        <f t="shared" si="53"/>
        <v>1.9942623292334372</v>
      </c>
      <c r="DD18" s="296">
        <f t="shared" si="54"/>
        <v>0</v>
      </c>
      <c r="DE18" s="296">
        <f t="shared" si="55"/>
        <v>5.7376707665627571E-3</v>
      </c>
      <c r="DF18" s="296">
        <f t="shared" si="56"/>
        <v>2</v>
      </c>
      <c r="DG18" s="302">
        <f t="shared" si="57"/>
        <v>45.194602580003213</v>
      </c>
      <c r="DH18" s="302"/>
      <c r="DI18" s="295">
        <f t="shared" si="58"/>
        <v>0.80438502735416562</v>
      </c>
      <c r="DJ18" s="295">
        <f t="shared" si="59"/>
        <v>0.65482299624006024</v>
      </c>
      <c r="DK18" s="295">
        <f t="shared" si="60"/>
        <v>0.1781810722665953</v>
      </c>
      <c r="DL18" s="296">
        <f t="shared" si="61"/>
        <v>2.4664301317534298</v>
      </c>
    </row>
    <row r="19" spans="1:116" ht="13.8" x14ac:dyDescent="0.25">
      <c r="A19" s="287" t="s">
        <v>558</v>
      </c>
      <c r="B19" s="288" t="s">
        <v>537</v>
      </c>
      <c r="C19" s="289">
        <v>579</v>
      </c>
      <c r="D19" s="289" t="s">
        <v>523</v>
      </c>
      <c r="E19" s="310" t="s">
        <v>513</v>
      </c>
      <c r="F19" s="289" t="s">
        <v>535</v>
      </c>
      <c r="G19" s="291"/>
      <c r="H19" s="292">
        <v>38.874000000000002</v>
      </c>
      <c r="I19" s="292">
        <v>1.841</v>
      </c>
      <c r="J19" s="292">
        <v>13.863</v>
      </c>
      <c r="K19" s="292">
        <v>0</v>
      </c>
      <c r="L19" s="292">
        <v>11.695</v>
      </c>
      <c r="M19" s="292">
        <v>0.20300000000000001</v>
      </c>
      <c r="N19" s="292">
        <v>12.366</v>
      </c>
      <c r="O19" s="292">
        <v>10.244</v>
      </c>
      <c r="P19" s="292">
        <v>2.41</v>
      </c>
      <c r="Q19" s="292">
        <v>1.179</v>
      </c>
      <c r="R19" s="293">
        <v>0</v>
      </c>
      <c r="S19" s="293">
        <v>1.7999999999999999E-2</v>
      </c>
      <c r="T19" s="294">
        <f t="shared" si="67"/>
        <v>92.692999999999998</v>
      </c>
      <c r="U19" s="295">
        <f>IF(SUM(H19:S19)&lt;90," ",H19/stab.data!$U$7)</f>
        <v>0.64699420810864794</v>
      </c>
      <c r="V19" s="295">
        <f>IF(SUM(H19:S19)&lt;90," ",I19/stab.data!$U$8)</f>
        <v>2.3041878394953568E-2</v>
      </c>
      <c r="W19" s="295">
        <f>IF(SUM(H19:S19)&lt;90," ",J19*2/stab.data!$U$9)</f>
        <v>0.27192750169182334</v>
      </c>
      <c r="X19" s="295">
        <f>IF(SUM(H19:S19)&lt;90," ",K19*2/stab.data!$U$10)</f>
        <v>0</v>
      </c>
      <c r="Y19" s="295">
        <f>IF(SUM(H19:S19)&lt;90," ",L19/stab.data!$U$11)</f>
        <v>0.16277872115357847</v>
      </c>
      <c r="Z19" s="295">
        <f>IF(SUM(H19:S19)&lt;90," ",M19/stab.data!$U$12)</f>
        <v>2.8616941793422335E-3</v>
      </c>
      <c r="AA19" s="295">
        <f>IF(SUM(H19:S19)&lt;90," ",N19/stab.data!$U$13)</f>
        <v>0.30681818181818177</v>
      </c>
      <c r="AB19" s="295">
        <f>IF(SUM(H19:S19)&lt;90," ",O19/stab.data!$U$14)</f>
        <v>0.18267087501560297</v>
      </c>
      <c r="AC19" s="295">
        <f>IF(SUM(H19:S19)&lt;90," ",P19*2/stab.data!$U$15)</f>
        <v>7.7768276351667512E-2</v>
      </c>
      <c r="AD19" s="295">
        <f>IF(SUM(H19:S19)&lt;90," ",Q19*2/stab.data!$U$16)</f>
        <v>2.5033175858591224E-2</v>
      </c>
      <c r="AE19" s="295">
        <f>IF(SUM(H19:S19)&lt;90," ",R19/stab.data!$U$17)</f>
        <v>0</v>
      </c>
      <c r="AF19" s="295">
        <f>IF(SUM(H19:S19)&lt;90," ",S19/stab.data!$U$18)</f>
        <v>5.0771443883451325E-4</v>
      </c>
      <c r="AG19" s="295">
        <f t="shared" si="68"/>
        <v>1.4144221853465271</v>
      </c>
      <c r="AH19" s="295">
        <f t="shared" si="69"/>
        <v>0.15996728013453332</v>
      </c>
      <c r="AI19" s="296">
        <f t="shared" si="70"/>
        <v>5.9465446685932637</v>
      </c>
      <c r="AJ19" s="296">
        <f t="shared" si="71"/>
        <v>0.21177864872149849</v>
      </c>
      <c r="AK19" s="296">
        <f t="shared" si="72"/>
        <v>2.499294452969592</v>
      </c>
      <c r="AL19" s="296">
        <f t="shared" si="73"/>
        <v>0</v>
      </c>
      <c r="AM19" s="296">
        <f t="shared" si="74"/>
        <v>1.4961044848699678</v>
      </c>
      <c r="AN19" s="296">
        <f t="shared" si="75"/>
        <v>2.6301923652544169E-2</v>
      </c>
      <c r="AO19" s="296">
        <f t="shared" si="76"/>
        <v>2.8199758211931361</v>
      </c>
      <c r="AP19" s="296">
        <f t="shared" si="77"/>
        <v>1.6789339136539652</v>
      </c>
      <c r="AQ19" s="296">
        <f t="shared" si="78"/>
        <v>0.71477074033874133</v>
      </c>
      <c r="AR19" s="296">
        <f t="shared" si="79"/>
        <v>0.23008072804086901</v>
      </c>
      <c r="AS19" s="296">
        <f t="shared" si="80"/>
        <v>0</v>
      </c>
      <c r="AT19" s="296">
        <f t="shared" si="81"/>
        <v>4.6664198096070105E-3</v>
      </c>
      <c r="AU19" s="295">
        <f t="shared" si="82"/>
        <v>15.623785382033578</v>
      </c>
      <c r="AV19" s="295">
        <f t="shared" si="83"/>
        <v>1.8453134388769037</v>
      </c>
      <c r="AW19" s="295">
        <f>IF(SUM(H19:S19)&lt;90," ",CO19*AG19*stab.data!$U$20/13/2)</f>
        <v>7.6564851501497921</v>
      </c>
      <c r="AX19" s="295">
        <f>IF(SUM(H19:S19)&lt;90," ",CQ19*AG19*stab.data!$U$11/13)</f>
        <v>4.8055969391178959</v>
      </c>
      <c r="AY19" s="295">
        <f t="shared" si="84"/>
        <v>-4.0614616534566956E-3</v>
      </c>
      <c r="AZ19" s="297">
        <f t="shared" si="85"/>
        <v>95.301334066491123</v>
      </c>
      <c r="BA19" s="298">
        <f>IF(SUM(H19:S19)&lt;90," ",EXP('eq. coef.'!$C$104+'eq. coef.'!$C$105*'Amp (T-P-fO2 calculation)'!AI19+'eq. coef.'!$C$106*'Amp (T-P-fO2 calculation)'!AJ19+'eq. coef.'!$C$107*'Amp (T-P-fO2 calculation)'!AK19+'eq. coef.'!$C$108*'Amp (T-P-fO2 calculation)'!AM19+'eq. coef.'!$C$109*'Amp (T-P-fO2 calculation)'!AO19+'eq. coef.'!$C$110*'Amp (T-P-fO2 calculation)'!AP19+'eq. coef.'!$C$111*'Amp (T-P-fO2 calculation)'!AQ19+'eq. coef.'!$C$112*'Amp (T-P-fO2 calculation)'!AR19))</f>
        <v>1491.5458179717314</v>
      </c>
      <c r="BB19" s="299">
        <f>IF(SUM(H19:S19)&lt;90," ",EXP('eq. coef.'!$C$176+'eq. coef.'!$C$177*'Amp (T-P-fO2 calculation)'!AI19+'eq. coef.'!$C$178*'Amp (T-P-fO2 calculation)'!AJ19+'eq. coef.'!$C$179*'Amp (T-P-fO2 calculation)'!AK19+'eq. coef.'!$C$180*'Amp (T-P-fO2 calculation)'!AM19+'eq. coef.'!$C$181*'Amp (T-P-fO2 calculation)'!AO19+'eq. coef.'!$C$182*'Amp (T-P-fO2 calculation)'!AP19+'eq. coef.'!$C$183*'Amp (T-P-fO2 calculation)'!AQ19+'eq. coef.'!$C$184*'Amp (T-P-fO2 calculation)'!AR19))</f>
        <v>668.01111557246543</v>
      </c>
      <c r="BC19" s="299">
        <f>IF(SUM(H19:S19)&lt;90," ",('eq. coef.'!$C$234+'eq. coef.'!$C$235*'Amp (T-P-fO2 calculation)'!AI19+'eq. coef.'!$C$236*'Amp (T-P-fO2 calculation)'!AJ19+'eq. coef.'!$C$237*'Amp (T-P-fO2 calculation)'!AK19+'eq. coef.'!$C$238*'Amp (T-P-fO2 calculation)'!AM19+'eq. coef.'!$C$239*'Amp (T-P-fO2 calculation)'!AO19+'eq. coef.'!$C$240*'Amp (T-P-fO2 calculation)'!AP19+'eq. coef.'!$C$241*'Amp (T-P-fO2 calculation)'!AQ19+'eq. coef.'!$C$242*'Amp (T-P-fO2 calculation)'!AR19))</f>
        <v>594.53019042259189</v>
      </c>
      <c r="BD19" s="299">
        <f>IF(SUM(H19:S19)&lt;90," ",('eq. coef.'!$C$270+'eq. coef.'!$C$271*'Amp (T-P-fO2 calculation)'!AI19+'eq. coef.'!$C$272*'Amp (T-P-fO2 calculation)'!AJ19+'eq. coef.'!$C$273*'Amp (T-P-fO2 calculation)'!AK19+'eq. coef.'!$C$274*'Amp (T-P-fO2 calculation)'!AM19+'eq. coef.'!$C$275*'Amp (T-P-fO2 calculation)'!AO19+'eq. coef.'!$C$276*'Amp (T-P-fO2 calculation)'!AP19+'eq. coef.'!$C$277*'Amp (T-P-fO2 calculation)'!AQ19+'eq. coef.'!$C$278*'Amp (T-P-fO2 calculation)'!AR19))</f>
        <v>1319.7724845713758</v>
      </c>
      <c r="BE19" s="299">
        <f>IF(SUM(H19:S19)&lt;90," ",EXP('eq. coef.'!$C$328+'eq. coef.'!$C$329*'Amp (T-P-fO2 calculation)'!AI19+'eq. coef.'!$C$330*'Amp (T-P-fO2 calculation)'!AJ19+'eq. coef.'!$C$331*'Amp (T-P-fO2 calculation)'!AK19+'eq. coef.'!$C$332*'Amp (T-P-fO2 calculation)'!AM19+'eq. coef.'!$C$333*'Amp (T-P-fO2 calculation)'!AO19+'eq. coef.'!$C$334*'Amp (T-P-fO2 calculation)'!AP19+'eq. coef.'!$C$335*'Amp (T-P-fO2 calculation)'!AQ19+'eq. coef.'!$C$336*'Amp (T-P-fO2 calculation)'!AR19))</f>
        <v>1580.2183470240354</v>
      </c>
      <c r="BF19" s="300" t="str">
        <f t="shared" si="19"/>
        <v>low Total</v>
      </c>
      <c r="BG19" s="301" t="str">
        <f t="shared" si="20"/>
        <v>ok</v>
      </c>
      <c r="BH19" s="301" t="str">
        <f t="shared" si="21"/>
        <v>ok</v>
      </c>
      <c r="BI19" s="299">
        <f t="shared" si="22"/>
        <v>5.7733943290810066</v>
      </c>
      <c r="BJ19" s="302">
        <f t="shared" si="86"/>
        <v>-5.945008727447932E-2</v>
      </c>
      <c r="BK19" s="299">
        <f t="shared" si="87"/>
        <v>651.76136899891037</v>
      </c>
      <c r="BL19" s="303">
        <f>IF(SUM(H19:S19)&lt;90," ",'eq. coef.'!$C$360+'eq. coef.'!$C$361*'Amp (T-P-fO2 calculation)'!AI19+'eq. coef.'!$C$362*'Amp (T-P-fO2 calculation)'!AJ19+'eq. coef.'!$C$363*'Amp (T-P-fO2 calculation)'!AK19+'eq. coef.'!$C$364*'Amp (T-P-fO2 calculation)'!AM19+'eq. coef.'!$C$365*'Amp (T-P-fO2 calculation)'!AO19+'eq. coef.'!$C$366*'Amp (T-P-fO2 calculation)'!AP19+'eq. coef.'!$C$367*'Amp (T-P-fO2 calculation)'!AQ19+'eq. coef.'!$C$368*'Amp (T-P-fO2 calculation)'!AR19+'eq. coef.'!$C$369*LN(BO19))</f>
        <v>1017.1390169875949</v>
      </c>
      <c r="BM19" s="304">
        <f t="shared" si="25"/>
        <v>22</v>
      </c>
      <c r="BN19" s="305">
        <f t="shared" si="26"/>
        <v>484</v>
      </c>
      <c r="BO19" s="306">
        <f t="shared" si="27"/>
        <v>1580.2183470240354</v>
      </c>
      <c r="BP19" s="299" t="str">
        <f t="shared" si="28"/>
        <v>P1e</v>
      </c>
      <c r="BQ19" s="302"/>
      <c r="BR19" s="302">
        <f t="shared" si="88"/>
        <v>0</v>
      </c>
      <c r="BS19" s="302">
        <f t="shared" si="89"/>
        <v>0</v>
      </c>
      <c r="BT19" s="299">
        <f t="shared" si="31"/>
        <v>189.62620164288424</v>
      </c>
      <c r="BU19" s="307">
        <f t="shared" si="62"/>
        <v>923.60489366297145</v>
      </c>
      <c r="BV19" s="308">
        <f t="shared" si="63"/>
        <v>820.83369041038213</v>
      </c>
      <c r="BW19" s="267">
        <f>IF(SUM(H19:S19)&lt;90," ",'eq. coef.'!$B$1128*'Amp (T-P-fO2 calculation)'!CH19+'eq. coef.'!$B$1129*'Amp (T-P-fO2 calculation)'!CL19+'eq. coef.'!$B$1130*'Amp (T-P-fO2 calculation)'!CM19+'eq. coef.'!$B$1131*'Amp (T-P-fO2 calculation)'!CO19+'eq. coef.'!$B$1132*'Amp (T-P-fO2 calculation)'!CP19+'eq. coef.'!$B$1133*'Amp (T-P-fO2 calculation)'!CQ19+'eq. coef.'!$B$1134*'Amp (T-P-fO2 calculation)'!CR19+'eq. coef.'!$B$1135*'Amp (T-P-fO2 calculation)'!CU19+'eq. coef.'!$B$1135*'Amp (T-P-fO2 calculation)'!CY19+'eq. coef.'!$B$1137*'Amp (T-P-fO2 calculation)'!CZ19)</f>
        <v>3.831280778409921</v>
      </c>
      <c r="BX19" s="268">
        <f t="shared" si="32"/>
        <v>0.4</v>
      </c>
      <c r="BY19" s="269"/>
      <c r="BZ19" s="282">
        <f t="shared" si="64"/>
        <v>-9.4832152219437553</v>
      </c>
      <c r="CA19" s="269">
        <f t="shared" si="65"/>
        <v>2.2189371222645633</v>
      </c>
      <c r="CB19" s="282">
        <f t="shared" si="66"/>
        <v>-7.8984397993289317</v>
      </c>
      <c r="CC19" s="268">
        <f t="shared" si="33"/>
        <v>-5.6795026770643684</v>
      </c>
      <c r="CD19" s="268"/>
      <c r="CE19" s="267">
        <f>IF(SUM(H19:S19)&lt;90," ",EXP('eq. coef.'!$B$1156*'Amp (T-P-fO2 calculation)'!CH19+'eq. coef.'!$B$1157*'Amp (T-P-fO2 calculation)'!CL19+'eq. coef.'!$B$1158*'Amp (T-P-fO2 calculation)'!CM19+'eq. coef.'!$B$1159*'Amp (T-P-fO2 calculation)'!CO19+'eq. coef.'!$B$1160*'Amp (T-P-fO2 calculation)'!CP19+'eq. coef.'!$B$1161*'Amp (T-P-fO2 calculation)'!CQ19+'eq. coef.'!$B$1162*'Amp (T-P-fO2 calculation)'!CR19+'eq. coef.'!$B$1163*'Amp (T-P-fO2 calculation)'!CU19+'eq. coef.'!$B$1164*'Amp (T-P-fO2 calculation)'!CY19+'eq. coef.'!$B$1165*'Amp (T-P-fO2 calculation)'!CZ19))</f>
        <v>7.122475251943162</v>
      </c>
      <c r="CF19" s="302">
        <f t="shared" si="34"/>
        <v>1.2108207928303376</v>
      </c>
      <c r="CG19" s="296">
        <f t="shared" si="35"/>
        <v>5.9465446685932637</v>
      </c>
      <c r="CH19" s="296">
        <f t="shared" si="36"/>
        <v>2.0534553314067363</v>
      </c>
      <c r="CI19" s="296">
        <f t="shared" si="37"/>
        <v>0</v>
      </c>
      <c r="CJ19" s="296">
        <f t="shared" si="38"/>
        <v>8</v>
      </c>
      <c r="CK19" s="296"/>
      <c r="CL19" s="296">
        <f t="shared" si="39"/>
        <v>0.44583912156285566</v>
      </c>
      <c r="CM19" s="296">
        <f t="shared" si="40"/>
        <v>0.21177864872149849</v>
      </c>
      <c r="CN19" s="296">
        <f t="shared" si="41"/>
        <v>0</v>
      </c>
      <c r="CO19" s="296">
        <f t="shared" si="42"/>
        <v>0.8813396167133476</v>
      </c>
      <c r="CP19" s="296">
        <f t="shared" si="43"/>
        <v>2.8199758211931361</v>
      </c>
      <c r="CQ19" s="296">
        <f t="shared" si="44"/>
        <v>0.61476486815662024</v>
      </c>
      <c r="CR19" s="296">
        <f t="shared" si="45"/>
        <v>2.6301923652544169E-2</v>
      </c>
      <c r="CS19" s="296">
        <f t="shared" si="46"/>
        <v>5.0000000000000018</v>
      </c>
      <c r="CT19" s="296"/>
      <c r="CU19" s="296">
        <f t="shared" si="47"/>
        <v>1.6789339136539652</v>
      </c>
      <c r="CV19" s="296">
        <f t="shared" si="48"/>
        <v>0.32106608634603484</v>
      </c>
      <c r="CW19" s="296">
        <f t="shared" si="49"/>
        <v>2</v>
      </c>
      <c r="CX19" s="296"/>
      <c r="CY19" s="296">
        <f t="shared" si="50"/>
        <v>0.39370465399270649</v>
      </c>
      <c r="CZ19" s="296">
        <f t="shared" si="51"/>
        <v>0.23008072804086901</v>
      </c>
      <c r="DA19" s="296">
        <f t="shared" si="52"/>
        <v>0.62378538203357548</v>
      </c>
      <c r="DB19" s="296"/>
      <c r="DC19" s="296">
        <f t="shared" si="53"/>
        <v>1.9953335801903931</v>
      </c>
      <c r="DD19" s="296">
        <f t="shared" si="54"/>
        <v>0</v>
      </c>
      <c r="DE19" s="296">
        <f t="shared" si="55"/>
        <v>4.6664198096070105E-3</v>
      </c>
      <c r="DF19" s="296">
        <f t="shared" si="56"/>
        <v>2</v>
      </c>
      <c r="DG19" s="302">
        <f t="shared" si="57"/>
        <v>45.118660383286652</v>
      </c>
      <c r="DH19" s="302"/>
      <c r="DI19" s="295">
        <f t="shared" si="58"/>
        <v>0.8210156388041614</v>
      </c>
      <c r="DJ19" s="295">
        <f t="shared" si="59"/>
        <v>0.65336500278544773</v>
      </c>
      <c r="DK19" s="295">
        <f t="shared" si="60"/>
        <v>0.17838599250805445</v>
      </c>
      <c r="DL19" s="296">
        <f t="shared" si="61"/>
        <v>2.499294452969592</v>
      </c>
    </row>
    <row r="20" spans="1:116" ht="13.8" x14ac:dyDescent="0.25">
      <c r="A20" s="287" t="s">
        <v>558</v>
      </c>
      <c r="B20" s="288" t="s">
        <v>537</v>
      </c>
      <c r="C20" s="289">
        <v>579</v>
      </c>
      <c r="D20" s="289" t="s">
        <v>523</v>
      </c>
      <c r="E20" s="310" t="s">
        <v>513</v>
      </c>
      <c r="F20" s="289" t="s">
        <v>535</v>
      </c>
      <c r="G20" s="291"/>
      <c r="H20" s="292">
        <v>40.790999999999997</v>
      </c>
      <c r="I20" s="292">
        <v>2.0289999999999999</v>
      </c>
      <c r="J20" s="292">
        <v>13.648999999999999</v>
      </c>
      <c r="K20" s="292">
        <v>0</v>
      </c>
      <c r="L20" s="292">
        <v>12.599</v>
      </c>
      <c r="M20" s="292">
        <v>0.23</v>
      </c>
      <c r="N20" s="292">
        <v>12.566000000000001</v>
      </c>
      <c r="O20" s="292">
        <v>11.471</v>
      </c>
      <c r="P20" s="292">
        <v>2.4489999999999998</v>
      </c>
      <c r="Q20" s="292">
        <v>1.127</v>
      </c>
      <c r="R20" s="293">
        <v>0</v>
      </c>
      <c r="S20" s="293">
        <v>3.2000000000000001E-2</v>
      </c>
      <c r="T20" s="294">
        <f t="shared" si="67"/>
        <v>96.942999999999998</v>
      </c>
      <c r="U20" s="295">
        <f>IF(SUM(H20:S20)&lt;90," ",H20/stab.data!$U$7)</f>
        <v>0.67889954064309954</v>
      </c>
      <c r="V20" s="295">
        <f>IF(SUM(H20:S20)&lt;90," ",I20/stab.data!$U$8)</f>
        <v>2.5394878470049315E-2</v>
      </c>
      <c r="W20" s="295">
        <f>IF(SUM(H20:S20)&lt;90," ",J20*2/stab.data!$U$9)</f>
        <v>0.26772981826384595</v>
      </c>
      <c r="X20" s="295">
        <f>IF(SUM(H20:S20)&lt;90," ",K20*2/stab.data!$U$10)</f>
        <v>0</v>
      </c>
      <c r="Y20" s="295">
        <f>IF(SUM(H20:S20)&lt;90," ",L20/stab.data!$U$11)</f>
        <v>0.17536118921025526</v>
      </c>
      <c r="Z20" s="295">
        <f>IF(SUM(H20:S20)&lt;90," ",M20/stab.data!$U$12)</f>
        <v>3.2423136022104123E-3</v>
      </c>
      <c r="AA20" s="295">
        <f>IF(SUM(H20:S20)&lt;90," ",N20/stab.data!$U$13)</f>
        <v>0.31178046843985707</v>
      </c>
      <c r="AB20" s="295">
        <f>IF(SUM(H20:S20)&lt;90," ",O20/stab.data!$U$14)</f>
        <v>0.20455072308707359</v>
      </c>
      <c r="AC20" s="295">
        <f>IF(SUM(H20:S20)&lt;90," ",P20*2/stab.data!$U$15)</f>
        <v>7.9026767130802367E-2</v>
      </c>
      <c r="AD20" s="295">
        <f>IF(SUM(H20:S20)&lt;90," ",Q20*2/stab.data!$U$16)</f>
        <v>2.3929083284675409E-2</v>
      </c>
      <c r="AE20" s="295">
        <f>IF(SUM(H20:S20)&lt;90," ",R20/stab.data!$U$17)</f>
        <v>0</v>
      </c>
      <c r="AF20" s="295">
        <f>IF(SUM(H20:S20)&lt;90," ",S20/stab.data!$U$18)</f>
        <v>9.0260344681691244E-4</v>
      </c>
      <c r="AG20" s="295">
        <f t="shared" si="68"/>
        <v>1.4624082086293175</v>
      </c>
      <c r="AH20" s="295">
        <f t="shared" si="69"/>
        <v>0.1512670671869096</v>
      </c>
      <c r="AI20" s="296">
        <f t="shared" si="70"/>
        <v>6.0350413627891353</v>
      </c>
      <c r="AJ20" s="296">
        <f t="shared" si="71"/>
        <v>0.2257464216643503</v>
      </c>
      <c r="AK20" s="296">
        <f t="shared" si="72"/>
        <v>2.3799699816319961</v>
      </c>
      <c r="AL20" s="296">
        <f t="shared" si="73"/>
        <v>0</v>
      </c>
      <c r="AM20" s="296">
        <f t="shared" si="74"/>
        <v>1.5588639658074854</v>
      </c>
      <c r="AN20" s="296">
        <f t="shared" si="75"/>
        <v>2.8822374341184589E-2</v>
      </c>
      <c r="AO20" s="296">
        <f t="shared" si="76"/>
        <v>2.7715558937658491</v>
      </c>
      <c r="AP20" s="296">
        <f t="shared" si="77"/>
        <v>1.8183427749112044</v>
      </c>
      <c r="AQ20" s="296">
        <f t="shared" si="78"/>
        <v>0.7025042437797453</v>
      </c>
      <c r="AR20" s="296">
        <f t="shared" si="79"/>
        <v>0.21271631331469812</v>
      </c>
      <c r="AS20" s="296">
        <f t="shared" si="80"/>
        <v>0</v>
      </c>
      <c r="AT20" s="296">
        <f t="shared" si="81"/>
        <v>8.0236453401870134E-3</v>
      </c>
      <c r="AU20" s="295">
        <f t="shared" si="82"/>
        <v>15.73356333200565</v>
      </c>
      <c r="AV20" s="295">
        <f t="shared" si="83"/>
        <v>1.9047078358327023</v>
      </c>
      <c r="AW20" s="295">
        <f>IF(SUM(H20:S20)&lt;90," ",CO20*AG20*stab.data!$U$20/13/2)</f>
        <v>4.90912725700335</v>
      </c>
      <c r="AX20" s="295">
        <f>IF(SUM(H20:S20)&lt;90," ",CQ20*AG20*stab.data!$U$11/13)</f>
        <v>8.1817046369969155</v>
      </c>
      <c r="AY20" s="295">
        <f t="shared" si="84"/>
        <v>-7.2203762728119038E-3</v>
      </c>
      <c r="AZ20" s="297">
        <f t="shared" si="85"/>
        <v>99.332319353560138</v>
      </c>
      <c r="BA20" s="298">
        <f>IF(SUM(H20:S20)&lt;90," ",EXP('eq. coef.'!$C$104+'eq. coef.'!$C$105*'Amp (T-P-fO2 calculation)'!AI20+'eq. coef.'!$C$106*'Amp (T-P-fO2 calculation)'!AJ20+'eq. coef.'!$C$107*'Amp (T-P-fO2 calculation)'!AK20+'eq. coef.'!$C$108*'Amp (T-P-fO2 calculation)'!AM20+'eq. coef.'!$C$109*'Amp (T-P-fO2 calculation)'!AO20+'eq. coef.'!$C$110*'Amp (T-P-fO2 calculation)'!AP20+'eq. coef.'!$C$111*'Amp (T-P-fO2 calculation)'!AQ20+'eq. coef.'!$C$112*'Amp (T-P-fO2 calculation)'!AR20))</f>
        <v>928.34280571344561</v>
      </c>
      <c r="BB20" s="299">
        <f>IF(SUM(H20:S20)&lt;90," ",EXP('eq. coef.'!$C$176+'eq. coef.'!$C$177*'Amp (T-P-fO2 calculation)'!AI20+'eq. coef.'!$C$178*'Amp (T-P-fO2 calculation)'!AJ20+'eq. coef.'!$C$179*'Amp (T-P-fO2 calculation)'!AK20+'eq. coef.'!$C$180*'Amp (T-P-fO2 calculation)'!AM20+'eq. coef.'!$C$181*'Amp (T-P-fO2 calculation)'!AO20+'eq. coef.'!$C$182*'Amp (T-P-fO2 calculation)'!AP20+'eq. coef.'!$C$183*'Amp (T-P-fO2 calculation)'!AQ20+'eq. coef.'!$C$184*'Amp (T-P-fO2 calculation)'!AR20))</f>
        <v>514.46636712559962</v>
      </c>
      <c r="BC20" s="299">
        <f>IF(SUM(H20:S20)&lt;90," ",('eq. coef.'!$C$234+'eq. coef.'!$C$235*'Amp (T-P-fO2 calculation)'!AI20+'eq. coef.'!$C$236*'Amp (T-P-fO2 calculation)'!AJ20+'eq. coef.'!$C$237*'Amp (T-P-fO2 calculation)'!AK20+'eq. coef.'!$C$238*'Amp (T-P-fO2 calculation)'!AM20+'eq. coef.'!$C$239*'Amp (T-P-fO2 calculation)'!AO20+'eq. coef.'!$C$240*'Amp (T-P-fO2 calculation)'!AP20+'eq. coef.'!$C$241*'Amp (T-P-fO2 calculation)'!AQ20+'eq. coef.'!$C$242*'Amp (T-P-fO2 calculation)'!AR20))</f>
        <v>519.47764726134403</v>
      </c>
      <c r="BD20" s="299">
        <f>IF(SUM(H20:S20)&lt;90," ",('eq. coef.'!$C$270+'eq. coef.'!$C$271*'Amp (T-P-fO2 calculation)'!AI20+'eq. coef.'!$C$272*'Amp (T-P-fO2 calculation)'!AJ20+'eq. coef.'!$C$273*'Amp (T-P-fO2 calculation)'!AK20+'eq. coef.'!$C$274*'Amp (T-P-fO2 calculation)'!AM20+'eq. coef.'!$C$275*'Amp (T-P-fO2 calculation)'!AO20+'eq. coef.'!$C$276*'Amp (T-P-fO2 calculation)'!AP20+'eq. coef.'!$C$277*'Amp (T-P-fO2 calculation)'!AQ20+'eq. coef.'!$C$278*'Amp (T-P-fO2 calculation)'!AR20))</f>
        <v>1038.3442553453024</v>
      </c>
      <c r="BE20" s="299">
        <f>IF(SUM(H20:S20)&lt;90," ",EXP('eq. coef.'!$C$328+'eq. coef.'!$C$329*'Amp (T-P-fO2 calculation)'!AI20+'eq. coef.'!$C$330*'Amp (T-P-fO2 calculation)'!AJ20+'eq. coef.'!$C$331*'Amp (T-P-fO2 calculation)'!AK20+'eq. coef.'!$C$332*'Amp (T-P-fO2 calculation)'!AM20+'eq. coef.'!$C$333*'Amp (T-P-fO2 calculation)'!AO20+'eq. coef.'!$C$334*'Amp (T-P-fO2 calculation)'!AP20+'eq. coef.'!$C$335*'Amp (T-P-fO2 calculation)'!AQ20+'eq. coef.'!$C$336*'Amp (T-P-fO2 calculation)'!AR20))</f>
        <v>1459.3118442046684</v>
      </c>
      <c r="BF20" s="300" t="str">
        <f t="shared" si="19"/>
        <v>ok</v>
      </c>
      <c r="BG20" s="301" t="str">
        <f t="shared" si="20"/>
        <v>ok</v>
      </c>
      <c r="BH20" s="301" t="str">
        <f t="shared" si="21"/>
        <v>ok</v>
      </c>
      <c r="BI20" s="299">
        <f t="shared" si="22"/>
        <v>44.476200819865866</v>
      </c>
      <c r="BJ20" s="302">
        <f t="shared" si="86"/>
        <v>-0.5719536309468839</v>
      </c>
      <c r="BK20" s="299">
        <f t="shared" si="87"/>
        <v>523.87788821970275</v>
      </c>
      <c r="BL20" s="303">
        <f>IF(SUM(H20:S20)&lt;90," ",'eq. coef.'!$C$360+'eq. coef.'!$C$361*'Amp (T-P-fO2 calculation)'!AI20+'eq. coef.'!$C$362*'Amp (T-P-fO2 calculation)'!AJ20+'eq. coef.'!$C$363*'Amp (T-P-fO2 calculation)'!AK20+'eq. coef.'!$C$364*'Amp (T-P-fO2 calculation)'!AM20+'eq. coef.'!$C$365*'Amp (T-P-fO2 calculation)'!AO20+'eq. coef.'!$C$366*'Amp (T-P-fO2 calculation)'!AP20+'eq. coef.'!$C$367*'Amp (T-P-fO2 calculation)'!AQ20+'eq. coef.'!$C$368*'Amp (T-P-fO2 calculation)'!AR20+'eq. coef.'!$C$369*LN(BO20))</f>
        <v>1009.6052486940441</v>
      </c>
      <c r="BM20" s="304">
        <f t="shared" si="25"/>
        <v>22</v>
      </c>
      <c r="BN20" s="305">
        <f t="shared" si="26"/>
        <v>484</v>
      </c>
      <c r="BO20" s="306">
        <f t="shared" si="27"/>
        <v>1459.3118442046684</v>
      </c>
      <c r="BP20" s="299" t="str">
        <f t="shared" si="28"/>
        <v>P1e</v>
      </c>
      <c r="BQ20" s="302"/>
      <c r="BR20" s="302">
        <f t="shared" si="88"/>
        <v>0</v>
      </c>
      <c r="BS20" s="302">
        <f t="shared" si="89"/>
        <v>0</v>
      </c>
      <c r="BT20" s="299">
        <f t="shared" si="31"/>
        <v>175.1174213045602</v>
      </c>
      <c r="BU20" s="311">
        <f t="shared" si="62"/>
        <v>856.78318971391775</v>
      </c>
      <c r="BV20" s="312">
        <f t="shared" si="63"/>
        <v>834.83933074518291</v>
      </c>
      <c r="BW20" s="267">
        <f>IF(SUM(H20:S20)&lt;90," ",'eq. coef.'!$B$1128*'Amp (T-P-fO2 calculation)'!CH20+'eq. coef.'!$B$1129*'Amp (T-P-fO2 calculation)'!CL20+'eq. coef.'!$B$1130*'Amp (T-P-fO2 calculation)'!CM20+'eq. coef.'!$B$1131*'Amp (T-P-fO2 calculation)'!CO20+'eq. coef.'!$B$1132*'Amp (T-P-fO2 calculation)'!CP20+'eq. coef.'!$B$1133*'Amp (T-P-fO2 calculation)'!CQ20+'eq. coef.'!$B$1134*'Amp (T-P-fO2 calculation)'!CR20+'eq. coef.'!$B$1135*'Amp (T-P-fO2 calculation)'!CU20+'eq. coef.'!$B$1135*'Amp (T-P-fO2 calculation)'!CY20+'eq. coef.'!$B$1137*'Amp (T-P-fO2 calculation)'!CZ20)</f>
        <v>3.3939843639405103</v>
      </c>
      <c r="BX20" s="268">
        <f t="shared" si="32"/>
        <v>0.4</v>
      </c>
      <c r="BY20" s="269"/>
      <c r="BZ20" s="282">
        <f t="shared" si="64"/>
        <v>-9.6367453238994276</v>
      </c>
      <c r="CA20" s="269">
        <f t="shared" si="65"/>
        <v>1.7945046656532471</v>
      </c>
      <c r="CB20" s="282">
        <f t="shared" si="66"/>
        <v>-8.0622359076134344</v>
      </c>
      <c r="CC20" s="268">
        <f t="shared" si="33"/>
        <v>-6.2677312419601874</v>
      </c>
      <c r="CD20" s="268"/>
      <c r="CE20" s="267">
        <f>IF(SUM(H20:S20)&lt;90," ",EXP('eq. coef.'!$B$1156*'Amp (T-P-fO2 calculation)'!CH20+'eq. coef.'!$B$1157*'Amp (T-P-fO2 calculation)'!CL20+'eq. coef.'!$B$1158*'Amp (T-P-fO2 calculation)'!CM20+'eq. coef.'!$B$1159*'Amp (T-P-fO2 calculation)'!CO20+'eq. coef.'!$B$1160*'Amp (T-P-fO2 calculation)'!CP20+'eq. coef.'!$B$1161*'Amp (T-P-fO2 calculation)'!CQ20+'eq. coef.'!$B$1162*'Amp (T-P-fO2 calculation)'!CR20+'eq. coef.'!$B$1163*'Amp (T-P-fO2 calculation)'!CU20+'eq. coef.'!$B$1164*'Amp (T-P-fO2 calculation)'!CY20+'eq. coef.'!$B$1165*'Amp (T-P-fO2 calculation)'!CZ20))</f>
        <v>7.5047848750873944</v>
      </c>
      <c r="CF20" s="302">
        <f t="shared" si="34"/>
        <v>1.275813428764857</v>
      </c>
      <c r="CG20" s="296">
        <f t="shared" si="35"/>
        <v>6.0350413627891353</v>
      </c>
      <c r="CH20" s="296">
        <f t="shared" si="36"/>
        <v>1.9649586372108647</v>
      </c>
      <c r="CI20" s="296">
        <f t="shared" si="37"/>
        <v>0</v>
      </c>
      <c r="CJ20" s="296">
        <f t="shared" si="38"/>
        <v>8</v>
      </c>
      <c r="CK20" s="296"/>
      <c r="CL20" s="296">
        <f t="shared" si="39"/>
        <v>0.41501134442113141</v>
      </c>
      <c r="CM20" s="296">
        <f t="shared" si="40"/>
        <v>0.2257464216643503</v>
      </c>
      <c r="CN20" s="296">
        <f t="shared" si="41"/>
        <v>0</v>
      </c>
      <c r="CO20" s="296">
        <f t="shared" si="42"/>
        <v>0.5465483425441704</v>
      </c>
      <c r="CP20" s="296">
        <f t="shared" si="43"/>
        <v>2.7715558937658491</v>
      </c>
      <c r="CQ20" s="296">
        <f t="shared" si="44"/>
        <v>1.012315623263315</v>
      </c>
      <c r="CR20" s="296">
        <f t="shared" si="45"/>
        <v>2.8822374341184589E-2</v>
      </c>
      <c r="CS20" s="296">
        <f t="shared" si="46"/>
        <v>5.0000000000000009</v>
      </c>
      <c r="CT20" s="296"/>
      <c r="CU20" s="296">
        <f t="shared" si="47"/>
        <v>1.8183427749112044</v>
      </c>
      <c r="CV20" s="296">
        <f t="shared" si="48"/>
        <v>0.18165722508879556</v>
      </c>
      <c r="CW20" s="296">
        <f t="shared" si="49"/>
        <v>2</v>
      </c>
      <c r="CX20" s="296"/>
      <c r="CY20" s="296">
        <f t="shared" si="50"/>
        <v>0.52084701869094974</v>
      </c>
      <c r="CZ20" s="296">
        <f t="shared" si="51"/>
        <v>0.21271631331469812</v>
      </c>
      <c r="DA20" s="296">
        <f t="shared" si="52"/>
        <v>0.73356333200564783</v>
      </c>
      <c r="DB20" s="296"/>
      <c r="DC20" s="296">
        <f t="shared" si="53"/>
        <v>1.991976354659813</v>
      </c>
      <c r="DD20" s="296">
        <f t="shared" si="54"/>
        <v>0</v>
      </c>
      <c r="DE20" s="296">
        <f t="shared" si="55"/>
        <v>8.0236453401870134E-3</v>
      </c>
      <c r="DF20" s="296">
        <f t="shared" si="56"/>
        <v>2</v>
      </c>
      <c r="DG20" s="302">
        <f t="shared" si="57"/>
        <v>45.45345165745583</v>
      </c>
      <c r="DH20" s="302"/>
      <c r="DI20" s="295">
        <f t="shared" si="58"/>
        <v>0.73246564564694427</v>
      </c>
      <c r="DJ20" s="295">
        <f t="shared" si="59"/>
        <v>0.640020132837402</v>
      </c>
      <c r="DK20" s="295">
        <f t="shared" si="60"/>
        <v>0.17437671383424311</v>
      </c>
      <c r="DL20" s="296">
        <f t="shared" si="61"/>
        <v>2.3799699816319961</v>
      </c>
    </row>
    <row r="21" spans="1:116" ht="13.8" x14ac:dyDescent="0.25">
      <c r="A21" s="287" t="s">
        <v>558</v>
      </c>
      <c r="B21" s="288" t="s">
        <v>537</v>
      </c>
      <c r="C21" s="289">
        <v>579</v>
      </c>
      <c r="D21" s="289" t="s">
        <v>523</v>
      </c>
      <c r="E21" s="310" t="s">
        <v>513</v>
      </c>
      <c r="F21" s="289" t="s">
        <v>535</v>
      </c>
      <c r="G21" s="291"/>
      <c r="H21" s="292">
        <v>40.609000000000002</v>
      </c>
      <c r="I21" s="292">
        <v>1.9690000000000001</v>
      </c>
      <c r="J21" s="292">
        <v>13.55</v>
      </c>
      <c r="K21" s="292">
        <v>2.4E-2</v>
      </c>
      <c r="L21" s="292">
        <v>13.132999999999999</v>
      </c>
      <c r="M21" s="292">
        <v>0.26100000000000001</v>
      </c>
      <c r="N21" s="292">
        <v>12.571</v>
      </c>
      <c r="O21" s="292">
        <v>11.372</v>
      </c>
      <c r="P21" s="292">
        <v>2.403</v>
      </c>
      <c r="Q21" s="292">
        <v>1.1200000000000001</v>
      </c>
      <c r="R21" s="293">
        <v>0</v>
      </c>
      <c r="S21" s="293">
        <v>2.9000000000000001E-2</v>
      </c>
      <c r="T21" s="294">
        <f t="shared" si="67"/>
        <v>97.040999999999997</v>
      </c>
      <c r="U21" s="295">
        <f>IF(SUM(H21:S21)&lt;90," ",H21/stab.data!$U$7)</f>
        <v>0.67587044803941143</v>
      </c>
      <c r="V21" s="295">
        <f>IF(SUM(H21:S21)&lt;90," ",I21/stab.data!$U$8)</f>
        <v>2.4643920999274076E-2</v>
      </c>
      <c r="W21" s="295">
        <f>IF(SUM(H21:S21)&lt;90," ",J21*2/stab.data!$U$9)</f>
        <v>0.26578789929482843</v>
      </c>
      <c r="X21" s="295">
        <f>IF(SUM(H21:S21)&lt;90," ",K21*2/stab.data!$U$10)</f>
        <v>3.1580983510778984E-4</v>
      </c>
      <c r="Y21" s="295">
        <f>IF(SUM(H21:S21)&lt;90," ",L21/stab.data!$U$11)</f>
        <v>0.18279375330568157</v>
      </c>
      <c r="Z21" s="295">
        <f>IF(SUM(H21:S21)&lt;90," ",M21/stab.data!$U$12)</f>
        <v>3.6793210877257287E-3</v>
      </c>
      <c r="AA21" s="295">
        <f>IF(SUM(H21:S21)&lt;90," ",N21/stab.data!$U$13)</f>
        <v>0.31190452560539894</v>
      </c>
      <c r="AB21" s="295">
        <f>IF(SUM(H21:S21)&lt;90," ",O21/stab.data!$U$14)</f>
        <v>0.20278535637226056</v>
      </c>
      <c r="AC21" s="295">
        <f>IF(SUM(H21:S21)&lt;90," ",P21*2/stab.data!$U$15)</f>
        <v>7.7542393391309958E-2</v>
      </c>
      <c r="AD21" s="295">
        <f>IF(SUM(H21:S21)&lt;90," ",Q21*2/stab.data!$U$16)</f>
        <v>2.3780455438186743E-2</v>
      </c>
      <c r="AE21" s="295">
        <f>IF(SUM(H21:S21)&lt;90," ",R21/stab.data!$U$17)</f>
        <v>0</v>
      </c>
      <c r="AF21" s="295">
        <f>IF(SUM(H21:S21)&lt;90," ",S21/stab.data!$U$18)</f>
        <v>8.1798437367782697E-4</v>
      </c>
      <c r="AG21" s="295">
        <f t="shared" si="68"/>
        <v>1.4649956781674278</v>
      </c>
      <c r="AH21" s="295">
        <f t="shared" si="69"/>
        <v>0.15023871791443158</v>
      </c>
      <c r="AI21" s="296">
        <f t="shared" si="70"/>
        <v>5.9975028974168749</v>
      </c>
      <c r="AJ21" s="296">
        <f t="shared" si="71"/>
        <v>0.2186839031438762</v>
      </c>
      <c r="AK21" s="296">
        <f t="shared" si="72"/>
        <v>2.3585343918249331</v>
      </c>
      <c r="AL21" s="296">
        <f t="shared" si="73"/>
        <v>2.8024163603928842E-3</v>
      </c>
      <c r="AM21" s="296">
        <f t="shared" si="74"/>
        <v>1.6220653947228105</v>
      </c>
      <c r="AN21" s="296">
        <f t="shared" si="75"/>
        <v>3.2649361942327905E-2</v>
      </c>
      <c r="AO21" s="296">
        <f t="shared" si="76"/>
        <v>2.7677616345887857</v>
      </c>
      <c r="AP21" s="296">
        <f t="shared" si="77"/>
        <v>1.7994658087572233</v>
      </c>
      <c r="AQ21" s="296">
        <f t="shared" si="78"/>
        <v>0.68809152757911674</v>
      </c>
      <c r="AR21" s="296">
        <f t="shared" si="79"/>
        <v>0.21102172880341888</v>
      </c>
      <c r="AS21" s="296">
        <f t="shared" si="80"/>
        <v>0</v>
      </c>
      <c r="AT21" s="296">
        <f t="shared" si="81"/>
        <v>7.2585858212999193E-3</v>
      </c>
      <c r="AU21" s="295">
        <f t="shared" si="82"/>
        <v>15.698579065139757</v>
      </c>
      <c r="AV21" s="295">
        <f t="shared" si="83"/>
        <v>1.9088107119657596</v>
      </c>
      <c r="AW21" s="295">
        <f>IF(SUM(H21:S21)&lt;90," ",CO21*AG21*stab.data!$U$20/13/2)</f>
        <v>6.3727485021850292</v>
      </c>
      <c r="AX21" s="295">
        <f>IF(SUM(H21:S21)&lt;90," ",CQ21*AG21*stab.data!$U$11/13)</f>
        <v>7.3987195598000417</v>
      </c>
      <c r="AY21" s="295">
        <f t="shared" si="84"/>
        <v>-6.5434659972357879E-3</v>
      </c>
      <c r="AZ21" s="297">
        <f t="shared" si="85"/>
        <v>99.581735307953593</v>
      </c>
      <c r="BA21" s="298">
        <f>IF(SUM(H21:S21)&lt;90," ",EXP('eq. coef.'!$C$104+'eq. coef.'!$C$105*'Amp (T-P-fO2 calculation)'!AI21+'eq. coef.'!$C$106*'Amp (T-P-fO2 calculation)'!AJ21+'eq. coef.'!$C$107*'Amp (T-P-fO2 calculation)'!AK21+'eq. coef.'!$C$108*'Amp (T-P-fO2 calculation)'!AM21+'eq. coef.'!$C$109*'Amp (T-P-fO2 calculation)'!AO21+'eq. coef.'!$C$110*'Amp (T-P-fO2 calculation)'!AP21+'eq. coef.'!$C$111*'Amp (T-P-fO2 calculation)'!AQ21+'eq. coef.'!$C$112*'Amp (T-P-fO2 calculation)'!AR21))</f>
        <v>974.18303817281424</v>
      </c>
      <c r="BB21" s="299">
        <f>IF(SUM(H21:S21)&lt;90," ",EXP('eq. coef.'!$C$176+'eq. coef.'!$C$177*'Amp (T-P-fO2 calculation)'!AI21+'eq. coef.'!$C$178*'Amp (T-P-fO2 calculation)'!AJ21+'eq. coef.'!$C$179*'Amp (T-P-fO2 calculation)'!AK21+'eq. coef.'!$C$180*'Amp (T-P-fO2 calculation)'!AM21+'eq. coef.'!$C$181*'Amp (T-P-fO2 calculation)'!AO21+'eq. coef.'!$C$182*'Amp (T-P-fO2 calculation)'!AP21+'eq. coef.'!$C$183*'Amp (T-P-fO2 calculation)'!AQ21+'eq. coef.'!$C$184*'Amp (T-P-fO2 calculation)'!AR21))</f>
        <v>512.28999799722169</v>
      </c>
      <c r="BC21" s="299">
        <f>IF(SUM(H21:S21)&lt;90," ",('eq. coef.'!$C$234+'eq. coef.'!$C$235*'Amp (T-P-fO2 calculation)'!AI21+'eq. coef.'!$C$236*'Amp (T-P-fO2 calculation)'!AJ21+'eq. coef.'!$C$237*'Amp (T-P-fO2 calculation)'!AK21+'eq. coef.'!$C$238*'Amp (T-P-fO2 calculation)'!AM21+'eq. coef.'!$C$239*'Amp (T-P-fO2 calculation)'!AO21+'eq. coef.'!$C$240*'Amp (T-P-fO2 calculation)'!AP21+'eq. coef.'!$C$241*'Amp (T-P-fO2 calculation)'!AQ21+'eq. coef.'!$C$242*'Amp (T-P-fO2 calculation)'!AR21))</f>
        <v>528.87282929016806</v>
      </c>
      <c r="BD21" s="299">
        <f>IF(SUM(H21:S21)&lt;90," ",('eq. coef.'!$C$270+'eq. coef.'!$C$271*'Amp (T-P-fO2 calculation)'!AI21+'eq. coef.'!$C$272*'Amp (T-P-fO2 calculation)'!AJ21+'eq. coef.'!$C$273*'Amp (T-P-fO2 calculation)'!AK21+'eq. coef.'!$C$274*'Amp (T-P-fO2 calculation)'!AM21+'eq. coef.'!$C$275*'Amp (T-P-fO2 calculation)'!AO21+'eq. coef.'!$C$276*'Amp (T-P-fO2 calculation)'!AP21+'eq. coef.'!$C$277*'Amp (T-P-fO2 calculation)'!AQ21+'eq. coef.'!$C$278*'Amp (T-P-fO2 calculation)'!AR21))</f>
        <v>991.93553133167529</v>
      </c>
      <c r="BE21" s="299">
        <f>IF(SUM(H21:S21)&lt;90," ",EXP('eq. coef.'!$C$328+'eq. coef.'!$C$329*'Amp (T-P-fO2 calculation)'!AI21+'eq. coef.'!$C$330*'Amp (T-P-fO2 calculation)'!AJ21+'eq. coef.'!$C$331*'Amp (T-P-fO2 calculation)'!AK21+'eq. coef.'!$C$332*'Amp (T-P-fO2 calculation)'!AM21+'eq. coef.'!$C$333*'Amp (T-P-fO2 calculation)'!AO21+'eq. coef.'!$C$334*'Amp (T-P-fO2 calculation)'!AP21+'eq. coef.'!$C$335*'Amp (T-P-fO2 calculation)'!AQ21+'eq. coef.'!$C$336*'Amp (T-P-fO2 calculation)'!AR21))</f>
        <v>1277.5836460662017</v>
      </c>
      <c r="BF21" s="300" t="str">
        <f t="shared" si="19"/>
        <v>ok</v>
      </c>
      <c r="BG21" s="301" t="str">
        <f t="shared" si="20"/>
        <v>ok</v>
      </c>
      <c r="BH21" s="301" t="str">
        <f t="shared" si="21"/>
        <v>ok</v>
      </c>
      <c r="BI21" s="299">
        <f t="shared" si="22"/>
        <v>26.947783712851376</v>
      </c>
      <c r="BJ21" s="302">
        <f t="shared" si="86"/>
        <v>-0.31144107011188388</v>
      </c>
      <c r="BK21" s="299">
        <f t="shared" si="87"/>
        <v>479.6455333344536</v>
      </c>
      <c r="BL21" s="303">
        <f>IF(SUM(H21:S21)&lt;90," ",'eq. coef.'!$C$360+'eq. coef.'!$C$361*'Amp (T-P-fO2 calculation)'!AI21+'eq. coef.'!$C$362*'Amp (T-P-fO2 calculation)'!AJ21+'eq. coef.'!$C$363*'Amp (T-P-fO2 calculation)'!AK21+'eq. coef.'!$C$364*'Amp (T-P-fO2 calculation)'!AM21+'eq. coef.'!$C$365*'Amp (T-P-fO2 calculation)'!AO21+'eq. coef.'!$C$366*'Amp (T-P-fO2 calculation)'!AP21+'eq. coef.'!$C$367*'Amp (T-P-fO2 calculation)'!AQ21+'eq. coef.'!$C$368*'Amp (T-P-fO2 calculation)'!AR21+'eq. coef.'!$C$369*LN(BO21))</f>
        <v>1003.5505545904235</v>
      </c>
      <c r="BM21" s="304">
        <f t="shared" si="25"/>
        <v>22</v>
      </c>
      <c r="BN21" s="305">
        <f t="shared" si="26"/>
        <v>484</v>
      </c>
      <c r="BO21" s="306">
        <f t="shared" si="27"/>
        <v>1277.5836460662017</v>
      </c>
      <c r="BP21" s="299" t="str">
        <f t="shared" si="28"/>
        <v>P1e</v>
      </c>
      <c r="BQ21" s="302"/>
      <c r="BR21" s="302">
        <f t="shared" si="88"/>
        <v>0</v>
      </c>
      <c r="BS21" s="302">
        <f t="shared" si="89"/>
        <v>0</v>
      </c>
      <c r="BT21" s="299">
        <f t="shared" si="31"/>
        <v>153.31003752794419</v>
      </c>
      <c r="BU21" s="311">
        <f t="shared" si="62"/>
        <v>844.77925942196248</v>
      </c>
      <c r="BV21" s="312">
        <f t="shared" si="63"/>
        <v>827.8249299456977</v>
      </c>
      <c r="BW21" s="267">
        <f>IF(SUM(H21:S21)&lt;90," ",'eq. coef.'!$B$1128*'Amp (T-P-fO2 calculation)'!CH21+'eq. coef.'!$B$1129*'Amp (T-P-fO2 calculation)'!CL21+'eq. coef.'!$B$1130*'Amp (T-P-fO2 calculation)'!CM21+'eq. coef.'!$B$1131*'Amp (T-P-fO2 calculation)'!CO21+'eq. coef.'!$B$1132*'Amp (T-P-fO2 calculation)'!CP21+'eq. coef.'!$B$1133*'Amp (T-P-fO2 calculation)'!CQ21+'eq. coef.'!$B$1134*'Amp (T-P-fO2 calculation)'!CR21+'eq. coef.'!$B$1135*'Amp (T-P-fO2 calculation)'!CU21+'eq. coef.'!$B$1135*'Amp (T-P-fO2 calculation)'!CY21+'eq. coef.'!$B$1137*'Amp (T-P-fO2 calculation)'!CZ21)</f>
        <v>3.4685150695061742</v>
      </c>
      <c r="BX21" s="268">
        <f t="shared" si="32"/>
        <v>0.4</v>
      </c>
      <c r="BY21" s="269"/>
      <c r="BZ21" s="282">
        <f t="shared" si="64"/>
        <v>-9.7933513875026001</v>
      </c>
      <c r="CA21" s="269">
        <f t="shared" si="65"/>
        <v>1.8806050534215197</v>
      </c>
      <c r="CB21" s="282">
        <f t="shared" si="66"/>
        <v>-8.2268765864607456</v>
      </c>
      <c r="CC21" s="268">
        <f t="shared" si="33"/>
        <v>-6.3462715330392259</v>
      </c>
      <c r="CD21" s="268"/>
      <c r="CE21" s="267">
        <f>IF(SUM(H21:S21)&lt;90," ",EXP('eq. coef.'!$B$1156*'Amp (T-P-fO2 calculation)'!CH21+'eq. coef.'!$B$1157*'Amp (T-P-fO2 calculation)'!CL21+'eq. coef.'!$B$1158*'Amp (T-P-fO2 calculation)'!CM21+'eq. coef.'!$B$1159*'Amp (T-P-fO2 calculation)'!CO21+'eq. coef.'!$B$1160*'Amp (T-P-fO2 calculation)'!CP21+'eq. coef.'!$B$1161*'Amp (T-P-fO2 calculation)'!CQ21+'eq. coef.'!$B$1162*'Amp (T-P-fO2 calculation)'!CR21+'eq. coef.'!$B$1163*'Amp (T-P-fO2 calculation)'!CU21+'eq. coef.'!$B$1164*'Amp (T-P-fO2 calculation)'!CY21+'eq. coef.'!$B$1165*'Amp (T-P-fO2 calculation)'!CZ21))</f>
        <v>7.1694119320090079</v>
      </c>
      <c r="CF21" s="302">
        <f t="shared" si="34"/>
        <v>1.2188000284415315</v>
      </c>
      <c r="CG21" s="296">
        <f t="shared" si="35"/>
        <v>5.9975028974168749</v>
      </c>
      <c r="CH21" s="296">
        <f t="shared" si="36"/>
        <v>2.0024971025831251</v>
      </c>
      <c r="CI21" s="296">
        <f t="shared" si="37"/>
        <v>0</v>
      </c>
      <c r="CJ21" s="296">
        <f t="shared" si="38"/>
        <v>8</v>
      </c>
      <c r="CK21" s="296"/>
      <c r="CL21" s="296">
        <f t="shared" si="39"/>
        <v>0.356037289241808</v>
      </c>
      <c r="CM21" s="296">
        <f t="shared" si="40"/>
        <v>0.2186839031438762</v>
      </c>
      <c r="CN21" s="296">
        <f t="shared" si="41"/>
        <v>2.8024163603928842E-3</v>
      </c>
      <c r="CO21" s="296">
        <f t="shared" si="42"/>
        <v>0.70824471679618028</v>
      </c>
      <c r="CP21" s="296">
        <f t="shared" si="43"/>
        <v>2.7677616345887857</v>
      </c>
      <c r="CQ21" s="296">
        <f t="shared" si="44"/>
        <v>0.91382067792663024</v>
      </c>
      <c r="CR21" s="296">
        <f t="shared" si="45"/>
        <v>3.2649361942327905E-2</v>
      </c>
      <c r="CS21" s="296">
        <f t="shared" si="46"/>
        <v>5.0000000000000018</v>
      </c>
      <c r="CT21" s="296"/>
      <c r="CU21" s="296">
        <f t="shared" si="47"/>
        <v>1.7994658087572233</v>
      </c>
      <c r="CV21" s="296">
        <f t="shared" si="48"/>
        <v>0.20053419124277672</v>
      </c>
      <c r="CW21" s="296">
        <f t="shared" si="49"/>
        <v>2</v>
      </c>
      <c r="CX21" s="296"/>
      <c r="CY21" s="296">
        <f t="shared" si="50"/>
        <v>0.48755733633634002</v>
      </c>
      <c r="CZ21" s="296">
        <f t="shared" si="51"/>
        <v>0.21102172880341888</v>
      </c>
      <c r="DA21" s="296">
        <f t="shared" si="52"/>
        <v>0.69857906513975887</v>
      </c>
      <c r="DB21" s="296"/>
      <c r="DC21" s="296">
        <f t="shared" si="53"/>
        <v>1.9927414141787001</v>
      </c>
      <c r="DD21" s="296">
        <f t="shared" si="54"/>
        <v>0</v>
      </c>
      <c r="DE21" s="296">
        <f t="shared" si="55"/>
        <v>7.2585858212999193E-3</v>
      </c>
      <c r="DF21" s="296">
        <f t="shared" si="56"/>
        <v>2</v>
      </c>
      <c r="DG21" s="302">
        <f t="shared" si="57"/>
        <v>45.29175528320382</v>
      </c>
      <c r="DH21" s="302"/>
      <c r="DI21" s="295">
        <f t="shared" si="58"/>
        <v>0.75178588977350103</v>
      </c>
      <c r="DJ21" s="295">
        <f t="shared" si="59"/>
        <v>0.63049446279044408</v>
      </c>
      <c r="DK21" s="295">
        <f t="shared" si="60"/>
        <v>0.15095700553525598</v>
      </c>
      <c r="DL21" s="296">
        <f t="shared" si="61"/>
        <v>2.3585343918249331</v>
      </c>
    </row>
    <row r="22" spans="1:116" ht="13.8" x14ac:dyDescent="0.25">
      <c r="A22" s="287" t="s">
        <v>558</v>
      </c>
      <c r="B22" s="288" t="s">
        <v>537</v>
      </c>
      <c r="C22" s="289">
        <v>579</v>
      </c>
      <c r="D22" s="289" t="s">
        <v>523</v>
      </c>
      <c r="E22" s="290" t="s">
        <v>514</v>
      </c>
      <c r="F22" s="289" t="s">
        <v>535</v>
      </c>
      <c r="G22" s="291"/>
      <c r="H22" s="292">
        <v>41.454999999999998</v>
      </c>
      <c r="I22" s="292">
        <v>1.6679999999999999</v>
      </c>
      <c r="J22" s="292">
        <v>12.901</v>
      </c>
      <c r="K22" s="292">
        <v>1.2E-2</v>
      </c>
      <c r="L22" s="292">
        <v>12.741</v>
      </c>
      <c r="M22" s="292">
        <v>0.23100000000000001</v>
      </c>
      <c r="N22" s="292">
        <v>13.388</v>
      </c>
      <c r="O22" s="292">
        <v>11.125999999999999</v>
      </c>
      <c r="P22" s="292">
        <v>2.4180000000000001</v>
      </c>
      <c r="Q22" s="292">
        <v>1.1559999999999999</v>
      </c>
      <c r="R22" s="293">
        <v>0</v>
      </c>
      <c r="S22" s="293">
        <v>2.7E-2</v>
      </c>
      <c r="T22" s="294">
        <f t="shared" si="67"/>
        <v>97.123000000000019</v>
      </c>
      <c r="U22" s="295">
        <f>IF(SUM(H22:S22)&lt;90," ",H22/stab.data!$U$7)</f>
        <v>0.68995073563677511</v>
      </c>
      <c r="V22" s="295">
        <f>IF(SUM(H22:S22)&lt;90," ",I22/stab.data!$U$8)</f>
        <v>2.0876617687551627E-2</v>
      </c>
      <c r="W22" s="295">
        <f>IF(SUM(H22:S22)&lt;90," ",J22*2/stab.data!$U$9)</f>
        <v>0.25305754160904659</v>
      </c>
      <c r="X22" s="295">
        <f>IF(SUM(H22:S22)&lt;90," ",K22*2/stab.data!$U$10)</f>
        <v>1.5790491755389492E-4</v>
      </c>
      <c r="Y22" s="295">
        <f>IF(SUM(H22:S22)&lt;90," ",L22/stab.data!$U$11)</f>
        <v>0.17733763883862705</v>
      </c>
      <c r="Z22" s="295">
        <f>IF(SUM(H22:S22)&lt;90," ",M22/stab.data!$U$12)</f>
        <v>3.2564106178721969E-3</v>
      </c>
      <c r="AA22" s="295">
        <f>IF(SUM(H22:S22)&lt;90," ",N22/stab.data!$U$13)</f>
        <v>0.33217546645494239</v>
      </c>
      <c r="AB22" s="295">
        <f>IF(SUM(H22:S22)&lt;90," ",O22/stab.data!$U$14)</f>
        <v>0.19839868756575543</v>
      </c>
      <c r="AC22" s="295">
        <f>IF(SUM(H22:S22)&lt;90," ",P22*2/stab.data!$U$15)</f>
        <v>7.8026428306361834E-2</v>
      </c>
      <c r="AD22" s="295">
        <f>IF(SUM(H22:S22)&lt;90," ",Q22*2/stab.data!$U$16)</f>
        <v>2.4544827220128455E-2</v>
      </c>
      <c r="AE22" s="295">
        <f>IF(SUM(H22:S22)&lt;90," ",R22/stab.data!$U$17)</f>
        <v>0</v>
      </c>
      <c r="AF22" s="295">
        <f>IF(SUM(H22:S22)&lt;90," ",S22/stab.data!$U$18)</f>
        <v>7.6157165825176988E-4</v>
      </c>
      <c r="AG22" s="295">
        <f t="shared" si="68"/>
        <v>1.4768123157623689</v>
      </c>
      <c r="AH22" s="295">
        <f t="shared" si="69"/>
        <v>0.14234450836070661</v>
      </c>
      <c r="AI22" s="296">
        <f t="shared" si="70"/>
        <v>6.0734593472345599</v>
      </c>
      <c r="AJ22" s="296">
        <f t="shared" si="71"/>
        <v>0.18377151046310813</v>
      </c>
      <c r="AK22" s="296">
        <f t="shared" si="72"/>
        <v>2.2276006272464977</v>
      </c>
      <c r="AL22" s="296">
        <f t="shared" si="73"/>
        <v>1.3899964851938169E-3</v>
      </c>
      <c r="AM22" s="296">
        <f t="shared" si="74"/>
        <v>1.5610577459953328</v>
      </c>
      <c r="AN22" s="296">
        <f t="shared" si="75"/>
        <v>2.8665347370484914E-2</v>
      </c>
      <c r="AO22" s="296">
        <f t="shared" si="76"/>
        <v>2.9240554252048221</v>
      </c>
      <c r="AP22" s="296">
        <f t="shared" si="77"/>
        <v>1.7464527555916132</v>
      </c>
      <c r="AQ22" s="296">
        <f t="shared" si="78"/>
        <v>0.68684663389949674</v>
      </c>
      <c r="AR22" s="296">
        <f t="shared" si="79"/>
        <v>0.21606181804960847</v>
      </c>
      <c r="AS22" s="296">
        <f t="shared" si="80"/>
        <v>0</v>
      </c>
      <c r="AT22" s="296">
        <f t="shared" si="81"/>
        <v>6.7039199576028373E-3</v>
      </c>
      <c r="AU22" s="295">
        <f t="shared" si="82"/>
        <v>15.64936120754072</v>
      </c>
      <c r="AV22" s="295">
        <f t="shared" si="83"/>
        <v>1.924742746132573</v>
      </c>
      <c r="AW22" s="295">
        <f>IF(SUM(H22:S22)&lt;90," ",CO22*AG22*stab.data!$U$20/13/2)</f>
        <v>7.8073060442175786</v>
      </c>
      <c r="AX22" s="295">
        <f>IF(SUM(H22:S22)&lt;90," ",CQ22*AG22*stab.data!$U$11/13)</f>
        <v>5.715886373648404</v>
      </c>
      <c r="AY22" s="295">
        <f t="shared" si="84"/>
        <v>-6.0921924801850434E-3</v>
      </c>
      <c r="AZ22" s="297">
        <f t="shared" si="85"/>
        <v>99.823842971518403</v>
      </c>
      <c r="BA22" s="298">
        <f>IF(SUM(H22:S22)&lt;90," ",EXP('eq. coef.'!$C$104+'eq. coef.'!$C$105*'Amp (T-P-fO2 calculation)'!AI22+'eq. coef.'!$C$106*'Amp (T-P-fO2 calculation)'!AJ22+'eq. coef.'!$C$107*'Amp (T-P-fO2 calculation)'!AK22+'eq. coef.'!$C$108*'Amp (T-P-fO2 calculation)'!AM22+'eq. coef.'!$C$109*'Amp (T-P-fO2 calculation)'!AO22+'eq. coef.'!$C$110*'Amp (T-P-fO2 calculation)'!AP22+'eq. coef.'!$C$111*'Amp (T-P-fO2 calculation)'!AQ22+'eq. coef.'!$C$112*'Amp (T-P-fO2 calculation)'!AR22))</f>
        <v>956.37329311661631</v>
      </c>
      <c r="BB22" s="299">
        <f>IF(SUM(H22:S22)&lt;90," ",EXP('eq. coef.'!$C$176+'eq. coef.'!$C$177*'Amp (T-P-fO2 calculation)'!AI22+'eq. coef.'!$C$178*'Amp (T-P-fO2 calculation)'!AJ22+'eq. coef.'!$C$179*'Amp (T-P-fO2 calculation)'!AK22+'eq. coef.'!$C$180*'Amp (T-P-fO2 calculation)'!AM22+'eq. coef.'!$C$181*'Amp (T-P-fO2 calculation)'!AO22+'eq. coef.'!$C$182*'Amp (T-P-fO2 calculation)'!AP22+'eq. coef.'!$C$183*'Amp (T-P-fO2 calculation)'!AQ22+'eq. coef.'!$C$184*'Amp (T-P-fO2 calculation)'!AR22))</f>
        <v>447.61576300021136</v>
      </c>
      <c r="BC22" s="299">
        <f>IF(SUM(H22:S22)&lt;90," ",('eq. coef.'!$C$234+'eq. coef.'!$C$235*'Amp (T-P-fO2 calculation)'!AI22+'eq. coef.'!$C$236*'Amp (T-P-fO2 calculation)'!AJ22+'eq. coef.'!$C$237*'Amp (T-P-fO2 calculation)'!AK22+'eq. coef.'!$C$238*'Amp (T-P-fO2 calculation)'!AM22+'eq. coef.'!$C$239*'Amp (T-P-fO2 calculation)'!AO22+'eq. coef.'!$C$240*'Amp (T-P-fO2 calculation)'!AP22+'eq. coef.'!$C$241*'Amp (T-P-fO2 calculation)'!AQ22+'eq. coef.'!$C$242*'Amp (T-P-fO2 calculation)'!AR22))</f>
        <v>485.42724475972585</v>
      </c>
      <c r="BD22" s="299">
        <f>IF(SUM(H22:S22)&lt;90," ",('eq. coef.'!$C$270+'eq. coef.'!$C$271*'Amp (T-P-fO2 calculation)'!AI22+'eq. coef.'!$C$272*'Amp (T-P-fO2 calculation)'!AJ22+'eq. coef.'!$C$273*'Amp (T-P-fO2 calculation)'!AK22+'eq. coef.'!$C$274*'Amp (T-P-fO2 calculation)'!AM22+'eq. coef.'!$C$275*'Amp (T-P-fO2 calculation)'!AO22+'eq. coef.'!$C$276*'Amp (T-P-fO2 calculation)'!AP22+'eq. coef.'!$C$277*'Amp (T-P-fO2 calculation)'!AQ22+'eq. coef.'!$C$278*'Amp (T-P-fO2 calculation)'!AR22))</f>
        <v>1008.6405216557887</v>
      </c>
      <c r="BE22" s="299">
        <f>IF(SUM(H22:S22)&lt;90," ",EXP('eq. coef.'!$C$328+'eq. coef.'!$C$329*'Amp (T-P-fO2 calculation)'!AI22+'eq. coef.'!$C$330*'Amp (T-P-fO2 calculation)'!AJ22+'eq. coef.'!$C$331*'Amp (T-P-fO2 calculation)'!AK22+'eq. coef.'!$C$332*'Amp (T-P-fO2 calculation)'!AM22+'eq. coef.'!$C$333*'Amp (T-P-fO2 calculation)'!AO22+'eq. coef.'!$C$334*'Amp (T-P-fO2 calculation)'!AP22+'eq. coef.'!$C$335*'Amp (T-P-fO2 calculation)'!AQ22+'eq. coef.'!$C$336*'Amp (T-P-fO2 calculation)'!AR22))</f>
        <v>1190.4124259126052</v>
      </c>
      <c r="BF22" s="300" t="str">
        <f t="shared" si="19"/>
        <v>ok</v>
      </c>
      <c r="BG22" s="301" t="str">
        <f t="shared" si="20"/>
        <v>ok</v>
      </c>
      <c r="BH22" s="301" t="str">
        <f t="shared" si="21"/>
        <v>ok</v>
      </c>
      <c r="BI22" s="299">
        <f t="shared" si="22"/>
        <v>21.803678934646683</v>
      </c>
      <c r="BJ22" s="302">
        <f t="shared" si="86"/>
        <v>-0.24471525342714798</v>
      </c>
      <c r="BK22" s="299">
        <f t="shared" si="87"/>
        <v>561.02475865557733</v>
      </c>
      <c r="BL22" s="303">
        <f>IF(SUM(H22:S22)&lt;90," ",'eq. coef.'!$C$360+'eq. coef.'!$C$361*'Amp (T-P-fO2 calculation)'!AI22+'eq. coef.'!$C$362*'Amp (T-P-fO2 calculation)'!AJ22+'eq. coef.'!$C$363*'Amp (T-P-fO2 calculation)'!AK22+'eq. coef.'!$C$364*'Amp (T-P-fO2 calculation)'!AM22+'eq. coef.'!$C$365*'Amp (T-P-fO2 calculation)'!AO22+'eq. coef.'!$C$366*'Amp (T-P-fO2 calculation)'!AP22+'eq. coef.'!$C$367*'Amp (T-P-fO2 calculation)'!AQ22+'eq. coef.'!$C$368*'Amp (T-P-fO2 calculation)'!AR22+'eq. coef.'!$C$369*LN(BO22))</f>
        <v>994.49925340364882</v>
      </c>
      <c r="BM22" s="304">
        <f t="shared" si="25"/>
        <v>22</v>
      </c>
      <c r="BN22" s="305">
        <f t="shared" si="26"/>
        <v>484</v>
      </c>
      <c r="BO22" s="306">
        <f t="shared" si="27"/>
        <v>1190.4124259126052</v>
      </c>
      <c r="BP22" s="299" t="str">
        <f t="shared" si="28"/>
        <v>P1e</v>
      </c>
      <c r="BQ22" s="302"/>
      <c r="BR22" s="302">
        <f t="shared" si="88"/>
        <v>0</v>
      </c>
      <c r="BS22" s="302">
        <f t="shared" si="89"/>
        <v>0</v>
      </c>
      <c r="BT22" s="299">
        <f t="shared" si="31"/>
        <v>142.84949110951263</v>
      </c>
      <c r="BU22" s="311">
        <f t="shared" si="62"/>
        <v>771.45635125803869</v>
      </c>
      <c r="BV22" s="312">
        <f t="shared" si="63"/>
        <v>790.9609831117059</v>
      </c>
      <c r="BW22" s="267">
        <f>IF(SUM(H22:S22)&lt;90," ",'eq. coef.'!$B$1128*'Amp (T-P-fO2 calculation)'!CH22+'eq. coef.'!$B$1129*'Amp (T-P-fO2 calculation)'!CL22+'eq. coef.'!$B$1130*'Amp (T-P-fO2 calculation)'!CM22+'eq. coef.'!$B$1131*'Amp (T-P-fO2 calculation)'!CO22+'eq. coef.'!$B$1132*'Amp (T-P-fO2 calculation)'!CP22+'eq. coef.'!$B$1133*'Amp (T-P-fO2 calculation)'!CQ22+'eq. coef.'!$B$1134*'Amp (T-P-fO2 calculation)'!CR22+'eq. coef.'!$B$1135*'Amp (T-P-fO2 calculation)'!CU22+'eq. coef.'!$B$1135*'Amp (T-P-fO2 calculation)'!CY22+'eq. coef.'!$B$1137*'Amp (T-P-fO2 calculation)'!CZ22)</f>
        <v>4.1061792722392836</v>
      </c>
      <c r="BX22" s="268">
        <f t="shared" si="32"/>
        <v>0.4</v>
      </c>
      <c r="BY22" s="269"/>
      <c r="BZ22" s="282">
        <f t="shared" si="64"/>
        <v>-9.9600873261892993</v>
      </c>
      <c r="CA22" s="269">
        <f t="shared" si="65"/>
        <v>2.5331082630217105</v>
      </c>
      <c r="CB22" s="282">
        <f t="shared" si="66"/>
        <v>-8.4063432981994222</v>
      </c>
      <c r="CC22" s="268">
        <f t="shared" si="33"/>
        <v>-5.8732350351777116</v>
      </c>
      <c r="CD22" s="268"/>
      <c r="CE22" s="267">
        <f>IF(SUM(H22:S22)&lt;90," ",EXP('eq. coef.'!$B$1156*'Amp (T-P-fO2 calculation)'!CH22+'eq. coef.'!$B$1157*'Amp (T-P-fO2 calculation)'!CL22+'eq. coef.'!$B$1158*'Amp (T-P-fO2 calculation)'!CM22+'eq. coef.'!$B$1159*'Amp (T-P-fO2 calculation)'!CO22+'eq. coef.'!$B$1160*'Amp (T-P-fO2 calculation)'!CP22+'eq. coef.'!$B$1161*'Amp (T-P-fO2 calculation)'!CQ22+'eq. coef.'!$B$1162*'Amp (T-P-fO2 calculation)'!CR22+'eq. coef.'!$B$1163*'Amp (T-P-fO2 calculation)'!CU22+'eq. coef.'!$B$1164*'Amp (T-P-fO2 calculation)'!CY22+'eq. coef.'!$B$1165*'Amp (T-P-fO2 calculation)'!CZ22))</f>
        <v>6.8995605926933301</v>
      </c>
      <c r="CF22" s="302">
        <f t="shared" si="34"/>
        <v>1.1729253007578662</v>
      </c>
      <c r="CG22" s="296">
        <f t="shared" si="35"/>
        <v>6.0734593472345599</v>
      </c>
      <c r="CH22" s="296">
        <f t="shared" si="36"/>
        <v>1.9265406527654401</v>
      </c>
      <c r="CI22" s="296">
        <f t="shared" si="37"/>
        <v>0</v>
      </c>
      <c r="CJ22" s="296">
        <f t="shared" si="38"/>
        <v>8</v>
      </c>
      <c r="CK22" s="296"/>
      <c r="CL22" s="296">
        <f t="shared" si="39"/>
        <v>0.30105997448105759</v>
      </c>
      <c r="CM22" s="296">
        <f t="shared" si="40"/>
        <v>0.18377151046310813</v>
      </c>
      <c r="CN22" s="296">
        <f t="shared" si="41"/>
        <v>1.3899964851938169E-3</v>
      </c>
      <c r="CO22" s="296">
        <f t="shared" si="42"/>
        <v>0.8607336977406419</v>
      </c>
      <c r="CP22" s="296">
        <f t="shared" si="43"/>
        <v>2.9240554252048221</v>
      </c>
      <c r="CQ22" s="296">
        <f t="shared" si="44"/>
        <v>0.70032404825469086</v>
      </c>
      <c r="CR22" s="296">
        <f t="shared" si="45"/>
        <v>2.8665347370484914E-2</v>
      </c>
      <c r="CS22" s="296">
        <f t="shared" si="46"/>
        <v>4.9999999999999991</v>
      </c>
      <c r="CT22" s="296"/>
      <c r="CU22" s="296">
        <f t="shared" si="47"/>
        <v>1.7464527555916132</v>
      </c>
      <c r="CV22" s="296">
        <f t="shared" si="48"/>
        <v>0.25354724440838683</v>
      </c>
      <c r="CW22" s="296">
        <f t="shared" si="49"/>
        <v>2</v>
      </c>
      <c r="CX22" s="296"/>
      <c r="CY22" s="296">
        <f t="shared" si="50"/>
        <v>0.43329938949110991</v>
      </c>
      <c r="CZ22" s="296">
        <f t="shared" si="51"/>
        <v>0.21606181804960847</v>
      </c>
      <c r="DA22" s="296">
        <f t="shared" si="52"/>
        <v>0.64936120754071835</v>
      </c>
      <c r="DB22" s="296"/>
      <c r="DC22" s="296">
        <f t="shared" si="53"/>
        <v>1.9932960800423971</v>
      </c>
      <c r="DD22" s="296">
        <f t="shared" si="54"/>
        <v>0</v>
      </c>
      <c r="DE22" s="296">
        <f t="shared" si="55"/>
        <v>6.7039199576028373E-3</v>
      </c>
      <c r="DF22" s="296">
        <f t="shared" si="56"/>
        <v>2</v>
      </c>
      <c r="DG22" s="302">
        <f t="shared" si="57"/>
        <v>45.139266302259358</v>
      </c>
      <c r="DH22" s="302"/>
      <c r="DI22" s="295">
        <f t="shared" si="58"/>
        <v>0.80677408274078344</v>
      </c>
      <c r="DJ22" s="295">
        <f t="shared" si="59"/>
        <v>0.65194685475960579</v>
      </c>
      <c r="DK22" s="295">
        <f t="shared" si="60"/>
        <v>0.13514988764085289</v>
      </c>
      <c r="DL22" s="296">
        <f t="shared" si="61"/>
        <v>2.2276006272464977</v>
      </c>
    </row>
    <row r="23" spans="1:116" ht="13.8" x14ac:dyDescent="0.25">
      <c r="A23" s="287" t="s">
        <v>558</v>
      </c>
      <c r="B23" s="288" t="s">
        <v>537</v>
      </c>
      <c r="C23" s="289">
        <v>579</v>
      </c>
      <c r="D23" s="289" t="s">
        <v>523</v>
      </c>
      <c r="E23" s="290" t="s">
        <v>514</v>
      </c>
      <c r="F23" s="289" t="s">
        <v>535</v>
      </c>
      <c r="G23" s="291"/>
      <c r="H23" s="292">
        <v>40.637999999999998</v>
      </c>
      <c r="I23" s="292">
        <v>1.8</v>
      </c>
      <c r="J23" s="292">
        <v>13.004</v>
      </c>
      <c r="K23" s="292">
        <v>0</v>
      </c>
      <c r="L23" s="292">
        <v>13.108000000000001</v>
      </c>
      <c r="M23" s="292">
        <v>0.24199999999999999</v>
      </c>
      <c r="N23" s="292">
        <v>12.644</v>
      </c>
      <c r="O23" s="292">
        <v>11.324</v>
      </c>
      <c r="P23" s="292">
        <v>2.3039999999999998</v>
      </c>
      <c r="Q23" s="292">
        <v>1.1319999999999999</v>
      </c>
      <c r="R23" s="293">
        <v>0</v>
      </c>
      <c r="S23" s="293">
        <v>1.7000000000000001E-2</v>
      </c>
      <c r="T23" s="294">
        <f t="shared" si="67"/>
        <v>96.213000000000008</v>
      </c>
      <c r="U23" s="295">
        <f>IF(SUM(H23:S23)&lt;90," ",H23/stab.data!$U$7)</f>
        <v>0.67635310565208706</v>
      </c>
      <c r="V23" s="295">
        <f>IF(SUM(H23:S23)&lt;90," ",I23/stab.data!$U$8)</f>
        <v>2.2528724123257154E-2</v>
      </c>
      <c r="W23" s="295">
        <f>IF(SUM(H23:S23)&lt;90," ",J23*2/stab.data!$U$9)</f>
        <v>0.25507792195054974</v>
      </c>
      <c r="X23" s="295">
        <f>IF(SUM(H23:S23)&lt;90," ",K23*2/stab.data!$U$10)</f>
        <v>0</v>
      </c>
      <c r="Y23" s="295">
        <f>IF(SUM(H23:S23)&lt;90," ",L23/stab.data!$U$11)</f>
        <v>0.18244578682181331</v>
      </c>
      <c r="Z23" s="295">
        <f>IF(SUM(H23:S23)&lt;90," ",M23/stab.data!$U$12)</f>
        <v>3.411477790151825E-3</v>
      </c>
      <c r="AA23" s="295">
        <f>IF(SUM(H23:S23)&lt;90," ",N23/stab.data!$U$13)</f>
        <v>0.3137157602223104</v>
      </c>
      <c r="AB23" s="295">
        <f>IF(SUM(H23:S23)&lt;90," ",O23/stab.data!$U$14)</f>
        <v>0.2019294209953815</v>
      </c>
      <c r="AC23" s="295">
        <f>IF(SUM(H23:S23)&lt;90," ",P23*2/stab.data!$U$15)</f>
        <v>7.43477629519676E-2</v>
      </c>
      <c r="AD23" s="295">
        <f>IF(SUM(H23:S23)&lt;90," ",Q23*2/stab.data!$U$16)</f>
        <v>2.4035246032167314E-2</v>
      </c>
      <c r="AE23" s="295">
        <f>IF(SUM(H23:S23)&lt;90," ",R23/stab.data!$U$17)</f>
        <v>0</v>
      </c>
      <c r="AF23" s="295">
        <f>IF(SUM(H23:S23)&lt;90," ",S23/stab.data!$U$18)</f>
        <v>4.7950808112148476E-4</v>
      </c>
      <c r="AG23" s="295">
        <f t="shared" si="68"/>
        <v>1.4535327765601693</v>
      </c>
      <c r="AH23" s="295">
        <f t="shared" si="69"/>
        <v>0.14543924458066357</v>
      </c>
      <c r="AI23" s="296">
        <f t="shared" si="70"/>
        <v>6.0491173747626608</v>
      </c>
      <c r="AJ23" s="296">
        <f t="shared" si="71"/>
        <v>0.20149075296082214</v>
      </c>
      <c r="AK23" s="296">
        <f t="shared" si="72"/>
        <v>2.2813472381438795</v>
      </c>
      <c r="AL23" s="296">
        <f t="shared" si="73"/>
        <v>0</v>
      </c>
      <c r="AM23" s="296">
        <f t="shared" si="74"/>
        <v>1.6317452670702759</v>
      </c>
      <c r="AN23" s="296">
        <f t="shared" si="75"/>
        <v>3.0511325225790586E-2</v>
      </c>
      <c r="AO23" s="296">
        <f t="shared" si="76"/>
        <v>2.8057880418365735</v>
      </c>
      <c r="AP23" s="296">
        <f t="shared" si="77"/>
        <v>1.8060015675410492</v>
      </c>
      <c r="AQ23" s="296">
        <f t="shared" si="78"/>
        <v>0.66494607755793489</v>
      </c>
      <c r="AR23" s="296">
        <f t="shared" si="79"/>
        <v>0.21496467328216509</v>
      </c>
      <c r="AS23" s="296">
        <f t="shared" si="80"/>
        <v>0</v>
      </c>
      <c r="AT23" s="296">
        <f t="shared" si="81"/>
        <v>4.2885892599761818E-3</v>
      </c>
      <c r="AU23" s="295">
        <f t="shared" si="82"/>
        <v>15.685912318381151</v>
      </c>
      <c r="AV23" s="295">
        <f t="shared" si="83"/>
        <v>1.8966978121968425</v>
      </c>
      <c r="AW23" s="295">
        <f>IF(SUM(H23:S23)&lt;90," ",CO23*AG23*stab.data!$U$20/13/2)</f>
        <v>6.4771339627419175</v>
      </c>
      <c r="AX23" s="295">
        <f>IF(SUM(H23:S23)&lt;90," ",CQ23*AG23*stab.data!$U$11/13)</f>
        <v>7.2797921900776386</v>
      </c>
      <c r="AY23" s="295">
        <f t="shared" si="84"/>
        <v>-3.8358248949313242E-3</v>
      </c>
      <c r="AZ23" s="297">
        <f t="shared" si="85"/>
        <v>98.754788140121477</v>
      </c>
      <c r="BA23" s="298">
        <f>IF(SUM(H23:S23)&lt;90," ",EXP('eq. coef.'!$C$104+'eq. coef.'!$C$105*'Amp (T-P-fO2 calculation)'!AI23+'eq. coef.'!$C$106*'Amp (T-P-fO2 calculation)'!AJ23+'eq. coef.'!$C$107*'Amp (T-P-fO2 calculation)'!AK23+'eq. coef.'!$C$108*'Amp (T-P-fO2 calculation)'!AM23+'eq. coef.'!$C$109*'Amp (T-P-fO2 calculation)'!AO23+'eq. coef.'!$C$110*'Amp (T-P-fO2 calculation)'!AP23+'eq. coef.'!$C$111*'Amp (T-P-fO2 calculation)'!AQ23+'eq. coef.'!$C$112*'Amp (T-P-fO2 calculation)'!AR23))</f>
        <v>820.1047017418565</v>
      </c>
      <c r="BB23" s="299">
        <f>IF(SUM(H23:S23)&lt;90," ",EXP('eq. coef.'!$C$176+'eq. coef.'!$C$177*'Amp (T-P-fO2 calculation)'!AI23+'eq. coef.'!$C$178*'Amp (T-P-fO2 calculation)'!AJ23+'eq. coef.'!$C$179*'Amp (T-P-fO2 calculation)'!AK23+'eq. coef.'!$C$180*'Amp (T-P-fO2 calculation)'!AM23+'eq. coef.'!$C$181*'Amp (T-P-fO2 calculation)'!AO23+'eq. coef.'!$C$182*'Amp (T-P-fO2 calculation)'!AP23+'eq. coef.'!$C$183*'Amp (T-P-fO2 calculation)'!AQ23+'eq. coef.'!$C$184*'Amp (T-P-fO2 calculation)'!AR23))</f>
        <v>455.63883431049021</v>
      </c>
      <c r="BC23" s="299">
        <f>IF(SUM(H23:S23)&lt;90," ",('eq. coef.'!$C$234+'eq. coef.'!$C$235*'Amp (T-P-fO2 calculation)'!AI23+'eq. coef.'!$C$236*'Amp (T-P-fO2 calculation)'!AJ23+'eq. coef.'!$C$237*'Amp (T-P-fO2 calculation)'!AK23+'eq. coef.'!$C$238*'Amp (T-P-fO2 calculation)'!AM23+'eq. coef.'!$C$239*'Amp (T-P-fO2 calculation)'!AO23+'eq. coef.'!$C$240*'Amp (T-P-fO2 calculation)'!AP23+'eq. coef.'!$C$241*'Amp (T-P-fO2 calculation)'!AQ23+'eq. coef.'!$C$242*'Amp (T-P-fO2 calculation)'!AR23))</f>
        <v>489.83617655421347</v>
      </c>
      <c r="BD23" s="299">
        <f>IF(SUM(H23:S23)&lt;90," ",('eq. coef.'!$C$270+'eq. coef.'!$C$271*'Amp (T-P-fO2 calculation)'!AI23+'eq. coef.'!$C$272*'Amp (T-P-fO2 calculation)'!AJ23+'eq. coef.'!$C$273*'Amp (T-P-fO2 calculation)'!AK23+'eq. coef.'!$C$274*'Amp (T-P-fO2 calculation)'!AM23+'eq. coef.'!$C$275*'Amp (T-P-fO2 calculation)'!AO23+'eq. coef.'!$C$276*'Amp (T-P-fO2 calculation)'!AP23+'eq. coef.'!$C$277*'Amp (T-P-fO2 calculation)'!AQ23+'eq. coef.'!$C$278*'Amp (T-P-fO2 calculation)'!AR23))</f>
        <v>890.90713300008679</v>
      </c>
      <c r="BE23" s="299">
        <f>IF(SUM(H23:S23)&lt;90," ",EXP('eq. coef.'!$C$328+'eq. coef.'!$C$329*'Amp (T-P-fO2 calculation)'!AI23+'eq. coef.'!$C$330*'Amp (T-P-fO2 calculation)'!AJ23+'eq. coef.'!$C$331*'Amp (T-P-fO2 calculation)'!AK23+'eq. coef.'!$C$332*'Amp (T-P-fO2 calculation)'!AM23+'eq. coef.'!$C$333*'Amp (T-P-fO2 calculation)'!AO23+'eq. coef.'!$C$334*'Amp (T-P-fO2 calculation)'!AP23+'eq. coef.'!$C$335*'Amp (T-P-fO2 calculation)'!AQ23+'eq. coef.'!$C$336*'Amp (T-P-fO2 calculation)'!AR23))</f>
        <v>1158.4396096721764</v>
      </c>
      <c r="BF23" s="300" t="str">
        <f t="shared" si="19"/>
        <v>ok</v>
      </c>
      <c r="BG23" s="301" t="str">
        <f t="shared" si="20"/>
        <v>ok</v>
      </c>
      <c r="BH23" s="301" t="str">
        <f t="shared" si="21"/>
        <v>ok</v>
      </c>
      <c r="BI23" s="299">
        <f t="shared" si="22"/>
        <v>34.200387221908365</v>
      </c>
      <c r="BJ23" s="302">
        <f t="shared" si="86"/>
        <v>-0.41255086967763444</v>
      </c>
      <c r="BK23" s="299">
        <f t="shared" si="87"/>
        <v>435.26829868959658</v>
      </c>
      <c r="BL23" s="303">
        <f>IF(SUM(H23:S23)&lt;90," ",'eq. coef.'!$C$360+'eq. coef.'!$C$361*'Amp (T-P-fO2 calculation)'!AI23+'eq. coef.'!$C$362*'Amp (T-P-fO2 calculation)'!AJ23+'eq. coef.'!$C$363*'Amp (T-P-fO2 calculation)'!AK23+'eq. coef.'!$C$364*'Amp (T-P-fO2 calculation)'!AM23+'eq. coef.'!$C$365*'Amp (T-P-fO2 calculation)'!AO23+'eq. coef.'!$C$366*'Amp (T-P-fO2 calculation)'!AP23+'eq. coef.'!$C$367*'Amp (T-P-fO2 calculation)'!AQ23+'eq. coef.'!$C$368*'Amp (T-P-fO2 calculation)'!AR23+'eq. coef.'!$C$369*LN(BO23))</f>
        <v>987.49753669210827</v>
      </c>
      <c r="BM23" s="304">
        <f t="shared" si="25"/>
        <v>22</v>
      </c>
      <c r="BN23" s="305">
        <f t="shared" si="26"/>
        <v>484</v>
      </c>
      <c r="BO23" s="306">
        <f t="shared" si="27"/>
        <v>1158.4396096721764</v>
      </c>
      <c r="BP23" s="299" t="str">
        <f t="shared" si="28"/>
        <v>P1e</v>
      </c>
      <c r="BQ23" s="302"/>
      <c r="BR23" s="302">
        <f t="shared" si="88"/>
        <v>0</v>
      </c>
      <c r="BS23" s="302">
        <f t="shared" si="89"/>
        <v>0</v>
      </c>
      <c r="BT23" s="299">
        <f t="shared" si="31"/>
        <v>139.01275316066116</v>
      </c>
      <c r="BU23" s="311">
        <f t="shared" si="62"/>
        <v>801.55445336057255</v>
      </c>
      <c r="BV23" s="312">
        <f t="shared" si="63"/>
        <v>810.15719081784778</v>
      </c>
      <c r="BW23" s="267">
        <f>IF(SUM(H23:S23)&lt;90," ",'eq. coef.'!$B$1128*'Amp (T-P-fO2 calculation)'!CH23+'eq. coef.'!$B$1129*'Amp (T-P-fO2 calculation)'!CL23+'eq. coef.'!$B$1130*'Amp (T-P-fO2 calculation)'!CM23+'eq. coef.'!$B$1131*'Amp (T-P-fO2 calculation)'!CO23+'eq. coef.'!$B$1132*'Amp (T-P-fO2 calculation)'!CP23+'eq. coef.'!$B$1133*'Amp (T-P-fO2 calculation)'!CQ23+'eq. coef.'!$B$1134*'Amp (T-P-fO2 calculation)'!CR23+'eq. coef.'!$B$1135*'Amp (T-P-fO2 calculation)'!CU23+'eq. coef.'!$B$1135*'Amp (T-P-fO2 calculation)'!CY23+'eq. coef.'!$B$1137*'Amp (T-P-fO2 calculation)'!CZ23)</f>
        <v>3.733742210522812</v>
      </c>
      <c r="BX23" s="268">
        <f t="shared" si="32"/>
        <v>0.4</v>
      </c>
      <c r="BY23" s="269"/>
      <c r="BZ23" s="282">
        <f t="shared" si="64"/>
        <v>-10.077161180106913</v>
      </c>
      <c r="CA23" s="269">
        <f t="shared" si="65"/>
        <v>2.1717265351485553</v>
      </c>
      <c r="CB23" s="282">
        <f t="shared" si="66"/>
        <v>-8.533448740139141</v>
      </c>
      <c r="CC23" s="268">
        <f t="shared" si="33"/>
        <v>-6.3617222049905857</v>
      </c>
      <c r="CD23" s="268"/>
      <c r="CE23" s="267">
        <f>IF(SUM(H23:S23)&lt;90," ",EXP('eq. coef.'!$B$1156*'Amp (T-P-fO2 calculation)'!CH23+'eq. coef.'!$B$1157*'Amp (T-P-fO2 calculation)'!CL23+'eq. coef.'!$B$1158*'Amp (T-P-fO2 calculation)'!CM23+'eq. coef.'!$B$1159*'Amp (T-P-fO2 calculation)'!CO23+'eq. coef.'!$B$1160*'Amp (T-P-fO2 calculation)'!CP23+'eq. coef.'!$B$1161*'Amp (T-P-fO2 calculation)'!CQ23+'eq. coef.'!$B$1162*'Amp (T-P-fO2 calculation)'!CR23+'eq. coef.'!$B$1163*'Amp (T-P-fO2 calculation)'!CU23+'eq. coef.'!$B$1164*'Amp (T-P-fO2 calculation)'!CY23+'eq. coef.'!$B$1165*'Amp (T-P-fO2 calculation)'!CZ23))</f>
        <v>7.3346089728425454</v>
      </c>
      <c r="CF23" s="302">
        <f t="shared" si="34"/>
        <v>1.2468835253832329</v>
      </c>
      <c r="CG23" s="296">
        <f t="shared" si="35"/>
        <v>6.0491173747626608</v>
      </c>
      <c r="CH23" s="296">
        <f t="shared" si="36"/>
        <v>1.9508826252373392</v>
      </c>
      <c r="CI23" s="296">
        <f t="shared" si="37"/>
        <v>0</v>
      </c>
      <c r="CJ23" s="296">
        <f t="shared" si="38"/>
        <v>8</v>
      </c>
      <c r="CK23" s="296"/>
      <c r="CL23" s="296">
        <f t="shared" si="39"/>
        <v>0.33046461290654028</v>
      </c>
      <c r="CM23" s="296">
        <f t="shared" si="40"/>
        <v>0.20149075296082214</v>
      </c>
      <c r="CN23" s="296">
        <f t="shared" si="41"/>
        <v>0</v>
      </c>
      <c r="CO23" s="296">
        <f t="shared" si="42"/>
        <v>0.72552262048694161</v>
      </c>
      <c r="CP23" s="296">
        <f t="shared" si="43"/>
        <v>2.8057880418365735</v>
      </c>
      <c r="CQ23" s="296">
        <f t="shared" si="44"/>
        <v>0.90622264658333429</v>
      </c>
      <c r="CR23" s="296">
        <f t="shared" si="45"/>
        <v>3.0511325225790586E-2</v>
      </c>
      <c r="CS23" s="296">
        <f t="shared" si="46"/>
        <v>5.0000000000000027</v>
      </c>
      <c r="CT23" s="296"/>
      <c r="CU23" s="296">
        <f t="shared" si="47"/>
        <v>1.8060015675410492</v>
      </c>
      <c r="CV23" s="296">
        <f t="shared" si="48"/>
        <v>0.19399843245895076</v>
      </c>
      <c r="CW23" s="296">
        <f t="shared" si="49"/>
        <v>2</v>
      </c>
      <c r="CX23" s="296"/>
      <c r="CY23" s="296">
        <f t="shared" si="50"/>
        <v>0.47094764509898412</v>
      </c>
      <c r="CZ23" s="296">
        <f t="shared" si="51"/>
        <v>0.21496467328216509</v>
      </c>
      <c r="DA23" s="296">
        <f t="shared" si="52"/>
        <v>0.68591231838114919</v>
      </c>
      <c r="DB23" s="296"/>
      <c r="DC23" s="296">
        <f t="shared" si="53"/>
        <v>1.9957114107400238</v>
      </c>
      <c r="DD23" s="296">
        <f t="shared" si="54"/>
        <v>0</v>
      </c>
      <c r="DE23" s="296">
        <f t="shared" si="55"/>
        <v>4.2885892599761818E-3</v>
      </c>
      <c r="DF23" s="296">
        <f t="shared" si="56"/>
        <v>2</v>
      </c>
      <c r="DG23" s="302">
        <f t="shared" si="57"/>
        <v>45.274477379513058</v>
      </c>
      <c r="DH23" s="302"/>
      <c r="DI23" s="295">
        <f t="shared" si="58"/>
        <v>0.75586744687712992</v>
      </c>
      <c r="DJ23" s="295">
        <f t="shared" si="59"/>
        <v>0.63228551686697232</v>
      </c>
      <c r="DK23" s="295">
        <f t="shared" si="60"/>
        <v>0.14485502574145998</v>
      </c>
      <c r="DL23" s="296">
        <f t="shared" si="61"/>
        <v>2.2813472381438795</v>
      </c>
    </row>
    <row r="24" spans="1:116" ht="13.8" x14ac:dyDescent="0.25">
      <c r="A24" s="287" t="s">
        <v>558</v>
      </c>
      <c r="B24" s="288" t="s">
        <v>537</v>
      </c>
      <c r="C24" s="289">
        <v>588</v>
      </c>
      <c r="D24" s="289" t="s">
        <v>524</v>
      </c>
      <c r="E24" s="310" t="s">
        <v>513</v>
      </c>
      <c r="F24" s="289" t="s">
        <v>535</v>
      </c>
      <c r="G24" s="291"/>
      <c r="H24" s="292">
        <v>38.845999999999997</v>
      </c>
      <c r="I24" s="292">
        <v>1.708</v>
      </c>
      <c r="J24" s="292">
        <v>13.414</v>
      </c>
      <c r="K24" s="292">
        <v>0</v>
      </c>
      <c r="L24" s="292">
        <v>11.692</v>
      </c>
      <c r="M24" s="292">
        <v>0.14899999999999999</v>
      </c>
      <c r="N24" s="292">
        <v>12.183999999999999</v>
      </c>
      <c r="O24" s="292">
        <v>9.9149999999999991</v>
      </c>
      <c r="P24" s="292">
        <v>2.4470000000000001</v>
      </c>
      <c r="Q24" s="292">
        <v>1.159</v>
      </c>
      <c r="R24" s="293">
        <v>0</v>
      </c>
      <c r="S24" s="293">
        <v>2.5999999999999999E-2</v>
      </c>
      <c r="T24" s="294">
        <f t="shared" si="67"/>
        <v>91.539999999999992</v>
      </c>
      <c r="U24" s="295">
        <f>IF(SUM(H24:S24)&lt;90," ",H24/stab.data!$U$7)</f>
        <v>0.6465281938619265</v>
      </c>
      <c r="V24" s="295">
        <f>IF(SUM(H24:S24)&lt;90," ",I24/stab.data!$U$8)</f>
        <v>2.1377256001401789E-2</v>
      </c>
      <c r="W24" s="295">
        <f>IF(SUM(H24:S24)&lt;90," ",J24*2/stab.data!$U$9)</f>
        <v>0.26312021263031943</v>
      </c>
      <c r="X24" s="295">
        <f>IF(SUM(H24:S24)&lt;90," ",K24*2/stab.data!$U$10)</f>
        <v>0</v>
      </c>
      <c r="Y24" s="295">
        <f>IF(SUM(H24:S24)&lt;90," ",L24/stab.data!$U$11)</f>
        <v>0.16273696517551428</v>
      </c>
      <c r="Z24" s="295">
        <f>IF(SUM(H24:S24)&lt;90," ",M24/stab.data!$U$12)</f>
        <v>2.1004553336058758E-3</v>
      </c>
      <c r="AA24" s="295">
        <f>IF(SUM(H24:S24)&lt;90," ",N24/stab.data!$U$13)</f>
        <v>0.30230250099245731</v>
      </c>
      <c r="AB24" s="295">
        <f>IF(SUM(H24:S24)&lt;90," ",O24/stab.data!$U$14)</f>
        <v>0.17680415128657784</v>
      </c>
      <c r="AC24" s="295">
        <f>IF(SUM(H24:S24)&lt;90," ",P24*2/stab.data!$U$15)</f>
        <v>7.896222914212879E-2</v>
      </c>
      <c r="AD24" s="295">
        <f>IF(SUM(H24:S24)&lt;90," ",Q24*2/stab.data!$U$16)</f>
        <v>2.4608524868623603E-2</v>
      </c>
      <c r="AE24" s="295">
        <f>IF(SUM(H24:S24)&lt;90," ",R24/stab.data!$U$17)</f>
        <v>0</v>
      </c>
      <c r="AF24" s="295">
        <f>IF(SUM(H24:S24)&lt;90," ",S24/stab.data!$U$18)</f>
        <v>7.3336530053874139E-4</v>
      </c>
      <c r="AG24" s="295">
        <f t="shared" si="68"/>
        <v>1.3981655839952252</v>
      </c>
      <c r="AH24" s="295">
        <f t="shared" si="69"/>
        <v>0.15675535639966312</v>
      </c>
      <c r="AI24" s="296">
        <f t="shared" si="70"/>
        <v>6.0113527442066879</v>
      </c>
      <c r="AJ24" s="296">
        <f t="shared" si="71"/>
        <v>0.19876353072868391</v>
      </c>
      <c r="AK24" s="296">
        <f t="shared" si="72"/>
        <v>2.446464713013444</v>
      </c>
      <c r="AL24" s="296">
        <f t="shared" si="73"/>
        <v>0</v>
      </c>
      <c r="AM24" s="296">
        <f t="shared" si="74"/>
        <v>1.5131115881399857</v>
      </c>
      <c r="AN24" s="296">
        <f t="shared" si="75"/>
        <v>1.9529817962512255E-2</v>
      </c>
      <c r="AO24" s="296">
        <f t="shared" si="76"/>
        <v>2.8107776059486858</v>
      </c>
      <c r="AP24" s="296">
        <f t="shared" si="77"/>
        <v>1.643906839816307</v>
      </c>
      <c r="AQ24" s="296">
        <f t="shared" si="78"/>
        <v>0.734182696669195</v>
      </c>
      <c r="AR24" s="296">
        <f t="shared" si="79"/>
        <v>0.22880753678542795</v>
      </c>
      <c r="AS24" s="296">
        <f t="shared" si="80"/>
        <v>0</v>
      </c>
      <c r="AT24" s="296">
        <f t="shared" si="81"/>
        <v>6.8187552433962625E-3</v>
      </c>
      <c r="AU24" s="295">
        <f t="shared" si="82"/>
        <v>15.606897073270931</v>
      </c>
      <c r="AV24" s="295">
        <f t="shared" si="83"/>
        <v>1.8221367740160999</v>
      </c>
      <c r="AW24" s="295">
        <f>IF(SUM(H24:S24)&lt;90," ",CO24*AG24*stab.data!$U$20/13/2)</f>
        <v>7.5784403318165294</v>
      </c>
      <c r="AX24" s="295">
        <f>IF(SUM(H24:S24)&lt;90," ",CQ24*AG24*stab.data!$U$11/13)</f>
        <v>4.8728226627713465</v>
      </c>
      <c r="AY24" s="295">
        <f t="shared" si="84"/>
        <v>-5.8665557216596711E-3</v>
      </c>
      <c r="AZ24" s="297">
        <f t="shared" si="85"/>
        <v>94.115533212882298</v>
      </c>
      <c r="BA24" s="298">
        <f>IF(SUM(H24:S24)&lt;90," ",EXP('eq. coef.'!$C$104+'eq. coef.'!$C$105*'Amp (T-P-fO2 calculation)'!AI24+'eq. coef.'!$C$106*'Amp (T-P-fO2 calculation)'!AJ24+'eq. coef.'!$C$107*'Amp (T-P-fO2 calculation)'!AK24+'eq. coef.'!$C$108*'Amp (T-P-fO2 calculation)'!AM24+'eq. coef.'!$C$109*'Amp (T-P-fO2 calculation)'!AO24+'eq. coef.'!$C$110*'Amp (T-P-fO2 calculation)'!AP24+'eq. coef.'!$C$111*'Amp (T-P-fO2 calculation)'!AQ24+'eq. coef.'!$C$112*'Amp (T-P-fO2 calculation)'!AR24))</f>
        <v>1446.6521414116653</v>
      </c>
      <c r="BB24" s="299">
        <f>IF(SUM(H24:S24)&lt;90," ",EXP('eq. coef.'!$C$176+'eq. coef.'!$C$177*'Amp (T-P-fO2 calculation)'!AI24+'eq. coef.'!$C$178*'Amp (T-P-fO2 calculation)'!AJ24+'eq. coef.'!$C$179*'Amp (T-P-fO2 calculation)'!AK24+'eq. coef.'!$C$180*'Amp (T-P-fO2 calculation)'!AM24+'eq. coef.'!$C$181*'Amp (T-P-fO2 calculation)'!AO24+'eq. coef.'!$C$182*'Amp (T-P-fO2 calculation)'!AP24+'eq. coef.'!$C$183*'Amp (T-P-fO2 calculation)'!AQ24+'eq. coef.'!$C$184*'Amp (T-P-fO2 calculation)'!AR24))</f>
        <v>615.4542538819702</v>
      </c>
      <c r="BC24" s="299">
        <f>IF(SUM(H24:S24)&lt;90," ",('eq. coef.'!$C$234+'eq. coef.'!$C$235*'Amp (T-P-fO2 calculation)'!AI24+'eq. coef.'!$C$236*'Amp (T-P-fO2 calculation)'!AJ24+'eq. coef.'!$C$237*'Amp (T-P-fO2 calculation)'!AK24+'eq. coef.'!$C$238*'Amp (T-P-fO2 calculation)'!AM24+'eq. coef.'!$C$239*'Amp (T-P-fO2 calculation)'!AO24+'eq. coef.'!$C$240*'Amp (T-P-fO2 calculation)'!AP24+'eq. coef.'!$C$241*'Amp (T-P-fO2 calculation)'!AQ24+'eq. coef.'!$C$242*'Amp (T-P-fO2 calculation)'!AR24))</f>
        <v>559.41793396734761</v>
      </c>
      <c r="BD24" s="299">
        <f>IF(SUM(H24:S24)&lt;90," ",('eq. coef.'!$C$270+'eq. coef.'!$C$271*'Amp (T-P-fO2 calculation)'!AI24+'eq. coef.'!$C$272*'Amp (T-P-fO2 calculation)'!AJ24+'eq. coef.'!$C$273*'Amp (T-P-fO2 calculation)'!AK24+'eq. coef.'!$C$274*'Amp (T-P-fO2 calculation)'!AM24+'eq. coef.'!$C$275*'Amp (T-P-fO2 calculation)'!AO24+'eq. coef.'!$C$276*'Amp (T-P-fO2 calculation)'!AP24+'eq. coef.'!$C$277*'Amp (T-P-fO2 calculation)'!AQ24+'eq. coef.'!$C$278*'Amp (T-P-fO2 calculation)'!AR24))</f>
        <v>1364.6343547231263</v>
      </c>
      <c r="BE24" s="299">
        <f>IF(SUM(H24:S24)&lt;90," ",EXP('eq. coef.'!$C$328+'eq. coef.'!$C$329*'Amp (T-P-fO2 calculation)'!AI24+'eq. coef.'!$C$330*'Amp (T-P-fO2 calculation)'!AJ24+'eq. coef.'!$C$331*'Amp (T-P-fO2 calculation)'!AK24+'eq. coef.'!$C$332*'Amp (T-P-fO2 calculation)'!AM24+'eq. coef.'!$C$333*'Amp (T-P-fO2 calculation)'!AO24+'eq. coef.'!$C$334*'Amp (T-P-fO2 calculation)'!AP24+'eq. coef.'!$C$335*'Amp (T-P-fO2 calculation)'!AQ24+'eq. coef.'!$C$336*'Amp (T-P-fO2 calculation)'!AR24))</f>
        <v>1649.1376815721158</v>
      </c>
      <c r="BF24" s="300" t="str">
        <f t="shared" si="19"/>
        <v>low Total</v>
      </c>
      <c r="BG24" s="301" t="str">
        <f t="shared" si="20"/>
        <v>ok</v>
      </c>
      <c r="BH24" s="301" t="str">
        <f t="shared" si="21"/>
        <v>ok</v>
      </c>
      <c r="BI24" s="299">
        <f t="shared" si="22"/>
        <v>13.081349299436035</v>
      </c>
      <c r="BJ24" s="302">
        <f t="shared" si="86"/>
        <v>-0.13996836859679479</v>
      </c>
      <c r="BK24" s="299">
        <f t="shared" si="87"/>
        <v>749.1801008411561</v>
      </c>
      <c r="BL24" s="303">
        <f>IF(SUM(H24:S24)&lt;90," ",'eq. coef.'!$C$360+'eq. coef.'!$C$361*'Amp (T-P-fO2 calculation)'!AI24+'eq. coef.'!$C$362*'Amp (T-P-fO2 calculation)'!AJ24+'eq. coef.'!$C$363*'Amp (T-P-fO2 calculation)'!AK24+'eq. coef.'!$C$364*'Amp (T-P-fO2 calculation)'!AM24+'eq. coef.'!$C$365*'Amp (T-P-fO2 calculation)'!AO24+'eq. coef.'!$C$366*'Amp (T-P-fO2 calculation)'!AP24+'eq. coef.'!$C$367*'Amp (T-P-fO2 calculation)'!AQ24+'eq. coef.'!$C$368*'Amp (T-P-fO2 calculation)'!AR24+'eq. coef.'!$C$369*LN(BO24))</f>
        <v>1013.0352567353041</v>
      </c>
      <c r="BM24" s="304">
        <f t="shared" si="25"/>
        <v>22</v>
      </c>
      <c r="BN24" s="305">
        <f t="shared" si="26"/>
        <v>484</v>
      </c>
      <c r="BO24" s="306">
        <f t="shared" si="27"/>
        <v>1649.1376815721158</v>
      </c>
      <c r="BP24" s="299" t="str">
        <f t="shared" si="28"/>
        <v>P1e</v>
      </c>
      <c r="BQ24" s="302"/>
      <c r="BR24" s="302">
        <f t="shared" si="88"/>
        <v>0</v>
      </c>
      <c r="BS24" s="302">
        <f t="shared" si="89"/>
        <v>0</v>
      </c>
      <c r="BT24" s="299">
        <f t="shared" si="31"/>
        <v>197.89652178865387</v>
      </c>
      <c r="BU24" s="311">
        <f t="shared" si="62"/>
        <v>894.02023928752851</v>
      </c>
      <c r="BV24" s="312">
        <f t="shared" si="63"/>
        <v>807.27170585845897</v>
      </c>
      <c r="BW24" s="267">
        <f>IF(SUM(H24:S24)&lt;90," ",'eq. coef.'!$B$1128*'Amp (T-P-fO2 calculation)'!CH24+'eq. coef.'!$B$1129*'Amp (T-P-fO2 calculation)'!CL24+'eq. coef.'!$B$1130*'Amp (T-P-fO2 calculation)'!CM24+'eq. coef.'!$B$1131*'Amp (T-P-fO2 calculation)'!CO24+'eq. coef.'!$B$1132*'Amp (T-P-fO2 calculation)'!CP24+'eq. coef.'!$B$1133*'Amp (T-P-fO2 calculation)'!CQ24+'eq. coef.'!$B$1134*'Amp (T-P-fO2 calculation)'!CR24+'eq. coef.'!$B$1135*'Amp (T-P-fO2 calculation)'!CU24+'eq. coef.'!$B$1135*'Amp (T-P-fO2 calculation)'!CY24+'eq. coef.'!$B$1137*'Amp (T-P-fO2 calculation)'!CZ24)</f>
        <v>3.7780904106365734</v>
      </c>
      <c r="BX24" s="268">
        <f t="shared" si="32"/>
        <v>0.4</v>
      </c>
      <c r="BY24" s="269"/>
      <c r="BZ24" s="282">
        <f t="shared" si="64"/>
        <v>-9.5160999354809075</v>
      </c>
      <c r="CA24" s="269">
        <f t="shared" si="65"/>
        <v>2.1708888634835093</v>
      </c>
      <c r="CB24" s="282">
        <f t="shared" si="66"/>
        <v>-7.9373722933316309</v>
      </c>
      <c r="CC24" s="268">
        <f t="shared" si="33"/>
        <v>-5.7664834298481216</v>
      </c>
      <c r="CD24" s="268"/>
      <c r="CE24" s="267">
        <f>IF(SUM(H24:S24)&lt;90," ",EXP('eq. coef.'!$B$1156*'Amp (T-P-fO2 calculation)'!CH24+'eq. coef.'!$B$1157*'Amp (T-P-fO2 calculation)'!CL24+'eq. coef.'!$B$1158*'Amp (T-P-fO2 calculation)'!CM24+'eq. coef.'!$B$1159*'Amp (T-P-fO2 calculation)'!CO24+'eq. coef.'!$B$1160*'Amp (T-P-fO2 calculation)'!CP24+'eq. coef.'!$B$1161*'Amp (T-P-fO2 calculation)'!CQ24+'eq. coef.'!$B$1162*'Amp (T-P-fO2 calculation)'!CR24+'eq. coef.'!$B$1163*'Amp (T-P-fO2 calculation)'!CU24+'eq. coef.'!$B$1164*'Amp (T-P-fO2 calculation)'!CY24+'eq. coef.'!$B$1165*'Amp (T-P-fO2 calculation)'!CZ24))</f>
        <v>7.3458459040829158</v>
      </c>
      <c r="CF24" s="302">
        <f t="shared" si="34"/>
        <v>1.2487938036940958</v>
      </c>
      <c r="CG24" s="296">
        <f t="shared" si="35"/>
        <v>6.0113527442066879</v>
      </c>
      <c r="CH24" s="296">
        <f t="shared" si="36"/>
        <v>1.9886472557933121</v>
      </c>
      <c r="CI24" s="296">
        <f t="shared" si="37"/>
        <v>0</v>
      </c>
      <c r="CJ24" s="296">
        <f t="shared" si="38"/>
        <v>8</v>
      </c>
      <c r="CK24" s="296"/>
      <c r="CL24" s="296">
        <f t="shared" si="39"/>
        <v>0.4578174572201319</v>
      </c>
      <c r="CM24" s="296">
        <f t="shared" si="40"/>
        <v>0.19876353072868391</v>
      </c>
      <c r="CN24" s="296">
        <f t="shared" si="41"/>
        <v>0</v>
      </c>
      <c r="CO24" s="296">
        <f t="shared" si="42"/>
        <v>0.88249882402858759</v>
      </c>
      <c r="CP24" s="296">
        <f t="shared" si="43"/>
        <v>2.8107776059486858</v>
      </c>
      <c r="CQ24" s="296">
        <f t="shared" si="44"/>
        <v>0.63061276411139811</v>
      </c>
      <c r="CR24" s="296">
        <f t="shared" si="45"/>
        <v>1.9529817962512255E-2</v>
      </c>
      <c r="CS24" s="296">
        <f t="shared" si="46"/>
        <v>5</v>
      </c>
      <c r="CT24" s="296"/>
      <c r="CU24" s="296">
        <f t="shared" si="47"/>
        <v>1.643906839816307</v>
      </c>
      <c r="CV24" s="296">
        <f t="shared" si="48"/>
        <v>0.35609316018369297</v>
      </c>
      <c r="CW24" s="296">
        <f t="shared" si="49"/>
        <v>2</v>
      </c>
      <c r="CX24" s="296"/>
      <c r="CY24" s="296">
        <f t="shared" si="50"/>
        <v>0.37808953648550203</v>
      </c>
      <c r="CZ24" s="296">
        <f t="shared" si="51"/>
        <v>0.22880753678542795</v>
      </c>
      <c r="DA24" s="296">
        <f t="shared" si="52"/>
        <v>0.60689707327093001</v>
      </c>
      <c r="DB24" s="296"/>
      <c r="DC24" s="296">
        <f t="shared" si="53"/>
        <v>1.9931812447566037</v>
      </c>
      <c r="DD24" s="296">
        <f t="shared" si="54"/>
        <v>0</v>
      </c>
      <c r="DE24" s="296">
        <f t="shared" si="55"/>
        <v>6.8187552433962625E-3</v>
      </c>
      <c r="DF24" s="296">
        <f t="shared" si="56"/>
        <v>2</v>
      </c>
      <c r="DG24" s="302">
        <f t="shared" si="57"/>
        <v>45.117501175971412</v>
      </c>
      <c r="DH24" s="302"/>
      <c r="DI24" s="295">
        <f t="shared" si="58"/>
        <v>0.81675639892594099</v>
      </c>
      <c r="DJ24" s="295">
        <f t="shared" si="59"/>
        <v>0.65005773269846745</v>
      </c>
      <c r="DK24" s="295">
        <f t="shared" si="60"/>
        <v>0.18713429823241273</v>
      </c>
      <c r="DL24" s="296">
        <f t="shared" si="61"/>
        <v>2.446464713013444</v>
      </c>
    </row>
    <row r="25" spans="1:116" ht="13.8" x14ac:dyDescent="0.25">
      <c r="A25" s="287" t="s">
        <v>558</v>
      </c>
      <c r="B25" s="288" t="s">
        <v>537</v>
      </c>
      <c r="C25" s="289">
        <v>588</v>
      </c>
      <c r="D25" s="289" t="s">
        <v>524</v>
      </c>
      <c r="E25" s="310" t="s">
        <v>513</v>
      </c>
      <c r="F25" s="289" t="s">
        <v>535</v>
      </c>
      <c r="G25" s="291"/>
      <c r="H25" s="292">
        <v>40.4</v>
      </c>
      <c r="I25" s="292">
        <v>1.55</v>
      </c>
      <c r="J25" s="292">
        <v>11.95</v>
      </c>
      <c r="K25" s="292">
        <v>1E-3</v>
      </c>
      <c r="L25" s="292">
        <v>11.053000000000001</v>
      </c>
      <c r="M25" s="292">
        <v>0.19600000000000001</v>
      </c>
      <c r="N25" s="292">
        <v>12.853</v>
      </c>
      <c r="O25" s="292">
        <v>10.677</v>
      </c>
      <c r="P25" s="292">
        <v>2.1469999999999998</v>
      </c>
      <c r="Q25" s="292">
        <v>0.79400000000000004</v>
      </c>
      <c r="R25" s="293">
        <v>0</v>
      </c>
      <c r="S25" s="293">
        <v>3.2000000000000001E-2</v>
      </c>
      <c r="T25" s="294">
        <f t="shared" si="67"/>
        <v>91.652999999999977</v>
      </c>
      <c r="U25" s="295">
        <f>IF(SUM(H25:S25)&lt;90," ",H25/stab.data!$U$7)</f>
        <v>0.6723919845549563</v>
      </c>
      <c r="V25" s="295">
        <f>IF(SUM(H25:S25)&lt;90," ",I25/stab.data!$U$8)</f>
        <v>1.939973466169366E-2</v>
      </c>
      <c r="W25" s="295">
        <f>IF(SUM(H25:S25)&lt;90," ",J25*2/stab.data!$U$9)</f>
        <v>0.23440335030060513</v>
      </c>
      <c r="X25" s="295">
        <f>IF(SUM(H25:S25)&lt;90," ",K25*2/stab.data!$U$10)</f>
        <v>1.3158743129491242E-5</v>
      </c>
      <c r="Y25" s="295">
        <f>IF(SUM(H25:S25)&lt;90," ",L25/stab.data!$U$11)</f>
        <v>0.15384294184784122</v>
      </c>
      <c r="Z25" s="295">
        <f>IF(SUM(H25:S25)&lt;90," ",M25/stab.data!$U$12)</f>
        <v>2.7630150697097425E-3</v>
      </c>
      <c r="AA25" s="295">
        <f>IF(SUM(H25:S25)&lt;90," ",N25/stab.data!$U$13)</f>
        <v>0.31890134974196105</v>
      </c>
      <c r="AB25" s="295">
        <f>IF(SUM(H25:S25)&lt;90," ",O25/stab.data!$U$14)</f>
        <v>0.19039212539453271</v>
      </c>
      <c r="AC25" s="295">
        <f>IF(SUM(H25:S25)&lt;90," ",P25*2/stab.data!$U$15)</f>
        <v>6.9281530841091329E-2</v>
      </c>
      <c r="AD25" s="295">
        <f>IF(SUM(H25:S25)&lt;90," ",Q25*2/stab.data!$U$16)</f>
        <v>1.6858644301714531E-2</v>
      </c>
      <c r="AE25" s="295">
        <f>IF(SUM(H25:S25)&lt;90," ",R25/stab.data!$U$17)</f>
        <v>0</v>
      </c>
      <c r="AF25" s="295">
        <f>IF(SUM(H25:S25)&lt;90," ",S25/stab.data!$U$18)</f>
        <v>9.0260344681691244E-4</v>
      </c>
      <c r="AG25" s="295">
        <f t="shared" si="68"/>
        <v>1.4017155349198966</v>
      </c>
      <c r="AH25" s="295">
        <f t="shared" si="69"/>
        <v>0.13967147482525569</v>
      </c>
      <c r="AI25" s="296">
        <f t="shared" si="70"/>
        <v>6.2359983758858428</v>
      </c>
      <c r="AJ25" s="296">
        <f t="shared" si="71"/>
        <v>0.17991992263710607</v>
      </c>
      <c r="AK25" s="296">
        <f t="shared" si="72"/>
        <v>2.1739386330493984</v>
      </c>
      <c r="AL25" s="296">
        <f t="shared" si="73"/>
        <v>1.2203878491876875E-4</v>
      </c>
      <c r="AM25" s="296">
        <f t="shared" si="74"/>
        <v>1.4267932360015021</v>
      </c>
      <c r="AN25" s="296">
        <f t="shared" si="75"/>
        <v>2.5625167882782518E-2</v>
      </c>
      <c r="AO25" s="296">
        <f t="shared" si="76"/>
        <v>2.9576026257584478</v>
      </c>
      <c r="AP25" s="296">
        <f t="shared" si="77"/>
        <v>1.7657631441392057</v>
      </c>
      <c r="AQ25" s="296">
        <f t="shared" si="78"/>
        <v>0.64254114226226144</v>
      </c>
      <c r="AR25" s="296">
        <f t="shared" si="79"/>
        <v>0.15635296211139824</v>
      </c>
      <c r="AS25" s="296">
        <f t="shared" si="80"/>
        <v>0</v>
      </c>
      <c r="AT25" s="296">
        <f t="shared" si="81"/>
        <v>8.3710599735133933E-3</v>
      </c>
      <c r="AU25" s="295">
        <f t="shared" si="82"/>
        <v>15.564657248512866</v>
      </c>
      <c r="AV25" s="295">
        <f t="shared" si="83"/>
        <v>1.8253404932896133</v>
      </c>
      <c r="AW25" s="295">
        <f>IF(SUM(H25:S25)&lt;90," ",CO25*AG25*stab.data!$U$20/13/2)</f>
        <v>5.7138290098201745</v>
      </c>
      <c r="AX25" s="295">
        <f>IF(SUM(H25:S25)&lt;90," ",CQ25*AG25*stab.data!$U$11/13)</f>
        <v>5.9116237290825371</v>
      </c>
      <c r="AY25" s="295">
        <f t="shared" si="84"/>
        <v>-7.2203762728119038E-3</v>
      </c>
      <c r="AZ25" s="297">
        <f t="shared" si="85"/>
        <v>94.043572855919493</v>
      </c>
      <c r="BA25" s="298">
        <f>IF(SUM(H25:S25)&lt;90," ",EXP('eq. coef.'!$C$104+'eq. coef.'!$C$105*'Amp (T-P-fO2 calculation)'!AI25+'eq. coef.'!$C$106*'Amp (T-P-fO2 calculation)'!AJ25+'eq. coef.'!$C$107*'Amp (T-P-fO2 calculation)'!AK25+'eq. coef.'!$C$108*'Amp (T-P-fO2 calculation)'!AM25+'eq. coef.'!$C$109*'Amp (T-P-fO2 calculation)'!AO25+'eq. coef.'!$C$110*'Amp (T-P-fO2 calculation)'!AP25+'eq. coef.'!$C$111*'Amp (T-P-fO2 calculation)'!AQ25+'eq. coef.'!$C$112*'Amp (T-P-fO2 calculation)'!AR25))</f>
        <v>622.33863817174927</v>
      </c>
      <c r="BB25" s="299">
        <f>IF(SUM(H25:S25)&lt;90," ",EXP('eq. coef.'!$C$176+'eq. coef.'!$C$177*'Amp (T-P-fO2 calculation)'!AI25+'eq. coef.'!$C$178*'Amp (T-P-fO2 calculation)'!AJ25+'eq. coef.'!$C$179*'Amp (T-P-fO2 calculation)'!AK25+'eq. coef.'!$C$180*'Amp (T-P-fO2 calculation)'!AM25+'eq. coef.'!$C$181*'Amp (T-P-fO2 calculation)'!AO25+'eq. coef.'!$C$182*'Amp (T-P-fO2 calculation)'!AP25+'eq. coef.'!$C$183*'Amp (T-P-fO2 calculation)'!AQ25+'eq. coef.'!$C$184*'Amp (T-P-fO2 calculation)'!AR25))</f>
        <v>414.41107964923469</v>
      </c>
      <c r="BC25" s="299">
        <f>IF(SUM(H25:S25)&lt;90," ",('eq. coef.'!$C$234+'eq. coef.'!$C$235*'Amp (T-P-fO2 calculation)'!AI25+'eq. coef.'!$C$236*'Amp (T-P-fO2 calculation)'!AJ25+'eq. coef.'!$C$237*'Amp (T-P-fO2 calculation)'!AK25+'eq. coef.'!$C$238*'Amp (T-P-fO2 calculation)'!AM25+'eq. coef.'!$C$239*'Amp (T-P-fO2 calculation)'!AO25+'eq. coef.'!$C$240*'Amp (T-P-fO2 calculation)'!AP25+'eq. coef.'!$C$241*'Amp (T-P-fO2 calculation)'!AQ25+'eq. coef.'!$C$242*'Amp (T-P-fO2 calculation)'!AR25))</f>
        <v>430.92821126385877</v>
      </c>
      <c r="BD25" s="299">
        <f>IF(SUM(H25:S25)&lt;90," ",('eq. coef.'!$C$270+'eq. coef.'!$C$271*'Amp (T-P-fO2 calculation)'!AI25+'eq. coef.'!$C$272*'Amp (T-P-fO2 calculation)'!AJ25+'eq. coef.'!$C$273*'Amp (T-P-fO2 calculation)'!AK25+'eq. coef.'!$C$274*'Amp (T-P-fO2 calculation)'!AM25+'eq. coef.'!$C$275*'Amp (T-P-fO2 calculation)'!AO25+'eq. coef.'!$C$276*'Amp (T-P-fO2 calculation)'!AP25+'eq. coef.'!$C$277*'Amp (T-P-fO2 calculation)'!AQ25+'eq. coef.'!$C$278*'Amp (T-P-fO2 calculation)'!AR25))</f>
        <v>766.17826689051117</v>
      </c>
      <c r="BE25" s="299">
        <f>IF(SUM(H25:S25)&lt;90," ",EXP('eq. coef.'!$C$328+'eq. coef.'!$C$329*'Amp (T-P-fO2 calculation)'!AI25+'eq. coef.'!$C$330*'Amp (T-P-fO2 calculation)'!AJ25+'eq. coef.'!$C$331*'Amp (T-P-fO2 calculation)'!AK25+'eq. coef.'!$C$332*'Amp (T-P-fO2 calculation)'!AM25+'eq. coef.'!$C$333*'Amp (T-P-fO2 calculation)'!AO25+'eq. coef.'!$C$334*'Amp (T-P-fO2 calculation)'!AP25+'eq. coef.'!$C$335*'Amp (T-P-fO2 calculation)'!AQ25+'eq. coef.'!$C$336*'Amp (T-P-fO2 calculation)'!AR25))</f>
        <v>1131.1426076001039</v>
      </c>
      <c r="BF25" s="300" t="str">
        <f t="shared" si="19"/>
        <v>low Total</v>
      </c>
      <c r="BG25" s="301" t="str">
        <f t="shared" si="20"/>
        <v>ok</v>
      </c>
      <c r="BH25" s="301" t="str">
        <f t="shared" si="21"/>
        <v>ok</v>
      </c>
      <c r="BI25" s="299">
        <f t="shared" si="22"/>
        <v>58.033579846402937</v>
      </c>
      <c r="BJ25" s="302">
        <f t="shared" si="86"/>
        <v>-0.81756770063814999</v>
      </c>
      <c r="BK25" s="299">
        <f t="shared" si="87"/>
        <v>351.76718724127647</v>
      </c>
      <c r="BL25" s="303">
        <f>IF(SUM(H25:S25)&lt;90," ",'eq. coef.'!$C$360+'eq. coef.'!$C$361*'Amp (T-P-fO2 calculation)'!AI25+'eq. coef.'!$C$362*'Amp (T-P-fO2 calculation)'!AJ25+'eq. coef.'!$C$363*'Amp (T-P-fO2 calculation)'!AK25+'eq. coef.'!$C$364*'Amp (T-P-fO2 calculation)'!AM25+'eq. coef.'!$C$365*'Amp (T-P-fO2 calculation)'!AO25+'eq. coef.'!$C$366*'Amp (T-P-fO2 calculation)'!AP25+'eq. coef.'!$C$367*'Amp (T-P-fO2 calculation)'!AQ25+'eq. coef.'!$C$368*'Amp (T-P-fO2 calculation)'!AR25+'eq. coef.'!$C$369*LN(BO25))</f>
        <v>983.42798838753379</v>
      </c>
      <c r="BM25" s="304">
        <f t="shared" si="25"/>
        <v>22</v>
      </c>
      <c r="BN25" s="305">
        <f t="shared" si="26"/>
        <v>484</v>
      </c>
      <c r="BO25" s="306">
        <f t="shared" si="27"/>
        <v>1131.1426076001039</v>
      </c>
      <c r="BP25" s="299" t="str">
        <f t="shared" si="28"/>
        <v>P1e</v>
      </c>
      <c r="BQ25" s="302"/>
      <c r="BR25" s="302">
        <f t="shared" si="88"/>
        <v>0</v>
      </c>
      <c r="BS25" s="302">
        <f t="shared" si="89"/>
        <v>0</v>
      </c>
      <c r="BT25" s="299">
        <f t="shared" si="31"/>
        <v>135.73711291201246</v>
      </c>
      <c r="BU25" s="311">
        <f t="shared" si="62"/>
        <v>741.40563450766308</v>
      </c>
      <c r="BV25" s="312">
        <f t="shared" si="63"/>
        <v>786.6397273620446</v>
      </c>
      <c r="BW25" s="267">
        <f>IF(SUM(H25:S25)&lt;90," ",'eq. coef.'!$B$1128*'Amp (T-P-fO2 calculation)'!CH25+'eq. coef.'!$B$1129*'Amp (T-P-fO2 calculation)'!CL25+'eq. coef.'!$B$1130*'Amp (T-P-fO2 calculation)'!CM25+'eq. coef.'!$B$1131*'Amp (T-P-fO2 calculation)'!CO25+'eq. coef.'!$B$1132*'Amp (T-P-fO2 calculation)'!CP25+'eq. coef.'!$B$1133*'Amp (T-P-fO2 calculation)'!CQ25+'eq. coef.'!$B$1134*'Amp (T-P-fO2 calculation)'!CR25+'eq. coef.'!$B$1135*'Amp (T-P-fO2 calculation)'!CU25+'eq. coef.'!$B$1135*'Amp (T-P-fO2 calculation)'!CY25+'eq. coef.'!$B$1137*'Amp (T-P-fO2 calculation)'!CZ25)</f>
        <v>2.8812336622032459</v>
      </c>
      <c r="BX25" s="268">
        <f t="shared" si="32"/>
        <v>0.4</v>
      </c>
      <c r="BY25" s="269"/>
      <c r="BZ25" s="282">
        <f t="shared" si="64"/>
        <v>-10.149147602865483</v>
      </c>
      <c r="CA25" s="269">
        <f t="shared" si="65"/>
        <v>1.3257939669624639</v>
      </c>
      <c r="CB25" s="282">
        <f t="shared" si="66"/>
        <v>-8.6112669554260322</v>
      </c>
      <c r="CC25" s="268">
        <f t="shared" si="33"/>
        <v>-7.2854729884635683</v>
      </c>
      <c r="CD25" s="268"/>
      <c r="CE25" s="267">
        <f>IF(SUM(H25:S25)&lt;90," ",EXP('eq. coef.'!$B$1156*'Amp (T-P-fO2 calculation)'!CH25+'eq. coef.'!$B$1157*'Amp (T-P-fO2 calculation)'!CL25+'eq. coef.'!$B$1158*'Amp (T-P-fO2 calculation)'!CM25+'eq. coef.'!$B$1159*'Amp (T-P-fO2 calculation)'!CO25+'eq. coef.'!$B$1160*'Amp (T-P-fO2 calculation)'!CP25+'eq. coef.'!$B$1161*'Amp (T-P-fO2 calculation)'!CQ25+'eq. coef.'!$B$1162*'Amp (T-P-fO2 calculation)'!CR25+'eq. coef.'!$B$1163*'Amp (T-P-fO2 calculation)'!CU25+'eq. coef.'!$B$1164*'Amp (T-P-fO2 calculation)'!CY25+'eq. coef.'!$B$1165*'Amp (T-P-fO2 calculation)'!CZ25))</f>
        <v>7.5063764813137199</v>
      </c>
      <c r="CF25" s="302">
        <f t="shared" si="34"/>
        <v>1.2760840018233324</v>
      </c>
      <c r="CG25" s="296">
        <f t="shared" si="35"/>
        <v>6.2359983758858428</v>
      </c>
      <c r="CH25" s="296">
        <f t="shared" si="36"/>
        <v>1.7640016241141572</v>
      </c>
      <c r="CI25" s="296">
        <f t="shared" si="37"/>
        <v>0</v>
      </c>
      <c r="CJ25" s="296">
        <f t="shared" si="38"/>
        <v>8</v>
      </c>
      <c r="CK25" s="296"/>
      <c r="CL25" s="296">
        <f t="shared" si="39"/>
        <v>0.40993700893524121</v>
      </c>
      <c r="CM25" s="296">
        <f t="shared" si="40"/>
        <v>0.17991992263710607</v>
      </c>
      <c r="CN25" s="296">
        <f t="shared" si="41"/>
        <v>1.2203878491876875E-4</v>
      </c>
      <c r="CO25" s="296">
        <f t="shared" si="42"/>
        <v>0.66368233846771574</v>
      </c>
      <c r="CP25" s="296">
        <f t="shared" si="43"/>
        <v>2.9576026257584478</v>
      </c>
      <c r="CQ25" s="296">
        <f t="shared" si="44"/>
        <v>0.76311089753378636</v>
      </c>
      <c r="CR25" s="296">
        <f t="shared" si="45"/>
        <v>2.5625167882782518E-2</v>
      </c>
      <c r="CS25" s="296">
        <f t="shared" si="46"/>
        <v>4.9999999999999982</v>
      </c>
      <c r="CT25" s="296"/>
      <c r="CU25" s="296">
        <f t="shared" si="47"/>
        <v>1.7657631441392057</v>
      </c>
      <c r="CV25" s="296">
        <f t="shared" si="48"/>
        <v>0.23423685586079435</v>
      </c>
      <c r="CW25" s="296">
        <f t="shared" si="49"/>
        <v>2</v>
      </c>
      <c r="CX25" s="296"/>
      <c r="CY25" s="296">
        <f t="shared" si="50"/>
        <v>0.4083042864014671</v>
      </c>
      <c r="CZ25" s="296">
        <f t="shared" si="51"/>
        <v>0.15635296211139824</v>
      </c>
      <c r="DA25" s="296">
        <f t="shared" si="52"/>
        <v>0.56465724851286536</v>
      </c>
      <c r="DB25" s="296"/>
      <c r="DC25" s="296">
        <f t="shared" si="53"/>
        <v>1.9916289400264866</v>
      </c>
      <c r="DD25" s="296">
        <f t="shared" si="54"/>
        <v>0</v>
      </c>
      <c r="DE25" s="296">
        <f t="shared" si="55"/>
        <v>8.3710599735133933E-3</v>
      </c>
      <c r="DF25" s="296">
        <f t="shared" si="56"/>
        <v>2</v>
      </c>
      <c r="DG25" s="302">
        <f t="shared" si="57"/>
        <v>45.336317661532284</v>
      </c>
      <c r="DH25" s="302"/>
      <c r="DI25" s="295">
        <f t="shared" si="58"/>
        <v>0.7949020012541691</v>
      </c>
      <c r="DJ25" s="295">
        <f t="shared" si="59"/>
        <v>0.67457472340812541</v>
      </c>
      <c r="DK25" s="295">
        <f t="shared" si="60"/>
        <v>0.18856880442858676</v>
      </c>
      <c r="DL25" s="296">
        <f t="shared" si="61"/>
        <v>2.1739386330493984</v>
      </c>
    </row>
    <row r="26" spans="1:116" ht="13.8" x14ac:dyDescent="0.25">
      <c r="A26" s="287" t="s">
        <v>558</v>
      </c>
      <c r="B26" s="288" t="s">
        <v>537</v>
      </c>
      <c r="C26" s="289">
        <v>588</v>
      </c>
      <c r="D26" s="289" t="s">
        <v>524</v>
      </c>
      <c r="E26" s="310" t="s">
        <v>513</v>
      </c>
      <c r="F26" s="289" t="s">
        <v>535</v>
      </c>
      <c r="G26" s="291"/>
      <c r="H26" s="292">
        <v>39.777000000000001</v>
      </c>
      <c r="I26" s="292">
        <v>1.7509999999999999</v>
      </c>
      <c r="J26" s="292">
        <v>12.18</v>
      </c>
      <c r="K26" s="292">
        <v>0</v>
      </c>
      <c r="L26" s="292">
        <v>11.367000000000001</v>
      </c>
      <c r="M26" s="292">
        <v>0.20499999999999999</v>
      </c>
      <c r="N26" s="292">
        <v>12.74</v>
      </c>
      <c r="O26" s="292">
        <v>10.061</v>
      </c>
      <c r="P26" s="292">
        <v>2.4500000000000002</v>
      </c>
      <c r="Q26" s="292">
        <v>1.046</v>
      </c>
      <c r="R26" s="293">
        <v>0</v>
      </c>
      <c r="S26" s="293">
        <v>2.5999999999999999E-2</v>
      </c>
      <c r="T26" s="294">
        <f t="shared" si="67"/>
        <v>91.602999999999994</v>
      </c>
      <c r="U26" s="295">
        <f>IF(SUM(H26:S26)&lt;90," ",H26/stab.data!$U$7)</f>
        <v>0.66202316756540835</v>
      </c>
      <c r="V26" s="295">
        <f>IF(SUM(H26:S26)&lt;90," ",I26/stab.data!$U$8)</f>
        <v>2.1915442188790709E-2</v>
      </c>
      <c r="W26" s="295">
        <f>IF(SUM(H26:S26)&lt;90," ",J26*2/stab.data!$U$9)</f>
        <v>0.23891487921852472</v>
      </c>
      <c r="X26" s="295">
        <f>IF(SUM(H26:S26)&lt;90," ",K26*2/stab.data!$U$10)</f>
        <v>0</v>
      </c>
      <c r="Y26" s="295">
        <f>IF(SUM(H26:S26)&lt;90," ",L26/stab.data!$U$11)</f>
        <v>0.15821340088522673</v>
      </c>
      <c r="Z26" s="295">
        <f>IF(SUM(H26:S26)&lt;90," ",M26/stab.data!$U$12)</f>
        <v>2.8898882106658018E-3</v>
      </c>
      <c r="AA26" s="295">
        <f>IF(SUM(H26:S26)&lt;90," ",N26/stab.data!$U$13)</f>
        <v>0.31609765780071458</v>
      </c>
      <c r="AB26" s="295">
        <f>IF(SUM(H26:S26)&lt;90," ",O26/stab.data!$U$14)</f>
        <v>0.17940762139125163</v>
      </c>
      <c r="AC26" s="295">
        <f>IF(SUM(H26:S26)&lt;90," ",P26*2/stab.data!$U$15)</f>
        <v>7.9059036125139162E-2</v>
      </c>
      <c r="AD26" s="295">
        <f>IF(SUM(H26:S26)&lt;90," ",Q26*2/stab.data!$U$16)</f>
        <v>2.2209246775306547E-2</v>
      </c>
      <c r="AE26" s="295">
        <f>IF(SUM(H26:S26)&lt;90," ",R26/stab.data!$U$17)</f>
        <v>0</v>
      </c>
      <c r="AF26" s="295">
        <f>IF(SUM(H26:S26)&lt;90," ",S26/stab.data!$U$18)</f>
        <v>7.3336530053874139E-4</v>
      </c>
      <c r="AG26" s="295">
        <f t="shared" si="68"/>
        <v>1.400054435869331</v>
      </c>
      <c r="AH26" s="295">
        <f t="shared" si="69"/>
        <v>0.142149441531254</v>
      </c>
      <c r="AI26" s="296">
        <f t="shared" si="70"/>
        <v>6.1471189675610205</v>
      </c>
      <c r="AJ26" s="296">
        <f t="shared" si="71"/>
        <v>0.20349262225463166</v>
      </c>
      <c r="AK26" s="296">
        <f t="shared" si="72"/>
        <v>2.2184090491540709</v>
      </c>
      <c r="AL26" s="296">
        <f t="shared" si="73"/>
        <v>0</v>
      </c>
      <c r="AM26" s="296">
        <f t="shared" si="74"/>
        <v>1.4690673153939489</v>
      </c>
      <c r="AN26" s="296">
        <f t="shared" si="75"/>
        <v>2.6833632876087504E-2</v>
      </c>
      <c r="AO26" s="296">
        <f t="shared" si="76"/>
        <v>2.9350784127602401</v>
      </c>
      <c r="AP26" s="296">
        <f t="shared" si="77"/>
        <v>1.6658631395557735</v>
      </c>
      <c r="AQ26" s="296">
        <f t="shared" si="78"/>
        <v>0.73409107767201998</v>
      </c>
      <c r="AR26" s="296">
        <f t="shared" si="79"/>
        <v>0.20622070162558434</v>
      </c>
      <c r="AS26" s="296">
        <f t="shared" si="80"/>
        <v>0</v>
      </c>
      <c r="AT26" s="296">
        <f t="shared" si="81"/>
        <v>6.8095558735070758E-3</v>
      </c>
      <c r="AU26" s="295">
        <f t="shared" si="82"/>
        <v>15.606174918853377</v>
      </c>
      <c r="AV26" s="295">
        <f t="shared" si="83"/>
        <v>1.824606811082238</v>
      </c>
      <c r="AW26" s="295">
        <f>IF(SUM(H26:S26)&lt;90," ",CO26*AG26*stab.data!$U$20/13/2)</f>
        <v>6.9508922684194676</v>
      </c>
      <c r="AX26" s="295">
        <f>IF(SUM(H26:S26)&lt;90," ",CQ26*AG26*stab.data!$U$11/13)</f>
        <v>5.1124984198625469</v>
      </c>
      <c r="AY26" s="295">
        <f t="shared" si="84"/>
        <v>-5.8665557216596711E-3</v>
      </c>
      <c r="AZ26" s="297">
        <f t="shared" si="85"/>
        <v>94.118130943642583</v>
      </c>
      <c r="BA26" s="298">
        <f>IF(SUM(H26:S26)&lt;90," ",EXP('eq. coef.'!$C$104+'eq. coef.'!$C$105*'Amp (T-P-fO2 calculation)'!AI26+'eq. coef.'!$C$106*'Amp (T-P-fO2 calculation)'!AJ26+'eq. coef.'!$C$107*'Amp (T-P-fO2 calculation)'!AK26+'eq. coef.'!$C$108*'Amp (T-P-fO2 calculation)'!AM26+'eq. coef.'!$C$109*'Amp (T-P-fO2 calculation)'!AO26+'eq. coef.'!$C$110*'Amp (T-P-fO2 calculation)'!AP26+'eq. coef.'!$C$111*'Amp (T-P-fO2 calculation)'!AQ26+'eq. coef.'!$C$112*'Amp (T-P-fO2 calculation)'!AR26))</f>
        <v>1108.9042371785158</v>
      </c>
      <c r="BB26" s="299">
        <f>IF(SUM(H26:S26)&lt;90," ",EXP('eq. coef.'!$C$176+'eq. coef.'!$C$177*'Amp (T-P-fO2 calculation)'!AI26+'eq. coef.'!$C$178*'Amp (T-P-fO2 calculation)'!AJ26+'eq. coef.'!$C$179*'Amp (T-P-fO2 calculation)'!AK26+'eq. coef.'!$C$180*'Amp (T-P-fO2 calculation)'!AM26+'eq. coef.'!$C$181*'Amp (T-P-fO2 calculation)'!AO26+'eq. coef.'!$C$182*'Amp (T-P-fO2 calculation)'!AP26+'eq. coef.'!$C$183*'Amp (T-P-fO2 calculation)'!AQ26+'eq. coef.'!$C$184*'Amp (T-P-fO2 calculation)'!AR26))</f>
        <v>463.33246794366232</v>
      </c>
      <c r="BC26" s="299">
        <f>IF(SUM(H26:S26)&lt;90," ",('eq. coef.'!$C$234+'eq. coef.'!$C$235*'Amp (T-P-fO2 calculation)'!AI26+'eq. coef.'!$C$236*'Amp (T-P-fO2 calculation)'!AJ26+'eq. coef.'!$C$237*'Amp (T-P-fO2 calculation)'!AK26+'eq. coef.'!$C$238*'Amp (T-P-fO2 calculation)'!AM26+'eq. coef.'!$C$239*'Amp (T-P-fO2 calculation)'!AO26+'eq. coef.'!$C$240*'Amp (T-P-fO2 calculation)'!AP26+'eq. coef.'!$C$241*'Amp (T-P-fO2 calculation)'!AQ26+'eq. coef.'!$C$242*'Amp (T-P-fO2 calculation)'!AR26))</f>
        <v>481.91734848963722</v>
      </c>
      <c r="BD26" s="299">
        <f>IF(SUM(H26:S26)&lt;90," ",('eq. coef.'!$C$270+'eq. coef.'!$C$271*'Amp (T-P-fO2 calculation)'!AI26+'eq. coef.'!$C$272*'Amp (T-P-fO2 calculation)'!AJ26+'eq. coef.'!$C$273*'Amp (T-P-fO2 calculation)'!AK26+'eq. coef.'!$C$274*'Amp (T-P-fO2 calculation)'!AM26+'eq. coef.'!$C$275*'Amp (T-P-fO2 calculation)'!AO26+'eq. coef.'!$C$276*'Amp (T-P-fO2 calculation)'!AP26+'eq. coef.'!$C$277*'Amp (T-P-fO2 calculation)'!AQ26+'eq. coef.'!$C$278*'Amp (T-P-fO2 calculation)'!AR26))</f>
        <v>1191.2043899810144</v>
      </c>
      <c r="BE26" s="299">
        <f>IF(SUM(H26:S26)&lt;90," ",EXP('eq. coef.'!$C$328+'eq. coef.'!$C$329*'Amp (T-P-fO2 calculation)'!AI26+'eq. coef.'!$C$330*'Amp (T-P-fO2 calculation)'!AJ26+'eq. coef.'!$C$331*'Amp (T-P-fO2 calculation)'!AK26+'eq. coef.'!$C$332*'Amp (T-P-fO2 calculation)'!AM26+'eq. coef.'!$C$333*'Amp (T-P-fO2 calculation)'!AO26+'eq. coef.'!$C$334*'Amp (T-P-fO2 calculation)'!AP26+'eq. coef.'!$C$335*'Amp (T-P-fO2 calculation)'!AQ26+'eq. coef.'!$C$336*'Amp (T-P-fO2 calculation)'!AR26))</f>
        <v>1403.3567930116094</v>
      </c>
      <c r="BF26" s="300" t="str">
        <f t="shared" si="19"/>
        <v>low Total</v>
      </c>
      <c r="BG26" s="301" t="str">
        <f t="shared" si="20"/>
        <v>ok</v>
      </c>
      <c r="BH26" s="301" t="str">
        <f t="shared" si="21"/>
        <v>ok</v>
      </c>
      <c r="BI26" s="299">
        <f t="shared" si="22"/>
        <v>23.441238971159756</v>
      </c>
      <c r="BJ26" s="302">
        <f t="shared" si="86"/>
        <v>-0.26553470170002735</v>
      </c>
      <c r="BK26" s="299">
        <f t="shared" si="87"/>
        <v>727.87192203735208</v>
      </c>
      <c r="BL26" s="303">
        <f>IF(SUM(H26:S26)&lt;90," ",'eq. coef.'!$C$360+'eq. coef.'!$C$361*'Amp (T-P-fO2 calculation)'!AI26+'eq. coef.'!$C$362*'Amp (T-P-fO2 calculation)'!AJ26+'eq. coef.'!$C$363*'Amp (T-P-fO2 calculation)'!AK26+'eq. coef.'!$C$364*'Amp (T-P-fO2 calculation)'!AM26+'eq. coef.'!$C$365*'Amp (T-P-fO2 calculation)'!AO26+'eq. coef.'!$C$366*'Amp (T-P-fO2 calculation)'!AP26+'eq. coef.'!$C$367*'Amp (T-P-fO2 calculation)'!AQ26+'eq. coef.'!$C$368*'Amp (T-P-fO2 calculation)'!AR26+'eq. coef.'!$C$369*LN(BO26))</f>
        <v>1013.7567824094982</v>
      </c>
      <c r="BM26" s="304">
        <f t="shared" si="25"/>
        <v>22</v>
      </c>
      <c r="BN26" s="305">
        <f t="shared" si="26"/>
        <v>484</v>
      </c>
      <c r="BO26" s="306">
        <f t="shared" si="27"/>
        <v>1403.3567930116094</v>
      </c>
      <c r="BP26" s="299" t="str">
        <f t="shared" si="28"/>
        <v>P1e</v>
      </c>
      <c r="BQ26" s="302"/>
      <c r="BR26" s="302">
        <f t="shared" si="88"/>
        <v>0</v>
      </c>
      <c r="BS26" s="302">
        <f t="shared" si="89"/>
        <v>0</v>
      </c>
      <c r="BT26" s="299">
        <f t="shared" si="31"/>
        <v>168.40281516139314</v>
      </c>
      <c r="BU26" s="311">
        <f t="shared" si="62"/>
        <v>766.3090675262797</v>
      </c>
      <c r="BV26" s="312">
        <f t="shared" si="63"/>
        <v>812.26014818223734</v>
      </c>
      <c r="BW26" s="267">
        <f>IF(SUM(H26:S26)&lt;90," ",'eq. coef.'!$B$1128*'Amp (T-P-fO2 calculation)'!CH26+'eq. coef.'!$B$1129*'Amp (T-P-fO2 calculation)'!CL26+'eq. coef.'!$B$1130*'Amp (T-P-fO2 calculation)'!CM26+'eq. coef.'!$B$1131*'Amp (T-P-fO2 calculation)'!CO26+'eq. coef.'!$B$1132*'Amp (T-P-fO2 calculation)'!CP26+'eq. coef.'!$B$1133*'Amp (T-P-fO2 calculation)'!CQ26+'eq. coef.'!$B$1134*'Amp (T-P-fO2 calculation)'!CR26+'eq. coef.'!$B$1135*'Amp (T-P-fO2 calculation)'!CU26+'eq. coef.'!$B$1135*'Amp (T-P-fO2 calculation)'!CY26+'eq. coef.'!$B$1137*'Amp (T-P-fO2 calculation)'!CZ26)</f>
        <v>3.4428412429971695</v>
      </c>
      <c r="BX26" s="268">
        <f t="shared" si="32"/>
        <v>0.4</v>
      </c>
      <c r="BY26" s="269"/>
      <c r="BZ26" s="282">
        <f t="shared" si="64"/>
        <v>-9.5978497917920382</v>
      </c>
      <c r="CA26" s="269">
        <f t="shared" si="65"/>
        <v>1.8379490661053977</v>
      </c>
      <c r="CB26" s="282">
        <f t="shared" si="66"/>
        <v>-8.0172467489509192</v>
      </c>
      <c r="CC26" s="268">
        <f t="shared" si="33"/>
        <v>-6.1792976828455215</v>
      </c>
      <c r="CD26" s="268"/>
      <c r="CE26" s="267">
        <f>IF(SUM(H26:S26)&lt;90," ",EXP('eq. coef.'!$B$1156*'Amp (T-P-fO2 calculation)'!CH26+'eq. coef.'!$B$1157*'Amp (T-P-fO2 calculation)'!CL26+'eq. coef.'!$B$1158*'Amp (T-P-fO2 calculation)'!CM26+'eq. coef.'!$B$1159*'Amp (T-P-fO2 calculation)'!CO26+'eq. coef.'!$B$1160*'Amp (T-P-fO2 calculation)'!CP26+'eq. coef.'!$B$1161*'Amp (T-P-fO2 calculation)'!CQ26+'eq. coef.'!$B$1162*'Amp (T-P-fO2 calculation)'!CR26+'eq. coef.'!$B$1163*'Amp (T-P-fO2 calculation)'!CU26+'eq. coef.'!$B$1164*'Amp (T-P-fO2 calculation)'!CY26+'eq. coef.'!$B$1165*'Amp (T-P-fO2 calculation)'!CZ26))</f>
        <v>6.3843426878694167</v>
      </c>
      <c r="CF26" s="302">
        <f t="shared" si="34"/>
        <v>1.0853382569378009</v>
      </c>
      <c r="CG26" s="296">
        <f t="shared" si="35"/>
        <v>6.1471189675610205</v>
      </c>
      <c r="CH26" s="296">
        <f t="shared" si="36"/>
        <v>1.8528810324389795</v>
      </c>
      <c r="CI26" s="296">
        <f t="shared" si="37"/>
        <v>0</v>
      </c>
      <c r="CJ26" s="296">
        <f t="shared" si="38"/>
        <v>8</v>
      </c>
      <c r="CK26" s="296"/>
      <c r="CL26" s="296">
        <f t="shared" si="39"/>
        <v>0.36552801671509139</v>
      </c>
      <c r="CM26" s="296">
        <f t="shared" si="40"/>
        <v>0.20349262225463166</v>
      </c>
      <c r="CN26" s="296">
        <f t="shared" si="41"/>
        <v>0</v>
      </c>
      <c r="CO26" s="296">
        <f t="shared" si="42"/>
        <v>0.80832971280546673</v>
      </c>
      <c r="CP26" s="296">
        <f t="shared" si="43"/>
        <v>2.9350784127602401</v>
      </c>
      <c r="CQ26" s="296">
        <f t="shared" si="44"/>
        <v>0.66073760258848213</v>
      </c>
      <c r="CR26" s="296">
        <f t="shared" si="45"/>
        <v>2.6833632876087504E-2</v>
      </c>
      <c r="CS26" s="296">
        <f t="shared" si="46"/>
        <v>4.9999999999999991</v>
      </c>
      <c r="CT26" s="296"/>
      <c r="CU26" s="296">
        <f t="shared" si="47"/>
        <v>1.6658631395557735</v>
      </c>
      <c r="CV26" s="296">
        <f t="shared" si="48"/>
        <v>0.33413686044422652</v>
      </c>
      <c r="CW26" s="296">
        <f t="shared" si="49"/>
        <v>2</v>
      </c>
      <c r="CX26" s="296"/>
      <c r="CY26" s="296">
        <f t="shared" si="50"/>
        <v>0.39995421722779345</v>
      </c>
      <c r="CZ26" s="296">
        <f t="shared" si="51"/>
        <v>0.20622070162558434</v>
      </c>
      <c r="DA26" s="296">
        <f t="shared" si="52"/>
        <v>0.60617491885337782</v>
      </c>
      <c r="DB26" s="296"/>
      <c r="DC26" s="296">
        <f t="shared" si="53"/>
        <v>1.9931904441264929</v>
      </c>
      <c r="DD26" s="296">
        <f t="shared" si="54"/>
        <v>0</v>
      </c>
      <c r="DE26" s="296">
        <f t="shared" si="55"/>
        <v>6.8095558735070758E-3</v>
      </c>
      <c r="DF26" s="296">
        <f t="shared" si="56"/>
        <v>2</v>
      </c>
      <c r="DG26" s="302">
        <f t="shared" si="57"/>
        <v>45.191670287194533</v>
      </c>
      <c r="DH26" s="302"/>
      <c r="DI26" s="295">
        <f t="shared" si="58"/>
        <v>0.81624821743711939</v>
      </c>
      <c r="DJ26" s="295">
        <f t="shared" si="59"/>
        <v>0.66643535294422551</v>
      </c>
      <c r="DK26" s="295">
        <f t="shared" si="60"/>
        <v>0.16477034154475498</v>
      </c>
      <c r="DL26" s="296">
        <f t="shared" si="61"/>
        <v>2.2184090491540709</v>
      </c>
    </row>
    <row r="27" spans="1:116" ht="13.8" x14ac:dyDescent="0.25">
      <c r="A27" s="287" t="s">
        <v>558</v>
      </c>
      <c r="B27" s="288" t="s">
        <v>537</v>
      </c>
      <c r="C27" s="289">
        <v>588</v>
      </c>
      <c r="D27" s="289" t="s">
        <v>524</v>
      </c>
      <c r="E27" s="310" t="s">
        <v>513</v>
      </c>
      <c r="F27" s="289" t="s">
        <v>535</v>
      </c>
      <c r="G27" s="291"/>
      <c r="H27" s="292">
        <v>39.682000000000002</v>
      </c>
      <c r="I27" s="292">
        <v>1.7190000000000001</v>
      </c>
      <c r="J27" s="292">
        <v>12.292</v>
      </c>
      <c r="K27" s="292">
        <v>0</v>
      </c>
      <c r="L27" s="292">
        <v>11.872</v>
      </c>
      <c r="M27" s="292">
        <v>0.23899999999999999</v>
      </c>
      <c r="N27" s="292">
        <v>12.528</v>
      </c>
      <c r="O27" s="292">
        <v>10.117000000000001</v>
      </c>
      <c r="P27" s="292">
        <v>2.411</v>
      </c>
      <c r="Q27" s="292">
        <v>1.0229999999999999</v>
      </c>
      <c r="R27" s="293">
        <v>0</v>
      </c>
      <c r="S27" s="293">
        <v>2.4E-2</v>
      </c>
      <c r="T27" s="294">
        <f t="shared" si="67"/>
        <v>91.907000000000011</v>
      </c>
      <c r="U27" s="295">
        <f>IF(SUM(H27:S27)&lt;90," ",H27/stab.data!$U$7)</f>
        <v>0.66044204779974702</v>
      </c>
      <c r="V27" s="295">
        <f>IF(SUM(H27:S27)&lt;90," ",I27/stab.data!$U$8)</f>
        <v>2.1514931537710582E-2</v>
      </c>
      <c r="W27" s="295">
        <f>IF(SUM(H27:S27)&lt;90," ",J27*2/stab.data!$U$9)</f>
        <v>0.24111179764812035</v>
      </c>
      <c r="X27" s="295">
        <f>IF(SUM(H27:S27)&lt;90," ",K27*2/stab.data!$U$10)</f>
        <v>0</v>
      </c>
      <c r="Y27" s="295">
        <f>IF(SUM(H27:S27)&lt;90," ",L27/stab.data!$U$11)</f>
        <v>0.16524232385936585</v>
      </c>
      <c r="Z27" s="295">
        <f>IF(SUM(H27:S27)&lt;90," ",M27/stab.data!$U$12)</f>
        <v>3.3691867431664716E-3</v>
      </c>
      <c r="AA27" s="295">
        <f>IF(SUM(H27:S27)&lt;90," ",N27/stab.data!$U$13)</f>
        <v>0.3108376339817388</v>
      </c>
      <c r="AB27" s="295">
        <f>IF(SUM(H27:S27)&lt;90," ",O27/stab.data!$U$14)</f>
        <v>0.1804062126642772</v>
      </c>
      <c r="AC27" s="295">
        <f>IF(SUM(H27:S27)&lt;90," ",P27*2/stab.data!$U$15)</f>
        <v>7.7800545346004293E-2</v>
      </c>
      <c r="AD27" s="295">
        <f>IF(SUM(H27:S27)&lt;90," ",Q27*2/stab.data!$U$16)</f>
        <v>2.1720898136843782E-2</v>
      </c>
      <c r="AE27" s="295">
        <f>IF(SUM(H27:S27)&lt;90," ",R27/stab.data!$U$17)</f>
        <v>0</v>
      </c>
      <c r="AF27" s="295">
        <f>IF(SUM(H27:S27)&lt;90," ",S27/stab.data!$U$18)</f>
        <v>6.769525851126843E-4</v>
      </c>
      <c r="AG27" s="295">
        <f t="shared" si="68"/>
        <v>1.4025179215698489</v>
      </c>
      <c r="AH27" s="295">
        <f t="shared" si="69"/>
        <v>0.14331031020646828</v>
      </c>
      <c r="AI27" s="296">
        <f t="shared" si="70"/>
        <v>6.1216662470784122</v>
      </c>
      <c r="AJ27" s="296">
        <f t="shared" si="71"/>
        <v>0.19942284208188502</v>
      </c>
      <c r="AK27" s="296">
        <f t="shared" si="72"/>
        <v>2.2348758053067495</v>
      </c>
      <c r="AL27" s="296">
        <f t="shared" si="73"/>
        <v>0</v>
      </c>
      <c r="AM27" s="296">
        <f t="shared" si="74"/>
        <v>1.531638332127204</v>
      </c>
      <c r="AN27" s="296">
        <f t="shared" si="75"/>
        <v>3.1229139383929655E-2</v>
      </c>
      <c r="AO27" s="296">
        <f t="shared" si="76"/>
        <v>2.8811676340218217</v>
      </c>
      <c r="AP27" s="296">
        <f t="shared" si="77"/>
        <v>1.6721930811483059</v>
      </c>
      <c r="AQ27" s="296">
        <f t="shared" si="78"/>
        <v>0.72113665996223431</v>
      </c>
      <c r="AR27" s="296">
        <f t="shared" si="79"/>
        <v>0.20133195550393282</v>
      </c>
      <c r="AS27" s="296">
        <f t="shared" si="80"/>
        <v>0</v>
      </c>
      <c r="AT27" s="296">
        <f t="shared" si="81"/>
        <v>6.2747031400601002E-3</v>
      </c>
      <c r="AU27" s="295">
        <f t="shared" si="82"/>
        <v>15.594661696614475</v>
      </c>
      <c r="AV27" s="295">
        <f t="shared" si="83"/>
        <v>1.8283078004640372</v>
      </c>
      <c r="AW27" s="295">
        <f>IF(SUM(H27:S27)&lt;90," ",CO27*AG27*stab.data!$U$20/13/2)</f>
        <v>7.3745506770287355</v>
      </c>
      <c r="AX27" s="295">
        <f>IF(SUM(H27:S27)&lt;90," ",CQ27*AG27*stab.data!$U$11/13)</f>
        <v>5.2362851764744835</v>
      </c>
      <c r="AY27" s="295">
        <f t="shared" si="84"/>
        <v>-5.4152822046089275E-3</v>
      </c>
      <c r="AZ27" s="297">
        <f t="shared" si="85"/>
        <v>94.468728371762651</v>
      </c>
      <c r="BA27" s="298">
        <f>IF(SUM(H27:S27)&lt;90," ",EXP('eq. coef.'!$C$104+'eq. coef.'!$C$105*'Amp (T-P-fO2 calculation)'!AI27+'eq. coef.'!$C$106*'Amp (T-P-fO2 calculation)'!AJ27+'eq. coef.'!$C$107*'Amp (T-P-fO2 calculation)'!AK27+'eq. coef.'!$C$108*'Amp (T-P-fO2 calculation)'!AM27+'eq. coef.'!$C$109*'Amp (T-P-fO2 calculation)'!AO27+'eq. coef.'!$C$110*'Amp (T-P-fO2 calculation)'!AP27+'eq. coef.'!$C$111*'Amp (T-P-fO2 calculation)'!AQ27+'eq. coef.'!$C$112*'Amp (T-P-fO2 calculation)'!AR27))</f>
        <v>1100.4547787006391</v>
      </c>
      <c r="BB27" s="299">
        <f>IF(SUM(H27:S27)&lt;90," ",EXP('eq. coef.'!$C$176+'eq. coef.'!$C$177*'Amp (T-P-fO2 calculation)'!AI27+'eq. coef.'!$C$178*'Amp (T-P-fO2 calculation)'!AJ27+'eq. coef.'!$C$179*'Amp (T-P-fO2 calculation)'!AK27+'eq. coef.'!$C$180*'Amp (T-P-fO2 calculation)'!AM27+'eq. coef.'!$C$181*'Amp (T-P-fO2 calculation)'!AO27+'eq. coef.'!$C$182*'Amp (T-P-fO2 calculation)'!AP27+'eq. coef.'!$C$183*'Amp (T-P-fO2 calculation)'!AQ27+'eq. coef.'!$C$184*'Amp (T-P-fO2 calculation)'!AR27))</f>
        <v>470.63702848105902</v>
      </c>
      <c r="BC27" s="299">
        <f>IF(SUM(H27:S27)&lt;90," ",('eq. coef.'!$C$234+'eq. coef.'!$C$235*'Amp (T-P-fO2 calculation)'!AI27+'eq. coef.'!$C$236*'Amp (T-P-fO2 calculation)'!AJ27+'eq. coef.'!$C$237*'Amp (T-P-fO2 calculation)'!AK27+'eq. coef.'!$C$238*'Amp (T-P-fO2 calculation)'!AM27+'eq. coef.'!$C$239*'Amp (T-P-fO2 calculation)'!AO27+'eq. coef.'!$C$240*'Amp (T-P-fO2 calculation)'!AP27+'eq. coef.'!$C$241*'Amp (T-P-fO2 calculation)'!AQ27+'eq. coef.'!$C$242*'Amp (T-P-fO2 calculation)'!AR27))</f>
        <v>490.70865455303658</v>
      </c>
      <c r="BD27" s="299">
        <f>IF(SUM(H27:S27)&lt;90," ",('eq. coef.'!$C$270+'eq. coef.'!$C$271*'Amp (T-P-fO2 calculation)'!AI27+'eq. coef.'!$C$272*'Amp (T-P-fO2 calculation)'!AJ27+'eq. coef.'!$C$273*'Amp (T-P-fO2 calculation)'!AK27+'eq. coef.'!$C$274*'Amp (T-P-fO2 calculation)'!AM27+'eq. coef.'!$C$275*'Amp (T-P-fO2 calculation)'!AO27+'eq. coef.'!$C$276*'Amp (T-P-fO2 calculation)'!AP27+'eq. coef.'!$C$277*'Amp (T-P-fO2 calculation)'!AQ27+'eq. coef.'!$C$278*'Amp (T-P-fO2 calculation)'!AR27))</f>
        <v>1139.8948101229</v>
      </c>
      <c r="BE27" s="299">
        <f>IF(SUM(H27:S27)&lt;90," ",EXP('eq. coef.'!$C$328+'eq. coef.'!$C$329*'Amp (T-P-fO2 calculation)'!AI27+'eq. coef.'!$C$330*'Amp (T-P-fO2 calculation)'!AJ27+'eq. coef.'!$C$331*'Amp (T-P-fO2 calculation)'!AK27+'eq. coef.'!$C$332*'Amp (T-P-fO2 calculation)'!AM27+'eq. coef.'!$C$333*'Amp (T-P-fO2 calculation)'!AO27+'eq. coef.'!$C$334*'Amp (T-P-fO2 calculation)'!AP27+'eq. coef.'!$C$335*'Amp (T-P-fO2 calculation)'!AQ27+'eq. coef.'!$C$336*'Amp (T-P-fO2 calculation)'!AR27))</f>
        <v>1328.2437147791991</v>
      </c>
      <c r="BF27" s="300" t="str">
        <f t="shared" si="19"/>
        <v>low Total</v>
      </c>
      <c r="BG27" s="301" t="str">
        <f t="shared" si="20"/>
        <v>ok</v>
      </c>
      <c r="BH27" s="301" t="str">
        <f t="shared" si="21"/>
        <v>ok</v>
      </c>
      <c r="BI27" s="299">
        <f t="shared" si="22"/>
        <v>18.758107413504764</v>
      </c>
      <c r="BJ27" s="302">
        <f t="shared" si="86"/>
        <v>-0.206995271852535</v>
      </c>
      <c r="BK27" s="299">
        <f t="shared" si="87"/>
        <v>669.25778164184101</v>
      </c>
      <c r="BL27" s="303">
        <f>IF(SUM(H27:S27)&lt;90," ",'eq. coef.'!$C$360+'eq. coef.'!$C$361*'Amp (T-P-fO2 calculation)'!AI27+'eq. coef.'!$C$362*'Amp (T-P-fO2 calculation)'!AJ27+'eq. coef.'!$C$363*'Amp (T-P-fO2 calculation)'!AK27+'eq. coef.'!$C$364*'Amp (T-P-fO2 calculation)'!AM27+'eq. coef.'!$C$365*'Amp (T-P-fO2 calculation)'!AO27+'eq. coef.'!$C$366*'Amp (T-P-fO2 calculation)'!AP27+'eq. coef.'!$C$367*'Amp (T-P-fO2 calculation)'!AQ27+'eq. coef.'!$C$368*'Amp (T-P-fO2 calculation)'!AR27+'eq. coef.'!$C$369*LN(BO27))</f>
        <v>1008.6199415347975</v>
      </c>
      <c r="BM27" s="304">
        <f t="shared" si="25"/>
        <v>22</v>
      </c>
      <c r="BN27" s="305">
        <f t="shared" si="26"/>
        <v>484</v>
      </c>
      <c r="BO27" s="306">
        <f t="shared" si="27"/>
        <v>1328.2437147791991</v>
      </c>
      <c r="BP27" s="299" t="str">
        <f t="shared" si="28"/>
        <v>P1e</v>
      </c>
      <c r="BQ27" s="302"/>
      <c r="BR27" s="302">
        <f t="shared" si="88"/>
        <v>0</v>
      </c>
      <c r="BS27" s="302">
        <f t="shared" si="89"/>
        <v>0</v>
      </c>
      <c r="BT27" s="299">
        <f t="shared" si="31"/>
        <v>159.38924577350389</v>
      </c>
      <c r="BU27" s="311">
        <f t="shared" si="62"/>
        <v>775.5304509717796</v>
      </c>
      <c r="BV27" s="312">
        <f t="shared" si="63"/>
        <v>807.97147511529033</v>
      </c>
      <c r="BW27" s="267">
        <f>IF(SUM(H27:S27)&lt;90," ",'eq. coef.'!$B$1128*'Amp (T-P-fO2 calculation)'!CH27+'eq. coef.'!$B$1129*'Amp (T-P-fO2 calculation)'!CL27+'eq. coef.'!$B$1130*'Amp (T-P-fO2 calculation)'!CM27+'eq. coef.'!$B$1131*'Amp (T-P-fO2 calculation)'!CO27+'eq. coef.'!$B$1132*'Amp (T-P-fO2 calculation)'!CP27+'eq. coef.'!$B$1133*'Amp (T-P-fO2 calculation)'!CQ27+'eq. coef.'!$B$1134*'Amp (T-P-fO2 calculation)'!CR27+'eq. coef.'!$B$1135*'Amp (T-P-fO2 calculation)'!CU27+'eq. coef.'!$B$1135*'Amp (T-P-fO2 calculation)'!CY27+'eq. coef.'!$B$1137*'Amp (T-P-fO2 calculation)'!CZ27)</f>
        <v>3.3028077077590128</v>
      </c>
      <c r="BX27" s="268">
        <f t="shared" si="32"/>
        <v>0.4</v>
      </c>
      <c r="BY27" s="269"/>
      <c r="BZ27" s="282">
        <f t="shared" si="64"/>
        <v>-9.70030174988133</v>
      </c>
      <c r="CA27" s="269">
        <f t="shared" si="65"/>
        <v>1.7066082376000926</v>
      </c>
      <c r="CB27" s="282">
        <f t="shared" si="66"/>
        <v>-8.126751049081788</v>
      </c>
      <c r="CC27" s="268">
        <f t="shared" si="33"/>
        <v>-6.4201428114816954</v>
      </c>
      <c r="CD27" s="268"/>
      <c r="CE27" s="267">
        <f>IF(SUM(H27:S27)&lt;90," ",EXP('eq. coef.'!$B$1156*'Amp (T-P-fO2 calculation)'!CH27+'eq. coef.'!$B$1157*'Amp (T-P-fO2 calculation)'!CL27+'eq. coef.'!$B$1158*'Amp (T-P-fO2 calculation)'!CM27+'eq. coef.'!$B$1159*'Amp (T-P-fO2 calculation)'!CO27+'eq. coef.'!$B$1160*'Amp (T-P-fO2 calculation)'!CP27+'eq. coef.'!$B$1161*'Amp (T-P-fO2 calculation)'!CQ27+'eq. coef.'!$B$1162*'Amp (T-P-fO2 calculation)'!CR27+'eq. coef.'!$B$1163*'Amp (T-P-fO2 calculation)'!CU27+'eq. coef.'!$B$1164*'Amp (T-P-fO2 calculation)'!CY27+'eq. coef.'!$B$1165*'Amp (T-P-fO2 calculation)'!CZ27))</f>
        <v>6.4250228894950938</v>
      </c>
      <c r="CF27" s="302">
        <f t="shared" si="34"/>
        <v>1.0922538912141659</v>
      </c>
      <c r="CG27" s="296">
        <f t="shared" si="35"/>
        <v>6.1216662470784122</v>
      </c>
      <c r="CH27" s="296">
        <f t="shared" si="36"/>
        <v>1.8783337529215878</v>
      </c>
      <c r="CI27" s="296">
        <f t="shared" si="37"/>
        <v>0</v>
      </c>
      <c r="CJ27" s="296">
        <f t="shared" si="38"/>
        <v>8</v>
      </c>
      <c r="CK27" s="296"/>
      <c r="CL27" s="296">
        <f t="shared" si="39"/>
        <v>0.35654205238516168</v>
      </c>
      <c r="CM27" s="296">
        <f t="shared" si="40"/>
        <v>0.19942284208188502</v>
      </c>
      <c r="CN27" s="296">
        <f t="shared" si="41"/>
        <v>0</v>
      </c>
      <c r="CO27" s="296">
        <f t="shared" si="42"/>
        <v>0.85609123860987069</v>
      </c>
      <c r="CP27" s="296">
        <f t="shared" si="43"/>
        <v>2.8811676340218217</v>
      </c>
      <c r="CQ27" s="296">
        <f t="shared" si="44"/>
        <v>0.67554709351733333</v>
      </c>
      <c r="CR27" s="296">
        <f t="shared" si="45"/>
        <v>3.1229139383929655E-2</v>
      </c>
      <c r="CS27" s="296">
        <f t="shared" si="46"/>
        <v>5.0000000000000027</v>
      </c>
      <c r="CT27" s="296"/>
      <c r="CU27" s="296">
        <f t="shared" si="47"/>
        <v>1.6721930811483059</v>
      </c>
      <c r="CV27" s="296">
        <f t="shared" si="48"/>
        <v>0.32780691885169411</v>
      </c>
      <c r="CW27" s="296">
        <f t="shared" si="49"/>
        <v>2</v>
      </c>
      <c r="CX27" s="296"/>
      <c r="CY27" s="296">
        <f t="shared" si="50"/>
        <v>0.3933297411105402</v>
      </c>
      <c r="CZ27" s="296">
        <f t="shared" si="51"/>
        <v>0.20133195550393282</v>
      </c>
      <c r="DA27" s="296">
        <f t="shared" si="52"/>
        <v>0.59466169661447299</v>
      </c>
      <c r="DB27" s="296"/>
      <c r="DC27" s="296">
        <f t="shared" si="53"/>
        <v>1.9937252968599399</v>
      </c>
      <c r="DD27" s="296">
        <f t="shared" si="54"/>
        <v>0</v>
      </c>
      <c r="DE27" s="296">
        <f t="shared" si="55"/>
        <v>6.2747031400601002E-3</v>
      </c>
      <c r="DF27" s="296">
        <f t="shared" si="56"/>
        <v>2</v>
      </c>
      <c r="DG27" s="302">
        <f t="shared" si="57"/>
        <v>45.143908761390129</v>
      </c>
      <c r="DH27" s="302"/>
      <c r="DI27" s="295">
        <f t="shared" si="58"/>
        <v>0.81006430223749326</v>
      </c>
      <c r="DJ27" s="295">
        <f t="shared" si="59"/>
        <v>0.65291056441717132</v>
      </c>
      <c r="DK27" s="295">
        <f t="shared" si="60"/>
        <v>0.15953551044695491</v>
      </c>
      <c r="DL27" s="296">
        <f t="shared" si="61"/>
        <v>2.2348758053067495</v>
      </c>
    </row>
    <row r="28" spans="1:116" ht="13.8" x14ac:dyDescent="0.25">
      <c r="A28" s="287" t="s">
        <v>558</v>
      </c>
      <c r="B28" s="288" t="s">
        <v>537</v>
      </c>
      <c r="C28" s="289">
        <v>588</v>
      </c>
      <c r="D28" s="289" t="s">
        <v>524</v>
      </c>
      <c r="E28" s="310" t="s">
        <v>513</v>
      </c>
      <c r="F28" s="289" t="s">
        <v>535</v>
      </c>
      <c r="G28" s="291"/>
      <c r="H28" s="292">
        <v>40.420999999999999</v>
      </c>
      <c r="I28" s="292">
        <v>1.653</v>
      </c>
      <c r="J28" s="292">
        <v>11.776</v>
      </c>
      <c r="K28" s="292">
        <v>2.8000000000000001E-2</v>
      </c>
      <c r="L28" s="292">
        <v>11.339</v>
      </c>
      <c r="M28" s="292">
        <v>0.245</v>
      </c>
      <c r="N28" s="292">
        <v>13.035</v>
      </c>
      <c r="O28" s="292">
        <v>10.414999999999999</v>
      </c>
      <c r="P28" s="292">
        <v>2.2949999999999999</v>
      </c>
      <c r="Q28" s="292">
        <v>0.99</v>
      </c>
      <c r="R28" s="293">
        <v>0</v>
      </c>
      <c r="S28" s="293">
        <v>2.5000000000000001E-2</v>
      </c>
      <c r="T28" s="294">
        <f t="shared" si="67"/>
        <v>92.222000000000008</v>
      </c>
      <c r="U28" s="295">
        <f>IF(SUM(H28:S28)&lt;90," ",H28/stab.data!$U$7)</f>
        <v>0.67274149523999727</v>
      </c>
      <c r="V28" s="295">
        <f>IF(SUM(H28:S28)&lt;90," ",I28/stab.data!$U$8)</f>
        <v>2.0688878319857822E-2</v>
      </c>
      <c r="W28" s="295">
        <f>IF(SUM(H28:S28)&lt;90," ",J28*2/stab.data!$U$9)</f>
        <v>0.23099028059748336</v>
      </c>
      <c r="X28" s="295">
        <f>IF(SUM(H28:S28)&lt;90," ",K28*2/stab.data!$U$10)</f>
        <v>3.6844480762575479E-4</v>
      </c>
      <c r="Y28" s="295">
        <f>IF(SUM(H28:S28)&lt;90," ",L28/stab.data!$U$11)</f>
        <v>0.15782367842329426</v>
      </c>
      <c r="Z28" s="295">
        <f>IF(SUM(H28:S28)&lt;90," ",M28/stab.data!$U$12)</f>
        <v>3.453768837137178E-3</v>
      </c>
      <c r="AA28" s="295">
        <f>IF(SUM(H28:S28)&lt;90," ",N28/stab.data!$U$13)</f>
        <v>0.32341703056768556</v>
      </c>
      <c r="AB28" s="295">
        <f>IF(SUM(H28:S28)&lt;90," ",O28/stab.data!$U$14)</f>
        <v>0.18572014479573457</v>
      </c>
      <c r="AC28" s="295">
        <f>IF(SUM(H28:S28)&lt;90," ",P28*2/stab.data!$U$15)</f>
        <v>7.4057342002936483E-2</v>
      </c>
      <c r="AD28" s="295">
        <f>IF(SUM(H28:S28)&lt;90," ",Q28*2/stab.data!$U$16)</f>
        <v>2.102022400339721E-2</v>
      </c>
      <c r="AE28" s="295">
        <f>IF(SUM(H28:S28)&lt;90," ",R28/stab.data!$U$17)</f>
        <v>0</v>
      </c>
      <c r="AF28" s="295">
        <f>IF(SUM(H28:S28)&lt;90," ",S28/stab.data!$U$18)</f>
        <v>7.051589428257129E-4</v>
      </c>
      <c r="AG28" s="295">
        <f t="shared" si="68"/>
        <v>1.4094835767930811</v>
      </c>
      <c r="AH28" s="295">
        <f t="shared" si="69"/>
        <v>0.13665789374390175</v>
      </c>
      <c r="AI28" s="296">
        <f t="shared" si="70"/>
        <v>6.204853736585159</v>
      </c>
      <c r="AJ28" s="296">
        <f t="shared" si="71"/>
        <v>0.1908184122088821</v>
      </c>
      <c r="AK28" s="296">
        <f t="shared" si="72"/>
        <v>2.1304779262483877</v>
      </c>
      <c r="AL28" s="296">
        <f t="shared" si="73"/>
        <v>3.3982535007841212E-3</v>
      </c>
      <c r="AM28" s="296">
        <f t="shared" si="74"/>
        <v>1.4556450697857444</v>
      </c>
      <c r="AN28" s="296">
        <f t="shared" si="75"/>
        <v>3.1854925890615539E-2</v>
      </c>
      <c r="AO28" s="296">
        <f t="shared" si="76"/>
        <v>2.9829516757804275</v>
      </c>
      <c r="AP28" s="296">
        <f t="shared" si="77"/>
        <v>1.712940769297796</v>
      </c>
      <c r="AQ28" s="296">
        <f t="shared" si="78"/>
        <v>0.68304836032829475</v>
      </c>
      <c r="AR28" s="296">
        <f t="shared" si="79"/>
        <v>0.19387449172405649</v>
      </c>
      <c r="AS28" s="296">
        <f t="shared" si="80"/>
        <v>0</v>
      </c>
      <c r="AT28" s="296">
        <f t="shared" si="81"/>
        <v>6.5038475138472903E-3</v>
      </c>
      <c r="AU28" s="295">
        <f t="shared" si="82"/>
        <v>15.589863621350146</v>
      </c>
      <c r="AV28" s="295">
        <f t="shared" si="83"/>
        <v>1.8371769801769338</v>
      </c>
      <c r="AW28" s="295">
        <f>IF(SUM(H28:S28)&lt;90," ",CO28*AG28*stab.data!$U$20/13/2)</f>
        <v>6.6829840225112624</v>
      </c>
      <c r="AX28" s="295">
        <f>IF(SUM(H28:S28)&lt;90," ",CQ28*AG28*stab.data!$U$11/13)</f>
        <v>5.3255656789506709</v>
      </c>
      <c r="AY28" s="295">
        <f t="shared" si="84"/>
        <v>-5.6409189631342997E-3</v>
      </c>
      <c r="AZ28" s="297">
        <f t="shared" si="85"/>
        <v>94.723085762675737</v>
      </c>
      <c r="BA28" s="298">
        <f>IF(SUM(H28:S28)&lt;90," ",EXP('eq. coef.'!$C$104+'eq. coef.'!$C$105*'Amp (T-P-fO2 calculation)'!AI28+'eq. coef.'!$C$106*'Amp (T-P-fO2 calculation)'!AJ28+'eq. coef.'!$C$107*'Amp (T-P-fO2 calculation)'!AK28+'eq. coef.'!$C$108*'Amp (T-P-fO2 calculation)'!AM28+'eq. coef.'!$C$109*'Amp (T-P-fO2 calculation)'!AO28+'eq. coef.'!$C$110*'Amp (T-P-fO2 calculation)'!AP28+'eq. coef.'!$C$111*'Amp (T-P-fO2 calculation)'!AQ28+'eq. coef.'!$C$112*'Amp (T-P-fO2 calculation)'!AR28))</f>
        <v>872.25586231169996</v>
      </c>
      <c r="BB28" s="299">
        <f>IF(SUM(H28:S28)&lt;90," ",EXP('eq. coef.'!$C$176+'eq. coef.'!$C$177*'Amp (T-P-fO2 calculation)'!AI28+'eq. coef.'!$C$178*'Amp (T-P-fO2 calculation)'!AJ28+'eq. coef.'!$C$179*'Amp (T-P-fO2 calculation)'!AK28+'eq. coef.'!$C$180*'Amp (T-P-fO2 calculation)'!AM28+'eq. coef.'!$C$181*'Amp (T-P-fO2 calculation)'!AO28+'eq. coef.'!$C$182*'Amp (T-P-fO2 calculation)'!AP28+'eq. coef.'!$C$183*'Amp (T-P-fO2 calculation)'!AQ28+'eq. coef.'!$C$184*'Amp (T-P-fO2 calculation)'!AR28))</f>
        <v>414.35136571711064</v>
      </c>
      <c r="BC28" s="299">
        <f>IF(SUM(H28:S28)&lt;90," ",('eq. coef.'!$C$234+'eq. coef.'!$C$235*'Amp (T-P-fO2 calculation)'!AI28+'eq. coef.'!$C$236*'Amp (T-P-fO2 calculation)'!AJ28+'eq. coef.'!$C$237*'Amp (T-P-fO2 calculation)'!AK28+'eq. coef.'!$C$238*'Amp (T-P-fO2 calculation)'!AM28+'eq. coef.'!$C$239*'Amp (T-P-fO2 calculation)'!AO28+'eq. coef.'!$C$240*'Amp (T-P-fO2 calculation)'!AP28+'eq. coef.'!$C$241*'Amp (T-P-fO2 calculation)'!AQ28+'eq. coef.'!$C$242*'Amp (T-P-fO2 calculation)'!AR28))</f>
        <v>455.16878631079641</v>
      </c>
      <c r="BD28" s="299">
        <f>IF(SUM(H28:S28)&lt;90," ",('eq. coef.'!$C$270+'eq. coef.'!$C$271*'Amp (T-P-fO2 calculation)'!AI28+'eq. coef.'!$C$272*'Amp (T-P-fO2 calculation)'!AJ28+'eq. coef.'!$C$273*'Amp (T-P-fO2 calculation)'!AK28+'eq. coef.'!$C$274*'Amp (T-P-fO2 calculation)'!AM28+'eq. coef.'!$C$275*'Amp (T-P-fO2 calculation)'!AO28+'eq. coef.'!$C$276*'Amp (T-P-fO2 calculation)'!AP28+'eq. coef.'!$C$277*'Amp (T-P-fO2 calculation)'!AQ28+'eq. coef.'!$C$278*'Amp (T-P-fO2 calculation)'!AR28))</f>
        <v>970.71752510328986</v>
      </c>
      <c r="BE28" s="299">
        <f>IF(SUM(H28:S28)&lt;90," ",EXP('eq. coef.'!$C$328+'eq. coef.'!$C$329*'Amp (T-P-fO2 calculation)'!AI28+'eq. coef.'!$C$330*'Amp (T-P-fO2 calculation)'!AJ28+'eq. coef.'!$C$331*'Amp (T-P-fO2 calculation)'!AK28+'eq. coef.'!$C$332*'Amp (T-P-fO2 calculation)'!AM28+'eq. coef.'!$C$333*'Amp (T-P-fO2 calculation)'!AO28+'eq. coef.'!$C$334*'Amp (T-P-fO2 calculation)'!AP28+'eq. coef.'!$C$335*'Amp (T-P-fO2 calculation)'!AQ28+'eq. coef.'!$C$336*'Amp (T-P-fO2 calculation)'!AR28))</f>
        <v>1194.0356874849158</v>
      </c>
      <c r="BF28" s="300" t="str">
        <f t="shared" si="19"/>
        <v>low Total</v>
      </c>
      <c r="BG28" s="301" t="str">
        <f t="shared" si="20"/>
        <v>ok</v>
      </c>
      <c r="BH28" s="301" t="str">
        <f t="shared" si="21"/>
        <v>ok</v>
      </c>
      <c r="BI28" s="299">
        <f t="shared" si="22"/>
        <v>31.145636268501264</v>
      </c>
      <c r="BJ28" s="302">
        <f t="shared" si="86"/>
        <v>-0.36890531675008459</v>
      </c>
      <c r="BK28" s="299">
        <f t="shared" si="87"/>
        <v>556.36615938617922</v>
      </c>
      <c r="BL28" s="303">
        <f>IF(SUM(H28:S28)&lt;90," ",'eq. coef.'!$C$360+'eq. coef.'!$C$361*'Amp (T-P-fO2 calculation)'!AI28+'eq. coef.'!$C$362*'Amp (T-P-fO2 calculation)'!AJ28+'eq. coef.'!$C$363*'Amp (T-P-fO2 calculation)'!AK28+'eq. coef.'!$C$364*'Amp (T-P-fO2 calculation)'!AM28+'eq. coef.'!$C$365*'Amp (T-P-fO2 calculation)'!AO28+'eq. coef.'!$C$366*'Amp (T-P-fO2 calculation)'!AP28+'eq. coef.'!$C$367*'Amp (T-P-fO2 calculation)'!AQ28+'eq. coef.'!$C$368*'Amp (T-P-fO2 calculation)'!AR28+'eq. coef.'!$C$369*LN(BO28))</f>
        <v>1001.3107875661815</v>
      </c>
      <c r="BM28" s="304">
        <f t="shared" si="25"/>
        <v>22</v>
      </c>
      <c r="BN28" s="305">
        <f t="shared" si="26"/>
        <v>484</v>
      </c>
      <c r="BO28" s="306">
        <f t="shared" si="27"/>
        <v>1194.0356874849158</v>
      </c>
      <c r="BP28" s="299" t="str">
        <f t="shared" si="28"/>
        <v>P1e</v>
      </c>
      <c r="BQ28" s="302"/>
      <c r="BR28" s="302">
        <f t="shared" si="88"/>
        <v>0</v>
      </c>
      <c r="BS28" s="302">
        <f t="shared" si="89"/>
        <v>0</v>
      </c>
      <c r="BT28" s="299">
        <f t="shared" si="31"/>
        <v>143.2842824981899</v>
      </c>
      <c r="BU28" s="311">
        <f t="shared" si="62"/>
        <v>717.06763869909707</v>
      </c>
      <c r="BV28" s="312">
        <f t="shared" si="63"/>
        <v>798.72534259836812</v>
      </c>
      <c r="BW28" s="267">
        <f>IF(SUM(H28:S28)&lt;90," ",'eq. coef.'!$B$1128*'Amp (T-P-fO2 calculation)'!CH28+'eq. coef.'!$B$1129*'Amp (T-P-fO2 calculation)'!CL28+'eq. coef.'!$B$1130*'Amp (T-P-fO2 calculation)'!CM28+'eq. coef.'!$B$1131*'Amp (T-P-fO2 calculation)'!CO28+'eq. coef.'!$B$1132*'Amp (T-P-fO2 calculation)'!CP28+'eq. coef.'!$B$1133*'Amp (T-P-fO2 calculation)'!CQ28+'eq. coef.'!$B$1134*'Amp (T-P-fO2 calculation)'!CR28+'eq. coef.'!$B$1135*'Amp (T-P-fO2 calculation)'!CU28+'eq. coef.'!$B$1135*'Amp (T-P-fO2 calculation)'!CY28+'eq. coef.'!$B$1137*'Amp (T-P-fO2 calculation)'!CZ28)</f>
        <v>3.3818448601909443</v>
      </c>
      <c r="BX28" s="268">
        <f t="shared" si="32"/>
        <v>0.4</v>
      </c>
      <c r="BY28" s="269"/>
      <c r="BZ28" s="282">
        <f t="shared" si="64"/>
        <v>-9.8578237304740863</v>
      </c>
      <c r="CA28" s="269">
        <f t="shared" si="65"/>
        <v>1.7984576672060966</v>
      </c>
      <c r="CB28" s="282">
        <f t="shared" si="66"/>
        <v>-8.2942866820581322</v>
      </c>
      <c r="CC28" s="268">
        <f t="shared" si="33"/>
        <v>-6.4958290148520357</v>
      </c>
      <c r="CD28" s="268"/>
      <c r="CE28" s="267">
        <f>IF(SUM(H28:S28)&lt;90," ",EXP('eq. coef.'!$B$1156*'Amp (T-P-fO2 calculation)'!CH28+'eq. coef.'!$B$1157*'Amp (T-P-fO2 calculation)'!CL28+'eq. coef.'!$B$1158*'Amp (T-P-fO2 calculation)'!CM28+'eq. coef.'!$B$1159*'Amp (T-P-fO2 calculation)'!CO28+'eq. coef.'!$B$1160*'Amp (T-P-fO2 calculation)'!CP28+'eq. coef.'!$B$1161*'Amp (T-P-fO2 calculation)'!CQ28+'eq. coef.'!$B$1162*'Amp (T-P-fO2 calculation)'!CR28+'eq. coef.'!$B$1163*'Amp (T-P-fO2 calculation)'!CU28+'eq. coef.'!$B$1164*'Amp (T-P-fO2 calculation)'!CY28+'eq. coef.'!$B$1165*'Amp (T-P-fO2 calculation)'!CZ28))</f>
        <v>6.3792899592470063</v>
      </c>
      <c r="CF28" s="302">
        <f t="shared" si="34"/>
        <v>1.0844792930719911</v>
      </c>
      <c r="CG28" s="296">
        <f t="shared" si="35"/>
        <v>6.204853736585159</v>
      </c>
      <c r="CH28" s="296">
        <f t="shared" si="36"/>
        <v>1.795146263414841</v>
      </c>
      <c r="CI28" s="296">
        <f t="shared" si="37"/>
        <v>0</v>
      </c>
      <c r="CJ28" s="296">
        <f t="shared" si="38"/>
        <v>8</v>
      </c>
      <c r="CK28" s="296"/>
      <c r="CL28" s="296">
        <f t="shared" si="39"/>
        <v>0.33533166283354676</v>
      </c>
      <c r="CM28" s="296">
        <f t="shared" si="40"/>
        <v>0.1908184122088821</v>
      </c>
      <c r="CN28" s="296">
        <f t="shared" si="41"/>
        <v>3.3982535007841212E-3</v>
      </c>
      <c r="CO28" s="296">
        <f t="shared" si="42"/>
        <v>0.77197513201480206</v>
      </c>
      <c r="CP28" s="296">
        <f t="shared" si="43"/>
        <v>2.9829516757804275</v>
      </c>
      <c r="CQ28" s="296">
        <f t="shared" si="44"/>
        <v>0.68366993777094232</v>
      </c>
      <c r="CR28" s="296">
        <f t="shared" si="45"/>
        <v>3.1854925890615539E-2</v>
      </c>
      <c r="CS28" s="296">
        <f t="shared" si="46"/>
        <v>5.0000000000000009</v>
      </c>
      <c r="CT28" s="296"/>
      <c r="CU28" s="296">
        <f t="shared" si="47"/>
        <v>1.712940769297796</v>
      </c>
      <c r="CV28" s="296">
        <f t="shared" si="48"/>
        <v>0.28705923070220396</v>
      </c>
      <c r="CW28" s="296">
        <f t="shared" si="49"/>
        <v>2</v>
      </c>
      <c r="CX28" s="296"/>
      <c r="CY28" s="296">
        <f t="shared" si="50"/>
        <v>0.39598912962609079</v>
      </c>
      <c r="CZ28" s="296">
        <f t="shared" si="51"/>
        <v>0.19387449172405649</v>
      </c>
      <c r="DA28" s="296">
        <f t="shared" si="52"/>
        <v>0.58986362135014725</v>
      </c>
      <c r="DB28" s="296"/>
      <c r="DC28" s="296">
        <f t="shared" si="53"/>
        <v>1.9934961524861528</v>
      </c>
      <c r="DD28" s="296">
        <f t="shared" si="54"/>
        <v>0</v>
      </c>
      <c r="DE28" s="296">
        <f t="shared" si="55"/>
        <v>6.5038475138472903E-3</v>
      </c>
      <c r="DF28" s="296">
        <f t="shared" si="56"/>
        <v>2</v>
      </c>
      <c r="DG28" s="302">
        <f t="shared" si="57"/>
        <v>45.228024867985198</v>
      </c>
      <c r="DH28" s="302"/>
      <c r="DI28" s="295">
        <f t="shared" si="58"/>
        <v>0.81354227138023061</v>
      </c>
      <c r="DJ28" s="295">
        <f t="shared" si="59"/>
        <v>0.67204836275342528</v>
      </c>
      <c r="DK28" s="295">
        <f t="shared" si="60"/>
        <v>0.15739738896241029</v>
      </c>
      <c r="DL28" s="296">
        <f t="shared" si="61"/>
        <v>2.1304779262483877</v>
      </c>
    </row>
    <row r="29" spans="1:116" ht="13.8" x14ac:dyDescent="0.25">
      <c r="A29" s="287" t="s">
        <v>558</v>
      </c>
      <c r="B29" s="288" t="s">
        <v>537</v>
      </c>
      <c r="C29" s="289">
        <v>588</v>
      </c>
      <c r="D29" s="289" t="s">
        <v>524</v>
      </c>
      <c r="E29" s="310" t="s">
        <v>513</v>
      </c>
      <c r="F29" s="289" t="s">
        <v>535</v>
      </c>
      <c r="G29" s="291"/>
      <c r="H29" s="292">
        <v>40.154000000000003</v>
      </c>
      <c r="I29" s="292">
        <v>1.6659999999999999</v>
      </c>
      <c r="J29" s="292">
        <v>11.927</v>
      </c>
      <c r="K29" s="292">
        <v>3.2000000000000001E-2</v>
      </c>
      <c r="L29" s="292">
        <v>11.36</v>
      </c>
      <c r="M29" s="292">
        <v>0.20699999999999999</v>
      </c>
      <c r="N29" s="292">
        <v>12.922000000000001</v>
      </c>
      <c r="O29" s="292">
        <v>10.627000000000001</v>
      </c>
      <c r="P29" s="292">
        <v>2.278</v>
      </c>
      <c r="Q29" s="292">
        <v>0.92200000000000004</v>
      </c>
      <c r="R29" s="293">
        <v>0</v>
      </c>
      <c r="S29" s="293">
        <v>3.1E-2</v>
      </c>
      <c r="T29" s="294">
        <f t="shared" si="67"/>
        <v>92.125999999999991</v>
      </c>
      <c r="U29" s="295">
        <f>IF(SUM(H29:S29)&lt;90," ",H29/stab.data!$U$7)</f>
        <v>0.6682977165301911</v>
      </c>
      <c r="V29" s="295">
        <f>IF(SUM(H29:S29)&lt;90," ",I29/stab.data!$U$8)</f>
        <v>2.0851585771859121E-2</v>
      </c>
      <c r="W29" s="295">
        <f>IF(SUM(H29:S29)&lt;90," ",J29*2/stab.data!$U$9)</f>
        <v>0.23395219740881318</v>
      </c>
      <c r="X29" s="295">
        <f>IF(SUM(H29:S29)&lt;90," ",K29*2/stab.data!$U$10)</f>
        <v>4.2107978014371974E-4</v>
      </c>
      <c r="Y29" s="295">
        <f>IF(SUM(H29:S29)&lt;90," ",L29/stab.data!$U$11)</f>
        <v>0.15811597026974361</v>
      </c>
      <c r="Z29" s="295">
        <f>IF(SUM(H29:S29)&lt;90," ",M29/stab.data!$U$12)</f>
        <v>2.9180822419893706E-3</v>
      </c>
      <c r="AA29" s="295">
        <f>IF(SUM(H29:S29)&lt;90," ",N29/stab.data!$U$13)</f>
        <v>0.32061333862643904</v>
      </c>
      <c r="AB29" s="295">
        <f>IF(SUM(H29:S29)&lt;90," ",O29/stab.data!$U$14)</f>
        <v>0.18950052604361706</v>
      </c>
      <c r="AC29" s="295">
        <f>IF(SUM(H29:S29)&lt;90," ",P29*2/stab.data!$U$15)</f>
        <v>7.350876909921103E-2</v>
      </c>
      <c r="AD29" s="295">
        <f>IF(SUM(H29:S29)&lt;90," ",Q29*2/stab.data!$U$16)</f>
        <v>1.9576410637507299E-2</v>
      </c>
      <c r="AE29" s="295">
        <f>IF(SUM(H29:S29)&lt;90," ",R29/stab.data!$U$17)</f>
        <v>0</v>
      </c>
      <c r="AF29" s="295">
        <f>IF(SUM(H29:S29)&lt;90," ",S29/stab.data!$U$18)</f>
        <v>8.7439708910388395E-4</v>
      </c>
      <c r="AG29" s="295">
        <f t="shared" si="68"/>
        <v>1.4051699706291791</v>
      </c>
      <c r="AH29" s="295">
        <f t="shared" si="69"/>
        <v>0.13861733702268844</v>
      </c>
      <c r="AI29" s="296">
        <f t="shared" si="70"/>
        <v>6.182789624377186</v>
      </c>
      <c r="AJ29" s="296">
        <f t="shared" si="71"/>
        <v>0.19290948475990699</v>
      </c>
      <c r="AK29" s="296">
        <f t="shared" si="72"/>
        <v>2.164420411683551</v>
      </c>
      <c r="AL29" s="296">
        <f t="shared" si="73"/>
        <v>3.8956405675373926E-3</v>
      </c>
      <c r="AM29" s="296">
        <f t="shared" si="74"/>
        <v>1.4628177775435183</v>
      </c>
      <c r="AN29" s="296">
        <f t="shared" si="75"/>
        <v>2.6996783263789792E-2</v>
      </c>
      <c r="AO29" s="296">
        <f t="shared" si="76"/>
        <v>2.96617027780451</v>
      </c>
      <c r="AP29" s="296">
        <f t="shared" si="77"/>
        <v>1.753173559113252</v>
      </c>
      <c r="AQ29" s="296">
        <f t="shared" si="78"/>
        <v>0.68007004011184313</v>
      </c>
      <c r="AR29" s="296">
        <f t="shared" si="79"/>
        <v>0.1811121384651018</v>
      </c>
      <c r="AS29" s="296">
        <f t="shared" si="80"/>
        <v>0</v>
      </c>
      <c r="AT29" s="296">
        <f t="shared" si="81"/>
        <v>8.0895282392497523E-3</v>
      </c>
      <c r="AU29" s="295">
        <f t="shared" si="82"/>
        <v>15.614355737690197</v>
      </c>
      <c r="AV29" s="295">
        <f t="shared" si="83"/>
        <v>1.8300975863346205</v>
      </c>
      <c r="AW29" s="295">
        <f>IF(SUM(H29:S29)&lt;90," ",CO29*AG29*stab.data!$U$20/13/2)</f>
        <v>6.1514443313040141</v>
      </c>
      <c r="AX29" s="295">
        <f>IF(SUM(H29:S29)&lt;90," ",CQ29*AG29*stab.data!$U$11/13)</f>
        <v>5.8248518773522839</v>
      </c>
      <c r="AY29" s="295">
        <f t="shared" si="84"/>
        <v>-6.9947395142865316E-3</v>
      </c>
      <c r="AZ29" s="297">
        <f t="shared" si="85"/>
        <v>94.565399055476632</v>
      </c>
      <c r="BA29" s="298">
        <f>IF(SUM(H29:S29)&lt;90," ",EXP('eq. coef.'!$C$104+'eq. coef.'!$C$105*'Amp (T-P-fO2 calculation)'!AI29+'eq. coef.'!$C$106*'Amp (T-P-fO2 calculation)'!AJ29+'eq. coef.'!$C$107*'Amp (T-P-fO2 calculation)'!AK29+'eq. coef.'!$C$108*'Amp (T-P-fO2 calculation)'!AM29+'eq. coef.'!$C$109*'Amp (T-P-fO2 calculation)'!AO29+'eq. coef.'!$C$110*'Amp (T-P-fO2 calculation)'!AP29+'eq. coef.'!$C$111*'Amp (T-P-fO2 calculation)'!AQ29+'eq. coef.'!$C$112*'Amp (T-P-fO2 calculation)'!AR29))</f>
        <v>779.66390918869854</v>
      </c>
      <c r="BB29" s="299">
        <f>IF(SUM(H29:S29)&lt;90," ",EXP('eq. coef.'!$C$176+'eq. coef.'!$C$177*'Amp (T-P-fO2 calculation)'!AI29+'eq. coef.'!$C$178*'Amp (T-P-fO2 calculation)'!AJ29+'eq. coef.'!$C$179*'Amp (T-P-fO2 calculation)'!AK29+'eq. coef.'!$C$180*'Amp (T-P-fO2 calculation)'!AM29+'eq. coef.'!$C$181*'Amp (T-P-fO2 calculation)'!AO29+'eq. coef.'!$C$182*'Amp (T-P-fO2 calculation)'!AP29+'eq. coef.'!$C$183*'Amp (T-P-fO2 calculation)'!AQ29+'eq. coef.'!$C$184*'Amp (T-P-fO2 calculation)'!AR29))</f>
        <v>416.39938387861559</v>
      </c>
      <c r="BC29" s="299">
        <f>IF(SUM(H29:S29)&lt;90," ",('eq. coef.'!$C$234+'eq. coef.'!$C$235*'Amp (T-P-fO2 calculation)'!AI29+'eq. coef.'!$C$236*'Amp (T-P-fO2 calculation)'!AJ29+'eq. coef.'!$C$237*'Amp (T-P-fO2 calculation)'!AK29+'eq. coef.'!$C$238*'Amp (T-P-fO2 calculation)'!AM29+'eq. coef.'!$C$239*'Amp (T-P-fO2 calculation)'!AO29+'eq. coef.'!$C$240*'Amp (T-P-fO2 calculation)'!AP29+'eq. coef.'!$C$241*'Amp (T-P-fO2 calculation)'!AQ29+'eq. coef.'!$C$242*'Amp (T-P-fO2 calculation)'!AR29))</f>
        <v>450.47802299033071</v>
      </c>
      <c r="BD29" s="299">
        <f>IF(SUM(H29:S29)&lt;90," ",('eq. coef.'!$C$270+'eq. coef.'!$C$271*'Amp (T-P-fO2 calculation)'!AI29+'eq. coef.'!$C$272*'Amp (T-P-fO2 calculation)'!AJ29+'eq. coef.'!$C$273*'Amp (T-P-fO2 calculation)'!AK29+'eq. coef.'!$C$274*'Amp (T-P-fO2 calculation)'!AM29+'eq. coef.'!$C$275*'Amp (T-P-fO2 calculation)'!AO29+'eq. coef.'!$C$276*'Amp (T-P-fO2 calculation)'!AP29+'eq. coef.'!$C$277*'Amp (T-P-fO2 calculation)'!AQ29+'eq. coef.'!$C$278*'Amp (T-P-fO2 calculation)'!AR29))</f>
        <v>906.80042680944564</v>
      </c>
      <c r="BE29" s="299">
        <f>IF(SUM(H29:S29)&lt;90," ",EXP('eq. coef.'!$C$328+'eq. coef.'!$C$329*'Amp (T-P-fO2 calculation)'!AI29+'eq. coef.'!$C$330*'Amp (T-P-fO2 calculation)'!AJ29+'eq. coef.'!$C$331*'Amp (T-P-fO2 calculation)'!AK29+'eq. coef.'!$C$332*'Amp (T-P-fO2 calculation)'!AM29+'eq. coef.'!$C$333*'Amp (T-P-fO2 calculation)'!AO29+'eq. coef.'!$C$334*'Amp (T-P-fO2 calculation)'!AP29+'eq. coef.'!$C$335*'Amp (T-P-fO2 calculation)'!AQ29+'eq. coef.'!$C$336*'Amp (T-P-fO2 calculation)'!AR29))</f>
        <v>1186.0639474529805</v>
      </c>
      <c r="BF29" s="300" t="str">
        <f t="shared" si="19"/>
        <v>low Total</v>
      </c>
      <c r="BG29" s="301" t="str">
        <f t="shared" si="20"/>
        <v>ok</v>
      </c>
      <c r="BH29" s="301" t="str">
        <f t="shared" si="21"/>
        <v>ok</v>
      </c>
      <c r="BI29" s="299">
        <f t="shared" si="22"/>
        <v>41.348555639699853</v>
      </c>
      <c r="BJ29" s="302">
        <f t="shared" si="86"/>
        <v>-0.52125028935502882</v>
      </c>
      <c r="BK29" s="299">
        <f t="shared" si="87"/>
        <v>490.40104293083004</v>
      </c>
      <c r="BL29" s="303">
        <f>IF(SUM(H29:S29)&lt;90," ",'eq. coef.'!$C$360+'eq. coef.'!$C$361*'Amp (T-P-fO2 calculation)'!AI29+'eq. coef.'!$C$362*'Amp (T-P-fO2 calculation)'!AJ29+'eq. coef.'!$C$363*'Amp (T-P-fO2 calculation)'!AK29+'eq. coef.'!$C$364*'Amp (T-P-fO2 calculation)'!AM29+'eq. coef.'!$C$365*'Amp (T-P-fO2 calculation)'!AO29+'eq. coef.'!$C$366*'Amp (T-P-fO2 calculation)'!AP29+'eq. coef.'!$C$367*'Amp (T-P-fO2 calculation)'!AQ29+'eq. coef.'!$C$368*'Amp (T-P-fO2 calculation)'!AR29+'eq. coef.'!$C$369*LN(BO29))</f>
        <v>997.99993146366148</v>
      </c>
      <c r="BM29" s="304">
        <f t="shared" si="25"/>
        <v>22</v>
      </c>
      <c r="BN29" s="305">
        <f t="shared" si="26"/>
        <v>484</v>
      </c>
      <c r="BO29" s="306">
        <f t="shared" si="27"/>
        <v>1186.0639474529805</v>
      </c>
      <c r="BP29" s="299" t="str">
        <f t="shared" si="28"/>
        <v>P1e</v>
      </c>
      <c r="BQ29" s="302"/>
      <c r="BR29" s="302">
        <f t="shared" si="88"/>
        <v>0</v>
      </c>
      <c r="BS29" s="302">
        <f t="shared" si="89"/>
        <v>0</v>
      </c>
      <c r="BT29" s="299">
        <f t="shared" si="31"/>
        <v>142.32767369435766</v>
      </c>
      <c r="BU29" s="311">
        <f t="shared" si="62"/>
        <v>736.07543054278858</v>
      </c>
      <c r="BV29" s="312">
        <f t="shared" si="63"/>
        <v>800.99541138986501</v>
      </c>
      <c r="BW29" s="267">
        <f>IF(SUM(H29:S29)&lt;90," ",'eq. coef.'!$B$1128*'Amp (T-P-fO2 calculation)'!CH29+'eq. coef.'!$B$1129*'Amp (T-P-fO2 calculation)'!CL29+'eq. coef.'!$B$1130*'Amp (T-P-fO2 calculation)'!CM29+'eq. coef.'!$B$1131*'Amp (T-P-fO2 calculation)'!CO29+'eq. coef.'!$B$1132*'Amp (T-P-fO2 calculation)'!CP29+'eq. coef.'!$B$1133*'Amp (T-P-fO2 calculation)'!CQ29+'eq. coef.'!$B$1134*'Amp (T-P-fO2 calculation)'!CR29+'eq. coef.'!$B$1135*'Amp (T-P-fO2 calculation)'!CU29+'eq. coef.'!$B$1135*'Amp (T-P-fO2 calculation)'!CY29+'eq. coef.'!$B$1137*'Amp (T-P-fO2 calculation)'!CZ29)</f>
        <v>3.3002899153261405</v>
      </c>
      <c r="BX29" s="268">
        <f t="shared" si="32"/>
        <v>0.4</v>
      </c>
      <c r="BY29" s="269"/>
      <c r="BZ29" s="282">
        <f t="shared" si="64"/>
        <v>-9.9097459980150475</v>
      </c>
      <c r="CA29" s="269">
        <f t="shared" si="65"/>
        <v>1.7219970758386447</v>
      </c>
      <c r="CB29" s="282">
        <f t="shared" si="66"/>
        <v>-8.3509430615090636</v>
      </c>
      <c r="CC29" s="268">
        <f t="shared" si="33"/>
        <v>-6.6289459856704189</v>
      </c>
      <c r="CD29" s="268"/>
      <c r="CE29" s="267">
        <f>IF(SUM(H29:S29)&lt;90," ",EXP('eq. coef.'!$B$1156*'Amp (T-P-fO2 calculation)'!CH29+'eq. coef.'!$B$1157*'Amp (T-P-fO2 calculation)'!CL29+'eq. coef.'!$B$1158*'Amp (T-P-fO2 calculation)'!CM29+'eq. coef.'!$B$1159*'Amp (T-P-fO2 calculation)'!CO29+'eq. coef.'!$B$1160*'Amp (T-P-fO2 calculation)'!CP29+'eq. coef.'!$B$1161*'Amp (T-P-fO2 calculation)'!CQ29+'eq. coef.'!$B$1162*'Amp (T-P-fO2 calculation)'!CR29+'eq. coef.'!$B$1163*'Amp (T-P-fO2 calculation)'!CU29+'eq. coef.'!$B$1164*'Amp (T-P-fO2 calculation)'!CY29+'eq. coef.'!$B$1165*'Amp (T-P-fO2 calculation)'!CZ29))</f>
        <v>6.8796281892140776</v>
      </c>
      <c r="CF29" s="302">
        <f t="shared" si="34"/>
        <v>1.1695367921663933</v>
      </c>
      <c r="CG29" s="296">
        <f t="shared" si="35"/>
        <v>6.182789624377186</v>
      </c>
      <c r="CH29" s="296">
        <f t="shared" si="36"/>
        <v>1.817210375622814</v>
      </c>
      <c r="CI29" s="296">
        <f t="shared" si="37"/>
        <v>0</v>
      </c>
      <c r="CJ29" s="296">
        <f t="shared" si="38"/>
        <v>8</v>
      </c>
      <c r="CK29" s="296"/>
      <c r="CL29" s="296">
        <f t="shared" si="39"/>
        <v>0.34721003606073708</v>
      </c>
      <c r="CM29" s="296">
        <f t="shared" si="40"/>
        <v>0.19290948475990699</v>
      </c>
      <c r="CN29" s="296">
        <f t="shared" si="41"/>
        <v>3.8956405675373926E-3</v>
      </c>
      <c r="CO29" s="296">
        <f t="shared" si="42"/>
        <v>0.7127564326712772</v>
      </c>
      <c r="CP29" s="296">
        <f t="shared" si="43"/>
        <v>2.96617027780451</v>
      </c>
      <c r="CQ29" s="296">
        <f t="shared" si="44"/>
        <v>0.75006134487224108</v>
      </c>
      <c r="CR29" s="296">
        <f t="shared" si="45"/>
        <v>2.6996783263789792E-2</v>
      </c>
      <c r="CS29" s="296">
        <f t="shared" si="46"/>
        <v>4.9999999999999991</v>
      </c>
      <c r="CT29" s="296"/>
      <c r="CU29" s="296">
        <f t="shared" si="47"/>
        <v>1.753173559113252</v>
      </c>
      <c r="CV29" s="296">
        <f t="shared" si="48"/>
        <v>0.24682644088674799</v>
      </c>
      <c r="CW29" s="296">
        <f t="shared" si="49"/>
        <v>2</v>
      </c>
      <c r="CX29" s="296"/>
      <c r="CY29" s="296">
        <f t="shared" si="50"/>
        <v>0.43324359922509514</v>
      </c>
      <c r="CZ29" s="296">
        <f t="shared" si="51"/>
        <v>0.1811121384651018</v>
      </c>
      <c r="DA29" s="296">
        <f t="shared" si="52"/>
        <v>0.61435573769019691</v>
      </c>
      <c r="DB29" s="296"/>
      <c r="DC29" s="296">
        <f t="shared" si="53"/>
        <v>1.9919104717607503</v>
      </c>
      <c r="DD29" s="296">
        <f t="shared" si="54"/>
        <v>0</v>
      </c>
      <c r="DE29" s="296">
        <f t="shared" si="55"/>
        <v>8.0895282392497523E-3</v>
      </c>
      <c r="DF29" s="296">
        <f t="shared" si="56"/>
        <v>2</v>
      </c>
      <c r="DG29" s="302">
        <f t="shared" si="57"/>
        <v>45.287243567328723</v>
      </c>
      <c r="DH29" s="302"/>
      <c r="DI29" s="295">
        <f t="shared" si="58"/>
        <v>0.79816614758474547</v>
      </c>
      <c r="DJ29" s="295">
        <f t="shared" si="59"/>
        <v>0.66971738029928585</v>
      </c>
      <c r="DK29" s="295">
        <f t="shared" si="60"/>
        <v>0.16041709558203007</v>
      </c>
      <c r="DL29" s="296">
        <f t="shared" si="61"/>
        <v>2.164420411683551</v>
      </c>
    </row>
    <row r="30" spans="1:116" ht="13.8" x14ac:dyDescent="0.25">
      <c r="A30" s="287" t="s">
        <v>558</v>
      </c>
      <c r="B30" s="288" t="s">
        <v>537</v>
      </c>
      <c r="C30" s="289">
        <v>588</v>
      </c>
      <c r="D30" s="289" t="s">
        <v>524</v>
      </c>
      <c r="E30" s="310" t="s">
        <v>513</v>
      </c>
      <c r="F30" s="289" t="s">
        <v>535</v>
      </c>
      <c r="G30" s="291"/>
      <c r="H30" s="292">
        <v>39.558</v>
      </c>
      <c r="I30" s="292">
        <v>1.651</v>
      </c>
      <c r="J30" s="292">
        <v>12.087999999999999</v>
      </c>
      <c r="K30" s="292">
        <v>0</v>
      </c>
      <c r="L30" s="292">
        <v>11.351000000000001</v>
      </c>
      <c r="M30" s="292">
        <v>0.22900000000000001</v>
      </c>
      <c r="N30" s="292">
        <v>12.638</v>
      </c>
      <c r="O30" s="292">
        <v>10.513999999999999</v>
      </c>
      <c r="P30" s="292">
        <v>2.3380000000000001</v>
      </c>
      <c r="Q30" s="292">
        <v>0.93</v>
      </c>
      <c r="R30" s="293">
        <v>0</v>
      </c>
      <c r="S30" s="293">
        <v>2.8000000000000001E-2</v>
      </c>
      <c r="T30" s="294">
        <f t="shared" si="67"/>
        <v>91.325000000000017</v>
      </c>
      <c r="U30" s="295">
        <f>IF(SUM(H30:S30)&lt;90," ",H30/stab.data!$U$7)</f>
        <v>0.65837827042140995</v>
      </c>
      <c r="V30" s="295">
        <f>IF(SUM(H30:S30)&lt;90," ",I30/stab.data!$U$8)</f>
        <v>2.0663846404165312E-2</v>
      </c>
      <c r="W30" s="295">
        <f>IF(SUM(H30:S30)&lt;90," ",J30*2/stab.data!$U$9)</f>
        <v>0.23711026765135687</v>
      </c>
      <c r="X30" s="295">
        <f>IF(SUM(H30:S30)&lt;90," ",K30*2/stab.data!$U$10)</f>
        <v>0</v>
      </c>
      <c r="Y30" s="295">
        <f>IF(SUM(H30:S30)&lt;90," ",L30/stab.data!$U$11)</f>
        <v>0.15799070233555104</v>
      </c>
      <c r="Z30" s="295">
        <f>IF(SUM(H30:S30)&lt;90," ",M30/stab.data!$U$12)</f>
        <v>3.2282165865486277E-3</v>
      </c>
      <c r="AA30" s="295">
        <f>IF(SUM(H30:S30)&lt;90," ",N30/stab.data!$U$13)</f>
        <v>0.31356689162366014</v>
      </c>
      <c r="AB30" s="295">
        <f>IF(SUM(H30:S30)&lt;90," ",O30/stab.data!$U$14)</f>
        <v>0.1874855115105476</v>
      </c>
      <c r="AC30" s="295">
        <f>IF(SUM(H30:S30)&lt;90," ",P30*2/stab.data!$U$15)</f>
        <v>7.5444908759418519E-2</v>
      </c>
      <c r="AD30" s="295">
        <f>IF(SUM(H30:S30)&lt;90," ",Q30*2/stab.data!$U$16)</f>
        <v>1.9746271033494349E-2</v>
      </c>
      <c r="AE30" s="295">
        <f>IF(SUM(H30:S30)&lt;90," ",R30/stab.data!$U$17)</f>
        <v>0</v>
      </c>
      <c r="AF30" s="295">
        <f>IF(SUM(H30:S30)&lt;90," ",S30/stab.data!$U$18)</f>
        <v>7.8977801596479837E-4</v>
      </c>
      <c r="AG30" s="295">
        <f t="shared" si="68"/>
        <v>1.390938195022692</v>
      </c>
      <c r="AH30" s="295">
        <f t="shared" si="69"/>
        <v>0.14167552499001199</v>
      </c>
      <c r="AI30" s="296">
        <f t="shared" si="70"/>
        <v>6.153341353415561</v>
      </c>
      <c r="AJ30" s="296">
        <f t="shared" si="71"/>
        <v>0.19312864095285454</v>
      </c>
      <c r="AK30" s="296">
        <f t="shared" si="72"/>
        <v>2.2160822748974494</v>
      </c>
      <c r="AL30" s="296">
        <f t="shared" si="73"/>
        <v>0</v>
      </c>
      <c r="AM30" s="296">
        <f t="shared" si="74"/>
        <v>1.4766142289511692</v>
      </c>
      <c r="AN30" s="296">
        <f t="shared" si="75"/>
        <v>3.0171589057878669E-2</v>
      </c>
      <c r="AO30" s="296">
        <f t="shared" si="76"/>
        <v>2.9306619127250868</v>
      </c>
      <c r="AP30" s="296">
        <f t="shared" si="77"/>
        <v>1.7522788994929828</v>
      </c>
      <c r="AQ30" s="296">
        <f t="shared" si="78"/>
        <v>0.70512393532801076</v>
      </c>
      <c r="AR30" s="296">
        <f t="shared" si="79"/>
        <v>0.18455278915627063</v>
      </c>
      <c r="AS30" s="296">
        <f t="shared" si="80"/>
        <v>0</v>
      </c>
      <c r="AT30" s="296">
        <f t="shared" si="81"/>
        <v>7.3814309250274622E-3</v>
      </c>
      <c r="AU30" s="295">
        <f t="shared" si="82"/>
        <v>15.641955623977264</v>
      </c>
      <c r="AV30" s="295">
        <f t="shared" si="83"/>
        <v>1.8122060649708964</v>
      </c>
      <c r="AW30" s="295">
        <f>IF(SUM(H30:S30)&lt;90," ",CO30*AG30*stab.data!$U$20/13/2)</f>
        <v>5.9523392055945221</v>
      </c>
      <c r="AX30" s="295">
        <f>IF(SUM(H30:S30)&lt;90," ",CQ30*AG30*stab.data!$U$11/13)</f>
        <v>5.9950092107239108</v>
      </c>
      <c r="AY30" s="295">
        <f t="shared" si="84"/>
        <v>-6.3178292387104156E-3</v>
      </c>
      <c r="AZ30" s="297">
        <f t="shared" si="85"/>
        <v>93.727236652050635</v>
      </c>
      <c r="BA30" s="298">
        <f>IF(SUM(H30:S30)&lt;90," ",EXP('eq. coef.'!$C$104+'eq. coef.'!$C$105*'Amp (T-P-fO2 calculation)'!AI30+'eq. coef.'!$C$106*'Amp (T-P-fO2 calculation)'!AJ30+'eq. coef.'!$C$107*'Amp (T-P-fO2 calculation)'!AK30+'eq. coef.'!$C$108*'Amp (T-P-fO2 calculation)'!AM30+'eq. coef.'!$C$109*'Amp (T-P-fO2 calculation)'!AO30+'eq. coef.'!$C$110*'Amp (T-P-fO2 calculation)'!AP30+'eq. coef.'!$C$111*'Amp (T-P-fO2 calculation)'!AQ30+'eq. coef.'!$C$112*'Amp (T-P-fO2 calculation)'!AR30))</f>
        <v>874.85474880522315</v>
      </c>
      <c r="BB30" s="299">
        <f>IF(SUM(H30:S30)&lt;90," ",EXP('eq. coef.'!$C$176+'eq. coef.'!$C$177*'Amp (T-P-fO2 calculation)'!AI30+'eq. coef.'!$C$178*'Amp (T-P-fO2 calculation)'!AJ30+'eq. coef.'!$C$179*'Amp (T-P-fO2 calculation)'!AK30+'eq. coef.'!$C$180*'Amp (T-P-fO2 calculation)'!AM30+'eq. coef.'!$C$181*'Amp (T-P-fO2 calculation)'!AO30+'eq. coef.'!$C$182*'Amp (T-P-fO2 calculation)'!AP30+'eq. coef.'!$C$183*'Amp (T-P-fO2 calculation)'!AQ30+'eq. coef.'!$C$184*'Amp (T-P-fO2 calculation)'!AR30))</f>
        <v>440.26944811645808</v>
      </c>
      <c r="BC30" s="299">
        <f>IF(SUM(H30:S30)&lt;90," ",('eq. coef.'!$C$234+'eq. coef.'!$C$235*'Amp (T-P-fO2 calculation)'!AI30+'eq. coef.'!$C$236*'Amp (T-P-fO2 calculation)'!AJ30+'eq. coef.'!$C$237*'Amp (T-P-fO2 calculation)'!AK30+'eq. coef.'!$C$238*'Amp (T-P-fO2 calculation)'!AM30+'eq. coef.'!$C$239*'Amp (T-P-fO2 calculation)'!AO30+'eq. coef.'!$C$240*'Amp (T-P-fO2 calculation)'!AP30+'eq. coef.'!$C$241*'Amp (T-P-fO2 calculation)'!AQ30+'eq. coef.'!$C$242*'Amp (T-P-fO2 calculation)'!AR30))</f>
        <v>467.0157879685429</v>
      </c>
      <c r="BD30" s="299">
        <f>IF(SUM(H30:S30)&lt;90," ",('eq. coef.'!$C$270+'eq. coef.'!$C$271*'Amp (T-P-fO2 calculation)'!AI30+'eq. coef.'!$C$272*'Amp (T-P-fO2 calculation)'!AJ30+'eq. coef.'!$C$273*'Amp (T-P-fO2 calculation)'!AK30+'eq. coef.'!$C$274*'Amp (T-P-fO2 calculation)'!AM30+'eq. coef.'!$C$275*'Amp (T-P-fO2 calculation)'!AO30+'eq. coef.'!$C$276*'Amp (T-P-fO2 calculation)'!AP30+'eq. coef.'!$C$277*'Amp (T-P-fO2 calculation)'!AQ30+'eq. coef.'!$C$278*'Amp (T-P-fO2 calculation)'!AR30))</f>
        <v>1006.5461940843496</v>
      </c>
      <c r="BE30" s="299">
        <f>IF(SUM(H30:S30)&lt;90," ",EXP('eq. coef.'!$C$328+'eq. coef.'!$C$329*'Amp (T-P-fO2 calculation)'!AI30+'eq. coef.'!$C$330*'Amp (T-P-fO2 calculation)'!AJ30+'eq. coef.'!$C$331*'Amp (T-P-fO2 calculation)'!AK30+'eq. coef.'!$C$332*'Amp (T-P-fO2 calculation)'!AM30+'eq. coef.'!$C$333*'Amp (T-P-fO2 calculation)'!AO30+'eq. coef.'!$C$334*'Amp (T-P-fO2 calculation)'!AP30+'eq. coef.'!$C$335*'Amp (T-P-fO2 calculation)'!AQ30+'eq. coef.'!$C$336*'Amp (T-P-fO2 calculation)'!AR30))</f>
        <v>1326.4880340904317</v>
      </c>
      <c r="BF30" s="300" t="str">
        <f t="shared" si="19"/>
        <v>low Total</v>
      </c>
      <c r="BG30" s="301" t="str">
        <f t="shared" si="20"/>
        <v>ok</v>
      </c>
      <c r="BH30" s="301" t="str">
        <f t="shared" si="21"/>
        <v>ok</v>
      </c>
      <c r="BI30" s="299">
        <f t="shared" si="22"/>
        <v>41.03252694622401</v>
      </c>
      <c r="BJ30" s="302">
        <f t="shared" si="86"/>
        <v>-0.51623802225683502</v>
      </c>
      <c r="BK30" s="299">
        <f t="shared" si="87"/>
        <v>566.27674596789154</v>
      </c>
      <c r="BL30" s="303">
        <f>IF(SUM(H30:S30)&lt;90," ",'eq. coef.'!$C$360+'eq. coef.'!$C$361*'Amp (T-P-fO2 calculation)'!AI30+'eq. coef.'!$C$362*'Amp (T-P-fO2 calculation)'!AJ30+'eq. coef.'!$C$363*'Amp (T-P-fO2 calculation)'!AK30+'eq. coef.'!$C$364*'Amp (T-P-fO2 calculation)'!AM30+'eq. coef.'!$C$365*'Amp (T-P-fO2 calculation)'!AO30+'eq. coef.'!$C$366*'Amp (T-P-fO2 calculation)'!AP30+'eq. coef.'!$C$367*'Amp (T-P-fO2 calculation)'!AQ30+'eq. coef.'!$C$368*'Amp (T-P-fO2 calculation)'!AR30+'eq. coef.'!$C$369*LN(BO30))</f>
        <v>1006.3221421733174</v>
      </c>
      <c r="BM30" s="304">
        <f t="shared" si="25"/>
        <v>22</v>
      </c>
      <c r="BN30" s="305">
        <f t="shared" si="26"/>
        <v>484</v>
      </c>
      <c r="BO30" s="306">
        <f t="shared" si="27"/>
        <v>1326.4880340904317</v>
      </c>
      <c r="BP30" s="299" t="str">
        <f t="shared" si="28"/>
        <v>P1e</v>
      </c>
      <c r="BQ30" s="302"/>
      <c r="BR30" s="302">
        <f t="shared" si="88"/>
        <v>0</v>
      </c>
      <c r="BS30" s="302">
        <f t="shared" si="89"/>
        <v>0</v>
      </c>
      <c r="BT30" s="299">
        <f t="shared" si="31"/>
        <v>159.17856409085181</v>
      </c>
      <c r="BU30" s="311">
        <f t="shared" si="62"/>
        <v>765.00607394257156</v>
      </c>
      <c r="BV30" s="312">
        <f t="shared" si="63"/>
        <v>801.2324545105264</v>
      </c>
      <c r="BW30" s="267">
        <f>IF(SUM(H30:S30)&lt;90," ",'eq. coef.'!$B$1128*'Amp (T-P-fO2 calculation)'!CH30+'eq. coef.'!$B$1129*'Amp (T-P-fO2 calculation)'!CL30+'eq. coef.'!$B$1130*'Amp (T-P-fO2 calculation)'!CM30+'eq. coef.'!$B$1131*'Amp (T-P-fO2 calculation)'!CO30+'eq. coef.'!$B$1132*'Amp (T-P-fO2 calculation)'!CP30+'eq. coef.'!$B$1133*'Amp (T-P-fO2 calculation)'!CQ30+'eq. coef.'!$B$1134*'Amp (T-P-fO2 calculation)'!CR30+'eq. coef.'!$B$1135*'Amp (T-P-fO2 calculation)'!CU30+'eq. coef.'!$B$1135*'Amp (T-P-fO2 calculation)'!CY30+'eq. coef.'!$B$1137*'Amp (T-P-fO2 calculation)'!CZ30)</f>
        <v>3.3227120002580159</v>
      </c>
      <c r="BX30" s="268">
        <f t="shared" si="32"/>
        <v>0.4</v>
      </c>
      <c r="BY30" s="269"/>
      <c r="BZ30" s="282">
        <f t="shared" si="64"/>
        <v>-9.7343984463037536</v>
      </c>
      <c r="CA30" s="269">
        <f t="shared" si="65"/>
        <v>1.7299722984956061</v>
      </c>
      <c r="CB30" s="282">
        <f t="shared" si="66"/>
        <v>-8.1641217552728271</v>
      </c>
      <c r="CC30" s="268">
        <f t="shared" si="33"/>
        <v>-6.4341494567772211</v>
      </c>
      <c r="CD30" s="268"/>
      <c r="CE30" s="267">
        <f>IF(SUM(H30:S30)&lt;90," ",EXP('eq. coef.'!$B$1156*'Amp (T-P-fO2 calculation)'!CH30+'eq. coef.'!$B$1157*'Amp (T-P-fO2 calculation)'!CL30+'eq. coef.'!$B$1158*'Amp (T-P-fO2 calculation)'!CM30+'eq. coef.'!$B$1159*'Amp (T-P-fO2 calculation)'!CO30+'eq. coef.'!$B$1160*'Amp (T-P-fO2 calculation)'!CP30+'eq. coef.'!$B$1161*'Amp (T-P-fO2 calculation)'!CQ30+'eq. coef.'!$B$1162*'Amp (T-P-fO2 calculation)'!CR30+'eq. coef.'!$B$1163*'Amp (T-P-fO2 calculation)'!CU30+'eq. coef.'!$B$1164*'Amp (T-P-fO2 calculation)'!CY30+'eq. coef.'!$B$1165*'Amp (T-P-fO2 calculation)'!CZ30))</f>
        <v>6.9201480558782329</v>
      </c>
      <c r="CF30" s="302">
        <f t="shared" si="34"/>
        <v>1.1764251694992998</v>
      </c>
      <c r="CG30" s="296">
        <f t="shared" si="35"/>
        <v>6.153341353415561</v>
      </c>
      <c r="CH30" s="296">
        <f t="shared" si="36"/>
        <v>1.846658646584439</v>
      </c>
      <c r="CI30" s="296">
        <f t="shared" si="37"/>
        <v>0</v>
      </c>
      <c r="CJ30" s="296">
        <f t="shared" si="38"/>
        <v>8</v>
      </c>
      <c r="CK30" s="296"/>
      <c r="CL30" s="296">
        <f t="shared" si="39"/>
        <v>0.36942362831301034</v>
      </c>
      <c r="CM30" s="296">
        <f t="shared" si="40"/>
        <v>0.19312864095285454</v>
      </c>
      <c r="CN30" s="296">
        <f t="shared" si="41"/>
        <v>0</v>
      </c>
      <c r="CO30" s="296">
        <f t="shared" si="42"/>
        <v>0.69674321289546981</v>
      </c>
      <c r="CP30" s="296">
        <f t="shared" si="43"/>
        <v>2.9306619127250868</v>
      </c>
      <c r="CQ30" s="296">
        <f t="shared" si="44"/>
        <v>0.77987101605569942</v>
      </c>
      <c r="CR30" s="296">
        <f t="shared" si="45"/>
        <v>3.0171589057878669E-2</v>
      </c>
      <c r="CS30" s="296">
        <f t="shared" si="46"/>
        <v>5</v>
      </c>
      <c r="CT30" s="296"/>
      <c r="CU30" s="296">
        <f t="shared" si="47"/>
        <v>1.7522788994929828</v>
      </c>
      <c r="CV30" s="296">
        <f t="shared" si="48"/>
        <v>0.24772110050701723</v>
      </c>
      <c r="CW30" s="296">
        <f t="shared" si="49"/>
        <v>2</v>
      </c>
      <c r="CX30" s="296"/>
      <c r="CY30" s="296">
        <f t="shared" si="50"/>
        <v>0.45740283482099353</v>
      </c>
      <c r="CZ30" s="296">
        <f t="shared" si="51"/>
        <v>0.18455278915627063</v>
      </c>
      <c r="DA30" s="296">
        <f t="shared" si="52"/>
        <v>0.64195562397726413</v>
      </c>
      <c r="DB30" s="296"/>
      <c r="DC30" s="296">
        <f t="shared" si="53"/>
        <v>1.9926185690749725</v>
      </c>
      <c r="DD30" s="296">
        <f t="shared" si="54"/>
        <v>0</v>
      </c>
      <c r="DE30" s="296">
        <f t="shared" si="55"/>
        <v>7.3814309250274622E-3</v>
      </c>
      <c r="DF30" s="296">
        <f t="shared" si="56"/>
        <v>2</v>
      </c>
      <c r="DG30" s="302">
        <f t="shared" si="57"/>
        <v>45.30325678710453</v>
      </c>
      <c r="DH30" s="302"/>
      <c r="DI30" s="295">
        <f t="shared" si="58"/>
        <v>0.78982237025667612</v>
      </c>
      <c r="DJ30" s="295">
        <f t="shared" si="59"/>
        <v>0.66495990233333635</v>
      </c>
      <c r="DK30" s="295">
        <f t="shared" si="60"/>
        <v>0.16670122427205716</v>
      </c>
      <c r="DL30" s="296">
        <f t="shared" si="61"/>
        <v>2.2160822748974494</v>
      </c>
    </row>
    <row r="31" spans="1:116" ht="13.8" x14ac:dyDescent="0.25">
      <c r="A31" s="287" t="s">
        <v>558</v>
      </c>
      <c r="B31" s="288" t="s">
        <v>537</v>
      </c>
      <c r="C31" s="289">
        <v>594</v>
      </c>
      <c r="D31" s="289" t="s">
        <v>525</v>
      </c>
      <c r="E31" s="310" t="s">
        <v>513</v>
      </c>
      <c r="F31" s="289" t="s">
        <v>535</v>
      </c>
      <c r="G31" s="291"/>
      <c r="H31" s="292">
        <v>41.078000000000003</v>
      </c>
      <c r="I31" s="292">
        <v>1.7010000000000001</v>
      </c>
      <c r="J31" s="292">
        <v>13.85</v>
      </c>
      <c r="K31" s="292">
        <v>0</v>
      </c>
      <c r="L31" s="292">
        <v>14.388999999999999</v>
      </c>
      <c r="M31" s="292">
        <v>0.3</v>
      </c>
      <c r="N31" s="292">
        <v>11.885999999999999</v>
      </c>
      <c r="O31" s="292">
        <v>11.896000000000001</v>
      </c>
      <c r="P31" s="292">
        <v>2.1909999999999998</v>
      </c>
      <c r="Q31" s="292">
        <v>1.26</v>
      </c>
      <c r="R31" s="293">
        <v>0</v>
      </c>
      <c r="S31" s="293">
        <v>1.9E-2</v>
      </c>
      <c r="T31" s="294">
        <f t="shared" si="67"/>
        <v>98.570000000000007</v>
      </c>
      <c r="U31" s="295">
        <f>IF(SUM(H31:S31)&lt;90," ",H31/stab.data!$U$7)</f>
        <v>0.68367618667199259</v>
      </c>
      <c r="V31" s="295">
        <f>IF(SUM(H31:S31)&lt;90," ",I31/stab.data!$U$8)</f>
        <v>2.1289644296478012E-2</v>
      </c>
      <c r="W31" s="295">
        <f>IF(SUM(H31:S31)&lt;90," ",J31*2/stab.data!$U$9)</f>
        <v>0.27167250223124528</v>
      </c>
      <c r="X31" s="295">
        <f>IF(SUM(H31:S31)&lt;90," ",K31*2/stab.data!$U$10)</f>
        <v>0</v>
      </c>
      <c r="Y31" s="295">
        <f>IF(SUM(H31:S31)&lt;90," ",L31/stab.data!$U$11)</f>
        <v>0.20027558945522364</v>
      </c>
      <c r="Z31" s="295">
        <f>IF(SUM(H31:S31)&lt;90," ",M31/stab.data!$U$12)</f>
        <v>4.2291046985353199E-3</v>
      </c>
      <c r="AA31" s="295">
        <f>IF(SUM(H31:S31)&lt;90," ",N31/stab.data!$U$13)</f>
        <v>0.29490869392616115</v>
      </c>
      <c r="AB31" s="295">
        <f>IF(SUM(H31:S31)&lt;90," ",O31/stab.data!$U$14)</f>
        <v>0.21212931756985681</v>
      </c>
      <c r="AC31" s="295">
        <f>IF(SUM(H31:S31)&lt;90," ",P31*2/stab.data!$U$15)</f>
        <v>7.0701366591910161E-2</v>
      </c>
      <c r="AD31" s="295">
        <f>IF(SUM(H31:S31)&lt;90," ",Q31*2/stab.data!$U$16)</f>
        <v>2.6753012367960086E-2</v>
      </c>
      <c r="AE31" s="295">
        <f>IF(SUM(H31:S31)&lt;90," ",R31/stab.data!$U$17)</f>
        <v>0</v>
      </c>
      <c r="AF31" s="295">
        <f>IF(SUM(H31:S31)&lt;90," ",S31/stab.data!$U$18)</f>
        <v>5.3592079654754174E-4</v>
      </c>
      <c r="AG31" s="295">
        <f t="shared" si="68"/>
        <v>1.476051721279636</v>
      </c>
      <c r="AH31" s="295">
        <f t="shared" si="69"/>
        <v>0.15214332081547532</v>
      </c>
      <c r="AI31" s="296">
        <f t="shared" si="70"/>
        <v>6.021327233053051</v>
      </c>
      <c r="AJ31" s="296">
        <f t="shared" si="71"/>
        <v>0.18750384682609733</v>
      </c>
      <c r="AK31" s="296">
        <f t="shared" si="72"/>
        <v>2.3926956475105148</v>
      </c>
      <c r="AL31" s="296">
        <f t="shared" si="73"/>
        <v>0</v>
      </c>
      <c r="AM31" s="296">
        <f t="shared" si="74"/>
        <v>1.7638830844360787</v>
      </c>
      <c r="AN31" s="296">
        <f t="shared" si="75"/>
        <v>3.7246906926334991E-2</v>
      </c>
      <c r="AO31" s="296">
        <f t="shared" si="76"/>
        <v>2.5973432812479236</v>
      </c>
      <c r="AP31" s="296">
        <f t="shared" si="77"/>
        <v>1.8682821805305152</v>
      </c>
      <c r="AQ31" s="296">
        <f t="shared" si="78"/>
        <v>0.62268669345679817</v>
      </c>
      <c r="AR31" s="296">
        <f t="shared" si="79"/>
        <v>0.23562125619959418</v>
      </c>
      <c r="AS31" s="296">
        <f t="shared" si="80"/>
        <v>0</v>
      </c>
      <c r="AT31" s="296">
        <f t="shared" si="81"/>
        <v>4.7200042211787505E-3</v>
      </c>
      <c r="AU31" s="295">
        <f t="shared" si="82"/>
        <v>15.726590130186908</v>
      </c>
      <c r="AV31" s="295">
        <f t="shared" si="83"/>
        <v>1.9256661549027159</v>
      </c>
      <c r="AW31" s="295">
        <f>IF(SUM(H31:S31)&lt;90," ",CO31*AG31*stab.data!$U$20/13/2)</f>
        <v>5.3920962602102946</v>
      </c>
      <c r="AX31" s="295">
        <f>IF(SUM(H31:S31)&lt;90," ",CQ31*AG31*stab.data!$U$11/13)</f>
        <v>9.5371229635850625</v>
      </c>
      <c r="AY31" s="295">
        <f t="shared" si="84"/>
        <v>-4.2870984119820679E-3</v>
      </c>
      <c r="AZ31" s="297">
        <f t="shared" si="85"/>
        <v>101.0315982802861</v>
      </c>
      <c r="BA31" s="298">
        <f>IF(SUM(H31:S31)&lt;90," ",EXP('eq. coef.'!$C$104+'eq. coef.'!$C$105*'Amp (T-P-fO2 calculation)'!AI31+'eq. coef.'!$C$106*'Amp (T-P-fO2 calculation)'!AJ31+'eq. coef.'!$C$107*'Amp (T-P-fO2 calculation)'!AK31+'eq. coef.'!$C$108*'Amp (T-P-fO2 calculation)'!AM31+'eq. coef.'!$C$109*'Amp (T-P-fO2 calculation)'!AO31+'eq. coef.'!$C$110*'Amp (T-P-fO2 calculation)'!AP31+'eq. coef.'!$C$111*'Amp (T-P-fO2 calculation)'!AQ31+'eq. coef.'!$C$112*'Amp (T-P-fO2 calculation)'!AR31))</f>
        <v>784.01171936217986</v>
      </c>
      <c r="BB31" s="299">
        <f>IF(SUM(H31:S31)&lt;90," ",EXP('eq. coef.'!$C$176+'eq. coef.'!$C$177*'Amp (T-P-fO2 calculation)'!AI31+'eq. coef.'!$C$178*'Amp (T-P-fO2 calculation)'!AJ31+'eq. coef.'!$C$179*'Amp (T-P-fO2 calculation)'!AK31+'eq. coef.'!$C$180*'Amp (T-P-fO2 calculation)'!AM31+'eq. coef.'!$C$181*'Amp (T-P-fO2 calculation)'!AO31+'eq. coef.'!$C$182*'Amp (T-P-fO2 calculation)'!AP31+'eq. coef.'!$C$183*'Amp (T-P-fO2 calculation)'!AQ31+'eq. coef.'!$C$184*'Amp (T-P-fO2 calculation)'!AR31))</f>
        <v>496.69014905192842</v>
      </c>
      <c r="BC31" s="299">
        <f>IF(SUM(H31:S31)&lt;90," ",('eq. coef.'!$C$234+'eq. coef.'!$C$235*'Amp (T-P-fO2 calculation)'!AI31+'eq. coef.'!$C$236*'Amp (T-P-fO2 calculation)'!AJ31+'eq. coef.'!$C$237*'Amp (T-P-fO2 calculation)'!AK31+'eq. coef.'!$C$238*'Amp (T-P-fO2 calculation)'!AM31+'eq. coef.'!$C$239*'Amp (T-P-fO2 calculation)'!AO31+'eq. coef.'!$C$240*'Amp (T-P-fO2 calculation)'!AP31+'eq. coef.'!$C$241*'Amp (T-P-fO2 calculation)'!AQ31+'eq. coef.'!$C$242*'Amp (T-P-fO2 calculation)'!AR31))</f>
        <v>520.4480792277036</v>
      </c>
      <c r="BD31" s="299">
        <f>IF(SUM(H31:S31)&lt;90," ",('eq. coef.'!$C$270+'eq. coef.'!$C$271*'Amp (T-P-fO2 calculation)'!AI31+'eq. coef.'!$C$272*'Amp (T-P-fO2 calculation)'!AJ31+'eq. coef.'!$C$273*'Amp (T-P-fO2 calculation)'!AK31+'eq. coef.'!$C$274*'Amp (T-P-fO2 calculation)'!AM31+'eq. coef.'!$C$275*'Amp (T-P-fO2 calculation)'!AO31+'eq. coef.'!$C$276*'Amp (T-P-fO2 calculation)'!AP31+'eq. coef.'!$C$277*'Amp (T-P-fO2 calculation)'!AQ31+'eq. coef.'!$C$278*'Amp (T-P-fO2 calculation)'!AR31))</f>
        <v>822.84877667908665</v>
      </c>
      <c r="BE31" s="299">
        <f>IF(SUM(H31:S31)&lt;90," ",EXP('eq. coef.'!$C$328+'eq. coef.'!$C$329*'Amp (T-P-fO2 calculation)'!AI31+'eq. coef.'!$C$330*'Amp (T-P-fO2 calculation)'!AJ31+'eq. coef.'!$C$331*'Amp (T-P-fO2 calculation)'!AK31+'eq. coef.'!$C$332*'Amp (T-P-fO2 calculation)'!AM31+'eq. coef.'!$C$333*'Amp (T-P-fO2 calculation)'!AO31+'eq. coef.'!$C$334*'Amp (T-P-fO2 calculation)'!AP31+'eq. coef.'!$C$335*'Amp (T-P-fO2 calculation)'!AQ31+'eq. coef.'!$C$336*'Amp (T-P-fO2 calculation)'!AR31))</f>
        <v>1250.0773750620583</v>
      </c>
      <c r="BF31" s="300" t="str">
        <f t="shared" si="19"/>
        <v>ok</v>
      </c>
      <c r="BG31" s="301" t="str">
        <f t="shared" si="20"/>
        <v>ok</v>
      </c>
      <c r="BH31" s="301" t="str">
        <f t="shared" si="21"/>
        <v>ok</v>
      </c>
      <c r="BI31" s="299">
        <f t="shared" si="22"/>
        <v>4.8339052970170719</v>
      </c>
      <c r="BJ31" s="302">
        <f t="shared" si="86"/>
        <v>-0.59446261349133744</v>
      </c>
      <c r="BK31" s="299">
        <f t="shared" si="87"/>
        <v>326.15862762715824</v>
      </c>
      <c r="BL31" s="303">
        <f>IF(SUM(H31:S31)&lt;90," ",'eq. coef.'!$C$360+'eq. coef.'!$C$361*'Amp (T-P-fO2 calculation)'!AI31+'eq. coef.'!$C$362*'Amp (T-P-fO2 calculation)'!AJ31+'eq. coef.'!$C$363*'Amp (T-P-fO2 calculation)'!AK31+'eq. coef.'!$C$364*'Amp (T-P-fO2 calculation)'!AM31+'eq. coef.'!$C$365*'Amp (T-P-fO2 calculation)'!AO31+'eq. coef.'!$C$366*'Amp (T-P-fO2 calculation)'!AP31+'eq. coef.'!$C$367*'Amp (T-P-fO2 calculation)'!AQ31+'eq. coef.'!$C$368*'Amp (T-P-fO2 calculation)'!AR31+'eq. coef.'!$C$369*LN(BO31))</f>
        <v>941.65024223987757</v>
      </c>
      <c r="BM31" s="304">
        <f t="shared" si="25"/>
        <v>22</v>
      </c>
      <c r="BN31" s="305">
        <f t="shared" si="26"/>
        <v>484</v>
      </c>
      <c r="BO31" s="306">
        <f t="shared" si="27"/>
        <v>822.84877667908665</v>
      </c>
      <c r="BP31" s="299" t="str">
        <f t="shared" si="28"/>
        <v>P1d</v>
      </c>
      <c r="BQ31" s="302"/>
      <c r="BR31" s="302">
        <f t="shared" si="88"/>
        <v>0</v>
      </c>
      <c r="BS31" s="302">
        <f t="shared" si="89"/>
        <v>0</v>
      </c>
      <c r="BT31" s="299">
        <f t="shared" si="31"/>
        <v>98.7418532014904</v>
      </c>
      <c r="BU31" s="311">
        <f t="shared" si="62"/>
        <v>863.90956260588825</v>
      </c>
      <c r="BV31" s="312">
        <f t="shared" si="63"/>
        <v>795.09562772274398</v>
      </c>
      <c r="BW31" s="267">
        <f>IF(SUM(H31:S31)&lt;90," ",'eq. coef.'!$B$1128*'Amp (T-P-fO2 calculation)'!CH31+'eq. coef.'!$B$1129*'Amp (T-P-fO2 calculation)'!CL31+'eq. coef.'!$B$1130*'Amp (T-P-fO2 calculation)'!CM31+'eq. coef.'!$B$1131*'Amp (T-P-fO2 calculation)'!CO31+'eq. coef.'!$B$1132*'Amp (T-P-fO2 calculation)'!CP31+'eq. coef.'!$B$1133*'Amp (T-P-fO2 calculation)'!CQ31+'eq. coef.'!$B$1134*'Amp (T-P-fO2 calculation)'!CR31+'eq. coef.'!$B$1135*'Amp (T-P-fO2 calculation)'!CU31+'eq. coef.'!$B$1135*'Amp (T-P-fO2 calculation)'!CY31+'eq. coef.'!$B$1137*'Amp (T-P-fO2 calculation)'!CZ31)</f>
        <v>3.6789776766587883</v>
      </c>
      <c r="BX31" s="268">
        <f t="shared" si="32"/>
        <v>0.4</v>
      </c>
      <c r="BY31" s="269"/>
      <c r="BZ31" s="282">
        <f t="shared" si="64"/>
        <v>-10.927182560691165</v>
      </c>
      <c r="CA31" s="269">
        <f t="shared" si="65"/>
        <v>2.1927115624333551</v>
      </c>
      <c r="CB31" s="282">
        <f t="shared" si="66"/>
        <v>-9.4503627218847743</v>
      </c>
      <c r="CC31" s="268">
        <f t="shared" si="33"/>
        <v>-7.2576511594514193</v>
      </c>
      <c r="CD31" s="268"/>
      <c r="CE31" s="267">
        <f>IF(SUM(H31:S31)&lt;90," ",EXP('eq. coef.'!$B$1156*'Amp (T-P-fO2 calculation)'!CH31+'eq. coef.'!$B$1157*'Amp (T-P-fO2 calculation)'!CL31+'eq. coef.'!$B$1158*'Amp (T-P-fO2 calculation)'!CM31+'eq. coef.'!$B$1159*'Amp (T-P-fO2 calculation)'!CO31+'eq. coef.'!$B$1160*'Amp (T-P-fO2 calculation)'!CP31+'eq. coef.'!$B$1161*'Amp (T-P-fO2 calculation)'!CQ31+'eq. coef.'!$B$1162*'Amp (T-P-fO2 calculation)'!CR31+'eq. coef.'!$B$1163*'Amp (T-P-fO2 calculation)'!CU31+'eq. coef.'!$B$1164*'Amp (T-P-fO2 calculation)'!CY31+'eq. coef.'!$B$1165*'Amp (T-P-fO2 calculation)'!CZ31))</f>
        <v>8.4760925186220728</v>
      </c>
      <c r="CF31" s="302">
        <f t="shared" si="34"/>
        <v>1.4409357281657524</v>
      </c>
      <c r="CG31" s="296">
        <f t="shared" si="35"/>
        <v>6.021327233053051</v>
      </c>
      <c r="CH31" s="296">
        <f t="shared" si="36"/>
        <v>1.978672766946949</v>
      </c>
      <c r="CI31" s="296">
        <f t="shared" si="37"/>
        <v>0</v>
      </c>
      <c r="CJ31" s="296">
        <f t="shared" si="38"/>
        <v>8</v>
      </c>
      <c r="CK31" s="296"/>
      <c r="CL31" s="296">
        <f t="shared" si="39"/>
        <v>0.41402288056356573</v>
      </c>
      <c r="CM31" s="296">
        <f t="shared" si="40"/>
        <v>0.18750384682609733</v>
      </c>
      <c r="CN31" s="296">
        <f t="shared" si="41"/>
        <v>0</v>
      </c>
      <c r="CO31" s="296">
        <f t="shared" si="42"/>
        <v>0.59476988201377168</v>
      </c>
      <c r="CP31" s="296">
        <f t="shared" si="43"/>
        <v>2.5973432812479236</v>
      </c>
      <c r="CQ31" s="296">
        <f t="shared" si="44"/>
        <v>1.169113202422307</v>
      </c>
      <c r="CR31" s="296">
        <f t="shared" si="45"/>
        <v>3.7246906926334991E-2</v>
      </c>
      <c r="CS31" s="296">
        <f t="shared" si="46"/>
        <v>5</v>
      </c>
      <c r="CT31" s="296"/>
      <c r="CU31" s="296">
        <f t="shared" si="47"/>
        <v>1.8682821805305152</v>
      </c>
      <c r="CV31" s="296">
        <f t="shared" si="48"/>
        <v>0.1317178194694848</v>
      </c>
      <c r="CW31" s="296">
        <f t="shared" si="49"/>
        <v>2</v>
      </c>
      <c r="CX31" s="296"/>
      <c r="CY31" s="296">
        <f t="shared" si="50"/>
        <v>0.49096887398731337</v>
      </c>
      <c r="CZ31" s="296">
        <f t="shared" si="51"/>
        <v>0.23562125619959418</v>
      </c>
      <c r="DA31" s="296">
        <f t="shared" si="52"/>
        <v>0.72659013018690755</v>
      </c>
      <c r="DB31" s="296"/>
      <c r="DC31" s="296">
        <f t="shared" si="53"/>
        <v>1.9952799957788212</v>
      </c>
      <c r="DD31" s="296">
        <f t="shared" si="54"/>
        <v>0</v>
      </c>
      <c r="DE31" s="296">
        <f t="shared" si="55"/>
        <v>4.7200042211787505E-3</v>
      </c>
      <c r="DF31" s="296">
        <f t="shared" si="56"/>
        <v>2</v>
      </c>
      <c r="DG31" s="302">
        <f t="shared" si="57"/>
        <v>45.405230117986228</v>
      </c>
      <c r="DH31" s="302"/>
      <c r="DI31" s="295">
        <f t="shared" si="58"/>
        <v>0.68959864331604792</v>
      </c>
      <c r="DJ31" s="295">
        <f t="shared" si="59"/>
        <v>0.59555342086458374</v>
      </c>
      <c r="DK31" s="295">
        <f t="shared" si="60"/>
        <v>0.1730361657130679</v>
      </c>
      <c r="DL31" s="296">
        <f t="shared" si="61"/>
        <v>2.3926956475105148</v>
      </c>
    </row>
    <row r="32" spans="1:116" ht="13.8" x14ac:dyDescent="0.25">
      <c r="A32" s="287" t="s">
        <v>558</v>
      </c>
      <c r="B32" s="288" t="s">
        <v>537</v>
      </c>
      <c r="C32" s="289">
        <v>594</v>
      </c>
      <c r="D32" s="289" t="s">
        <v>525</v>
      </c>
      <c r="E32" s="310" t="s">
        <v>513</v>
      </c>
      <c r="F32" s="289" t="s">
        <v>535</v>
      </c>
      <c r="G32" s="291"/>
      <c r="H32" s="292">
        <v>40.406999999999996</v>
      </c>
      <c r="I32" s="292">
        <v>1.7829999999999999</v>
      </c>
      <c r="J32" s="292">
        <v>14.505000000000001</v>
      </c>
      <c r="K32" s="292">
        <v>1.6E-2</v>
      </c>
      <c r="L32" s="292">
        <v>14.212999999999999</v>
      </c>
      <c r="M32" s="292">
        <v>0.16800000000000001</v>
      </c>
      <c r="N32" s="292">
        <v>11.946999999999999</v>
      </c>
      <c r="O32" s="292">
        <v>11.602</v>
      </c>
      <c r="P32" s="292">
        <v>2.29</v>
      </c>
      <c r="Q32" s="292">
        <v>1.35</v>
      </c>
      <c r="R32" s="293">
        <v>0</v>
      </c>
      <c r="S32" s="293">
        <v>1.2999999999999999E-2</v>
      </c>
      <c r="T32" s="294">
        <f t="shared" si="67"/>
        <v>98.294000000000011</v>
      </c>
      <c r="U32" s="295">
        <f>IF(SUM(H32:S32)&lt;90," ",H32/stab.data!$U$7)</f>
        <v>0.67250848811663666</v>
      </c>
      <c r="V32" s="295">
        <f>IF(SUM(H32:S32)&lt;90," ",I32/stab.data!$U$8)</f>
        <v>2.2315952839870836E-2</v>
      </c>
      <c r="W32" s="295">
        <f>IF(SUM(H32:S32)&lt;90," ",J32*2/stab.data!$U$9)</f>
        <v>0.28452055197575543</v>
      </c>
      <c r="X32" s="295">
        <f>IF(SUM(H32:S32)&lt;90," ",K32*2/stab.data!$U$10)</f>
        <v>2.1053989007185987E-4</v>
      </c>
      <c r="Y32" s="295">
        <f>IF(SUM(H32:S32)&lt;90," ",L32/stab.data!$U$11)</f>
        <v>0.197825905408791</v>
      </c>
      <c r="Z32" s="295">
        <f>IF(SUM(H32:S32)&lt;90," ",M32/stab.data!$U$12)</f>
        <v>2.3682986311797795E-3</v>
      </c>
      <c r="AA32" s="295">
        <f>IF(SUM(H32:S32)&lt;90," ",N32/stab.data!$U$13)</f>
        <v>0.29642219134577208</v>
      </c>
      <c r="AB32" s="295">
        <f>IF(SUM(H32:S32)&lt;90," ",O32/stab.data!$U$14)</f>
        <v>0.20688671338647266</v>
      </c>
      <c r="AC32" s="295">
        <f>IF(SUM(H32:S32)&lt;90," ",P32*2/stab.data!$U$15)</f>
        <v>7.3895997031252519E-2</v>
      </c>
      <c r="AD32" s="295">
        <f>IF(SUM(H32:S32)&lt;90," ",Q32*2/stab.data!$U$16)</f>
        <v>2.8663941822814377E-2</v>
      </c>
      <c r="AE32" s="295">
        <f>IF(SUM(H32:S32)&lt;90," ",R32/stab.data!$U$17)</f>
        <v>0</v>
      </c>
      <c r="AF32" s="295">
        <f>IF(SUM(H32:S32)&lt;90," ",S32/stab.data!$U$18)</f>
        <v>3.666826502693707E-4</v>
      </c>
      <c r="AG32" s="295">
        <f t="shared" si="68"/>
        <v>1.4761719282080776</v>
      </c>
      <c r="AH32" s="295">
        <f t="shared" si="69"/>
        <v>0.15934004892818307</v>
      </c>
      <c r="AI32" s="296">
        <f t="shared" si="70"/>
        <v>5.9224878745180547</v>
      </c>
      <c r="AJ32" s="296">
        <f t="shared" si="71"/>
        <v>0.19652682819302877</v>
      </c>
      <c r="AK32" s="296">
        <f t="shared" si="72"/>
        <v>2.5056479567219161</v>
      </c>
      <c r="AL32" s="296">
        <f t="shared" si="73"/>
        <v>1.8541326512397781E-3</v>
      </c>
      <c r="AM32" s="296">
        <f t="shared" si="74"/>
        <v>1.7421661536648441</v>
      </c>
      <c r="AN32" s="296">
        <f t="shared" si="75"/>
        <v>2.0856569358225423E-2</v>
      </c>
      <c r="AO32" s="296">
        <f t="shared" si="76"/>
        <v>2.6104604848926907</v>
      </c>
      <c r="AP32" s="296">
        <f t="shared" si="77"/>
        <v>1.821960723293903</v>
      </c>
      <c r="AQ32" s="296">
        <f t="shared" si="78"/>
        <v>0.6507696990095263</v>
      </c>
      <c r="AR32" s="296">
        <f t="shared" si="79"/>
        <v>0.25243078843053418</v>
      </c>
      <c r="AS32" s="296">
        <f t="shared" si="80"/>
        <v>0</v>
      </c>
      <c r="AT32" s="296">
        <f t="shared" si="81"/>
        <v>3.2292135911894215E-3</v>
      </c>
      <c r="AU32" s="295">
        <f t="shared" si="82"/>
        <v>15.725161210733962</v>
      </c>
      <c r="AV32" s="295">
        <f t="shared" si="83"/>
        <v>1.927261872821735</v>
      </c>
      <c r="AW32" s="295">
        <f>IF(SUM(H32:S32)&lt;90," ",CO32*AG32*stab.data!$U$20/13/2)</f>
        <v>6.4132222026821504</v>
      </c>
      <c r="AX32" s="295">
        <f>IF(SUM(H32:S32)&lt;90," ",CQ32*AG32*stab.data!$U$11/13)</f>
        <v>8.4423008075107298</v>
      </c>
      <c r="AY32" s="295">
        <f t="shared" si="84"/>
        <v>-2.9332778608298356E-3</v>
      </c>
      <c r="AZ32" s="297">
        <f t="shared" si="85"/>
        <v>100.8608516051538</v>
      </c>
      <c r="BA32" s="298">
        <f>IF(SUM(H32:S32)&lt;90," ",EXP('eq. coef.'!$C$104+'eq. coef.'!$C$105*'Amp (T-P-fO2 calculation)'!AI32+'eq. coef.'!$C$106*'Amp (T-P-fO2 calculation)'!AJ32+'eq. coef.'!$C$107*'Amp (T-P-fO2 calculation)'!AK32+'eq. coef.'!$C$108*'Amp (T-P-fO2 calculation)'!AM32+'eq. coef.'!$C$109*'Amp (T-P-fO2 calculation)'!AO32+'eq. coef.'!$C$110*'Amp (T-P-fO2 calculation)'!AP32+'eq. coef.'!$C$111*'Amp (T-P-fO2 calculation)'!AQ32+'eq. coef.'!$C$112*'Amp (T-P-fO2 calculation)'!AR32))</f>
        <v>964.71915471344471</v>
      </c>
      <c r="BB32" s="299">
        <f>IF(SUM(H32:S32)&lt;90," ",EXP('eq. coef.'!$C$176+'eq. coef.'!$C$177*'Amp (T-P-fO2 calculation)'!AI32+'eq. coef.'!$C$178*'Amp (T-P-fO2 calculation)'!AJ32+'eq. coef.'!$C$179*'Amp (T-P-fO2 calculation)'!AK32+'eq. coef.'!$C$180*'Amp (T-P-fO2 calculation)'!AM32+'eq. coef.'!$C$181*'Amp (T-P-fO2 calculation)'!AO32+'eq. coef.'!$C$182*'Amp (T-P-fO2 calculation)'!AP32+'eq. coef.'!$C$183*'Amp (T-P-fO2 calculation)'!AQ32+'eq. coef.'!$C$184*'Amp (T-P-fO2 calculation)'!AR32))</f>
        <v>577.60831542328151</v>
      </c>
      <c r="BC32" s="299">
        <f>IF(SUM(H32:S32)&lt;90," ",('eq. coef.'!$C$234+'eq. coef.'!$C$235*'Amp (T-P-fO2 calculation)'!AI32+'eq. coef.'!$C$236*'Amp (T-P-fO2 calculation)'!AJ32+'eq. coef.'!$C$237*'Amp (T-P-fO2 calculation)'!AK32+'eq. coef.'!$C$238*'Amp (T-P-fO2 calculation)'!AM32+'eq. coef.'!$C$239*'Amp (T-P-fO2 calculation)'!AO32+'eq. coef.'!$C$240*'Amp (T-P-fO2 calculation)'!AP32+'eq. coef.'!$C$241*'Amp (T-P-fO2 calculation)'!AQ32+'eq. coef.'!$C$242*'Amp (T-P-fO2 calculation)'!AR32))</f>
        <v>555.78461177130862</v>
      </c>
      <c r="BD32" s="299">
        <f>IF(SUM(H32:S32)&lt;90," ",('eq. coef.'!$C$270+'eq. coef.'!$C$271*'Amp (T-P-fO2 calculation)'!AI32+'eq. coef.'!$C$272*'Amp (T-P-fO2 calculation)'!AJ32+'eq. coef.'!$C$273*'Amp (T-P-fO2 calculation)'!AK32+'eq. coef.'!$C$274*'Amp (T-P-fO2 calculation)'!AM32+'eq. coef.'!$C$275*'Amp (T-P-fO2 calculation)'!AO32+'eq. coef.'!$C$276*'Amp (T-P-fO2 calculation)'!AP32+'eq. coef.'!$C$277*'Amp (T-P-fO2 calculation)'!AQ32+'eq. coef.'!$C$278*'Amp (T-P-fO2 calculation)'!AR32))</f>
        <v>1003.0788705361928</v>
      </c>
      <c r="BE32" s="299">
        <f>IF(SUM(H32:S32)&lt;90," ",EXP('eq. coef.'!$C$328+'eq. coef.'!$C$329*'Amp (T-P-fO2 calculation)'!AI32+'eq. coef.'!$C$330*'Amp (T-P-fO2 calculation)'!AJ32+'eq. coef.'!$C$331*'Amp (T-P-fO2 calculation)'!AK32+'eq. coef.'!$C$332*'Amp (T-P-fO2 calculation)'!AM32+'eq. coef.'!$C$333*'Amp (T-P-fO2 calculation)'!AO32+'eq. coef.'!$C$334*'Amp (T-P-fO2 calculation)'!AP32+'eq. coef.'!$C$335*'Amp (T-P-fO2 calculation)'!AQ32+'eq. coef.'!$C$336*'Amp (T-P-fO2 calculation)'!AR32))</f>
        <v>1352.0803090263319</v>
      </c>
      <c r="BF32" s="300" t="str">
        <f t="shared" si="19"/>
        <v>ok</v>
      </c>
      <c r="BG32" s="301" t="str">
        <f t="shared" si="20"/>
        <v>ok</v>
      </c>
      <c r="BH32" s="301" t="str">
        <f t="shared" si="21"/>
        <v>ok</v>
      </c>
      <c r="BI32" s="299">
        <f t="shared" ref="BI32:BI41" si="90">IF(SUM(H32:S32)&lt;90," ",ABS(BA32-BO32)/(BA32+BO32)*200)</f>
        <v>33.439333906578952</v>
      </c>
      <c r="BJ32" s="302">
        <f t="shared" si="86"/>
        <v>-0.40152737967346253</v>
      </c>
      <c r="BK32" s="299">
        <f t="shared" si="87"/>
        <v>425.47055511291126</v>
      </c>
      <c r="BL32" s="303">
        <f>IF(SUM(H32:S32)&lt;90," ",'eq. coef.'!$C$360+'eq. coef.'!$C$361*'Amp (T-P-fO2 calculation)'!AI32+'eq. coef.'!$C$362*'Amp (T-P-fO2 calculation)'!AJ32+'eq. coef.'!$C$363*'Amp (T-P-fO2 calculation)'!AK32+'eq. coef.'!$C$364*'Amp (T-P-fO2 calculation)'!AM32+'eq. coef.'!$C$365*'Amp (T-P-fO2 calculation)'!AO32+'eq. coef.'!$C$366*'Amp (T-P-fO2 calculation)'!AP32+'eq. coef.'!$C$367*'Amp (T-P-fO2 calculation)'!AQ32+'eq. coef.'!$C$368*'Amp (T-P-fO2 calculation)'!AR32+'eq. coef.'!$C$369*LN(BO32))</f>
        <v>978.17639692285798</v>
      </c>
      <c r="BM32" s="304">
        <f t="shared" ref="BM32:BM41" si="91">IF(SUM(H32:S32)&lt;90," ",22)</f>
        <v>22</v>
      </c>
      <c r="BN32" s="305">
        <f t="shared" ref="BN32:BN41" si="92">IF(SUM(H32:S32)&lt;90," ",BM32^2)</f>
        <v>484</v>
      </c>
      <c r="BO32" s="306">
        <f t="shared" ref="BO32:BO41" si="93">IF(SUM(H32:S32)&lt;90," ",IF(BB32&lt;335,BB32,IF(BB32&lt;399,AVERAGE(BB32:BC32),IF(BC32&lt;415,BC32,IF(BD32&lt;470,BC32,IF(BJ32&gt;0.22,AVERAGE(BC32:BD32),IF(BK32&gt;350,BE32,IF(BK32&gt;210,BD32,IF(BK32&lt;75,BC32,IF(BJ32&lt;-0.2,AVERAGE(BB32:BC32),IF(BJ32&gt;0.05,AVERAGE(BC32:BD32),BA32)))))))))))</f>
        <v>1352.0803090263319</v>
      </c>
      <c r="BP32" s="299" t="str">
        <f t="shared" ref="BP32:BP41" si="94">IF(SUM(H32:S32)&lt;90," ",IF(BO32=BA32,"P1a",IF(BO32=BB32,"P1b",IF(BO32=BC32,"P1c",IF(BO32=BD32,"P1d",IF(BO32=BE32,"P1e",IF(BO32=AVERAGE(BB32:BC32),"P1b_c","P1c_d")))))))</f>
        <v>P1e</v>
      </c>
      <c r="BQ32" s="302"/>
      <c r="BR32" s="302">
        <f t="shared" si="88"/>
        <v>0</v>
      </c>
      <c r="BS32" s="302">
        <f t="shared" si="89"/>
        <v>0</v>
      </c>
      <c r="BT32" s="299">
        <f t="shared" ref="BT32:BT41" si="95">IF(SUM(H32:S32)&lt;90," ",BO32*0.12)</f>
        <v>162.24963708315983</v>
      </c>
      <c r="BU32" s="311">
        <f t="shared" si="62"/>
        <v>927.16285576427299</v>
      </c>
      <c r="BV32" s="312">
        <f t="shared" si="63"/>
        <v>804.88715819657364</v>
      </c>
      <c r="BW32" s="267">
        <f>IF(SUM(H32:S32)&lt;90," ",'eq. coef.'!$B$1128*'Amp (T-P-fO2 calculation)'!CH32+'eq. coef.'!$B$1129*'Amp (T-P-fO2 calculation)'!CL32+'eq. coef.'!$B$1130*'Amp (T-P-fO2 calculation)'!CM32+'eq. coef.'!$B$1131*'Amp (T-P-fO2 calculation)'!CO32+'eq. coef.'!$B$1132*'Amp (T-P-fO2 calculation)'!CP32+'eq. coef.'!$B$1133*'Amp (T-P-fO2 calculation)'!CQ32+'eq. coef.'!$B$1134*'Amp (T-P-fO2 calculation)'!CR32+'eq. coef.'!$B$1135*'Amp (T-P-fO2 calculation)'!CU32+'eq. coef.'!$B$1135*'Amp (T-P-fO2 calculation)'!CY32+'eq. coef.'!$B$1137*'Amp (T-P-fO2 calculation)'!CZ32)</f>
        <v>4.1734516341331016</v>
      </c>
      <c r="BX32" s="268">
        <f t="shared" si="32"/>
        <v>0.4</v>
      </c>
      <c r="BY32" s="269"/>
      <c r="BZ32" s="282">
        <f t="shared" si="64"/>
        <v>-10.14421093933074</v>
      </c>
      <c r="CA32" s="269">
        <f t="shared" si="65"/>
        <v>2.6229053923028278</v>
      </c>
      <c r="CB32" s="282">
        <f t="shared" si="66"/>
        <v>-8.6146202860373897</v>
      </c>
      <c r="CC32" s="268">
        <f t="shared" si="33"/>
        <v>-5.9917148937345619</v>
      </c>
      <c r="CD32" s="268"/>
      <c r="CE32" s="267">
        <f>IF(SUM(H32:S32)&lt;90," ",EXP('eq. coef.'!$B$1156*'Amp (T-P-fO2 calculation)'!CH32+'eq. coef.'!$B$1157*'Amp (T-P-fO2 calculation)'!CL32+'eq. coef.'!$B$1158*'Amp (T-P-fO2 calculation)'!CM32+'eq. coef.'!$B$1159*'Amp (T-P-fO2 calculation)'!CO32+'eq. coef.'!$B$1160*'Amp (T-P-fO2 calculation)'!CP32+'eq. coef.'!$B$1161*'Amp (T-P-fO2 calculation)'!CQ32+'eq. coef.'!$B$1162*'Amp (T-P-fO2 calculation)'!CR32+'eq. coef.'!$B$1163*'Amp (T-P-fO2 calculation)'!CU32+'eq. coef.'!$B$1164*'Amp (T-P-fO2 calculation)'!CY32+'eq. coef.'!$B$1165*'Amp (T-P-fO2 calculation)'!CZ32))</f>
        <v>8.9673817063761909</v>
      </c>
      <c r="CF32" s="302">
        <f t="shared" si="34"/>
        <v>1.5244548900839525</v>
      </c>
      <c r="CG32" s="296">
        <f t="shared" si="35"/>
        <v>5.9224878745180547</v>
      </c>
      <c r="CH32" s="296">
        <f t="shared" si="36"/>
        <v>2.0775121254819453</v>
      </c>
      <c r="CI32" s="296">
        <f t="shared" si="37"/>
        <v>0</v>
      </c>
      <c r="CJ32" s="296">
        <f t="shared" si="38"/>
        <v>8</v>
      </c>
      <c r="CK32" s="296"/>
      <c r="CL32" s="296">
        <f t="shared" si="39"/>
        <v>0.42813583123997079</v>
      </c>
      <c r="CM32" s="296">
        <f t="shared" si="40"/>
        <v>0.19652682819302877</v>
      </c>
      <c r="CN32" s="296">
        <f t="shared" si="41"/>
        <v>1.8541326512397781E-3</v>
      </c>
      <c r="CO32" s="296">
        <f t="shared" si="42"/>
        <v>0.70734657117679944</v>
      </c>
      <c r="CP32" s="296">
        <f t="shared" si="43"/>
        <v>2.6104604848926907</v>
      </c>
      <c r="CQ32" s="296">
        <f t="shared" si="44"/>
        <v>1.0348195824880446</v>
      </c>
      <c r="CR32" s="296">
        <f t="shared" si="45"/>
        <v>2.0856569358225423E-2</v>
      </c>
      <c r="CS32" s="296">
        <f t="shared" si="46"/>
        <v>4.9999999999999991</v>
      </c>
      <c r="CT32" s="296"/>
      <c r="CU32" s="296">
        <f t="shared" si="47"/>
        <v>1.821960723293903</v>
      </c>
      <c r="CV32" s="296">
        <f t="shared" si="48"/>
        <v>0.17803927670609698</v>
      </c>
      <c r="CW32" s="296">
        <f t="shared" si="49"/>
        <v>2</v>
      </c>
      <c r="CX32" s="296"/>
      <c r="CY32" s="296">
        <f t="shared" si="50"/>
        <v>0.47273042230342932</v>
      </c>
      <c r="CZ32" s="296">
        <f t="shared" si="51"/>
        <v>0.25243078843053418</v>
      </c>
      <c r="DA32" s="296">
        <f t="shared" si="52"/>
        <v>0.72516121073396356</v>
      </c>
      <c r="DB32" s="296"/>
      <c r="DC32" s="296">
        <f t="shared" si="53"/>
        <v>1.9967707864088107</v>
      </c>
      <c r="DD32" s="296">
        <f t="shared" si="54"/>
        <v>0</v>
      </c>
      <c r="DE32" s="296">
        <f t="shared" si="55"/>
        <v>3.2292135911894215E-3</v>
      </c>
      <c r="DF32" s="296">
        <f t="shared" si="56"/>
        <v>2</v>
      </c>
      <c r="DG32" s="302">
        <f t="shared" si="57"/>
        <v>45.292653428823201</v>
      </c>
      <c r="DH32" s="302"/>
      <c r="DI32" s="295">
        <f t="shared" si="58"/>
        <v>0.71612069213886231</v>
      </c>
      <c r="DJ32" s="295">
        <f t="shared" si="59"/>
        <v>0.59974371837181062</v>
      </c>
      <c r="DK32" s="295">
        <f t="shared" si="60"/>
        <v>0.17086830976850054</v>
      </c>
      <c r="DL32" s="296">
        <f t="shared" si="61"/>
        <v>2.5056479567219161</v>
      </c>
    </row>
    <row r="33" spans="1:116" ht="13.8" x14ac:dyDescent="0.25">
      <c r="A33" s="287" t="s">
        <v>558</v>
      </c>
      <c r="B33" s="288" t="s">
        <v>537</v>
      </c>
      <c r="C33" s="289">
        <v>639</v>
      </c>
      <c r="D33" s="289" t="s">
        <v>526</v>
      </c>
      <c r="E33" s="290" t="s">
        <v>514</v>
      </c>
      <c r="F33" s="289" t="s">
        <v>535</v>
      </c>
      <c r="G33" s="291"/>
      <c r="H33" s="292">
        <v>40.642000000000003</v>
      </c>
      <c r="I33" s="292">
        <v>1.7629999999999999</v>
      </c>
      <c r="J33" s="292">
        <v>13.755000000000001</v>
      </c>
      <c r="K33" s="292">
        <v>6.9000000000000006E-2</v>
      </c>
      <c r="L33" s="292">
        <v>13.314</v>
      </c>
      <c r="M33" s="292">
        <v>0.20300000000000001</v>
      </c>
      <c r="N33" s="292">
        <v>12.583</v>
      </c>
      <c r="O33" s="292">
        <v>11.839</v>
      </c>
      <c r="P33" s="292">
        <v>1.9790000000000001</v>
      </c>
      <c r="Q33" s="292">
        <v>1.262</v>
      </c>
      <c r="R33" s="293">
        <v>0</v>
      </c>
      <c r="S33" s="293">
        <v>1.4999999999999999E-2</v>
      </c>
      <c r="T33" s="294">
        <f t="shared" ref="T33:T41" si="96">IF(SUM(H33:S33)&lt;90," ",SUM(H33:S33))</f>
        <v>97.424000000000007</v>
      </c>
      <c r="U33" s="295">
        <f>IF(SUM(H33:S33)&lt;90," ",H33/stab.data!$U$7)</f>
        <v>0.67641967911590439</v>
      </c>
      <c r="V33" s="295">
        <f>IF(SUM(H33:S33)&lt;90," ",I33/stab.data!$U$8)</f>
        <v>2.2065633682945757E-2</v>
      </c>
      <c r="W33" s="295">
        <f>IF(SUM(H33:S33)&lt;90," ",J33*2/stab.data!$U$9)</f>
        <v>0.26980904463471328</v>
      </c>
      <c r="X33" s="295">
        <f>IF(SUM(H33:S33)&lt;90," ",K33*2/stab.data!$U$10)</f>
        <v>9.0795327593489578E-4</v>
      </c>
      <c r="Y33" s="295">
        <f>IF(SUM(H33:S33)&lt;90," ",L33/stab.data!$U$11)</f>
        <v>0.18531303064888788</v>
      </c>
      <c r="Z33" s="295">
        <f>IF(SUM(H33:S33)&lt;90," ",M33/stab.data!$U$12)</f>
        <v>2.8616941793422335E-3</v>
      </c>
      <c r="AA33" s="295">
        <f>IF(SUM(H33:S33)&lt;90," ",N33/stab.data!$U$13)</f>
        <v>0.31220226280269947</v>
      </c>
      <c r="AB33" s="295">
        <f>IF(SUM(H33:S33)&lt;90," ",O33/stab.data!$U$14)</f>
        <v>0.21111289430981295</v>
      </c>
      <c r="AC33" s="295">
        <f>IF(SUM(H33:S33)&lt;90," ",P33*2/stab.data!$U$15)</f>
        <v>6.3860339792510365E-2</v>
      </c>
      <c r="AD33" s="295">
        <f>IF(SUM(H33:S33)&lt;90," ",Q33*2/stab.data!$U$16)</f>
        <v>2.6795477466956846E-2</v>
      </c>
      <c r="AE33" s="295">
        <f>IF(SUM(H33:S33)&lt;90," ",R33/stab.data!$U$17)</f>
        <v>0</v>
      </c>
      <c r="AF33" s="295">
        <f>IF(SUM(H33:S33)&lt;90," ",S33/stab.data!$U$18)</f>
        <v>4.2309536569542768E-4</v>
      </c>
      <c r="AG33" s="295">
        <f t="shared" ref="AG33:AG41" si="97">IF(SUM(H33:S33)&lt;90," ",SUM(U33:AA33))</f>
        <v>1.4695792983404279</v>
      </c>
      <c r="AH33" s="295">
        <f t="shared" ref="AH33:AH41" si="98">IF(SUM(H33:S33)&lt;90," ",AK33/SUM(AI33:AR33))</f>
        <v>0.15231848463728276</v>
      </c>
      <c r="AI33" s="296">
        <f t="shared" ref="AI33:AI41" si="99">IF(SUM(H33:S33)&lt;90," ",U33*13/$AG33)</f>
        <v>5.9836552123706861</v>
      </c>
      <c r="AJ33" s="296">
        <f t="shared" ref="AJ33:AJ41" si="100">IF(SUM(H33:S33)&lt;90," ",V33*13/$AG33)</f>
        <v>0.19519411997857725</v>
      </c>
      <c r="AK33" s="296">
        <f t="shared" ref="AK33:AK41" si="101">IF(SUM(H33:S33)&lt;90," ",W33*13/$AG33)</f>
        <v>2.3867494487791543</v>
      </c>
      <c r="AL33" s="296">
        <f t="shared" ref="AL33:AL41" si="102">IF(SUM(H33:S33)&lt;90," ",X33*13/$AG33)</f>
        <v>8.0318174054867433E-3</v>
      </c>
      <c r="AM33" s="296">
        <f t="shared" ref="AM33:AM41" si="103">IF(SUM(H33:S33)&lt;90," ",Y33*13/$AG33)</f>
        <v>1.6392918715962219</v>
      </c>
      <c r="AN33" s="296">
        <f t="shared" ref="AN33:AN41" si="104">IF(SUM(H33:S33)&lt;90," ",Z33*13/$AG33)</f>
        <v>2.5314744412540838E-2</v>
      </c>
      <c r="AO33" s="296">
        <f t="shared" ref="AO33:AO41" si="105">IF(SUM(H33:S33)&lt;90," ",AA33*13/$AG33)</f>
        <v>2.761762785457333</v>
      </c>
      <c r="AP33" s="296">
        <f t="shared" ref="AP33:AP41" si="106">IF(SUM(H33:S33)&lt;90," ",AB33*13/$AG33)</f>
        <v>1.8675192479418097</v>
      </c>
      <c r="AQ33" s="296">
        <f t="shared" ref="AQ33:AQ41" si="107">IF(SUM(H33:S33)&lt;90," ",AC33*13/$AG33)</f>
        <v>0.56491297763934789</v>
      </c>
      <c r="AR33" s="296">
        <f t="shared" ref="AR33:AR41" si="108">IF(SUM(H33:S33)&lt;90," ",AD33*13/$AG33)</f>
        <v>0.23703464485639877</v>
      </c>
      <c r="AS33" s="296">
        <f t="shared" ref="AS33:AS41" si="109">IF(SUM(H33:S33)&lt;90," ",AE33*13/$AG33)</f>
        <v>0</v>
      </c>
      <c r="AT33" s="296">
        <f t="shared" ref="AT33:AT41" si="110">IF(SUM(H33:S33)&lt;90," ",AF33*13/$AG33)</f>
        <v>3.7427308347714829E-3</v>
      </c>
      <c r="AU33" s="295">
        <f t="shared" ref="AU33:AU41" si="111">IF(SUM(H33:S33)&lt;90," ",SUM(AI33:AR33))</f>
        <v>15.669466870437557</v>
      </c>
      <c r="AV33" s="295">
        <f t="shared" ref="AV33:AV41" si="112">IF(SUM(H33:S33)&lt;90," ",(2-AS33-AT33)*AG33*17/13/2)</f>
        <v>1.9181612333752251</v>
      </c>
      <c r="AW33" s="295">
        <f>IF(SUM(H33:S33)&lt;90," ",CO33*AG33*stab.data!$U$20/13/2)</f>
        <v>6.4133501574690674</v>
      </c>
      <c r="AX33" s="295">
        <f>IF(SUM(H33:S33)&lt;90," ",CQ33*AG33*stab.data!$U$11/13)</f>
        <v>7.5431856721603259</v>
      </c>
      <c r="AY33" s="295">
        <f t="shared" ref="AY33:AY41" si="113">IF(SUM(H33:S33)&lt;90," ",-(R33*0.421070639014633+S33*0.225636758525372))</f>
        <v>-3.3845513778805797E-3</v>
      </c>
      <c r="AZ33" s="297">
        <f t="shared" ref="AZ33:AZ41" si="114">IF(SUM(H33:S33)&lt;90," ",SUM(H33:S33)-L33+AV33+AW33+AX33+AY33)</f>
        <v>99.981312511626754</v>
      </c>
      <c r="BA33" s="298">
        <f>IF(SUM(H33:S33)&lt;90," ",EXP('eq. coef.'!$C$104+'eq. coef.'!$C$105*'Amp (T-P-fO2 calculation)'!AI33+'eq. coef.'!$C$106*'Amp (T-P-fO2 calculation)'!AJ33+'eq. coef.'!$C$107*'Amp (T-P-fO2 calculation)'!AK33+'eq. coef.'!$C$108*'Amp (T-P-fO2 calculation)'!AM33+'eq. coef.'!$C$109*'Amp (T-P-fO2 calculation)'!AO33+'eq. coef.'!$C$110*'Amp (T-P-fO2 calculation)'!AP33+'eq. coef.'!$C$111*'Amp (T-P-fO2 calculation)'!AQ33+'eq. coef.'!$C$112*'Amp (T-P-fO2 calculation)'!AR33))</f>
        <v>707.29468743413736</v>
      </c>
      <c r="BB33" s="299">
        <f>IF(SUM(H33:S33)&lt;90," ",EXP('eq. coef.'!$C$176+'eq. coef.'!$C$177*'Amp (T-P-fO2 calculation)'!AI33+'eq. coef.'!$C$178*'Amp (T-P-fO2 calculation)'!AJ33+'eq. coef.'!$C$179*'Amp (T-P-fO2 calculation)'!AK33+'eq. coef.'!$C$180*'Amp (T-P-fO2 calculation)'!AM33+'eq. coef.'!$C$181*'Amp (T-P-fO2 calculation)'!AO33+'eq. coef.'!$C$182*'Amp (T-P-fO2 calculation)'!AP33+'eq. coef.'!$C$183*'Amp (T-P-fO2 calculation)'!AQ33+'eq. coef.'!$C$184*'Amp (T-P-fO2 calculation)'!AR33))</f>
        <v>519.64184921026038</v>
      </c>
      <c r="BC33" s="299">
        <f>IF(SUM(H33:S33)&lt;90," ",('eq. coef.'!$C$234+'eq. coef.'!$C$235*'Amp (T-P-fO2 calculation)'!AI33+'eq. coef.'!$C$236*'Amp (T-P-fO2 calculation)'!AJ33+'eq. coef.'!$C$237*'Amp (T-P-fO2 calculation)'!AK33+'eq. coef.'!$C$238*'Amp (T-P-fO2 calculation)'!AM33+'eq. coef.'!$C$239*'Amp (T-P-fO2 calculation)'!AO33+'eq. coef.'!$C$240*'Amp (T-P-fO2 calculation)'!AP33+'eq. coef.'!$C$241*'Amp (T-P-fO2 calculation)'!AQ33+'eq. coef.'!$C$242*'Amp (T-P-fO2 calculation)'!AR33))</f>
        <v>533.76705663717814</v>
      </c>
      <c r="BD33" s="299">
        <f>IF(SUM(H33:S33)&lt;90," ",('eq. coef.'!$C$270+'eq. coef.'!$C$271*'Amp (T-P-fO2 calculation)'!AI33+'eq. coef.'!$C$272*'Amp (T-P-fO2 calculation)'!AJ33+'eq. coef.'!$C$273*'Amp (T-P-fO2 calculation)'!AK33+'eq. coef.'!$C$274*'Amp (T-P-fO2 calculation)'!AM33+'eq. coef.'!$C$275*'Amp (T-P-fO2 calculation)'!AO33+'eq. coef.'!$C$276*'Amp (T-P-fO2 calculation)'!AP33+'eq. coef.'!$C$277*'Amp (T-P-fO2 calculation)'!AQ33+'eq. coef.'!$C$278*'Amp (T-P-fO2 calculation)'!AR33))</f>
        <v>686.87382487389436</v>
      </c>
      <c r="BE33" s="299">
        <f>IF(SUM(H33:S33)&lt;90," ",EXP('eq. coef.'!$C$328+'eq. coef.'!$C$329*'Amp (T-P-fO2 calculation)'!AI33+'eq. coef.'!$C$330*'Amp (T-P-fO2 calculation)'!AJ33+'eq. coef.'!$C$331*'Amp (T-P-fO2 calculation)'!AK33+'eq. coef.'!$C$332*'Amp (T-P-fO2 calculation)'!AM33+'eq. coef.'!$C$333*'Amp (T-P-fO2 calculation)'!AO33+'eq. coef.'!$C$334*'Amp (T-P-fO2 calculation)'!AP33+'eq. coef.'!$C$335*'Amp (T-P-fO2 calculation)'!AQ33+'eq. coef.'!$C$336*'Amp (T-P-fO2 calculation)'!AR33))</f>
        <v>1002.6487861510711</v>
      </c>
      <c r="BF33" s="300" t="str">
        <f t="shared" si="19"/>
        <v>ok</v>
      </c>
      <c r="BG33" s="301" t="str">
        <f t="shared" si="20"/>
        <v>ok</v>
      </c>
      <c r="BH33" s="301" t="str">
        <f t="shared" si="21"/>
        <v>ok</v>
      </c>
      <c r="BI33" s="299">
        <f t="shared" si="90"/>
        <v>29.269102158052945</v>
      </c>
      <c r="BJ33" s="302">
        <f t="shared" ref="BJ33:BJ41" si="115">IF(SUM(H33:S33)&lt;90," ",(BA33-BE33)/BA33)</f>
        <v>-0.41758280383582957</v>
      </c>
      <c r="BK33" s="299">
        <f t="shared" ref="BK33:BK41" si="116">IF(SUM(H33:S33)&lt;90," ",BD33-BB33)</f>
        <v>167.23197566363399</v>
      </c>
      <c r="BL33" s="303">
        <f>IF(SUM(H33:S33)&lt;90," ",'eq. coef.'!$C$360+'eq. coef.'!$C$361*'Amp (T-P-fO2 calculation)'!AI33+'eq. coef.'!$C$362*'Amp (T-P-fO2 calculation)'!AJ33+'eq. coef.'!$C$363*'Amp (T-P-fO2 calculation)'!AK33+'eq. coef.'!$C$364*'Amp (T-P-fO2 calculation)'!AM33+'eq. coef.'!$C$365*'Amp (T-P-fO2 calculation)'!AO33+'eq. coef.'!$C$366*'Amp (T-P-fO2 calculation)'!AP33+'eq. coef.'!$C$367*'Amp (T-P-fO2 calculation)'!AQ33+'eq. coef.'!$C$368*'Amp (T-P-fO2 calculation)'!AR33+'eq. coef.'!$C$369*LN(BO33))</f>
        <v>911.93250803086528</v>
      </c>
      <c r="BM33" s="304">
        <f t="shared" si="91"/>
        <v>22</v>
      </c>
      <c r="BN33" s="305">
        <f t="shared" si="92"/>
        <v>484</v>
      </c>
      <c r="BO33" s="306">
        <f t="shared" si="93"/>
        <v>526.70445292371926</v>
      </c>
      <c r="BP33" s="299" t="str">
        <f t="shared" si="94"/>
        <v>P1b_c</v>
      </c>
      <c r="BQ33" s="302"/>
      <c r="BR33" s="302">
        <f t="shared" ref="BR33:BR41" si="117">ABS(BQ33)</f>
        <v>0</v>
      </c>
      <c r="BS33" s="302">
        <f t="shared" ref="BS33:BS41" si="118">BQ33^2</f>
        <v>0</v>
      </c>
      <c r="BT33" s="299">
        <f t="shared" si="95"/>
        <v>63.204534350846309</v>
      </c>
      <c r="BU33" s="311">
        <f t="shared" si="62"/>
        <v>860.57969131632638</v>
      </c>
      <c r="BV33" s="312">
        <f t="shared" si="63"/>
        <v>803.45848268502959</v>
      </c>
      <c r="BW33" s="267">
        <f>IF(SUM(H33:S33)&lt;90," ",'eq. coef.'!$B$1128*'Amp (T-P-fO2 calculation)'!CH33+'eq. coef.'!$B$1129*'Amp (T-P-fO2 calculation)'!CL33+'eq. coef.'!$B$1130*'Amp (T-P-fO2 calculation)'!CM33+'eq. coef.'!$B$1131*'Amp (T-P-fO2 calculation)'!CO33+'eq. coef.'!$B$1132*'Amp (T-P-fO2 calculation)'!CP33+'eq. coef.'!$B$1133*'Amp (T-P-fO2 calculation)'!CQ33+'eq. coef.'!$B$1134*'Amp (T-P-fO2 calculation)'!CR33+'eq. coef.'!$B$1135*'Amp (T-P-fO2 calculation)'!CU33+'eq. coef.'!$B$1135*'Amp (T-P-fO2 calculation)'!CY33+'eq. coef.'!$B$1137*'Amp (T-P-fO2 calculation)'!CZ33)</f>
        <v>4.1703100296315103</v>
      </c>
      <c r="BX33" s="268">
        <f t="shared" si="32"/>
        <v>0.4</v>
      </c>
      <c r="BY33" s="269"/>
      <c r="BZ33" s="282">
        <f t="shared" si="64"/>
        <v>-11.545132089270929</v>
      </c>
      <c r="CA33" s="269">
        <f t="shared" si="65"/>
        <v>2.735868056807286</v>
      </c>
      <c r="CB33" s="282">
        <f t="shared" si="66"/>
        <v>-10.113100429444181</v>
      </c>
      <c r="CC33" s="268">
        <f t="shared" si="33"/>
        <v>-7.3772323726368949</v>
      </c>
      <c r="CD33" s="268"/>
      <c r="CE33" s="267">
        <f>IF(SUM(H33:S33)&lt;90," ",EXP('eq. coef.'!$B$1156*'Amp (T-P-fO2 calculation)'!CH33+'eq. coef.'!$B$1157*'Amp (T-P-fO2 calculation)'!CL33+'eq. coef.'!$B$1158*'Amp (T-P-fO2 calculation)'!CM33+'eq. coef.'!$B$1159*'Amp (T-P-fO2 calculation)'!CO33+'eq. coef.'!$B$1160*'Amp (T-P-fO2 calculation)'!CP33+'eq. coef.'!$B$1161*'Amp (T-P-fO2 calculation)'!CQ33+'eq. coef.'!$B$1162*'Amp (T-P-fO2 calculation)'!CR33+'eq. coef.'!$B$1163*'Amp (T-P-fO2 calculation)'!CU33+'eq. coef.'!$B$1164*'Amp (T-P-fO2 calculation)'!CY33+'eq. coef.'!$B$1165*'Amp (T-P-fO2 calculation)'!CZ33))</f>
        <v>8.4458399531058745</v>
      </c>
      <c r="CF33" s="302">
        <f t="shared" si="34"/>
        <v>1.4357927920279987</v>
      </c>
      <c r="CG33" s="296">
        <f t="shared" si="35"/>
        <v>5.9836552123706861</v>
      </c>
      <c r="CH33" s="296">
        <f t="shared" si="36"/>
        <v>2.0163447876293139</v>
      </c>
      <c r="CI33" s="296">
        <f t="shared" si="37"/>
        <v>0</v>
      </c>
      <c r="CJ33" s="296">
        <f t="shared" si="38"/>
        <v>8</v>
      </c>
      <c r="CK33" s="296"/>
      <c r="CL33" s="296">
        <f t="shared" si="39"/>
        <v>0.37040466114984039</v>
      </c>
      <c r="CM33" s="296">
        <f t="shared" si="40"/>
        <v>0.19519411997857725</v>
      </c>
      <c r="CN33" s="296">
        <f t="shared" si="41"/>
        <v>8.0318174054867433E-3</v>
      </c>
      <c r="CO33" s="296">
        <f t="shared" si="42"/>
        <v>0.71053395073746373</v>
      </c>
      <c r="CP33" s="296">
        <f t="shared" si="43"/>
        <v>2.761762785457333</v>
      </c>
      <c r="CQ33" s="296">
        <f t="shared" si="44"/>
        <v>0.92875792085875819</v>
      </c>
      <c r="CR33" s="296">
        <f t="shared" si="45"/>
        <v>2.5314744412540838E-2</v>
      </c>
      <c r="CS33" s="296">
        <f t="shared" si="46"/>
        <v>5</v>
      </c>
      <c r="CT33" s="296"/>
      <c r="CU33" s="296">
        <f t="shared" si="47"/>
        <v>1.8675192479418097</v>
      </c>
      <c r="CV33" s="296">
        <f t="shared" si="48"/>
        <v>0.13248075205819032</v>
      </c>
      <c r="CW33" s="296">
        <f t="shared" si="49"/>
        <v>2</v>
      </c>
      <c r="CX33" s="296"/>
      <c r="CY33" s="296">
        <f t="shared" si="50"/>
        <v>0.43243222558115757</v>
      </c>
      <c r="CZ33" s="296">
        <f t="shared" si="51"/>
        <v>0.23703464485639877</v>
      </c>
      <c r="DA33" s="296">
        <f t="shared" si="52"/>
        <v>0.66946687043755637</v>
      </c>
      <c r="DB33" s="296"/>
      <c r="DC33" s="296">
        <f t="shared" si="53"/>
        <v>1.9962572691652285</v>
      </c>
      <c r="DD33" s="296">
        <f t="shared" si="54"/>
        <v>0</v>
      </c>
      <c r="DE33" s="296">
        <f t="shared" si="55"/>
        <v>3.7427308347714829E-3</v>
      </c>
      <c r="DF33" s="296">
        <f t="shared" si="56"/>
        <v>2</v>
      </c>
      <c r="DG33" s="302">
        <f t="shared" si="57"/>
        <v>45.289466049262536</v>
      </c>
      <c r="DH33" s="302"/>
      <c r="DI33" s="295">
        <f t="shared" si="58"/>
        <v>0.74833959899771108</v>
      </c>
      <c r="DJ33" s="295">
        <f t="shared" si="59"/>
        <v>0.62752294635356676</v>
      </c>
      <c r="DK33" s="295">
        <f t="shared" si="60"/>
        <v>0.15519210084632301</v>
      </c>
      <c r="DL33" s="296">
        <f t="shared" si="61"/>
        <v>2.3867494487791543</v>
      </c>
    </row>
    <row r="34" spans="1:116" ht="13.8" x14ac:dyDescent="0.25">
      <c r="A34" s="287" t="s">
        <v>558</v>
      </c>
      <c r="B34" s="288" t="s">
        <v>537</v>
      </c>
      <c r="C34" s="289">
        <v>639</v>
      </c>
      <c r="D34" s="289" t="s">
        <v>526</v>
      </c>
      <c r="E34" s="290" t="s">
        <v>514</v>
      </c>
      <c r="F34" s="289" t="s">
        <v>535</v>
      </c>
      <c r="G34" s="291"/>
      <c r="H34" s="292">
        <v>40.305</v>
      </c>
      <c r="I34" s="292">
        <v>1.7490000000000001</v>
      </c>
      <c r="J34" s="292">
        <v>13.462</v>
      </c>
      <c r="K34" s="292">
        <v>1.2E-2</v>
      </c>
      <c r="L34" s="292">
        <v>13.571999999999999</v>
      </c>
      <c r="M34" s="292">
        <v>0.246</v>
      </c>
      <c r="N34" s="292">
        <v>12.414999999999999</v>
      </c>
      <c r="O34" s="292">
        <v>11.712</v>
      </c>
      <c r="P34" s="292">
        <v>1.9630000000000001</v>
      </c>
      <c r="Q34" s="292">
        <v>1.179</v>
      </c>
      <c r="R34" s="293">
        <v>0</v>
      </c>
      <c r="S34" s="293">
        <v>2.3E-2</v>
      </c>
      <c r="T34" s="294">
        <f t="shared" si="96"/>
        <v>96.637999999999991</v>
      </c>
      <c r="U34" s="295">
        <f>IF(SUM(H34:S34)&lt;90," ",H34/stab.data!$U$7)</f>
        <v>0.67081086478929497</v>
      </c>
      <c r="V34" s="295">
        <f>IF(SUM(H34:S34)&lt;90," ",I34/stab.data!$U$8)</f>
        <v>2.1890410273098203E-2</v>
      </c>
      <c r="W34" s="295">
        <f>IF(SUM(H34:S34)&lt;90," ",J34*2/stab.data!$U$9)</f>
        <v>0.26406174910014613</v>
      </c>
      <c r="X34" s="295">
        <f>IF(SUM(H34:S34)&lt;90," ",K34*2/stab.data!$U$10)</f>
        <v>1.5790491755389492E-4</v>
      </c>
      <c r="Y34" s="295">
        <f>IF(SUM(H34:S34)&lt;90," ",L34/stab.data!$U$11)</f>
        <v>0.18890404476240846</v>
      </c>
      <c r="Z34" s="295">
        <f>IF(SUM(H34:S34)&lt;90," ",M34/stab.data!$U$12)</f>
        <v>3.4678658527989626E-3</v>
      </c>
      <c r="AA34" s="295">
        <f>IF(SUM(H34:S34)&lt;90," ",N34/stab.data!$U$13)</f>
        <v>0.30803394204049223</v>
      </c>
      <c r="AB34" s="295">
        <f>IF(SUM(H34:S34)&lt;90," ",O34/stab.data!$U$14)</f>
        <v>0.20884823195848712</v>
      </c>
      <c r="AC34" s="295">
        <f>IF(SUM(H34:S34)&lt;90," ",P34*2/stab.data!$U$15)</f>
        <v>6.3344035883121708E-2</v>
      </c>
      <c r="AD34" s="295">
        <f>IF(SUM(H34:S34)&lt;90," ",Q34*2/stab.data!$U$16)</f>
        <v>2.5033175858591224E-2</v>
      </c>
      <c r="AE34" s="295">
        <f>IF(SUM(H34:S34)&lt;90," ",R34/stab.data!$U$17)</f>
        <v>0</v>
      </c>
      <c r="AF34" s="295">
        <f>IF(SUM(H34:S34)&lt;90," ",S34/stab.data!$U$18)</f>
        <v>6.4874622739965581E-4</v>
      </c>
      <c r="AG34" s="295">
        <f t="shared" si="97"/>
        <v>1.4573267817357929</v>
      </c>
      <c r="AH34" s="295">
        <f t="shared" si="98"/>
        <v>0.15050093423952016</v>
      </c>
      <c r="AI34" s="296">
        <f t="shared" si="99"/>
        <v>5.9839298581159479</v>
      </c>
      <c r="AJ34" s="296">
        <f t="shared" si="100"/>
        <v>0.19527214974483942</v>
      </c>
      <c r="AK34" s="296">
        <f t="shared" si="101"/>
        <v>2.3555476927509402</v>
      </c>
      <c r="AL34" s="296">
        <f t="shared" si="102"/>
        <v>1.4085817634913891E-3</v>
      </c>
      <c r="AM34" s="296">
        <f t="shared" si="103"/>
        <v>1.6851077004062962</v>
      </c>
      <c r="AN34" s="296">
        <f t="shared" si="104"/>
        <v>3.093489850827413E-2</v>
      </c>
      <c r="AO34" s="296">
        <f t="shared" si="105"/>
        <v>2.7477991187102107</v>
      </c>
      <c r="AP34" s="296">
        <f t="shared" si="106"/>
        <v>1.8630186787801415</v>
      </c>
      <c r="AQ34" s="296">
        <f t="shared" si="107"/>
        <v>0.56505684023713643</v>
      </c>
      <c r="AR34" s="296">
        <f t="shared" si="108"/>
        <v>0.22330700995837818</v>
      </c>
      <c r="AS34" s="296">
        <f t="shared" si="109"/>
        <v>0</v>
      </c>
      <c r="AT34" s="296">
        <f t="shared" si="110"/>
        <v>5.7871035253673946E-3</v>
      </c>
      <c r="AU34" s="295">
        <f t="shared" si="111"/>
        <v>15.651382528975658</v>
      </c>
      <c r="AV34" s="295">
        <f t="shared" si="112"/>
        <v>1.900220679336986</v>
      </c>
      <c r="AW34" s="295">
        <f>IF(SUM(H34:S34)&lt;90," ",CO34*AG34*stab.data!$U$20/13/2)</f>
        <v>6.8942854771589435</v>
      </c>
      <c r="AX34" s="295">
        <f>IF(SUM(H34:S34)&lt;90," ",CQ34*AG34*stab.data!$U$11/13)</f>
        <v>7.3684339331338471</v>
      </c>
      <c r="AY34" s="295">
        <f t="shared" si="113"/>
        <v>-5.1896454460835561E-3</v>
      </c>
      <c r="AZ34" s="297">
        <f t="shared" si="114"/>
        <v>99.223750444183679</v>
      </c>
      <c r="BA34" s="298">
        <f>IF(SUM(H34:S34)&lt;90," ",EXP('eq. coef.'!$C$104+'eq. coef.'!$C$105*'Amp (T-P-fO2 calculation)'!AI34+'eq. coef.'!$C$106*'Amp (T-P-fO2 calculation)'!AJ34+'eq. coef.'!$C$107*'Amp (T-P-fO2 calculation)'!AK34+'eq. coef.'!$C$108*'Amp (T-P-fO2 calculation)'!AM34+'eq. coef.'!$C$109*'Amp (T-P-fO2 calculation)'!AO34+'eq. coef.'!$C$110*'Amp (T-P-fO2 calculation)'!AP34+'eq. coef.'!$C$111*'Amp (T-P-fO2 calculation)'!AQ34+'eq. coef.'!$C$112*'Amp (T-P-fO2 calculation)'!AR34))</f>
        <v>656.16402357756942</v>
      </c>
      <c r="BB34" s="299">
        <f>IF(SUM(H34:S34)&lt;90," ",EXP('eq. coef.'!$C$176+'eq. coef.'!$C$177*'Amp (T-P-fO2 calculation)'!AI34+'eq. coef.'!$C$178*'Amp (T-P-fO2 calculation)'!AJ34+'eq. coef.'!$C$179*'Amp (T-P-fO2 calculation)'!AK34+'eq. coef.'!$C$180*'Amp (T-P-fO2 calculation)'!AM34+'eq. coef.'!$C$181*'Amp (T-P-fO2 calculation)'!AO34+'eq. coef.'!$C$182*'Amp (T-P-fO2 calculation)'!AP34+'eq. coef.'!$C$183*'Amp (T-P-fO2 calculation)'!AQ34+'eq. coef.'!$C$184*'Amp (T-P-fO2 calculation)'!AR34))</f>
        <v>493.54326888032813</v>
      </c>
      <c r="BC34" s="299">
        <f>IF(SUM(H34:S34)&lt;90," ",('eq. coef.'!$C$234+'eq. coef.'!$C$235*'Amp (T-P-fO2 calculation)'!AI34+'eq. coef.'!$C$236*'Amp (T-P-fO2 calculation)'!AJ34+'eq. coef.'!$C$237*'Amp (T-P-fO2 calculation)'!AK34+'eq. coef.'!$C$238*'Amp (T-P-fO2 calculation)'!AM34+'eq. coef.'!$C$239*'Amp (T-P-fO2 calculation)'!AO34+'eq. coef.'!$C$240*'Amp (T-P-fO2 calculation)'!AP34+'eq. coef.'!$C$241*'Amp (T-P-fO2 calculation)'!AQ34+'eq. coef.'!$C$242*'Amp (T-P-fO2 calculation)'!AR34))</f>
        <v>516.40973052685354</v>
      </c>
      <c r="BD34" s="299">
        <f>IF(SUM(H34:S34)&lt;90," ",('eq. coef.'!$C$270+'eq. coef.'!$C$271*'Amp (T-P-fO2 calculation)'!AI34+'eq. coef.'!$C$272*'Amp (T-P-fO2 calculation)'!AJ34+'eq. coef.'!$C$273*'Amp (T-P-fO2 calculation)'!AK34+'eq. coef.'!$C$274*'Amp (T-P-fO2 calculation)'!AM34+'eq. coef.'!$C$275*'Amp (T-P-fO2 calculation)'!AO34+'eq. coef.'!$C$276*'Amp (T-P-fO2 calculation)'!AP34+'eq. coef.'!$C$277*'Amp (T-P-fO2 calculation)'!AQ34+'eq. coef.'!$C$278*'Amp (T-P-fO2 calculation)'!AR34))</f>
        <v>623.11359022726879</v>
      </c>
      <c r="BE34" s="299">
        <f>IF(SUM(H34:S34)&lt;90," ",EXP('eq. coef.'!$C$328+'eq. coef.'!$C$329*'Amp (T-P-fO2 calculation)'!AI34+'eq. coef.'!$C$330*'Amp (T-P-fO2 calculation)'!AJ34+'eq. coef.'!$C$331*'Amp (T-P-fO2 calculation)'!AK34+'eq. coef.'!$C$332*'Amp (T-P-fO2 calculation)'!AM34+'eq. coef.'!$C$333*'Amp (T-P-fO2 calculation)'!AO34+'eq. coef.'!$C$334*'Amp (T-P-fO2 calculation)'!AP34+'eq. coef.'!$C$335*'Amp (T-P-fO2 calculation)'!AQ34+'eq. coef.'!$C$336*'Amp (T-P-fO2 calculation)'!AR34))</f>
        <v>917.14543940049737</v>
      </c>
      <c r="BF34" s="300" t="str">
        <f t="shared" si="19"/>
        <v>ok</v>
      </c>
      <c r="BG34" s="301" t="str">
        <f t="shared" si="20"/>
        <v>ok</v>
      </c>
      <c r="BH34" s="301" t="str">
        <f t="shared" si="21"/>
        <v>ok</v>
      </c>
      <c r="BI34" s="299">
        <f t="shared" si="90"/>
        <v>26.041210489623023</v>
      </c>
      <c r="BJ34" s="302">
        <f t="shared" si="115"/>
        <v>-0.39773807530622046</v>
      </c>
      <c r="BK34" s="299">
        <f t="shared" si="116"/>
        <v>129.57032134694066</v>
      </c>
      <c r="BL34" s="303">
        <f>IF(SUM(H34:S34)&lt;90," ",'eq. coef.'!$C$360+'eq. coef.'!$C$361*'Amp (T-P-fO2 calculation)'!AI34+'eq. coef.'!$C$362*'Amp (T-P-fO2 calculation)'!AJ34+'eq. coef.'!$C$363*'Amp (T-P-fO2 calculation)'!AK34+'eq. coef.'!$C$364*'Amp (T-P-fO2 calculation)'!AM34+'eq. coef.'!$C$365*'Amp (T-P-fO2 calculation)'!AO34+'eq. coef.'!$C$366*'Amp (T-P-fO2 calculation)'!AP34+'eq. coef.'!$C$367*'Amp (T-P-fO2 calculation)'!AQ34+'eq. coef.'!$C$368*'Amp (T-P-fO2 calculation)'!AR34+'eq. coef.'!$C$369*LN(BO34))</f>
        <v>909.70882937087924</v>
      </c>
      <c r="BM34" s="304">
        <f t="shared" si="91"/>
        <v>22</v>
      </c>
      <c r="BN34" s="305">
        <f t="shared" si="92"/>
        <v>484</v>
      </c>
      <c r="BO34" s="306">
        <f t="shared" si="93"/>
        <v>504.97649970359083</v>
      </c>
      <c r="BP34" s="299" t="str">
        <f t="shared" si="94"/>
        <v>P1b_c</v>
      </c>
      <c r="BQ34" s="302"/>
      <c r="BR34" s="302">
        <f t="shared" si="117"/>
        <v>0</v>
      </c>
      <c r="BS34" s="302">
        <f t="shared" si="118"/>
        <v>0</v>
      </c>
      <c r="BT34" s="299">
        <f t="shared" si="95"/>
        <v>60.5971799644309</v>
      </c>
      <c r="BU34" s="311">
        <f t="shared" si="62"/>
        <v>843.10670794052646</v>
      </c>
      <c r="BV34" s="312">
        <f t="shared" si="63"/>
        <v>803.54229507691707</v>
      </c>
      <c r="BW34" s="267">
        <f>IF(SUM(H34:S34)&lt;90," ",'eq. coef.'!$B$1128*'Amp (T-P-fO2 calculation)'!CH34+'eq. coef.'!$B$1129*'Amp (T-P-fO2 calculation)'!CL34+'eq. coef.'!$B$1130*'Amp (T-P-fO2 calculation)'!CM34+'eq. coef.'!$B$1131*'Amp (T-P-fO2 calculation)'!CO34+'eq. coef.'!$B$1132*'Amp (T-P-fO2 calculation)'!CP34+'eq. coef.'!$B$1133*'Amp (T-P-fO2 calculation)'!CQ34+'eq. coef.'!$B$1134*'Amp (T-P-fO2 calculation)'!CR34+'eq. coef.'!$B$1135*'Amp (T-P-fO2 calculation)'!CU34+'eq. coef.'!$B$1135*'Amp (T-P-fO2 calculation)'!CY34+'eq. coef.'!$B$1137*'Amp (T-P-fO2 calculation)'!CZ34)</f>
        <v>3.9284722327033794</v>
      </c>
      <c r="BX34" s="268">
        <f t="shared" si="32"/>
        <v>0.4</v>
      </c>
      <c r="BY34" s="269"/>
      <c r="BZ34" s="282">
        <f t="shared" si="64"/>
        <v>-11.592441897902672</v>
      </c>
      <c r="CA34" s="269">
        <f t="shared" si="65"/>
        <v>2.4979552189529901</v>
      </c>
      <c r="CB34" s="282">
        <f t="shared" si="66"/>
        <v>-10.163817456826134</v>
      </c>
      <c r="CC34" s="268">
        <f t="shared" si="33"/>
        <v>-7.665862237873144</v>
      </c>
      <c r="CD34" s="268"/>
      <c r="CE34" s="267">
        <f>IF(SUM(H34:S34)&lt;90," ",EXP('eq. coef.'!$B$1156*'Amp (T-P-fO2 calculation)'!CH34+'eq. coef.'!$B$1157*'Amp (T-P-fO2 calculation)'!CL34+'eq. coef.'!$B$1158*'Amp (T-P-fO2 calculation)'!CM34+'eq. coef.'!$B$1159*'Amp (T-P-fO2 calculation)'!CO34+'eq. coef.'!$B$1160*'Amp (T-P-fO2 calculation)'!CP34+'eq. coef.'!$B$1161*'Amp (T-P-fO2 calculation)'!CQ34+'eq. coef.'!$B$1162*'Amp (T-P-fO2 calculation)'!CR34+'eq. coef.'!$B$1163*'Amp (T-P-fO2 calculation)'!CU34+'eq. coef.'!$B$1164*'Amp (T-P-fO2 calculation)'!CY34+'eq. coef.'!$B$1165*'Amp (T-P-fO2 calculation)'!CZ34))</f>
        <v>8.1366140071457878</v>
      </c>
      <c r="CF34" s="302">
        <f t="shared" si="34"/>
        <v>1.383224381214784</v>
      </c>
      <c r="CG34" s="296">
        <f t="shared" si="35"/>
        <v>5.9839298581159479</v>
      </c>
      <c r="CH34" s="296">
        <f t="shared" si="36"/>
        <v>2.0160701418840521</v>
      </c>
      <c r="CI34" s="296">
        <f t="shared" si="37"/>
        <v>0</v>
      </c>
      <c r="CJ34" s="296">
        <f t="shared" si="38"/>
        <v>8</v>
      </c>
      <c r="CK34" s="296"/>
      <c r="CL34" s="296">
        <f t="shared" si="39"/>
        <v>0.33947755086688813</v>
      </c>
      <c r="CM34" s="296">
        <f t="shared" si="40"/>
        <v>0.19527214974483942</v>
      </c>
      <c r="CN34" s="296">
        <f t="shared" si="41"/>
        <v>1.4085817634913891E-3</v>
      </c>
      <c r="CO34" s="296">
        <f t="shared" si="42"/>
        <v>0.77023850200820476</v>
      </c>
      <c r="CP34" s="296">
        <f t="shared" si="43"/>
        <v>2.7477991187102107</v>
      </c>
      <c r="CQ34" s="296">
        <f t="shared" si="44"/>
        <v>0.91486919839809144</v>
      </c>
      <c r="CR34" s="296">
        <f t="shared" si="45"/>
        <v>3.093489850827413E-2</v>
      </c>
      <c r="CS34" s="296">
        <f t="shared" si="46"/>
        <v>5</v>
      </c>
      <c r="CT34" s="296"/>
      <c r="CU34" s="296">
        <f t="shared" si="47"/>
        <v>1.8630186787801415</v>
      </c>
      <c r="CV34" s="296">
        <f t="shared" si="48"/>
        <v>0.13698132121985851</v>
      </c>
      <c r="CW34" s="296">
        <f t="shared" si="49"/>
        <v>2</v>
      </c>
      <c r="CX34" s="296"/>
      <c r="CY34" s="296">
        <f t="shared" si="50"/>
        <v>0.42807551901727792</v>
      </c>
      <c r="CZ34" s="296">
        <f t="shared" si="51"/>
        <v>0.22330700995837818</v>
      </c>
      <c r="DA34" s="296">
        <f t="shared" si="52"/>
        <v>0.65138252897565607</v>
      </c>
      <c r="DB34" s="296"/>
      <c r="DC34" s="296">
        <f t="shared" si="53"/>
        <v>1.9942128964746326</v>
      </c>
      <c r="DD34" s="296">
        <f t="shared" si="54"/>
        <v>0</v>
      </c>
      <c r="DE34" s="296">
        <f t="shared" si="55"/>
        <v>5.7871035253673946E-3</v>
      </c>
      <c r="DF34" s="296">
        <f t="shared" si="56"/>
        <v>2</v>
      </c>
      <c r="DG34" s="302">
        <f t="shared" si="57"/>
        <v>45.229761497991795</v>
      </c>
      <c r="DH34" s="302"/>
      <c r="DI34" s="295">
        <f t="shared" si="58"/>
        <v>0.75021784142322057</v>
      </c>
      <c r="DJ34" s="295">
        <f t="shared" si="59"/>
        <v>0.61986394725478489</v>
      </c>
      <c r="DK34" s="295">
        <f t="shared" si="60"/>
        <v>0.14411830926268671</v>
      </c>
      <c r="DL34" s="296">
        <f t="shared" si="61"/>
        <v>2.3555476927509402</v>
      </c>
    </row>
    <row r="35" spans="1:116" ht="13.8" x14ac:dyDescent="0.25">
      <c r="A35" s="287" t="s">
        <v>558</v>
      </c>
      <c r="B35" s="288" t="s">
        <v>537</v>
      </c>
      <c r="C35" s="289">
        <v>652</v>
      </c>
      <c r="D35" s="289" t="s">
        <v>527</v>
      </c>
      <c r="E35" s="290" t="s">
        <v>514</v>
      </c>
      <c r="F35" s="289" t="s">
        <v>535</v>
      </c>
      <c r="G35" s="291"/>
      <c r="H35" s="292">
        <v>41.856999999999999</v>
      </c>
      <c r="I35" s="292">
        <v>1.706</v>
      </c>
      <c r="J35" s="292">
        <v>12.762</v>
      </c>
      <c r="K35" s="292">
        <v>0</v>
      </c>
      <c r="L35" s="292">
        <v>13.317</v>
      </c>
      <c r="M35" s="292">
        <v>0.187</v>
      </c>
      <c r="N35" s="292">
        <v>13.231</v>
      </c>
      <c r="O35" s="292">
        <v>11.443</v>
      </c>
      <c r="P35" s="292">
        <v>1.601</v>
      </c>
      <c r="Q35" s="292">
        <v>1.34</v>
      </c>
      <c r="R35" s="293">
        <v>0</v>
      </c>
      <c r="S35" s="293">
        <v>2.5000000000000001E-2</v>
      </c>
      <c r="T35" s="294">
        <f t="shared" si="96"/>
        <v>97.468999999999994</v>
      </c>
      <c r="U35" s="295">
        <f>IF(SUM(H35:S35)&lt;90," ",H35/stab.data!$U$7)</f>
        <v>0.69664136875041605</v>
      </c>
      <c r="V35" s="295">
        <f>IF(SUM(H35:S35)&lt;90," ",I35/stab.data!$U$8)</f>
        <v>2.1352224085709279E-2</v>
      </c>
      <c r="W35" s="295">
        <f>IF(SUM(H35:S35)&lt;90," ",J35*2/stab.data!$U$9)</f>
        <v>0.25033100891517346</v>
      </c>
      <c r="X35" s="295">
        <f>IF(SUM(H35:S35)&lt;90," ",K35*2/stab.data!$U$10)</f>
        <v>0</v>
      </c>
      <c r="Y35" s="295">
        <f>IF(SUM(H35:S35)&lt;90," ",L35/stab.data!$U$11)</f>
        <v>0.18535478662695209</v>
      </c>
      <c r="Z35" s="295">
        <f>IF(SUM(H35:S35)&lt;90," ",M35/stab.data!$U$12)</f>
        <v>2.6361419287536827E-3</v>
      </c>
      <c r="AA35" s="295">
        <f>IF(SUM(H35:S35)&lt;90," ",N35/stab.data!$U$13)</f>
        <v>0.32828007145692734</v>
      </c>
      <c r="AB35" s="295">
        <f>IF(SUM(H35:S35)&lt;90," ",O35/stab.data!$U$14)</f>
        <v>0.20405142745056082</v>
      </c>
      <c r="AC35" s="295">
        <f>IF(SUM(H35:S35)&lt;90," ",P35*2/stab.data!$U$15)</f>
        <v>5.1662659933203181E-2</v>
      </c>
      <c r="AD35" s="295">
        <f>IF(SUM(H35:S35)&lt;90," ",Q35*2/stab.data!$U$16)</f>
        <v>2.8451616327830567E-2</v>
      </c>
      <c r="AE35" s="295">
        <f>IF(SUM(H35:S35)&lt;90," ",R35/stab.data!$U$17)</f>
        <v>0</v>
      </c>
      <c r="AF35" s="295">
        <f>IF(SUM(H35:S35)&lt;90," ",S35/stab.data!$U$18)</f>
        <v>7.051589428257129E-4</v>
      </c>
      <c r="AG35" s="295">
        <f t="shared" si="97"/>
        <v>1.4845956017639319</v>
      </c>
      <c r="AH35" s="295">
        <f t="shared" si="98"/>
        <v>0.14152899440994535</v>
      </c>
      <c r="AI35" s="296">
        <f t="shared" si="99"/>
        <v>6.1002051892077969</v>
      </c>
      <c r="AJ35" s="296">
        <f t="shared" si="100"/>
        <v>0.18697274381280224</v>
      </c>
      <c r="AK35" s="296">
        <f t="shared" si="101"/>
        <v>2.1920468523755785</v>
      </c>
      <c r="AL35" s="296">
        <f t="shared" si="102"/>
        <v>0</v>
      </c>
      <c r="AM35" s="296">
        <f t="shared" si="103"/>
        <v>1.623076495233706</v>
      </c>
      <c r="AN35" s="296">
        <f t="shared" si="104"/>
        <v>2.3083622929422624E-2</v>
      </c>
      <c r="AO35" s="296">
        <f t="shared" si="105"/>
        <v>2.8746150964406945</v>
      </c>
      <c r="AP35" s="296">
        <f t="shared" si="106"/>
        <v>1.7867953762664428</v>
      </c>
      <c r="AQ35" s="296">
        <f t="shared" si="107"/>
        <v>0.45238890532455983</v>
      </c>
      <c r="AR35" s="296">
        <f t="shared" si="108"/>
        <v>0.24913923483427589</v>
      </c>
      <c r="AS35" s="296">
        <f t="shared" si="109"/>
        <v>0</v>
      </c>
      <c r="AT35" s="296">
        <f t="shared" si="110"/>
        <v>6.1747901218637304E-3</v>
      </c>
      <c r="AU35" s="295">
        <f t="shared" si="111"/>
        <v>15.488323516425279</v>
      </c>
      <c r="AV35" s="295">
        <f t="shared" si="112"/>
        <v>1.9354003974465075</v>
      </c>
      <c r="AW35" s="295">
        <f>IF(SUM(H35:S35)&lt;90," ",CO35*AG35*stab.data!$U$20/13/2)</f>
        <v>8.7397213719265121</v>
      </c>
      <c r="AX35" s="295">
        <f>IF(SUM(H35:S35)&lt;90," ",CQ35*AG35*stab.data!$U$11/13)</f>
        <v>5.4528871609867542</v>
      </c>
      <c r="AY35" s="295">
        <f t="shared" si="113"/>
        <v>-5.6409189631342997E-3</v>
      </c>
      <c r="AZ35" s="297">
        <f t="shared" si="114"/>
        <v>100.27436801139662</v>
      </c>
      <c r="BA35" s="298">
        <f>IF(SUM(H35:S35)&lt;90," ",EXP('eq. coef.'!$C$104+'eq. coef.'!$C$105*'Amp (T-P-fO2 calculation)'!AI35+'eq. coef.'!$C$106*'Amp (T-P-fO2 calculation)'!AJ35+'eq. coef.'!$C$107*'Amp (T-P-fO2 calculation)'!AK35+'eq. coef.'!$C$108*'Amp (T-P-fO2 calculation)'!AM35+'eq. coef.'!$C$109*'Amp (T-P-fO2 calculation)'!AO35+'eq. coef.'!$C$110*'Amp (T-P-fO2 calculation)'!AP35+'eq. coef.'!$C$111*'Amp (T-P-fO2 calculation)'!AQ35+'eq. coef.'!$C$112*'Amp (T-P-fO2 calculation)'!AR35))</f>
        <v>474.06563253581407</v>
      </c>
      <c r="BB35" s="299">
        <f>IF(SUM(H35:S35)&lt;90," ",EXP('eq. coef.'!$C$176+'eq. coef.'!$C$177*'Amp (T-P-fO2 calculation)'!AI35+'eq. coef.'!$C$178*'Amp (T-P-fO2 calculation)'!AJ35+'eq. coef.'!$C$179*'Amp (T-P-fO2 calculation)'!AK35+'eq. coef.'!$C$180*'Amp (T-P-fO2 calculation)'!AM35+'eq. coef.'!$C$181*'Amp (T-P-fO2 calculation)'!AO35+'eq. coef.'!$C$182*'Amp (T-P-fO2 calculation)'!AP35+'eq. coef.'!$C$183*'Amp (T-P-fO2 calculation)'!AQ35+'eq. coef.'!$C$184*'Amp (T-P-fO2 calculation)'!AR35))</f>
        <v>429.01528134960222</v>
      </c>
      <c r="BC35" s="299">
        <f>IF(SUM(H35:S35)&lt;90," ",('eq. coef.'!$C$234+'eq. coef.'!$C$235*'Amp (T-P-fO2 calculation)'!AI35+'eq. coef.'!$C$236*'Amp (T-P-fO2 calculation)'!AJ35+'eq. coef.'!$C$237*'Amp (T-P-fO2 calculation)'!AK35+'eq. coef.'!$C$238*'Amp (T-P-fO2 calculation)'!AM35+'eq. coef.'!$C$239*'Amp (T-P-fO2 calculation)'!AO35+'eq. coef.'!$C$240*'Amp (T-P-fO2 calculation)'!AP35+'eq. coef.'!$C$241*'Amp (T-P-fO2 calculation)'!AQ35+'eq. coef.'!$C$242*'Amp (T-P-fO2 calculation)'!AR35))</f>
        <v>464.53274995222773</v>
      </c>
      <c r="BD35" s="299">
        <f>IF(SUM(H35:S35)&lt;90," ",('eq. coef.'!$C$270+'eq. coef.'!$C$271*'Amp (T-P-fO2 calculation)'!AI35+'eq. coef.'!$C$272*'Amp (T-P-fO2 calculation)'!AJ35+'eq. coef.'!$C$273*'Amp (T-P-fO2 calculation)'!AK35+'eq. coef.'!$C$274*'Amp (T-P-fO2 calculation)'!AM35+'eq. coef.'!$C$275*'Amp (T-P-fO2 calculation)'!AO35+'eq. coef.'!$C$276*'Amp (T-P-fO2 calculation)'!AP35+'eq. coef.'!$C$277*'Amp (T-P-fO2 calculation)'!AQ35+'eq. coef.'!$C$278*'Amp (T-P-fO2 calculation)'!AR35))</f>
        <v>355.14019977610269</v>
      </c>
      <c r="BE35" s="299">
        <f>IF(SUM(H35:S35)&lt;90," ",EXP('eq. coef.'!$C$328+'eq. coef.'!$C$329*'Amp (T-P-fO2 calculation)'!AI35+'eq. coef.'!$C$330*'Amp (T-P-fO2 calculation)'!AJ35+'eq. coef.'!$C$331*'Amp (T-P-fO2 calculation)'!AK35+'eq. coef.'!$C$332*'Amp (T-P-fO2 calculation)'!AM35+'eq. coef.'!$C$333*'Amp (T-P-fO2 calculation)'!AO35+'eq. coef.'!$C$334*'Amp (T-P-fO2 calculation)'!AP35+'eq. coef.'!$C$335*'Amp (T-P-fO2 calculation)'!AQ35+'eq. coef.'!$C$336*'Amp (T-P-fO2 calculation)'!AR35))</f>
        <v>608.2039105740788</v>
      </c>
      <c r="BF35" s="300" t="str">
        <f t="shared" si="19"/>
        <v>ok</v>
      </c>
      <c r="BG35" s="301" t="str">
        <f t="shared" si="20"/>
        <v>ok</v>
      </c>
      <c r="BH35" s="301" t="str">
        <f t="shared" si="21"/>
        <v>ok</v>
      </c>
      <c r="BI35" s="299">
        <f t="shared" si="90"/>
        <v>2.0313017285021364</v>
      </c>
      <c r="BJ35" s="302">
        <f t="shared" si="115"/>
        <v>-0.2829529686021503</v>
      </c>
      <c r="BK35" s="299">
        <f t="shared" si="116"/>
        <v>-73.875081573499529</v>
      </c>
      <c r="BL35" s="303">
        <f>IF(SUM(H35:S35)&lt;90," ",'eq. coef.'!$C$360+'eq. coef.'!$C$361*'Amp (T-P-fO2 calculation)'!AI35+'eq. coef.'!$C$362*'Amp (T-P-fO2 calculation)'!AJ35+'eq. coef.'!$C$363*'Amp (T-P-fO2 calculation)'!AK35+'eq. coef.'!$C$364*'Amp (T-P-fO2 calculation)'!AM35+'eq. coef.'!$C$365*'Amp (T-P-fO2 calculation)'!AO35+'eq. coef.'!$C$366*'Amp (T-P-fO2 calculation)'!AP35+'eq. coef.'!$C$367*'Amp (T-P-fO2 calculation)'!AQ35+'eq. coef.'!$C$368*'Amp (T-P-fO2 calculation)'!AR35+'eq. coef.'!$C$369*LN(BO35))</f>
        <v>890.37274124776934</v>
      </c>
      <c r="BM35" s="304">
        <f t="shared" si="91"/>
        <v>22</v>
      </c>
      <c r="BN35" s="305">
        <f t="shared" si="92"/>
        <v>484</v>
      </c>
      <c r="BO35" s="306">
        <f t="shared" si="93"/>
        <v>464.53274995222773</v>
      </c>
      <c r="BP35" s="299" t="str">
        <f t="shared" si="94"/>
        <v>P1c</v>
      </c>
      <c r="BQ35" s="302"/>
      <c r="BR35" s="302">
        <f t="shared" si="117"/>
        <v>0</v>
      </c>
      <c r="BS35" s="302">
        <f t="shared" si="118"/>
        <v>0</v>
      </c>
      <c r="BT35" s="299">
        <f t="shared" si="95"/>
        <v>55.743929994267326</v>
      </c>
      <c r="BU35" s="311">
        <f t="shared" si="62"/>
        <v>751.54623733032383</v>
      </c>
      <c r="BV35" s="312">
        <f t="shared" si="63"/>
        <v>794.51038005506098</v>
      </c>
      <c r="BW35" s="267">
        <f>IF(SUM(H35:S35)&lt;90," ",'eq. coef.'!$B$1128*'Amp (T-P-fO2 calculation)'!CH35+'eq. coef.'!$B$1129*'Amp (T-P-fO2 calculation)'!CL35+'eq. coef.'!$B$1130*'Amp (T-P-fO2 calculation)'!CM35+'eq. coef.'!$B$1131*'Amp (T-P-fO2 calculation)'!CO35+'eq. coef.'!$B$1132*'Amp (T-P-fO2 calculation)'!CP35+'eq. coef.'!$B$1133*'Amp (T-P-fO2 calculation)'!CQ35+'eq. coef.'!$B$1134*'Amp (T-P-fO2 calculation)'!CR35+'eq. coef.'!$B$1135*'Amp (T-P-fO2 calculation)'!CU35+'eq. coef.'!$B$1135*'Amp (T-P-fO2 calculation)'!CY35+'eq. coef.'!$B$1137*'Amp (T-P-fO2 calculation)'!CZ35)</f>
        <v>4.2872231669091541</v>
      </c>
      <c r="BX35" s="268">
        <f t="shared" si="32"/>
        <v>0.4</v>
      </c>
      <c r="BY35" s="269"/>
      <c r="BZ35" s="282">
        <f t="shared" si="64"/>
        <v>-11.950291509240238</v>
      </c>
      <c r="CA35" s="269">
        <f t="shared" si="65"/>
        <v>2.8888996325466305</v>
      </c>
      <c r="CB35" s="282">
        <f t="shared" si="66"/>
        <v>-10.55180386961232</v>
      </c>
      <c r="CC35" s="268">
        <f t="shared" si="33"/>
        <v>-7.662904237065689</v>
      </c>
      <c r="CD35" s="268"/>
      <c r="CE35" s="267">
        <f>IF(SUM(H35:S35)&lt;90," ",EXP('eq. coef.'!$B$1156*'Amp (T-P-fO2 calculation)'!CH35+'eq. coef.'!$B$1157*'Amp (T-P-fO2 calculation)'!CL35+'eq. coef.'!$B$1158*'Amp (T-P-fO2 calculation)'!CM35+'eq. coef.'!$B$1159*'Amp (T-P-fO2 calculation)'!CO35+'eq. coef.'!$B$1160*'Amp (T-P-fO2 calculation)'!CP35+'eq. coef.'!$B$1161*'Amp (T-P-fO2 calculation)'!CQ35+'eq. coef.'!$B$1162*'Amp (T-P-fO2 calculation)'!CR35+'eq. coef.'!$B$1163*'Amp (T-P-fO2 calculation)'!CU35+'eq. coef.'!$B$1164*'Amp (T-P-fO2 calculation)'!CY35+'eq. coef.'!$B$1165*'Amp (T-P-fO2 calculation)'!CZ35))</f>
        <v>7.6408166537701874</v>
      </c>
      <c r="CF35" s="302">
        <f t="shared" si="34"/>
        <v>1.298938831140932</v>
      </c>
      <c r="CG35" s="296">
        <f t="shared" si="35"/>
        <v>6.1002051892077969</v>
      </c>
      <c r="CH35" s="296">
        <f t="shared" si="36"/>
        <v>1.8997948107922031</v>
      </c>
      <c r="CI35" s="296">
        <f t="shared" si="37"/>
        <v>0</v>
      </c>
      <c r="CJ35" s="296">
        <f t="shared" si="38"/>
        <v>8</v>
      </c>
      <c r="CK35" s="296"/>
      <c r="CL35" s="296">
        <f t="shared" si="39"/>
        <v>0.29225204158337537</v>
      </c>
      <c r="CM35" s="296">
        <f t="shared" si="40"/>
        <v>0.18697274381280224</v>
      </c>
      <c r="CN35" s="296">
        <f t="shared" si="41"/>
        <v>0</v>
      </c>
      <c r="CO35" s="296">
        <f t="shared" si="42"/>
        <v>0.95847838889149273</v>
      </c>
      <c r="CP35" s="296">
        <f t="shared" si="43"/>
        <v>2.8746150964406945</v>
      </c>
      <c r="CQ35" s="296">
        <f t="shared" si="44"/>
        <v>0.66459810634221328</v>
      </c>
      <c r="CR35" s="296">
        <f t="shared" si="45"/>
        <v>2.3083622929422624E-2</v>
      </c>
      <c r="CS35" s="296">
        <f t="shared" si="46"/>
        <v>5.0000000000000009</v>
      </c>
      <c r="CT35" s="296"/>
      <c r="CU35" s="296">
        <f t="shared" si="47"/>
        <v>1.7867953762664428</v>
      </c>
      <c r="CV35" s="296">
        <f t="shared" si="48"/>
        <v>0.2132046237335572</v>
      </c>
      <c r="CW35" s="296">
        <f t="shared" si="49"/>
        <v>2</v>
      </c>
      <c r="CX35" s="296"/>
      <c r="CY35" s="296">
        <f t="shared" si="50"/>
        <v>0.23918428159100263</v>
      </c>
      <c r="CZ35" s="296">
        <f t="shared" si="51"/>
        <v>0.24913923483427589</v>
      </c>
      <c r="DA35" s="296">
        <f t="shared" si="52"/>
        <v>0.48832351642527849</v>
      </c>
      <c r="DB35" s="296"/>
      <c r="DC35" s="296">
        <f t="shared" si="53"/>
        <v>1.9938252098781362</v>
      </c>
      <c r="DD35" s="296">
        <f t="shared" si="54"/>
        <v>0</v>
      </c>
      <c r="DE35" s="296">
        <f t="shared" si="55"/>
        <v>6.1747901218637304E-3</v>
      </c>
      <c r="DF35" s="296">
        <f t="shared" si="56"/>
        <v>2</v>
      </c>
      <c r="DG35" s="302">
        <f t="shared" si="57"/>
        <v>45.041521611108507</v>
      </c>
      <c r="DH35" s="302"/>
      <c r="DI35" s="295">
        <f t="shared" si="58"/>
        <v>0.81221868583117984</v>
      </c>
      <c r="DJ35" s="295">
        <f t="shared" si="59"/>
        <v>0.6391312160579985</v>
      </c>
      <c r="DK35" s="295">
        <f t="shared" si="60"/>
        <v>0.13332381160861329</v>
      </c>
      <c r="DL35" s="296">
        <f t="shared" si="61"/>
        <v>2.1920468523755785</v>
      </c>
    </row>
    <row r="36" spans="1:116" ht="13.8" x14ac:dyDescent="0.25">
      <c r="A36" s="287" t="s">
        <v>558</v>
      </c>
      <c r="B36" s="288" t="s">
        <v>537</v>
      </c>
      <c r="C36" s="289">
        <v>666</v>
      </c>
      <c r="D36" s="289" t="s">
        <v>528</v>
      </c>
      <c r="E36" s="290" t="s">
        <v>514</v>
      </c>
      <c r="F36" s="289" t="s">
        <v>535</v>
      </c>
      <c r="G36" s="291"/>
      <c r="H36" s="292">
        <v>40.106999999999999</v>
      </c>
      <c r="I36" s="292">
        <v>1.7689999999999999</v>
      </c>
      <c r="J36" s="292">
        <v>11.505000000000001</v>
      </c>
      <c r="K36" s="292">
        <v>1.2999999999999999E-2</v>
      </c>
      <c r="L36" s="292">
        <v>14.318</v>
      </c>
      <c r="M36" s="292">
        <v>0.247</v>
      </c>
      <c r="N36" s="292">
        <v>12.279</v>
      </c>
      <c r="O36" s="292">
        <v>11.58</v>
      </c>
      <c r="P36" s="292">
        <v>2.246</v>
      </c>
      <c r="Q36" s="292">
        <v>1.2669999999999999</v>
      </c>
      <c r="R36" s="293">
        <v>0</v>
      </c>
      <c r="S36" s="293">
        <v>8.9999999999999993E-3</v>
      </c>
      <c r="T36" s="294">
        <f t="shared" si="96"/>
        <v>95.339999999999989</v>
      </c>
      <c r="U36" s="295">
        <f>IF(SUM(H36:S36)&lt;90," ",H36/stab.data!$U$7)</f>
        <v>0.66751547833033753</v>
      </c>
      <c r="V36" s="295">
        <f>IF(SUM(H36:S36)&lt;90," ",I36/stab.data!$U$8)</f>
        <v>2.2140729430023279E-2</v>
      </c>
      <c r="W36" s="295">
        <f>IF(SUM(H36:S36)&lt;90," ",J36*2/stab.data!$U$9)</f>
        <v>0.2256745226115868</v>
      </c>
      <c r="X36" s="295">
        <f>IF(SUM(H36:S36)&lt;90," ",K36*2/stab.data!$U$10)</f>
        <v>1.7106366068338615E-4</v>
      </c>
      <c r="Y36" s="295">
        <f>IF(SUM(H36:S36)&lt;90," ",L36/stab.data!$U$11)</f>
        <v>0.19928736464103777</v>
      </c>
      <c r="Z36" s="295">
        <f>IF(SUM(H36:S36)&lt;90," ",M36/stab.data!$U$12)</f>
        <v>3.4819628684607468E-3</v>
      </c>
      <c r="AA36" s="295">
        <f>IF(SUM(H36:S36)&lt;90," ",N36/stab.data!$U$13)</f>
        <v>0.30465958713775304</v>
      </c>
      <c r="AB36" s="295">
        <f>IF(SUM(H36:S36)&lt;90," ",O36/stab.data!$U$14)</f>
        <v>0.20649440967206975</v>
      </c>
      <c r="AC36" s="295">
        <f>IF(SUM(H36:S36)&lt;90," ",P36*2/stab.data!$U$15)</f>
        <v>7.2476161280433701E-2</v>
      </c>
      <c r="AD36" s="295">
        <f>IF(SUM(H36:S36)&lt;90," ",Q36*2/stab.data!$U$16)</f>
        <v>2.6901640214448751E-2</v>
      </c>
      <c r="AE36" s="295">
        <f>IF(SUM(H36:S36)&lt;90," ",R36/stab.data!$U$17)</f>
        <v>0</v>
      </c>
      <c r="AF36" s="295">
        <f>IF(SUM(H36:S36)&lt;90," ",S36/stab.data!$U$18)</f>
        <v>2.5385721941725663E-4</v>
      </c>
      <c r="AG36" s="295">
        <f t="shared" si="97"/>
        <v>1.4229307086798828</v>
      </c>
      <c r="AH36" s="295">
        <f t="shared" si="98"/>
        <v>0.13053802722150692</v>
      </c>
      <c r="AI36" s="296">
        <f t="shared" si="99"/>
        <v>6.0984706882495239</v>
      </c>
      <c r="AJ36" s="296">
        <f t="shared" si="100"/>
        <v>0.20227933857533725</v>
      </c>
      <c r="AK36" s="296">
        <f t="shared" si="101"/>
        <v>2.0617790986269586</v>
      </c>
      <c r="AL36" s="296">
        <f t="shared" si="102"/>
        <v>1.5628502324945713E-3</v>
      </c>
      <c r="AM36" s="296">
        <f t="shared" si="103"/>
        <v>1.8207040754198309</v>
      </c>
      <c r="AN36" s="296">
        <f t="shared" si="104"/>
        <v>3.1811469816393642E-2</v>
      </c>
      <c r="AO36" s="296">
        <f t="shared" si="105"/>
        <v>2.7833924790794584</v>
      </c>
      <c r="AP36" s="296">
        <f t="shared" si="106"/>
        <v>1.8865481708714906</v>
      </c>
      <c r="AQ36" s="296">
        <f t="shared" si="107"/>
        <v>0.66214755989049567</v>
      </c>
      <c r="AR36" s="296">
        <f t="shared" si="108"/>
        <v>0.24577537096819424</v>
      </c>
      <c r="AS36" s="296">
        <f t="shared" si="109"/>
        <v>0</v>
      </c>
      <c r="AT36" s="296">
        <f t="shared" si="110"/>
        <v>2.3192582971844279E-3</v>
      </c>
      <c r="AU36" s="295">
        <f t="shared" si="111"/>
        <v>15.794471101730178</v>
      </c>
      <c r="AV36" s="295">
        <f t="shared" si="112"/>
        <v>1.8585977557548001</v>
      </c>
      <c r="AW36" s="295">
        <f>IF(SUM(H36:S36)&lt;90," ",CO36*AG36*stab.data!$U$20/13/2)</f>
        <v>5.7169014357887331</v>
      </c>
      <c r="AX36" s="295">
        <f>IF(SUM(H36:S36)&lt;90," ",CQ36*AG36*stab.data!$U$11/13)</f>
        <v>9.1738591209814295</v>
      </c>
      <c r="AY36" s="295">
        <f t="shared" si="113"/>
        <v>-2.0307308267283478E-3</v>
      </c>
      <c r="AZ36" s="297">
        <f t="shared" si="114"/>
        <v>97.769327581698221</v>
      </c>
      <c r="BA36" s="298">
        <f>IF(SUM(H36:S36)&lt;90," ",EXP('eq. coef.'!$C$104+'eq. coef.'!$C$105*'Amp (T-P-fO2 calculation)'!AI36+'eq. coef.'!$C$106*'Amp (T-P-fO2 calculation)'!AJ36+'eq. coef.'!$C$107*'Amp (T-P-fO2 calculation)'!AK36+'eq. coef.'!$C$108*'Amp (T-P-fO2 calculation)'!AM36+'eq. coef.'!$C$109*'Amp (T-P-fO2 calculation)'!AO36+'eq. coef.'!$C$110*'Amp (T-P-fO2 calculation)'!AP36+'eq. coef.'!$C$111*'Amp (T-P-fO2 calculation)'!AQ36+'eq. coef.'!$C$112*'Amp (T-P-fO2 calculation)'!AR36))</f>
        <v>609.70752084508217</v>
      </c>
      <c r="BB36" s="299">
        <f>IF(SUM(H36:S36)&lt;90," ",EXP('eq. coef.'!$C$176+'eq. coef.'!$C$177*'Amp (T-P-fO2 calculation)'!AI36+'eq. coef.'!$C$178*'Amp (T-P-fO2 calculation)'!AJ36+'eq. coef.'!$C$179*'Amp (T-P-fO2 calculation)'!AK36+'eq. coef.'!$C$180*'Amp (T-P-fO2 calculation)'!AM36+'eq. coef.'!$C$181*'Amp (T-P-fO2 calculation)'!AO36+'eq. coef.'!$C$182*'Amp (T-P-fO2 calculation)'!AP36+'eq. coef.'!$C$183*'Amp (T-P-fO2 calculation)'!AQ36+'eq. coef.'!$C$184*'Amp (T-P-fO2 calculation)'!AR36))</f>
        <v>315.4535411407</v>
      </c>
      <c r="BC36" s="299">
        <f>IF(SUM(H36:S36)&lt;90," ",('eq. coef.'!$C$234+'eq. coef.'!$C$235*'Amp (T-P-fO2 calculation)'!AI36+'eq. coef.'!$C$236*'Amp (T-P-fO2 calculation)'!AJ36+'eq. coef.'!$C$237*'Amp (T-P-fO2 calculation)'!AK36+'eq. coef.'!$C$238*'Amp (T-P-fO2 calculation)'!AM36+'eq. coef.'!$C$239*'Amp (T-P-fO2 calculation)'!AO36+'eq. coef.'!$C$240*'Amp (T-P-fO2 calculation)'!AP36+'eq. coef.'!$C$241*'Amp (T-P-fO2 calculation)'!AQ36+'eq. coef.'!$C$242*'Amp (T-P-fO2 calculation)'!AR36))</f>
        <v>404.11109010349571</v>
      </c>
      <c r="BD36" s="299">
        <f>IF(SUM(H36:S36)&lt;90," ",('eq. coef.'!$C$270+'eq. coef.'!$C$271*'Amp (T-P-fO2 calculation)'!AI36+'eq. coef.'!$C$272*'Amp (T-P-fO2 calculation)'!AJ36+'eq. coef.'!$C$273*'Amp (T-P-fO2 calculation)'!AK36+'eq. coef.'!$C$274*'Amp (T-P-fO2 calculation)'!AM36+'eq. coef.'!$C$275*'Amp (T-P-fO2 calculation)'!AO36+'eq. coef.'!$C$276*'Amp (T-P-fO2 calculation)'!AP36+'eq. coef.'!$C$277*'Amp (T-P-fO2 calculation)'!AQ36+'eq. coef.'!$C$278*'Amp (T-P-fO2 calculation)'!AR36))</f>
        <v>690.64130142280874</v>
      </c>
      <c r="BE36" s="299">
        <f>IF(SUM(H36:S36)&lt;90," ",EXP('eq. coef.'!$C$328+'eq. coef.'!$C$329*'Amp (T-P-fO2 calculation)'!AI36+'eq. coef.'!$C$330*'Amp (T-P-fO2 calculation)'!AJ36+'eq. coef.'!$C$331*'Amp (T-P-fO2 calculation)'!AK36+'eq. coef.'!$C$332*'Amp (T-P-fO2 calculation)'!AM36+'eq. coef.'!$C$333*'Amp (T-P-fO2 calculation)'!AO36+'eq. coef.'!$C$334*'Amp (T-P-fO2 calculation)'!AP36+'eq. coef.'!$C$335*'Amp (T-P-fO2 calculation)'!AQ36+'eq. coef.'!$C$336*'Amp (T-P-fO2 calculation)'!AR36))</f>
        <v>928.73684457773936</v>
      </c>
      <c r="BF36" s="300" t="str">
        <f t="shared" si="19"/>
        <v>low Total</v>
      </c>
      <c r="BG36" s="301" t="str">
        <f t="shared" si="20"/>
        <v>ok</v>
      </c>
      <c r="BH36" s="301" t="str">
        <f t="shared" si="21"/>
        <v>ok</v>
      </c>
      <c r="BI36" s="299">
        <f t="shared" si="90"/>
        <v>63.611406012438565</v>
      </c>
      <c r="BJ36" s="302">
        <f t="shared" si="115"/>
        <v>-0.5232497760409256</v>
      </c>
      <c r="BK36" s="299">
        <f t="shared" si="116"/>
        <v>375.18776028210874</v>
      </c>
      <c r="BL36" s="303">
        <f>IF(SUM(H36:S36)&lt;90," ",'eq. coef.'!$C$360+'eq. coef.'!$C$361*'Amp (T-P-fO2 calculation)'!AI36+'eq. coef.'!$C$362*'Amp (T-P-fO2 calculation)'!AJ36+'eq. coef.'!$C$363*'Amp (T-P-fO2 calculation)'!AK36+'eq. coef.'!$C$364*'Amp (T-P-fO2 calculation)'!AM36+'eq. coef.'!$C$365*'Amp (T-P-fO2 calculation)'!AO36+'eq. coef.'!$C$366*'Amp (T-P-fO2 calculation)'!AP36+'eq. coef.'!$C$367*'Amp (T-P-fO2 calculation)'!AQ36+'eq. coef.'!$C$368*'Amp (T-P-fO2 calculation)'!AR36+'eq. coef.'!$C$369*LN(BO36))</f>
        <v>884.08296104508895</v>
      </c>
      <c r="BM36" s="304">
        <f t="shared" si="91"/>
        <v>22</v>
      </c>
      <c r="BN36" s="305">
        <f t="shared" si="92"/>
        <v>484</v>
      </c>
      <c r="BO36" s="306">
        <f t="shared" si="93"/>
        <v>315.4535411407</v>
      </c>
      <c r="BP36" s="299" t="str">
        <f t="shared" si="94"/>
        <v>P1b</v>
      </c>
      <c r="BQ36" s="302"/>
      <c r="BR36" s="302">
        <f t="shared" si="117"/>
        <v>0</v>
      </c>
      <c r="BS36" s="302">
        <f t="shared" si="118"/>
        <v>0</v>
      </c>
      <c r="BT36" s="299">
        <f t="shared" si="95"/>
        <v>37.854424936884001</v>
      </c>
      <c r="BU36" s="311">
        <f t="shared" si="62"/>
        <v>678.59629523109675</v>
      </c>
      <c r="BV36" s="312">
        <f t="shared" si="63"/>
        <v>810.9871064122533</v>
      </c>
      <c r="BW36" s="267">
        <f>IF(SUM(H36:S36)&lt;90," ",'eq. coef.'!$B$1128*'Amp (T-P-fO2 calculation)'!CH36+'eq. coef.'!$B$1129*'Amp (T-P-fO2 calculation)'!CL36+'eq. coef.'!$B$1130*'Amp (T-P-fO2 calculation)'!CM36+'eq. coef.'!$B$1131*'Amp (T-P-fO2 calculation)'!CO36+'eq. coef.'!$B$1132*'Amp (T-P-fO2 calculation)'!CP36+'eq. coef.'!$B$1133*'Amp (T-P-fO2 calculation)'!CQ36+'eq. coef.'!$B$1134*'Amp (T-P-fO2 calculation)'!CR36+'eq. coef.'!$B$1135*'Amp (T-P-fO2 calculation)'!CU36+'eq. coef.'!$B$1135*'Amp (T-P-fO2 calculation)'!CY36+'eq. coef.'!$B$1137*'Amp (T-P-fO2 calculation)'!CZ36)</f>
        <v>4.3348159851354193</v>
      </c>
      <c r="BX36" s="268">
        <f t="shared" si="32"/>
        <v>0.4</v>
      </c>
      <c r="BY36" s="269"/>
      <c r="BZ36" s="282">
        <f t="shared" si="64"/>
        <v>-12.125547296935952</v>
      </c>
      <c r="CA36" s="269">
        <f t="shared" si="65"/>
        <v>2.9491546502761476</v>
      </c>
      <c r="CB36" s="282">
        <f t="shared" si="66"/>
        <v>-10.736823811066259</v>
      </c>
      <c r="CC36" s="268">
        <f t="shared" si="33"/>
        <v>-7.7876691607901112</v>
      </c>
      <c r="CD36" s="268"/>
      <c r="CE36" s="267">
        <f>IF(SUM(H36:S36)&lt;90," ",EXP('eq. coef.'!$B$1156*'Amp (T-P-fO2 calculation)'!CH36+'eq. coef.'!$B$1157*'Amp (T-P-fO2 calculation)'!CL36+'eq. coef.'!$B$1158*'Amp (T-P-fO2 calculation)'!CM36+'eq. coef.'!$B$1159*'Amp (T-P-fO2 calculation)'!CO36+'eq. coef.'!$B$1160*'Amp (T-P-fO2 calculation)'!CP36+'eq. coef.'!$B$1161*'Amp (T-P-fO2 calculation)'!CQ36+'eq. coef.'!$B$1162*'Amp (T-P-fO2 calculation)'!CR36+'eq. coef.'!$B$1163*'Amp (T-P-fO2 calculation)'!CU36+'eq. coef.'!$B$1164*'Amp (T-P-fO2 calculation)'!CY36+'eq. coef.'!$B$1165*'Amp (T-P-fO2 calculation)'!CZ36))</f>
        <v>6.9660365106662647</v>
      </c>
      <c r="CF36" s="302">
        <f t="shared" si="34"/>
        <v>1.1842262068132652</v>
      </c>
      <c r="CG36" s="296">
        <f t="shared" si="35"/>
        <v>6.0984706882495239</v>
      </c>
      <c r="CH36" s="296">
        <f t="shared" si="36"/>
        <v>1.9015293117504761</v>
      </c>
      <c r="CI36" s="296">
        <f t="shared" si="37"/>
        <v>0</v>
      </c>
      <c r="CJ36" s="296">
        <f t="shared" si="38"/>
        <v>8</v>
      </c>
      <c r="CK36" s="296"/>
      <c r="CL36" s="296">
        <f t="shared" si="39"/>
        <v>0.1602497868764825</v>
      </c>
      <c r="CM36" s="296">
        <f t="shared" si="40"/>
        <v>0.20227933857533725</v>
      </c>
      <c r="CN36" s="296">
        <f t="shared" si="41"/>
        <v>1.5628502324945713E-3</v>
      </c>
      <c r="CO36" s="296">
        <f t="shared" si="42"/>
        <v>0.65413872488915104</v>
      </c>
      <c r="CP36" s="296">
        <f t="shared" si="43"/>
        <v>2.7833924790794584</v>
      </c>
      <c r="CQ36" s="296">
        <f t="shared" si="44"/>
        <v>1.1665653505306799</v>
      </c>
      <c r="CR36" s="296">
        <f t="shared" si="45"/>
        <v>3.1811469816393642E-2</v>
      </c>
      <c r="CS36" s="296">
        <f t="shared" si="46"/>
        <v>4.9999999999999973</v>
      </c>
      <c r="CT36" s="296"/>
      <c r="CU36" s="296">
        <f t="shared" si="47"/>
        <v>1.8865481708714906</v>
      </c>
      <c r="CV36" s="296">
        <f t="shared" si="48"/>
        <v>0.11345182912850937</v>
      </c>
      <c r="CW36" s="296">
        <f t="shared" si="49"/>
        <v>2</v>
      </c>
      <c r="CX36" s="296"/>
      <c r="CY36" s="296">
        <f t="shared" si="50"/>
        <v>0.5486957307619863</v>
      </c>
      <c r="CZ36" s="296">
        <f t="shared" si="51"/>
        <v>0.24577537096819424</v>
      </c>
      <c r="DA36" s="296">
        <f t="shared" si="52"/>
        <v>0.79447110173018054</v>
      </c>
      <c r="DB36" s="296"/>
      <c r="DC36" s="296">
        <f t="shared" si="53"/>
        <v>1.9976807417028155</v>
      </c>
      <c r="DD36" s="296">
        <f t="shared" si="54"/>
        <v>0</v>
      </c>
      <c r="DE36" s="296">
        <f t="shared" si="55"/>
        <v>2.3192582971844279E-3</v>
      </c>
      <c r="DF36" s="296">
        <f t="shared" si="56"/>
        <v>2</v>
      </c>
      <c r="DG36" s="302">
        <f t="shared" si="57"/>
        <v>45.345861275110849</v>
      </c>
      <c r="DH36" s="302"/>
      <c r="DI36" s="295">
        <f t="shared" si="58"/>
        <v>0.70466384684268391</v>
      </c>
      <c r="DJ36" s="295">
        <f t="shared" si="59"/>
        <v>0.60454693904267209</v>
      </c>
      <c r="DK36" s="295">
        <f t="shared" si="60"/>
        <v>7.7724033085407068E-2</v>
      </c>
      <c r="DL36" s="296">
        <f t="shared" si="61"/>
        <v>2.0617790986269586</v>
      </c>
    </row>
    <row r="37" spans="1:116" ht="13.8" x14ac:dyDescent="0.25">
      <c r="A37" s="287" t="s">
        <v>558</v>
      </c>
      <c r="B37" s="288" t="s">
        <v>537</v>
      </c>
      <c r="C37" s="289">
        <v>684</v>
      </c>
      <c r="D37" s="313" t="s">
        <v>559</v>
      </c>
      <c r="E37" s="313" t="s">
        <v>515</v>
      </c>
      <c r="F37" s="289" t="s">
        <v>535</v>
      </c>
      <c r="G37" s="291"/>
      <c r="H37" s="292">
        <v>41.03</v>
      </c>
      <c r="I37" s="292">
        <v>1.931</v>
      </c>
      <c r="J37" s="292">
        <v>12.879</v>
      </c>
      <c r="K37" s="292">
        <v>0</v>
      </c>
      <c r="L37" s="292">
        <v>13.694000000000001</v>
      </c>
      <c r="M37" s="292">
        <v>0.20599999999999999</v>
      </c>
      <c r="N37" s="292">
        <v>11.781000000000001</v>
      </c>
      <c r="O37" s="292">
        <v>11.622</v>
      </c>
      <c r="P37" s="292">
        <v>2.1970000000000001</v>
      </c>
      <c r="Q37" s="292">
        <v>1.3140000000000001</v>
      </c>
      <c r="R37" s="293">
        <v>8.5000000000000006E-2</v>
      </c>
      <c r="S37" s="293">
        <v>1.6E-2</v>
      </c>
      <c r="T37" s="294">
        <f t="shared" si="96"/>
        <v>96.754999999999995</v>
      </c>
      <c r="U37" s="295">
        <f>IF(SUM(H37:S37)&lt;90," ",H37/stab.data!$U$7)</f>
        <v>0.68287730510618461</v>
      </c>
      <c r="V37" s="295">
        <f>IF(SUM(H37:S37)&lt;90," ",I37/stab.data!$U$8)</f>
        <v>2.4168314601116424E-2</v>
      </c>
      <c r="W37" s="295">
        <f>IF(SUM(H37:S37)&lt;90," ",J37*2/stab.data!$U$9)</f>
        <v>0.252626004060376</v>
      </c>
      <c r="X37" s="295">
        <f>IF(SUM(H37:S37)&lt;90," ",K37*2/stab.data!$U$10)</f>
        <v>0</v>
      </c>
      <c r="Y37" s="295">
        <f>IF(SUM(H37:S37)&lt;90," ",L37/stab.data!$U$11)</f>
        <v>0.19060212120368566</v>
      </c>
      <c r="Z37" s="295">
        <f>IF(SUM(H37:S37)&lt;90," ",M37/stab.data!$U$12)</f>
        <v>2.9039852263275864E-3</v>
      </c>
      <c r="AA37" s="295">
        <f>IF(SUM(H37:S37)&lt;90," ",N37/stab.data!$U$13)</f>
        <v>0.29230349344978168</v>
      </c>
      <c r="AB37" s="295">
        <f>IF(SUM(H37:S37)&lt;90," ",O37/stab.data!$U$14)</f>
        <v>0.20724335312683892</v>
      </c>
      <c r="AC37" s="295">
        <f>IF(SUM(H37:S37)&lt;90," ",P37*2/stab.data!$U$15)</f>
        <v>7.089498055793092E-2</v>
      </c>
      <c r="AD37" s="295">
        <f>IF(SUM(H37:S37)&lt;90," ",Q37*2/stab.data!$U$16)</f>
        <v>2.7899570040872661E-2</v>
      </c>
      <c r="AE37" s="295">
        <f>IF(SUM(H37:S37)&lt;90," ",R37/stab.data!$U$17)</f>
        <v>4.4741551742288662E-3</v>
      </c>
      <c r="AF37" s="295">
        <f>IF(SUM(H37:S37)&lt;90," ",S37/stab.data!$U$18)</f>
        <v>4.5130172340845622E-4</v>
      </c>
      <c r="AG37" s="295">
        <f t="shared" si="97"/>
        <v>1.4454812236474719</v>
      </c>
      <c r="AH37" s="295">
        <f t="shared" si="98"/>
        <v>0.14423251228735268</v>
      </c>
      <c r="AI37" s="296">
        <f t="shared" si="99"/>
        <v>6.1414875690875439</v>
      </c>
      <c r="AJ37" s="296">
        <f t="shared" si="100"/>
        <v>0.21735881772417862</v>
      </c>
      <c r="AK37" s="296">
        <f t="shared" si="101"/>
        <v>2.2720032602691442</v>
      </c>
      <c r="AL37" s="296">
        <f t="shared" si="102"/>
        <v>0</v>
      </c>
      <c r="AM37" s="296">
        <f t="shared" si="103"/>
        <v>1.7141886972391511</v>
      </c>
      <c r="AN37" s="296">
        <f t="shared" si="104"/>
        <v>2.6117120945367354E-2</v>
      </c>
      <c r="AO37" s="296">
        <f t="shared" si="105"/>
        <v>2.6288445347346161</v>
      </c>
      <c r="AP37" s="296">
        <f t="shared" si="106"/>
        <v>1.8638523604274546</v>
      </c>
      <c r="AQ37" s="296">
        <f t="shared" si="107"/>
        <v>0.63759717675715233</v>
      </c>
      <c r="AR37" s="296">
        <f t="shared" si="108"/>
        <v>0.25091603031420595</v>
      </c>
      <c r="AS37" s="296">
        <f t="shared" si="109"/>
        <v>4.0238514560712459E-2</v>
      </c>
      <c r="AT37" s="296">
        <f t="shared" si="110"/>
        <v>4.058802223321562E-3</v>
      </c>
      <c r="AU37" s="295">
        <f t="shared" si="111"/>
        <v>15.752365567498815</v>
      </c>
      <c r="AV37" s="295">
        <f t="shared" si="112"/>
        <v>1.8483782934475459</v>
      </c>
      <c r="AW37" s="295">
        <f>IF(SUM(H37:S37)&lt;90," ",CO37*AG37*stab.data!$U$20/13/2)</f>
        <v>3.4987313463256351</v>
      </c>
      <c r="AX37" s="295">
        <f>IF(SUM(H37:S37)&lt;90," ",CQ37*AG37*stab.data!$U$11/13)</f>
        <v>10.545796878870927</v>
      </c>
      <c r="AY37" s="295">
        <f t="shared" si="113"/>
        <v>-3.9401192452649753E-2</v>
      </c>
      <c r="AZ37" s="297">
        <f t="shared" si="114"/>
        <v>98.914505326191474</v>
      </c>
      <c r="BA37" s="298">
        <f>IF(SUM(H37:S37)&lt;90," ",EXP('eq. coef.'!$C$104+'eq. coef.'!$C$105*'Amp (T-P-fO2 calculation)'!AI37+'eq. coef.'!$C$106*'Amp (T-P-fO2 calculation)'!AJ37+'eq. coef.'!$C$107*'Amp (T-P-fO2 calculation)'!AK37+'eq. coef.'!$C$108*'Amp (T-P-fO2 calculation)'!AM37+'eq. coef.'!$C$109*'Amp (T-P-fO2 calculation)'!AO37+'eq. coef.'!$C$110*'Amp (T-P-fO2 calculation)'!AP37+'eq. coef.'!$C$111*'Amp (T-P-fO2 calculation)'!AQ37+'eq. coef.'!$C$112*'Amp (T-P-fO2 calculation)'!AR37))</f>
        <v>639.86385459508733</v>
      </c>
      <c r="BB37" s="299">
        <f>IF(SUM(H37:S37)&lt;90," ",EXP('eq. coef.'!$C$176+'eq. coef.'!$C$177*'Amp (T-P-fO2 calculation)'!AI37+'eq. coef.'!$C$178*'Amp (T-P-fO2 calculation)'!AJ37+'eq. coef.'!$C$179*'Amp (T-P-fO2 calculation)'!AK37+'eq. coef.'!$C$180*'Amp (T-P-fO2 calculation)'!AM37+'eq. coef.'!$C$181*'Amp (T-P-fO2 calculation)'!AO37+'eq. coef.'!$C$182*'Amp (T-P-fO2 calculation)'!AP37+'eq. coef.'!$C$183*'Amp (T-P-fO2 calculation)'!AQ37+'eq. coef.'!$C$184*'Amp (T-P-fO2 calculation)'!AR37))</f>
        <v>416.16821863089206</v>
      </c>
      <c r="BC37" s="299">
        <f>IF(SUM(H37:S37)&lt;90," ",('eq. coef.'!$C$234+'eq. coef.'!$C$235*'Amp (T-P-fO2 calculation)'!AI37+'eq. coef.'!$C$236*'Amp (T-P-fO2 calculation)'!AJ37+'eq. coef.'!$C$237*'Amp (T-P-fO2 calculation)'!AK37+'eq. coef.'!$C$238*'Amp (T-P-fO2 calculation)'!AM37+'eq. coef.'!$C$239*'Amp (T-P-fO2 calculation)'!AO37+'eq. coef.'!$C$240*'Amp (T-P-fO2 calculation)'!AP37+'eq. coef.'!$C$241*'Amp (T-P-fO2 calculation)'!AQ37+'eq. coef.'!$C$242*'Amp (T-P-fO2 calculation)'!AR37))</f>
        <v>456.72345287380426</v>
      </c>
      <c r="BD37" s="299">
        <f>IF(SUM(H37:S37)&lt;90," ",('eq. coef.'!$C$270+'eq. coef.'!$C$271*'Amp (T-P-fO2 calculation)'!AI37+'eq. coef.'!$C$272*'Amp (T-P-fO2 calculation)'!AJ37+'eq. coef.'!$C$273*'Amp (T-P-fO2 calculation)'!AK37+'eq. coef.'!$C$274*'Amp (T-P-fO2 calculation)'!AM37+'eq. coef.'!$C$275*'Amp (T-P-fO2 calculation)'!AO37+'eq. coef.'!$C$276*'Amp (T-P-fO2 calculation)'!AP37+'eq. coef.'!$C$277*'Amp (T-P-fO2 calculation)'!AQ37+'eq. coef.'!$C$278*'Amp (T-P-fO2 calculation)'!AR37))</f>
        <v>803.37835853598574</v>
      </c>
      <c r="BE37" s="299">
        <f>IF(SUM(H37:S37)&lt;90," ",EXP('eq. coef.'!$C$328+'eq. coef.'!$C$329*'Amp (T-P-fO2 calculation)'!AI37+'eq. coef.'!$C$330*'Amp (T-P-fO2 calculation)'!AJ37+'eq. coef.'!$C$331*'Amp (T-P-fO2 calculation)'!AK37+'eq. coef.'!$C$332*'Amp (T-P-fO2 calculation)'!AM37+'eq. coef.'!$C$333*'Amp (T-P-fO2 calculation)'!AO37+'eq. coef.'!$C$334*'Amp (T-P-fO2 calculation)'!AP37+'eq. coef.'!$C$335*'Amp (T-P-fO2 calculation)'!AQ37+'eq. coef.'!$C$336*'Amp (T-P-fO2 calculation)'!AR37))</f>
        <v>1254.8905526356846</v>
      </c>
      <c r="BF37" s="300" t="str">
        <f t="shared" si="19"/>
        <v>ok</v>
      </c>
      <c r="BG37" s="301" t="str">
        <f t="shared" si="20"/>
        <v>ok</v>
      </c>
      <c r="BH37" s="301" t="str">
        <f t="shared" si="21"/>
        <v>ok</v>
      </c>
      <c r="BI37" s="299">
        <f t="shared" si="90"/>
        <v>64.918882963779268</v>
      </c>
      <c r="BJ37" s="302">
        <f t="shared" si="115"/>
        <v>-0.96118368559791945</v>
      </c>
      <c r="BK37" s="299">
        <f t="shared" si="116"/>
        <v>387.21013990509368</v>
      </c>
      <c r="BL37" s="303">
        <f>IF(SUM(H37:S37)&lt;90," ",'eq. coef.'!$C$360+'eq. coef.'!$C$361*'Amp (T-P-fO2 calculation)'!AI37+'eq. coef.'!$C$362*'Amp (T-P-fO2 calculation)'!AJ37+'eq. coef.'!$C$363*'Amp (T-P-fO2 calculation)'!AK37+'eq. coef.'!$C$364*'Amp (T-P-fO2 calculation)'!AM37+'eq. coef.'!$C$365*'Amp (T-P-fO2 calculation)'!AO37+'eq. coef.'!$C$366*'Amp (T-P-fO2 calculation)'!AP37+'eq. coef.'!$C$367*'Amp (T-P-fO2 calculation)'!AQ37+'eq. coef.'!$C$368*'Amp (T-P-fO2 calculation)'!AR37+'eq. coef.'!$C$369*LN(BO37))</f>
        <v>973.55029251221833</v>
      </c>
      <c r="BM37" s="304">
        <f t="shared" si="91"/>
        <v>22</v>
      </c>
      <c r="BN37" s="305">
        <f t="shared" si="92"/>
        <v>484</v>
      </c>
      <c r="BO37" s="306">
        <f t="shared" si="93"/>
        <v>1254.8905526356846</v>
      </c>
      <c r="BP37" s="299" t="str">
        <f t="shared" si="94"/>
        <v>P1e</v>
      </c>
      <c r="BQ37" s="302"/>
      <c r="BR37" s="302">
        <f t="shared" si="117"/>
        <v>0</v>
      </c>
      <c r="BS37" s="302">
        <f t="shared" si="118"/>
        <v>0</v>
      </c>
      <c r="BT37" s="299">
        <f t="shared" si="95"/>
        <v>150.58686631628214</v>
      </c>
      <c r="BU37" s="311">
        <f t="shared" si="62"/>
        <v>796.32182575072079</v>
      </c>
      <c r="BV37" s="312">
        <f t="shared" si="63"/>
        <v>826.49376992530847</v>
      </c>
      <c r="BW37" s="267">
        <f>IF(SUM(H37:S37)&lt;90," ",'eq. coef.'!$B$1128*'Amp (T-P-fO2 calculation)'!CH37+'eq. coef.'!$B$1129*'Amp (T-P-fO2 calculation)'!CL37+'eq. coef.'!$B$1130*'Amp (T-P-fO2 calculation)'!CM37+'eq. coef.'!$B$1131*'Amp (T-P-fO2 calculation)'!CO37+'eq. coef.'!$B$1132*'Amp (T-P-fO2 calculation)'!CP37+'eq. coef.'!$B$1133*'Amp (T-P-fO2 calculation)'!CQ37+'eq. coef.'!$B$1134*'Amp (T-P-fO2 calculation)'!CR37+'eq. coef.'!$B$1135*'Amp (T-P-fO2 calculation)'!CU37+'eq. coef.'!$B$1135*'Amp (T-P-fO2 calculation)'!CY37+'eq. coef.'!$B$1137*'Amp (T-P-fO2 calculation)'!CZ37)</f>
        <v>3.5097887963112582</v>
      </c>
      <c r="BX37" s="268">
        <f t="shared" si="32"/>
        <v>0.4</v>
      </c>
      <c r="BY37" s="269"/>
      <c r="BZ37" s="282">
        <f t="shared" si="64"/>
        <v>-10.252499332447425</v>
      </c>
      <c r="CA37" s="269">
        <f t="shared" si="65"/>
        <v>1.9677011786492224</v>
      </c>
      <c r="CB37" s="282">
        <f t="shared" si="66"/>
        <v>-8.7293903152508889</v>
      </c>
      <c r="CC37" s="268">
        <f t="shared" si="33"/>
        <v>-6.7616891366016665</v>
      </c>
      <c r="CD37" s="268"/>
      <c r="CE37" s="267">
        <f>IF(SUM(H37:S37)&lt;90," ",EXP('eq. coef.'!$B$1156*'Amp (T-P-fO2 calculation)'!CH37+'eq. coef.'!$B$1157*'Amp (T-P-fO2 calculation)'!CL37+'eq. coef.'!$B$1158*'Amp (T-P-fO2 calculation)'!CM37+'eq. coef.'!$B$1159*'Amp (T-P-fO2 calculation)'!CO37+'eq. coef.'!$B$1160*'Amp (T-P-fO2 calculation)'!CP37+'eq. coef.'!$B$1161*'Amp (T-P-fO2 calculation)'!CQ37+'eq. coef.'!$B$1162*'Amp (T-P-fO2 calculation)'!CR37+'eq. coef.'!$B$1163*'Amp (T-P-fO2 calculation)'!CU37+'eq. coef.'!$B$1164*'Amp (T-P-fO2 calculation)'!CY37+'eq. coef.'!$B$1165*'Amp (T-P-fO2 calculation)'!CZ37))</f>
        <v>8.1824392374756965</v>
      </c>
      <c r="CF37" s="302">
        <f t="shared" si="34"/>
        <v>1.3910146703708686</v>
      </c>
      <c r="CG37" s="296">
        <f t="shared" si="35"/>
        <v>6.1414875690875439</v>
      </c>
      <c r="CH37" s="296">
        <f t="shared" si="36"/>
        <v>1.8585124309124561</v>
      </c>
      <c r="CI37" s="296">
        <f t="shared" si="37"/>
        <v>0</v>
      </c>
      <c r="CJ37" s="296">
        <f t="shared" si="38"/>
        <v>8</v>
      </c>
      <c r="CK37" s="296"/>
      <c r="CL37" s="296">
        <f t="shared" si="39"/>
        <v>0.41349082935668813</v>
      </c>
      <c r="CM37" s="296">
        <f t="shared" si="40"/>
        <v>0.21735881772417862</v>
      </c>
      <c r="CN37" s="296">
        <f t="shared" si="41"/>
        <v>0</v>
      </c>
      <c r="CO37" s="296">
        <f t="shared" si="42"/>
        <v>0.39408603818113619</v>
      </c>
      <c r="CP37" s="296">
        <f t="shared" si="43"/>
        <v>2.6288445347346161</v>
      </c>
      <c r="CQ37" s="296">
        <f t="shared" si="44"/>
        <v>1.3201026590580149</v>
      </c>
      <c r="CR37" s="296">
        <f t="shared" si="45"/>
        <v>2.6117120945367354E-2</v>
      </c>
      <c r="CS37" s="296">
        <f t="shared" si="46"/>
        <v>5.0000000000000018</v>
      </c>
      <c r="CT37" s="296"/>
      <c r="CU37" s="296">
        <f t="shared" si="47"/>
        <v>1.8638523604274546</v>
      </c>
      <c r="CV37" s="296">
        <f t="shared" si="48"/>
        <v>0.13614763957254539</v>
      </c>
      <c r="CW37" s="296">
        <f t="shared" si="49"/>
        <v>2</v>
      </c>
      <c r="CX37" s="296"/>
      <c r="CY37" s="296">
        <f t="shared" si="50"/>
        <v>0.50144953718460694</v>
      </c>
      <c r="CZ37" s="296">
        <f t="shared" si="51"/>
        <v>0.25091603031420595</v>
      </c>
      <c r="DA37" s="296">
        <f t="shared" si="52"/>
        <v>0.75236556749881289</v>
      </c>
      <c r="DB37" s="296"/>
      <c r="DC37" s="296">
        <f t="shared" si="53"/>
        <v>1.9557026832159659</v>
      </c>
      <c r="DD37" s="296">
        <f t="shared" si="54"/>
        <v>4.0238514560712459E-2</v>
      </c>
      <c r="DE37" s="296">
        <f t="shared" si="55"/>
        <v>4.058802223321562E-3</v>
      </c>
      <c r="DF37" s="296">
        <f t="shared" si="56"/>
        <v>2</v>
      </c>
      <c r="DG37" s="302">
        <f t="shared" si="57"/>
        <v>45.605913961818864</v>
      </c>
      <c r="DH37" s="302"/>
      <c r="DI37" s="295">
        <f t="shared" si="58"/>
        <v>0.66570769517174333</v>
      </c>
      <c r="DJ37" s="295">
        <f t="shared" si="59"/>
        <v>0.6053015011215771</v>
      </c>
      <c r="DK37" s="295">
        <f t="shared" si="60"/>
        <v>0.18199394190468965</v>
      </c>
      <c r="DL37" s="296">
        <f t="shared" si="61"/>
        <v>2.2720032602691442</v>
      </c>
    </row>
    <row r="38" spans="1:116" ht="13.8" x14ac:dyDescent="0.25">
      <c r="A38" s="287" t="s">
        <v>558</v>
      </c>
      <c r="B38" s="288" t="s">
        <v>537</v>
      </c>
      <c r="C38" s="289">
        <v>692</v>
      </c>
      <c r="D38" s="289" t="s">
        <v>529</v>
      </c>
      <c r="E38" s="290" t="s">
        <v>514</v>
      </c>
      <c r="F38" s="289" t="s">
        <v>535</v>
      </c>
      <c r="G38" s="291"/>
      <c r="H38" s="292">
        <v>40.661000000000001</v>
      </c>
      <c r="I38" s="292">
        <v>1.754</v>
      </c>
      <c r="J38" s="292">
        <v>11.75</v>
      </c>
      <c r="K38" s="292">
        <v>0</v>
      </c>
      <c r="L38" s="292">
        <v>13.212999999999999</v>
      </c>
      <c r="M38" s="292">
        <v>0.189</v>
      </c>
      <c r="N38" s="292">
        <v>12.672000000000001</v>
      </c>
      <c r="O38" s="292">
        <v>11.597</v>
      </c>
      <c r="P38" s="292">
        <v>2.1970000000000001</v>
      </c>
      <c r="Q38" s="292">
        <v>1.3129999999999999</v>
      </c>
      <c r="R38" s="293">
        <v>0</v>
      </c>
      <c r="S38" s="293">
        <v>2.4E-2</v>
      </c>
      <c r="T38" s="294">
        <f t="shared" si="96"/>
        <v>95.36999999999999</v>
      </c>
      <c r="U38" s="295">
        <f>IF(SUM(H38:S38)&lt;90," ",H38/stab.data!$U$7)</f>
        <v>0.67673590306903664</v>
      </c>
      <c r="V38" s="295">
        <f>IF(SUM(H38:S38)&lt;90," ",I38/stab.data!$U$8)</f>
        <v>2.195299006232947E-2</v>
      </c>
      <c r="W38" s="295">
        <f>IF(SUM(H38:S38)&lt;90," ",J38*2/stab.data!$U$9)</f>
        <v>0.23048028167632723</v>
      </c>
      <c r="X38" s="295">
        <f>IF(SUM(H38:S38)&lt;90," ",K38*2/stab.data!$U$10)</f>
        <v>0</v>
      </c>
      <c r="Y38" s="295">
        <f>IF(SUM(H38:S38)&lt;90," ",L38/stab.data!$U$11)</f>
        <v>0.18390724605406006</v>
      </c>
      <c r="Z38" s="295">
        <f>IF(SUM(H38:S38)&lt;90," ",M38/stab.data!$U$12)</f>
        <v>2.664335960077252E-3</v>
      </c>
      <c r="AA38" s="295">
        <f>IF(SUM(H38:S38)&lt;90," ",N38/stab.data!$U$13)</f>
        <v>0.31441048034934499</v>
      </c>
      <c r="AB38" s="295">
        <f>IF(SUM(H38:S38)&lt;90," ",O38/stab.data!$U$14)</f>
        <v>0.20679755345138107</v>
      </c>
      <c r="AC38" s="295">
        <f>IF(SUM(H38:S38)&lt;90," ",P38*2/stab.data!$U$15)</f>
        <v>7.089498055793092E-2</v>
      </c>
      <c r="AD38" s="295">
        <f>IF(SUM(H38:S38)&lt;90," ",Q38*2/stab.data!$U$16)</f>
        <v>2.7878337491374278E-2</v>
      </c>
      <c r="AE38" s="295">
        <f>IF(SUM(H38:S38)&lt;90," ",R38/stab.data!$U$17)</f>
        <v>0</v>
      </c>
      <c r="AF38" s="295">
        <f>IF(SUM(H38:S38)&lt;90," ",S38/stab.data!$U$18)</f>
        <v>6.769525851126843E-4</v>
      </c>
      <c r="AG38" s="295">
        <f t="shared" si="97"/>
        <v>1.4301512371711758</v>
      </c>
      <c r="AH38" s="295">
        <f t="shared" si="98"/>
        <v>0.13278639508295825</v>
      </c>
      <c r="AI38" s="296">
        <f t="shared" si="99"/>
        <v>6.1514939897538188</v>
      </c>
      <c r="AJ38" s="296">
        <f t="shared" si="100"/>
        <v>0.19955153230841471</v>
      </c>
      <c r="AK38" s="296">
        <f t="shared" si="101"/>
        <v>2.0950537145419621</v>
      </c>
      <c r="AL38" s="296">
        <f t="shared" si="102"/>
        <v>0</v>
      </c>
      <c r="AM38" s="296">
        <f t="shared" si="103"/>
        <v>1.6717072548437233</v>
      </c>
      <c r="AN38" s="296">
        <f t="shared" si="104"/>
        <v>2.4218674627387412E-2</v>
      </c>
      <c r="AO38" s="296">
        <f t="shared" si="105"/>
        <v>2.8579748339246924</v>
      </c>
      <c r="AP38" s="296">
        <f t="shared" si="106"/>
        <v>1.8797789527389552</v>
      </c>
      <c r="AQ38" s="296">
        <f t="shared" si="107"/>
        <v>0.64443166799343954</v>
      </c>
      <c r="AR38" s="296">
        <f t="shared" si="108"/>
        <v>0.25341263075416093</v>
      </c>
      <c r="AS38" s="296">
        <f t="shared" si="109"/>
        <v>0</v>
      </c>
      <c r="AT38" s="296">
        <f t="shared" si="110"/>
        <v>6.153463618205836E-3</v>
      </c>
      <c r="AU38" s="295">
        <f t="shared" si="111"/>
        <v>15.777623251486556</v>
      </c>
      <c r="AV38" s="295">
        <f t="shared" si="112"/>
        <v>1.8644436747119255</v>
      </c>
      <c r="AW38" s="295">
        <f>IF(SUM(H38:S38)&lt;90," ",CO38*AG38*stab.data!$U$20/13/2)</f>
        <v>4.7912234196324279</v>
      </c>
      <c r="AX38" s="295">
        <f>IF(SUM(H38:S38)&lt;90," ",CQ38*AG38*stab.data!$U$11/13)</f>
        <v>8.9017960147170303</v>
      </c>
      <c r="AY38" s="295">
        <f t="shared" si="113"/>
        <v>-5.4152822046089275E-3</v>
      </c>
      <c r="AZ38" s="297">
        <f t="shared" si="114"/>
        <v>97.709047826856775</v>
      </c>
      <c r="BA38" s="298">
        <f>IF(SUM(H38:S38)&lt;90," ",EXP('eq. coef.'!$C$104+'eq. coef.'!$C$105*'Amp (T-P-fO2 calculation)'!AI38+'eq. coef.'!$C$106*'Amp (T-P-fO2 calculation)'!AJ38+'eq. coef.'!$C$107*'Amp (T-P-fO2 calculation)'!AK38+'eq. coef.'!$C$108*'Amp (T-P-fO2 calculation)'!AM38+'eq. coef.'!$C$109*'Amp (T-P-fO2 calculation)'!AO38+'eq. coef.'!$C$110*'Amp (T-P-fO2 calculation)'!AP38+'eq. coef.'!$C$111*'Amp (T-P-fO2 calculation)'!AQ38+'eq. coef.'!$C$112*'Amp (T-P-fO2 calculation)'!AR38))</f>
        <v>581.4846644908697</v>
      </c>
      <c r="BB38" s="299">
        <f>IF(SUM(H38:S38)&lt;90," ",EXP('eq. coef.'!$C$176+'eq. coef.'!$C$177*'Amp (T-P-fO2 calculation)'!AI38+'eq. coef.'!$C$178*'Amp (T-P-fO2 calculation)'!AJ38+'eq. coef.'!$C$179*'Amp (T-P-fO2 calculation)'!AK38+'eq. coef.'!$C$180*'Amp (T-P-fO2 calculation)'!AM38+'eq. coef.'!$C$181*'Amp (T-P-fO2 calculation)'!AO38+'eq. coef.'!$C$182*'Amp (T-P-fO2 calculation)'!AP38+'eq. coef.'!$C$183*'Amp (T-P-fO2 calculation)'!AQ38+'eq. coef.'!$C$184*'Amp (T-P-fO2 calculation)'!AR38))</f>
        <v>334.62464108335928</v>
      </c>
      <c r="BC38" s="299">
        <f>IF(SUM(H38:S38)&lt;90," ",('eq. coef.'!$C$234+'eq. coef.'!$C$235*'Amp (T-P-fO2 calculation)'!AI38+'eq. coef.'!$C$236*'Amp (T-P-fO2 calculation)'!AJ38+'eq. coef.'!$C$237*'Amp (T-P-fO2 calculation)'!AK38+'eq. coef.'!$C$238*'Amp (T-P-fO2 calculation)'!AM38+'eq. coef.'!$C$239*'Amp (T-P-fO2 calculation)'!AO38+'eq. coef.'!$C$240*'Amp (T-P-fO2 calculation)'!AP38+'eq. coef.'!$C$241*'Amp (T-P-fO2 calculation)'!AQ38+'eq. coef.'!$C$242*'Amp (T-P-fO2 calculation)'!AR38))</f>
        <v>405.58386799166129</v>
      </c>
      <c r="BD38" s="299">
        <f>IF(SUM(H38:S38)&lt;90," ",('eq. coef.'!$C$270+'eq. coef.'!$C$271*'Amp (T-P-fO2 calculation)'!AI38+'eq. coef.'!$C$272*'Amp (T-P-fO2 calculation)'!AJ38+'eq. coef.'!$C$273*'Amp (T-P-fO2 calculation)'!AK38+'eq. coef.'!$C$274*'Amp (T-P-fO2 calculation)'!AM38+'eq. coef.'!$C$275*'Amp (T-P-fO2 calculation)'!AO38+'eq. coef.'!$C$276*'Amp (T-P-fO2 calculation)'!AP38+'eq. coef.'!$C$277*'Amp (T-P-fO2 calculation)'!AQ38+'eq. coef.'!$C$278*'Amp (T-P-fO2 calculation)'!AR38))</f>
        <v>725.98598515114804</v>
      </c>
      <c r="BE38" s="299">
        <f>IF(SUM(H38:S38)&lt;90," ",EXP('eq. coef.'!$C$328+'eq. coef.'!$C$329*'Amp (T-P-fO2 calculation)'!AI38+'eq. coef.'!$C$330*'Amp (T-P-fO2 calculation)'!AJ38+'eq. coef.'!$C$331*'Amp (T-P-fO2 calculation)'!AK38+'eq. coef.'!$C$332*'Amp (T-P-fO2 calculation)'!AM38+'eq. coef.'!$C$333*'Amp (T-P-fO2 calculation)'!AO38+'eq. coef.'!$C$334*'Amp (T-P-fO2 calculation)'!AP38+'eq. coef.'!$C$335*'Amp (T-P-fO2 calculation)'!AQ38+'eq. coef.'!$C$336*'Amp (T-P-fO2 calculation)'!AR38))</f>
        <v>1029.4256219869983</v>
      </c>
      <c r="BF38" s="300" t="str">
        <f t="shared" si="19"/>
        <v>low Total</v>
      </c>
      <c r="BG38" s="301" t="str">
        <f t="shared" si="20"/>
        <v>ok</v>
      </c>
      <c r="BH38" s="301" t="str">
        <f t="shared" si="21"/>
        <v>ok</v>
      </c>
      <c r="BI38" s="299">
        <f t="shared" si="90"/>
        <v>53.893137403025385</v>
      </c>
      <c r="BJ38" s="302">
        <f t="shared" si="115"/>
        <v>-0.77034010499370964</v>
      </c>
      <c r="BK38" s="299">
        <f t="shared" si="116"/>
        <v>391.36134406778876</v>
      </c>
      <c r="BL38" s="303">
        <f>IF(SUM(H38:S38)&lt;90," ",'eq. coef.'!$C$360+'eq. coef.'!$C$361*'Amp (T-P-fO2 calculation)'!AI38+'eq. coef.'!$C$362*'Amp (T-P-fO2 calculation)'!AJ38+'eq. coef.'!$C$363*'Amp (T-P-fO2 calculation)'!AK38+'eq. coef.'!$C$364*'Amp (T-P-fO2 calculation)'!AM38+'eq. coef.'!$C$365*'Amp (T-P-fO2 calculation)'!AO38+'eq. coef.'!$C$366*'Amp (T-P-fO2 calculation)'!AP38+'eq. coef.'!$C$367*'Amp (T-P-fO2 calculation)'!AQ38+'eq. coef.'!$C$368*'Amp (T-P-fO2 calculation)'!AR38+'eq. coef.'!$C$369*LN(BO38))</f>
        <v>880.20561319714545</v>
      </c>
      <c r="BM38" s="304">
        <f t="shared" si="91"/>
        <v>22</v>
      </c>
      <c r="BN38" s="305">
        <f t="shared" si="92"/>
        <v>484</v>
      </c>
      <c r="BO38" s="306">
        <f t="shared" si="93"/>
        <v>334.62464108335928</v>
      </c>
      <c r="BP38" s="299" t="str">
        <f t="shared" si="94"/>
        <v>P1b</v>
      </c>
      <c r="BQ38" s="302"/>
      <c r="BR38" s="302">
        <f t="shared" si="117"/>
        <v>0</v>
      </c>
      <c r="BS38" s="302">
        <f t="shared" si="118"/>
        <v>0</v>
      </c>
      <c r="BT38" s="299">
        <f t="shared" si="95"/>
        <v>40.15495693000311</v>
      </c>
      <c r="BU38" s="311">
        <f t="shared" si="62"/>
        <v>697.23008014349864</v>
      </c>
      <c r="BV38" s="312">
        <f t="shared" si="63"/>
        <v>808.10789790216973</v>
      </c>
      <c r="BW38" s="267">
        <f>IF(SUM(H38:S38)&lt;90," ",'eq. coef.'!$B$1128*'Amp (T-P-fO2 calculation)'!CH38+'eq. coef.'!$B$1129*'Amp (T-P-fO2 calculation)'!CL38+'eq. coef.'!$B$1130*'Amp (T-P-fO2 calculation)'!CM38+'eq. coef.'!$B$1131*'Amp (T-P-fO2 calculation)'!CO38+'eq. coef.'!$B$1132*'Amp (T-P-fO2 calculation)'!CP38+'eq. coef.'!$B$1133*'Amp (T-P-fO2 calculation)'!CQ38+'eq. coef.'!$B$1134*'Amp (T-P-fO2 calculation)'!CR38+'eq. coef.'!$B$1135*'Amp (T-P-fO2 calculation)'!CU38+'eq. coef.'!$B$1135*'Amp (T-P-fO2 calculation)'!CY38+'eq. coef.'!$B$1137*'Amp (T-P-fO2 calculation)'!CZ38)</f>
        <v>4.5044231023655765</v>
      </c>
      <c r="BX38" s="268">
        <f t="shared" si="32"/>
        <v>0.4</v>
      </c>
      <c r="BY38" s="269"/>
      <c r="BZ38" s="282">
        <f t="shared" si="64"/>
        <v>-12.188410248296078</v>
      </c>
      <c r="CA38" s="269">
        <f t="shared" si="65"/>
        <v>3.1249013999349184</v>
      </c>
      <c r="CB38" s="282">
        <f t="shared" si="66"/>
        <v>-10.805858649495416</v>
      </c>
      <c r="CC38" s="268">
        <f t="shared" si="33"/>
        <v>-7.6809572495604979</v>
      </c>
      <c r="CD38" s="268"/>
      <c r="CE38" s="267">
        <f>IF(SUM(H38:S38)&lt;90," ",EXP('eq. coef.'!$B$1156*'Amp (T-P-fO2 calculation)'!CH38+'eq. coef.'!$B$1157*'Amp (T-P-fO2 calculation)'!CL38+'eq. coef.'!$B$1158*'Amp (T-P-fO2 calculation)'!CM38+'eq. coef.'!$B$1159*'Amp (T-P-fO2 calculation)'!CO38+'eq. coef.'!$B$1160*'Amp (T-P-fO2 calculation)'!CP38+'eq. coef.'!$B$1161*'Amp (T-P-fO2 calculation)'!CQ38+'eq. coef.'!$B$1162*'Amp (T-P-fO2 calculation)'!CR38+'eq. coef.'!$B$1163*'Amp (T-P-fO2 calculation)'!CU38+'eq. coef.'!$B$1164*'Amp (T-P-fO2 calculation)'!CY38+'eq. coef.'!$B$1165*'Amp (T-P-fO2 calculation)'!CZ38))</f>
        <v>7.4089465388788769</v>
      </c>
      <c r="CF38" s="302">
        <f t="shared" si="34"/>
        <v>1.2595209116094093</v>
      </c>
      <c r="CG38" s="296">
        <f t="shared" si="35"/>
        <v>6.1514939897538188</v>
      </c>
      <c r="CH38" s="296">
        <f t="shared" si="36"/>
        <v>1.8485060102461812</v>
      </c>
      <c r="CI38" s="296">
        <f t="shared" si="37"/>
        <v>0</v>
      </c>
      <c r="CJ38" s="296">
        <f t="shared" si="38"/>
        <v>8</v>
      </c>
      <c r="CK38" s="296"/>
      <c r="CL38" s="296">
        <f t="shared" si="39"/>
        <v>0.24654770429578088</v>
      </c>
      <c r="CM38" s="296">
        <f t="shared" si="40"/>
        <v>0.19955153230841471</v>
      </c>
      <c r="CN38" s="296">
        <f t="shared" si="41"/>
        <v>0</v>
      </c>
      <c r="CO38" s="296">
        <f t="shared" si="42"/>
        <v>0.54545303710805371</v>
      </c>
      <c r="CP38" s="296">
        <f t="shared" si="43"/>
        <v>2.8579748339246924</v>
      </c>
      <c r="CQ38" s="296">
        <f t="shared" si="44"/>
        <v>1.1262542177356696</v>
      </c>
      <c r="CR38" s="296">
        <f t="shared" si="45"/>
        <v>2.4218674627387412E-2</v>
      </c>
      <c r="CS38" s="296">
        <f t="shared" si="46"/>
        <v>4.9999999999999982</v>
      </c>
      <c r="CT38" s="296"/>
      <c r="CU38" s="296">
        <f t="shared" si="47"/>
        <v>1.8797789527389552</v>
      </c>
      <c r="CV38" s="296">
        <f t="shared" si="48"/>
        <v>0.12022104726104477</v>
      </c>
      <c r="CW38" s="296">
        <f t="shared" si="49"/>
        <v>2</v>
      </c>
      <c r="CX38" s="296"/>
      <c r="CY38" s="296">
        <f t="shared" si="50"/>
        <v>0.52421062073239477</v>
      </c>
      <c r="CZ38" s="296">
        <f t="shared" si="51"/>
        <v>0.25341263075416093</v>
      </c>
      <c r="DA38" s="296">
        <f t="shared" si="52"/>
        <v>0.77762325148655576</v>
      </c>
      <c r="DB38" s="296"/>
      <c r="DC38" s="296">
        <f t="shared" si="53"/>
        <v>1.9938465363817941</v>
      </c>
      <c r="DD38" s="296">
        <f t="shared" si="54"/>
        <v>0</v>
      </c>
      <c r="DE38" s="296">
        <f t="shared" si="55"/>
        <v>6.153463618205836E-3</v>
      </c>
      <c r="DF38" s="296">
        <f t="shared" si="56"/>
        <v>2</v>
      </c>
      <c r="DG38" s="302">
        <f t="shared" si="57"/>
        <v>45.454546962891946</v>
      </c>
      <c r="DH38" s="302"/>
      <c r="DI38" s="295">
        <f t="shared" si="58"/>
        <v>0.71732192021783436</v>
      </c>
      <c r="DJ38" s="295">
        <f t="shared" si="59"/>
        <v>0.63094380089304514</v>
      </c>
      <c r="DK38" s="295">
        <f t="shared" si="60"/>
        <v>0.11768085113258453</v>
      </c>
      <c r="DL38" s="296">
        <f t="shared" si="61"/>
        <v>2.0950537145419621</v>
      </c>
    </row>
    <row r="39" spans="1:116" ht="13.8" x14ac:dyDescent="0.25">
      <c r="A39" s="287" t="s">
        <v>558</v>
      </c>
      <c r="B39" s="288" t="s">
        <v>537</v>
      </c>
      <c r="C39" s="289">
        <v>692</v>
      </c>
      <c r="D39" s="289" t="s">
        <v>529</v>
      </c>
      <c r="E39" s="290" t="s">
        <v>514</v>
      </c>
      <c r="F39" s="289" t="s">
        <v>535</v>
      </c>
      <c r="G39" s="291"/>
      <c r="H39" s="292">
        <v>40.573</v>
      </c>
      <c r="I39" s="292">
        <v>1.298</v>
      </c>
      <c r="J39" s="292">
        <v>11.102</v>
      </c>
      <c r="K39" s="292">
        <v>5.7000000000000002E-2</v>
      </c>
      <c r="L39" s="292">
        <v>14.625999999999999</v>
      </c>
      <c r="M39" s="292">
        <v>0.188</v>
      </c>
      <c r="N39" s="292">
        <v>12.718999999999999</v>
      </c>
      <c r="O39" s="292">
        <v>12.077999999999999</v>
      </c>
      <c r="P39" s="292">
        <v>2.06</v>
      </c>
      <c r="Q39" s="292">
        <v>1.0960000000000001</v>
      </c>
      <c r="R39" s="293">
        <v>0</v>
      </c>
      <c r="S39" s="293">
        <v>3.6999999999999998E-2</v>
      </c>
      <c r="T39" s="294">
        <f t="shared" si="96"/>
        <v>95.834000000000017</v>
      </c>
      <c r="U39" s="295">
        <f>IF(SUM(H39:S39)&lt;90," ",H39/stab.data!$U$7)</f>
        <v>0.67527128686505555</v>
      </c>
      <c r="V39" s="295">
        <f>IF(SUM(H39:S39)&lt;90," ",I39/stab.data!$U$8)</f>
        <v>1.6245713284437659E-2</v>
      </c>
      <c r="W39" s="295">
        <f>IF(SUM(H39:S39)&lt;90," ",J39*2/stab.data!$U$9)</f>
        <v>0.2177695393336668</v>
      </c>
      <c r="X39" s="295">
        <f>IF(SUM(H39:S39)&lt;90," ",K39*2/stab.data!$U$10)</f>
        <v>7.5004835838100078E-4</v>
      </c>
      <c r="Y39" s="295">
        <f>IF(SUM(H39:S39)&lt;90," ",L39/stab.data!$U$11)</f>
        <v>0.2035743117222949</v>
      </c>
      <c r="Z39" s="295">
        <f>IF(SUM(H39:S39)&lt;90," ",M39/stab.data!$U$12)</f>
        <v>2.6502389444154673E-3</v>
      </c>
      <c r="AA39" s="295">
        <f>IF(SUM(H39:S39)&lt;90," ",N39/stab.data!$U$13)</f>
        <v>0.31557661770543866</v>
      </c>
      <c r="AB39" s="295">
        <f>IF(SUM(H39:S39)&lt;90," ",O39/stab.data!$U$14)</f>
        <v>0.21537473920718983</v>
      </c>
      <c r="AC39" s="295">
        <f>IF(SUM(H39:S39)&lt;90," ",P39*2/stab.data!$U$15)</f>
        <v>6.6474128333790475E-2</v>
      </c>
      <c r="AD39" s="295">
        <f>IF(SUM(H39:S39)&lt;90," ",Q39*2/stab.data!$U$16)</f>
        <v>2.3270874250225598E-2</v>
      </c>
      <c r="AE39" s="295">
        <f>IF(SUM(H39:S39)&lt;90," ",R39/stab.data!$U$17)</f>
        <v>0</v>
      </c>
      <c r="AF39" s="295">
        <f>IF(SUM(H39:S39)&lt;90," ",S39/stab.data!$U$18)</f>
        <v>1.043635235382055E-3</v>
      </c>
      <c r="AG39" s="295">
        <f t="shared" si="97"/>
        <v>1.4318377562136899</v>
      </c>
      <c r="AH39" s="295">
        <f t="shared" si="98"/>
        <v>0.12537413240324027</v>
      </c>
      <c r="AI39" s="296">
        <f t="shared" si="99"/>
        <v>6.1309507247939905</v>
      </c>
      <c r="AJ39" s="296">
        <f t="shared" si="100"/>
        <v>0.14749874542780989</v>
      </c>
      <c r="AK39" s="296">
        <f t="shared" si="101"/>
        <v>1.9771821207061147</v>
      </c>
      <c r="AL39" s="296">
        <f t="shared" si="102"/>
        <v>6.8098697751463756E-3</v>
      </c>
      <c r="AM39" s="296">
        <f t="shared" si="103"/>
        <v>1.8483002287829533</v>
      </c>
      <c r="AN39" s="296">
        <f t="shared" si="104"/>
        <v>2.4062157969983882E-2</v>
      </c>
      <c r="AO39" s="296">
        <f t="shared" si="105"/>
        <v>2.8651961525440033</v>
      </c>
      <c r="AP39" s="296">
        <f t="shared" si="106"/>
        <v>1.9554391533139668</v>
      </c>
      <c r="AQ39" s="296">
        <f t="shared" si="107"/>
        <v>0.60353462854928863</v>
      </c>
      <c r="AR39" s="296">
        <f t="shared" si="108"/>
        <v>0.21128187459793732</v>
      </c>
      <c r="AS39" s="296">
        <f t="shared" si="109"/>
        <v>0</v>
      </c>
      <c r="AT39" s="296">
        <f t="shared" si="110"/>
        <v>9.4754157732532332E-3</v>
      </c>
      <c r="AU39" s="295">
        <f t="shared" si="111"/>
        <v>15.770255656461195</v>
      </c>
      <c r="AV39" s="295">
        <f t="shared" si="112"/>
        <v>1.8635323201633085</v>
      </c>
      <c r="AW39" s="295">
        <f>IF(SUM(H39:S39)&lt;90," ",CO39*AG39*stab.data!$U$20/13/2)</f>
        <v>6.4498594671354841</v>
      </c>
      <c r="AX39" s="295">
        <f>IF(SUM(H39:S39)&lt;90," ",CQ39*AG39*stab.data!$U$11/13)</f>
        <v>8.8223341293395858</v>
      </c>
      <c r="AY39" s="295">
        <f t="shared" si="113"/>
        <v>-8.3485600654387634E-3</v>
      </c>
      <c r="AZ39" s="297">
        <f t="shared" si="114"/>
        <v>98.335377356572948</v>
      </c>
      <c r="BA39" s="298">
        <f>IF(SUM(H39:S39)&lt;90," ",EXP('eq. coef.'!$C$104+'eq. coef.'!$C$105*'Amp (T-P-fO2 calculation)'!AI39+'eq. coef.'!$C$106*'Amp (T-P-fO2 calculation)'!AJ39+'eq. coef.'!$C$107*'Amp (T-P-fO2 calculation)'!AK39+'eq. coef.'!$C$108*'Amp (T-P-fO2 calculation)'!AM39+'eq. coef.'!$C$109*'Amp (T-P-fO2 calculation)'!AO39+'eq. coef.'!$C$110*'Amp (T-P-fO2 calculation)'!AP39+'eq. coef.'!$C$111*'Amp (T-P-fO2 calculation)'!AQ39+'eq. coef.'!$C$112*'Amp (T-P-fO2 calculation)'!AR39))</f>
        <v>414.0702133579843</v>
      </c>
      <c r="BB39" s="299">
        <f>IF(SUM(H39:S39)&lt;90," ",EXP('eq. coef.'!$C$176+'eq. coef.'!$C$177*'Amp (T-P-fO2 calculation)'!AI39+'eq. coef.'!$C$178*'Amp (T-P-fO2 calculation)'!AJ39+'eq. coef.'!$C$179*'Amp (T-P-fO2 calculation)'!AK39+'eq. coef.'!$C$180*'Amp (T-P-fO2 calculation)'!AM39+'eq. coef.'!$C$181*'Amp (T-P-fO2 calculation)'!AO39+'eq. coef.'!$C$182*'Amp (T-P-fO2 calculation)'!AP39+'eq. coef.'!$C$183*'Amp (T-P-fO2 calculation)'!AQ39+'eq. coef.'!$C$184*'Amp (T-P-fO2 calculation)'!AR39))</f>
        <v>268.31617326712933</v>
      </c>
      <c r="BC39" s="299">
        <f>IF(SUM(H39:S39)&lt;90," ",('eq. coef.'!$C$234+'eq. coef.'!$C$235*'Amp (T-P-fO2 calculation)'!AI39+'eq. coef.'!$C$236*'Amp (T-P-fO2 calculation)'!AJ39+'eq. coef.'!$C$237*'Amp (T-P-fO2 calculation)'!AK39+'eq. coef.'!$C$238*'Amp (T-P-fO2 calculation)'!AM39+'eq. coef.'!$C$239*'Amp (T-P-fO2 calculation)'!AO39+'eq. coef.'!$C$240*'Amp (T-P-fO2 calculation)'!AP39+'eq. coef.'!$C$241*'Amp (T-P-fO2 calculation)'!AQ39+'eq. coef.'!$C$242*'Amp (T-P-fO2 calculation)'!AR39))</f>
        <v>349.86491427581501</v>
      </c>
      <c r="BD39" s="299">
        <f>IF(SUM(H39:S39)&lt;90," ",('eq. coef.'!$C$270+'eq. coef.'!$C$271*'Amp (T-P-fO2 calculation)'!AI39+'eq. coef.'!$C$272*'Amp (T-P-fO2 calculation)'!AJ39+'eq. coef.'!$C$273*'Amp (T-P-fO2 calculation)'!AK39+'eq. coef.'!$C$274*'Amp (T-P-fO2 calculation)'!AM39+'eq. coef.'!$C$275*'Amp (T-P-fO2 calculation)'!AO39+'eq. coef.'!$C$276*'Amp (T-P-fO2 calculation)'!AP39+'eq. coef.'!$C$277*'Amp (T-P-fO2 calculation)'!AQ39+'eq. coef.'!$C$278*'Amp (T-P-fO2 calculation)'!AR39))</f>
        <v>383.08331031457038</v>
      </c>
      <c r="BE39" s="299">
        <f>IF(SUM(H39:S39)&lt;90," ",EXP('eq. coef.'!$C$328+'eq. coef.'!$C$329*'Amp (T-P-fO2 calculation)'!AI39+'eq. coef.'!$C$330*'Amp (T-P-fO2 calculation)'!AJ39+'eq. coef.'!$C$331*'Amp (T-P-fO2 calculation)'!AK39+'eq. coef.'!$C$332*'Amp (T-P-fO2 calculation)'!AM39+'eq. coef.'!$C$333*'Amp (T-P-fO2 calculation)'!AO39+'eq. coef.'!$C$334*'Amp (T-P-fO2 calculation)'!AP39+'eq. coef.'!$C$335*'Amp (T-P-fO2 calculation)'!AQ39+'eq. coef.'!$C$336*'Amp (T-P-fO2 calculation)'!AR39))</f>
        <v>735.8537690852304</v>
      </c>
      <c r="BF39" s="300" t="str">
        <f t="shared" si="19"/>
        <v>low Total</v>
      </c>
      <c r="BG39" s="301" t="str">
        <f t="shared" si="20"/>
        <v>ok</v>
      </c>
      <c r="BH39" s="301" t="str">
        <f t="shared" si="21"/>
        <v>ok</v>
      </c>
      <c r="BI39" s="299">
        <f t="shared" si="90"/>
        <v>42.718917888064105</v>
      </c>
      <c r="BJ39" s="302">
        <f t="shared" si="115"/>
        <v>-0.77712316739153653</v>
      </c>
      <c r="BK39" s="299">
        <f t="shared" si="116"/>
        <v>114.76713704744105</v>
      </c>
      <c r="BL39" s="303">
        <f>IF(SUM(H39:S39)&lt;90," ",'eq. coef.'!$C$360+'eq. coef.'!$C$361*'Amp (T-P-fO2 calculation)'!AI39+'eq. coef.'!$C$362*'Amp (T-P-fO2 calculation)'!AJ39+'eq. coef.'!$C$363*'Amp (T-P-fO2 calculation)'!AK39+'eq. coef.'!$C$364*'Amp (T-P-fO2 calculation)'!AM39+'eq. coef.'!$C$365*'Amp (T-P-fO2 calculation)'!AO39+'eq. coef.'!$C$366*'Amp (T-P-fO2 calculation)'!AP39+'eq. coef.'!$C$367*'Amp (T-P-fO2 calculation)'!AQ39+'eq. coef.'!$C$368*'Amp (T-P-fO2 calculation)'!AR39+'eq. coef.'!$C$369*LN(BO39))</f>
        <v>858.61010859851092</v>
      </c>
      <c r="BM39" s="304">
        <f t="shared" si="91"/>
        <v>22</v>
      </c>
      <c r="BN39" s="305">
        <f t="shared" si="92"/>
        <v>484</v>
      </c>
      <c r="BO39" s="306">
        <f t="shared" si="93"/>
        <v>268.31617326712933</v>
      </c>
      <c r="BP39" s="299" t="str">
        <f t="shared" si="94"/>
        <v>P1b</v>
      </c>
      <c r="BQ39" s="302"/>
      <c r="BR39" s="302">
        <f t="shared" si="117"/>
        <v>0</v>
      </c>
      <c r="BS39" s="302">
        <f t="shared" si="118"/>
        <v>0</v>
      </c>
      <c r="BT39" s="299">
        <f t="shared" si="95"/>
        <v>32.197940792055519</v>
      </c>
      <c r="BU39" s="311">
        <f t="shared" si="62"/>
        <v>631.22198759542414</v>
      </c>
      <c r="BV39" s="312">
        <f t="shared" si="63"/>
        <v>747.75029097627589</v>
      </c>
      <c r="BW39" s="267">
        <f>IF(SUM(H39:S39)&lt;90," ",'eq. coef.'!$B$1128*'Amp (T-P-fO2 calculation)'!CH39+'eq. coef.'!$B$1129*'Amp (T-P-fO2 calculation)'!CL39+'eq. coef.'!$B$1130*'Amp (T-P-fO2 calculation)'!CM39+'eq. coef.'!$B$1131*'Amp (T-P-fO2 calculation)'!CO39+'eq. coef.'!$B$1132*'Amp (T-P-fO2 calculation)'!CP39+'eq. coef.'!$B$1133*'Amp (T-P-fO2 calculation)'!CQ39+'eq. coef.'!$B$1134*'Amp (T-P-fO2 calculation)'!CR39+'eq. coef.'!$B$1135*'Amp (T-P-fO2 calculation)'!CU39+'eq. coef.'!$B$1135*'Amp (T-P-fO2 calculation)'!CY39+'eq. coef.'!$B$1137*'Amp (T-P-fO2 calculation)'!CZ39)</f>
        <v>4.7148998026371878</v>
      </c>
      <c r="BX39" s="268">
        <f t="shared" si="32"/>
        <v>0.4</v>
      </c>
      <c r="BY39" s="269"/>
      <c r="BZ39" s="282">
        <f t="shared" si="64"/>
        <v>-12.619724637264714</v>
      </c>
      <c r="CA39" s="269">
        <f t="shared" si="65"/>
        <v>3.3726208513110496</v>
      </c>
      <c r="CB39" s="282">
        <f t="shared" si="66"/>
        <v>-11.271748814589415</v>
      </c>
      <c r="CC39" s="268">
        <f t="shared" si="33"/>
        <v>-7.8991279632783655</v>
      </c>
      <c r="CD39" s="268"/>
      <c r="CE39" s="267">
        <f>IF(SUM(H39:S39)&lt;90," ",EXP('eq. coef.'!$B$1156*'Amp (T-P-fO2 calculation)'!CH39+'eq. coef.'!$B$1157*'Amp (T-P-fO2 calculation)'!CL39+'eq. coef.'!$B$1158*'Amp (T-P-fO2 calculation)'!CM39+'eq. coef.'!$B$1159*'Amp (T-P-fO2 calculation)'!CO39+'eq. coef.'!$B$1160*'Amp (T-P-fO2 calculation)'!CP39+'eq. coef.'!$B$1161*'Amp (T-P-fO2 calculation)'!CQ39+'eq. coef.'!$B$1162*'Amp (T-P-fO2 calculation)'!CR39+'eq. coef.'!$B$1163*'Amp (T-P-fO2 calculation)'!CU39+'eq. coef.'!$B$1164*'Amp (T-P-fO2 calculation)'!CY39+'eq. coef.'!$B$1165*'Amp (T-P-fO2 calculation)'!CZ39))</f>
        <v>8.2032373166508172</v>
      </c>
      <c r="CF39" s="302">
        <f t="shared" si="34"/>
        <v>1.394550343830639</v>
      </c>
      <c r="CG39" s="296">
        <f t="shared" si="35"/>
        <v>6.1309507247939905</v>
      </c>
      <c r="CH39" s="296">
        <f t="shared" si="36"/>
        <v>1.8690492752060095</v>
      </c>
      <c r="CI39" s="296">
        <f t="shared" si="37"/>
        <v>0</v>
      </c>
      <c r="CJ39" s="296">
        <f t="shared" si="38"/>
        <v>8</v>
      </c>
      <c r="CK39" s="296"/>
      <c r="CL39" s="296">
        <f t="shared" si="39"/>
        <v>0.10813284550010516</v>
      </c>
      <c r="CM39" s="296">
        <f t="shared" si="40"/>
        <v>0.14749874542780989</v>
      </c>
      <c r="CN39" s="296">
        <f t="shared" si="41"/>
        <v>6.8098697751463756E-3</v>
      </c>
      <c r="CO39" s="296">
        <f t="shared" si="42"/>
        <v>0.73341425929997683</v>
      </c>
      <c r="CP39" s="296">
        <f t="shared" si="43"/>
        <v>2.8651961525440033</v>
      </c>
      <c r="CQ39" s="296">
        <f t="shared" si="44"/>
        <v>1.1148859694829765</v>
      </c>
      <c r="CR39" s="296">
        <f t="shared" si="45"/>
        <v>2.4062157969983882E-2</v>
      </c>
      <c r="CS39" s="296">
        <f t="shared" si="46"/>
        <v>5.0000000000000018</v>
      </c>
      <c r="CT39" s="296"/>
      <c r="CU39" s="296">
        <f t="shared" si="47"/>
        <v>1.9554391533139668</v>
      </c>
      <c r="CV39" s="296">
        <f t="shared" si="48"/>
        <v>4.4560846686033218E-2</v>
      </c>
      <c r="CW39" s="296">
        <f t="shared" si="49"/>
        <v>2</v>
      </c>
      <c r="CX39" s="296"/>
      <c r="CY39" s="296">
        <f t="shared" si="50"/>
        <v>0.55897378186325541</v>
      </c>
      <c r="CZ39" s="296">
        <f t="shared" si="51"/>
        <v>0.21128187459793732</v>
      </c>
      <c r="DA39" s="296">
        <f t="shared" si="52"/>
        <v>0.77025565646119276</v>
      </c>
      <c r="DB39" s="296"/>
      <c r="DC39" s="296">
        <f t="shared" si="53"/>
        <v>1.9905245842267467</v>
      </c>
      <c r="DD39" s="296">
        <f t="shared" si="54"/>
        <v>0</v>
      </c>
      <c r="DE39" s="296">
        <f t="shared" si="55"/>
        <v>9.4754157732532332E-3</v>
      </c>
      <c r="DF39" s="296">
        <f t="shared" si="56"/>
        <v>2</v>
      </c>
      <c r="DG39" s="302">
        <f t="shared" si="57"/>
        <v>45.266585740700023</v>
      </c>
      <c r="DH39" s="302"/>
      <c r="DI39" s="295">
        <f t="shared" si="58"/>
        <v>0.71988367694403588</v>
      </c>
      <c r="DJ39" s="295">
        <f t="shared" si="59"/>
        <v>0.60787065921908801</v>
      </c>
      <c r="DK39" s="295">
        <f t="shared" si="60"/>
        <v>5.4690382017761455E-2</v>
      </c>
      <c r="DL39" s="296">
        <f t="shared" si="61"/>
        <v>1.9771821207061147</v>
      </c>
    </row>
    <row r="40" spans="1:116" ht="13.8" x14ac:dyDescent="0.25">
      <c r="A40" s="287" t="s">
        <v>558</v>
      </c>
      <c r="B40" s="288" t="s">
        <v>537</v>
      </c>
      <c r="C40" s="289">
        <v>717</v>
      </c>
      <c r="D40" s="289" t="s">
        <v>530</v>
      </c>
      <c r="E40" s="313" t="s">
        <v>513</v>
      </c>
      <c r="F40" s="289" t="s">
        <v>535</v>
      </c>
      <c r="G40" s="291"/>
      <c r="H40" s="292">
        <v>39.487000000000002</v>
      </c>
      <c r="I40" s="292">
        <v>1.5940000000000001</v>
      </c>
      <c r="J40" s="292">
        <v>13.199</v>
      </c>
      <c r="K40" s="292">
        <v>0</v>
      </c>
      <c r="L40" s="292">
        <v>12.218</v>
      </c>
      <c r="M40" s="292">
        <v>0.27</v>
      </c>
      <c r="N40" s="292">
        <v>12.023999999999999</v>
      </c>
      <c r="O40" s="292">
        <v>11.801</v>
      </c>
      <c r="P40" s="292">
        <v>1.9370000000000001</v>
      </c>
      <c r="Q40" s="292">
        <v>1.3280000000000001</v>
      </c>
      <c r="R40" s="293">
        <v>0</v>
      </c>
      <c r="S40" s="293">
        <v>5.1999999999999998E-2</v>
      </c>
      <c r="T40" s="294">
        <f t="shared" si="96"/>
        <v>93.910000000000011</v>
      </c>
      <c r="U40" s="295">
        <f>IF(SUM(H40:S40)&lt;90," ",H40/stab.data!$U$7)</f>
        <v>0.6571965914386525</v>
      </c>
      <c r="V40" s="295">
        <f>IF(SUM(H40:S40)&lt;90," ",I40/stab.data!$U$8)</f>
        <v>1.9950436806928835E-2</v>
      </c>
      <c r="W40" s="295">
        <f>IF(SUM(H40:S40)&lt;90," ",J40*2/stab.data!$U$9)</f>
        <v>0.25890291385922071</v>
      </c>
      <c r="X40" s="295">
        <f>IF(SUM(H40:S40)&lt;90," ",K40*2/stab.data!$U$10)</f>
        <v>0</v>
      </c>
      <c r="Y40" s="295">
        <f>IF(SUM(H40:S40)&lt;90," ",L40/stab.data!$U$11)</f>
        <v>0.17005817999610276</v>
      </c>
      <c r="Z40" s="295">
        <f>IF(SUM(H40:S40)&lt;90," ",M40/stab.data!$U$12)</f>
        <v>3.8061942286817885E-3</v>
      </c>
      <c r="AA40" s="295">
        <f>IF(SUM(H40:S40)&lt;90," ",N40/stab.data!$U$13)</f>
        <v>0.29833267169511707</v>
      </c>
      <c r="AB40" s="295">
        <f>IF(SUM(H40:S40)&lt;90," ",O40/stab.data!$U$14)</f>
        <v>0.21043527880311702</v>
      </c>
      <c r="AC40" s="295">
        <f>IF(SUM(H40:S40)&lt;90," ",P40*2/stab.data!$U$15)</f>
        <v>6.2505042030365124E-2</v>
      </c>
      <c r="AD40" s="295">
        <f>IF(SUM(H40:S40)&lt;90," ",Q40*2/stab.data!$U$16)</f>
        <v>2.8196825733849996E-2</v>
      </c>
      <c r="AE40" s="295">
        <f>IF(SUM(H40:S40)&lt;90," ",R40/stab.data!$U$17)</f>
        <v>0</v>
      </c>
      <c r="AF40" s="295">
        <f>IF(SUM(H40:S40)&lt;90," ",S40/stab.data!$U$18)</f>
        <v>1.4667306010774828E-3</v>
      </c>
      <c r="AG40" s="295">
        <f t="shared" si="97"/>
        <v>1.4082469880247037</v>
      </c>
      <c r="AH40" s="295">
        <f t="shared" si="98"/>
        <v>0.15145976180538898</v>
      </c>
      <c r="AI40" s="296">
        <f t="shared" si="99"/>
        <v>6.0668020321394147</v>
      </c>
      <c r="AJ40" s="296">
        <f t="shared" si="100"/>
        <v>0.18416916968085514</v>
      </c>
      <c r="AK40" s="296">
        <f t="shared" si="101"/>
        <v>2.390019583774055</v>
      </c>
      <c r="AL40" s="296">
        <f t="shared" si="102"/>
        <v>0</v>
      </c>
      <c r="AM40" s="296">
        <f t="shared" si="103"/>
        <v>1.5698640641513335</v>
      </c>
      <c r="AN40" s="296">
        <f t="shared" si="104"/>
        <v>3.5136254786007223E-2</v>
      </c>
      <c r="AO40" s="296">
        <f t="shared" si="105"/>
        <v>2.7540088954683335</v>
      </c>
      <c r="AP40" s="296">
        <f t="shared" si="106"/>
        <v>1.9425985979048528</v>
      </c>
      <c r="AQ40" s="296">
        <f t="shared" si="107"/>
        <v>0.57700499507867042</v>
      </c>
      <c r="AR40" s="296">
        <f t="shared" si="108"/>
        <v>0.26029435010843405</v>
      </c>
      <c r="AS40" s="296">
        <f t="shared" si="109"/>
        <v>0</v>
      </c>
      <c r="AT40" s="296">
        <f t="shared" si="110"/>
        <v>1.3539881836177442E-2</v>
      </c>
      <c r="AU40" s="295">
        <f t="shared" si="111"/>
        <v>15.779897943091957</v>
      </c>
      <c r="AV40" s="295">
        <f t="shared" si="112"/>
        <v>1.8290865434616079</v>
      </c>
      <c r="AW40" s="295">
        <f>IF(SUM(H40:S40)&lt;90," ",CO40*AG40*stab.data!$U$20/13/2)</f>
        <v>3.3347019560131304</v>
      </c>
      <c r="AX40" s="295">
        <f>IF(SUM(H40:S40)&lt;90," ",CQ40*AG40*stab.data!$U$11/13)</f>
        <v>9.2173926178467234</v>
      </c>
      <c r="AY40" s="295">
        <f t="shared" si="113"/>
        <v>-1.1733111443319342E-2</v>
      </c>
      <c r="AZ40" s="297">
        <f t="shared" si="114"/>
        <v>96.061448005878162</v>
      </c>
      <c r="BA40" s="298">
        <f>IF(SUM(H40:S40)&lt;90," ",EXP('eq. coef.'!$C$104+'eq. coef.'!$C$105*'Amp (T-P-fO2 calculation)'!AI40+'eq. coef.'!$C$106*'Amp (T-P-fO2 calculation)'!AJ40+'eq. coef.'!$C$107*'Amp (T-P-fO2 calculation)'!AK40+'eq. coef.'!$C$108*'Amp (T-P-fO2 calculation)'!AM40+'eq. coef.'!$C$109*'Amp (T-P-fO2 calculation)'!AO40+'eq. coef.'!$C$110*'Amp (T-P-fO2 calculation)'!AP40+'eq. coef.'!$C$111*'Amp (T-P-fO2 calculation)'!AQ40+'eq. coef.'!$C$112*'Amp (T-P-fO2 calculation)'!AR40))</f>
        <v>679.49934222958314</v>
      </c>
      <c r="BB40" s="299">
        <f>IF(SUM(H40:S40)&lt;90," ",EXP('eq. coef.'!$C$176+'eq. coef.'!$C$177*'Amp (T-P-fO2 calculation)'!AI40+'eq. coef.'!$C$178*'Amp (T-P-fO2 calculation)'!AJ40+'eq. coef.'!$C$179*'Amp (T-P-fO2 calculation)'!AK40+'eq. coef.'!$C$180*'Amp (T-P-fO2 calculation)'!AM40+'eq. coef.'!$C$181*'Amp (T-P-fO2 calculation)'!AO40+'eq. coef.'!$C$182*'Amp (T-P-fO2 calculation)'!AP40+'eq. coef.'!$C$183*'Amp (T-P-fO2 calculation)'!AQ40+'eq. coef.'!$C$184*'Amp (T-P-fO2 calculation)'!AR40))</f>
        <v>498.96169187248842</v>
      </c>
      <c r="BC40" s="299">
        <f>IF(SUM(H40:S40)&lt;90," ",('eq. coef.'!$C$234+'eq. coef.'!$C$235*'Amp (T-P-fO2 calculation)'!AI40+'eq. coef.'!$C$236*'Amp (T-P-fO2 calculation)'!AJ40+'eq. coef.'!$C$237*'Amp (T-P-fO2 calculation)'!AK40+'eq. coef.'!$C$238*'Amp (T-P-fO2 calculation)'!AM40+'eq. coef.'!$C$239*'Amp (T-P-fO2 calculation)'!AO40+'eq. coef.'!$C$240*'Amp (T-P-fO2 calculation)'!AP40+'eq. coef.'!$C$241*'Amp (T-P-fO2 calculation)'!AQ40+'eq. coef.'!$C$242*'Amp (T-P-fO2 calculation)'!AR40))</f>
        <v>522.85808574307237</v>
      </c>
      <c r="BD40" s="299">
        <f>IF(SUM(H40:S40)&lt;90," ",('eq. coef.'!$C$270+'eq. coef.'!$C$271*'Amp (T-P-fO2 calculation)'!AI40+'eq. coef.'!$C$272*'Amp (T-P-fO2 calculation)'!AJ40+'eq. coef.'!$C$273*'Amp (T-P-fO2 calculation)'!AK40+'eq. coef.'!$C$274*'Amp (T-P-fO2 calculation)'!AM40+'eq. coef.'!$C$275*'Amp (T-P-fO2 calculation)'!AO40+'eq. coef.'!$C$276*'Amp (T-P-fO2 calculation)'!AP40+'eq. coef.'!$C$277*'Amp (T-P-fO2 calculation)'!AQ40+'eq. coef.'!$C$278*'Amp (T-P-fO2 calculation)'!AR40))</f>
        <v>758.46673884289908</v>
      </c>
      <c r="BE40" s="299">
        <f>IF(SUM(H40:S40)&lt;90," ",EXP('eq. coef.'!$C$328+'eq. coef.'!$C$329*'Amp (T-P-fO2 calculation)'!AI40+'eq. coef.'!$C$330*'Amp (T-P-fO2 calculation)'!AJ40+'eq. coef.'!$C$331*'Amp (T-P-fO2 calculation)'!AK40+'eq. coef.'!$C$332*'Amp (T-P-fO2 calculation)'!AM40+'eq. coef.'!$C$333*'Amp (T-P-fO2 calculation)'!AO40+'eq. coef.'!$C$334*'Amp (T-P-fO2 calculation)'!AP40+'eq. coef.'!$C$335*'Amp (T-P-fO2 calculation)'!AQ40+'eq. coef.'!$C$336*'Amp (T-P-fO2 calculation)'!AR40))</f>
        <v>1323.352023524156</v>
      </c>
      <c r="BF40" s="300" t="str">
        <f t="shared" si="19"/>
        <v>low Total</v>
      </c>
      <c r="BG40" s="301" t="str">
        <f t="shared" si="20"/>
        <v>ok</v>
      </c>
      <c r="BH40" s="301" t="str">
        <f t="shared" si="21"/>
        <v>ok</v>
      </c>
      <c r="BI40" s="299">
        <f t="shared" si="90"/>
        <v>10.983207135792727</v>
      </c>
      <c r="BJ40" s="302">
        <f t="shared" si="115"/>
        <v>-0.94753981539107035</v>
      </c>
      <c r="BK40" s="299">
        <f t="shared" si="116"/>
        <v>259.50504697041066</v>
      </c>
      <c r="BL40" s="303">
        <f>IF(SUM(H40:S40)&lt;90," ",'eq. coef.'!$C$360+'eq. coef.'!$C$361*'Amp (T-P-fO2 calculation)'!AI40+'eq. coef.'!$C$362*'Amp (T-P-fO2 calculation)'!AJ40+'eq. coef.'!$C$363*'Amp (T-P-fO2 calculation)'!AK40+'eq. coef.'!$C$364*'Amp (T-P-fO2 calculation)'!AM40+'eq. coef.'!$C$365*'Amp (T-P-fO2 calculation)'!AO40+'eq. coef.'!$C$366*'Amp (T-P-fO2 calculation)'!AP40+'eq. coef.'!$C$367*'Amp (T-P-fO2 calculation)'!AQ40+'eq. coef.'!$C$368*'Amp (T-P-fO2 calculation)'!AR40+'eq. coef.'!$C$369*LN(BO40))</f>
        <v>930.90672725034813</v>
      </c>
      <c r="BM40" s="304">
        <f t="shared" si="91"/>
        <v>22</v>
      </c>
      <c r="BN40" s="305">
        <f t="shared" si="92"/>
        <v>484</v>
      </c>
      <c r="BO40" s="306">
        <f t="shared" si="93"/>
        <v>758.46673884289908</v>
      </c>
      <c r="BP40" s="299" t="str">
        <f t="shared" si="94"/>
        <v>P1d</v>
      </c>
      <c r="BQ40" s="302"/>
      <c r="BR40" s="302">
        <f t="shared" si="117"/>
        <v>0</v>
      </c>
      <c r="BS40" s="302">
        <f t="shared" si="118"/>
        <v>0</v>
      </c>
      <c r="BT40" s="299">
        <f t="shared" si="95"/>
        <v>91.016008661147879</v>
      </c>
      <c r="BU40" s="311">
        <f t="shared" si="62"/>
        <v>862.4109669134707</v>
      </c>
      <c r="BV40" s="312">
        <f t="shared" si="63"/>
        <v>791.4039473439534</v>
      </c>
      <c r="BW40" s="267">
        <f>IF(SUM(H40:S40)&lt;90," ",'eq. coef.'!$B$1128*'Amp (T-P-fO2 calculation)'!CH40+'eq. coef.'!$B$1129*'Amp (T-P-fO2 calculation)'!CL40+'eq. coef.'!$B$1130*'Amp (T-P-fO2 calculation)'!CM40+'eq. coef.'!$B$1131*'Amp (T-P-fO2 calculation)'!CO40+'eq. coef.'!$B$1132*'Amp (T-P-fO2 calculation)'!CP40+'eq. coef.'!$B$1133*'Amp (T-P-fO2 calculation)'!CQ40+'eq. coef.'!$B$1134*'Amp (T-P-fO2 calculation)'!CR40+'eq. coef.'!$B$1135*'Amp (T-P-fO2 calculation)'!CU40+'eq. coef.'!$B$1135*'Amp (T-P-fO2 calculation)'!CY40+'eq. coef.'!$B$1137*'Amp (T-P-fO2 calculation)'!CZ40)</f>
        <v>4.4541966634992374</v>
      </c>
      <c r="BX40" s="268">
        <f t="shared" si="32"/>
        <v>0.4</v>
      </c>
      <c r="BY40" s="269"/>
      <c r="BZ40" s="282">
        <f t="shared" si="64"/>
        <v>-11.130052942174997</v>
      </c>
      <c r="CA40" s="269">
        <f t="shared" si="65"/>
        <v>2.9858865293646168</v>
      </c>
      <c r="CB40" s="282">
        <f t="shared" si="66"/>
        <v>-9.6693534890901649</v>
      </c>
      <c r="CC40" s="268">
        <f t="shared" si="33"/>
        <v>-6.6834669597255481</v>
      </c>
      <c r="CD40" s="268"/>
      <c r="CE40" s="267">
        <f>IF(SUM(H40:S40)&lt;90," ",EXP('eq. coef.'!$B$1156*'Amp (T-P-fO2 calculation)'!CH40+'eq. coef.'!$B$1157*'Amp (T-P-fO2 calculation)'!CL40+'eq. coef.'!$B$1158*'Amp (T-P-fO2 calculation)'!CM40+'eq. coef.'!$B$1159*'Amp (T-P-fO2 calculation)'!CO40+'eq. coef.'!$B$1160*'Amp (T-P-fO2 calculation)'!CP40+'eq. coef.'!$B$1161*'Amp (T-P-fO2 calculation)'!CQ40+'eq. coef.'!$B$1162*'Amp (T-P-fO2 calculation)'!CR40+'eq. coef.'!$B$1163*'Amp (T-P-fO2 calculation)'!CU40+'eq. coef.'!$B$1164*'Amp (T-P-fO2 calculation)'!CY40+'eq. coef.'!$B$1165*'Amp (T-P-fO2 calculation)'!CZ40))</f>
        <v>8.8707072510940996</v>
      </c>
      <c r="CF40" s="302">
        <f t="shared" si="34"/>
        <v>1.5080202326859971</v>
      </c>
      <c r="CG40" s="296">
        <f t="shared" si="35"/>
        <v>6.0668020321394147</v>
      </c>
      <c r="CH40" s="296">
        <f t="shared" si="36"/>
        <v>1.9331979678605853</v>
      </c>
      <c r="CI40" s="296">
        <f t="shared" si="37"/>
        <v>0</v>
      </c>
      <c r="CJ40" s="296">
        <f t="shared" si="38"/>
        <v>8</v>
      </c>
      <c r="CK40" s="296"/>
      <c r="CL40" s="296">
        <f t="shared" si="39"/>
        <v>0.4568216159134697</v>
      </c>
      <c r="CM40" s="296">
        <f t="shared" si="40"/>
        <v>0.18416916968085514</v>
      </c>
      <c r="CN40" s="296">
        <f t="shared" si="41"/>
        <v>0</v>
      </c>
      <c r="CO40" s="296">
        <f t="shared" si="42"/>
        <v>0.38554147158860985</v>
      </c>
      <c r="CP40" s="296">
        <f t="shared" si="43"/>
        <v>2.7540088954683335</v>
      </c>
      <c r="CQ40" s="296">
        <f t="shared" si="44"/>
        <v>1.1843225925627237</v>
      </c>
      <c r="CR40" s="296">
        <f t="shared" si="45"/>
        <v>3.5136254786007223E-2</v>
      </c>
      <c r="CS40" s="296">
        <f t="shared" si="46"/>
        <v>4.9999999999999982</v>
      </c>
      <c r="CT40" s="296"/>
      <c r="CU40" s="296">
        <f t="shared" si="47"/>
        <v>1.9425985979048528</v>
      </c>
      <c r="CV40" s="296">
        <f t="shared" si="48"/>
        <v>5.7401402095147214E-2</v>
      </c>
      <c r="CW40" s="296">
        <f t="shared" si="49"/>
        <v>2</v>
      </c>
      <c r="CX40" s="296"/>
      <c r="CY40" s="296">
        <f t="shared" si="50"/>
        <v>0.51960359298352321</v>
      </c>
      <c r="CZ40" s="296">
        <f t="shared" si="51"/>
        <v>0.26029435010843405</v>
      </c>
      <c r="DA40" s="296">
        <f t="shared" si="52"/>
        <v>0.77989794309195726</v>
      </c>
      <c r="DB40" s="296"/>
      <c r="DC40" s="296">
        <f t="shared" si="53"/>
        <v>1.9864601181638226</v>
      </c>
      <c r="DD40" s="296">
        <f t="shared" si="54"/>
        <v>0</v>
      </c>
      <c r="DE40" s="296">
        <f t="shared" si="55"/>
        <v>1.3539881836177442E-2</v>
      </c>
      <c r="DF40" s="296">
        <f t="shared" si="56"/>
        <v>2</v>
      </c>
      <c r="DG40" s="302">
        <f t="shared" si="57"/>
        <v>45.61445852841139</v>
      </c>
      <c r="DH40" s="302"/>
      <c r="DI40" s="295">
        <f t="shared" si="58"/>
        <v>0.69928316187654938</v>
      </c>
      <c r="DJ40" s="295">
        <f t="shared" si="59"/>
        <v>0.63693103872103107</v>
      </c>
      <c r="DK40" s="295">
        <f t="shared" si="60"/>
        <v>0.19113718524101272</v>
      </c>
      <c r="DL40" s="296">
        <f t="shared" si="61"/>
        <v>2.390019583774055</v>
      </c>
    </row>
    <row r="41" spans="1:116" ht="13.8" x14ac:dyDescent="0.25">
      <c r="A41" s="287" t="s">
        <v>558</v>
      </c>
      <c r="B41" s="288" t="s">
        <v>537</v>
      </c>
      <c r="C41" s="289">
        <v>717</v>
      </c>
      <c r="D41" s="289" t="s">
        <v>530</v>
      </c>
      <c r="E41" s="313" t="s">
        <v>513</v>
      </c>
      <c r="F41" s="289" t="s">
        <v>535</v>
      </c>
      <c r="G41" s="291"/>
      <c r="H41" s="292">
        <v>39.51</v>
      </c>
      <c r="I41" s="292">
        <v>1.5940000000000001</v>
      </c>
      <c r="J41" s="292">
        <v>13.215999999999999</v>
      </c>
      <c r="K41" s="292">
        <v>0</v>
      </c>
      <c r="L41" s="292">
        <v>12.797000000000001</v>
      </c>
      <c r="M41" s="292">
        <v>0.27</v>
      </c>
      <c r="N41" s="292">
        <v>12.055999999999999</v>
      </c>
      <c r="O41" s="292">
        <v>11.8</v>
      </c>
      <c r="P41" s="292">
        <v>1.944</v>
      </c>
      <c r="Q41" s="292">
        <v>1.3280000000000001</v>
      </c>
      <c r="R41" s="293">
        <v>0</v>
      </c>
      <c r="S41" s="293">
        <v>5.1999999999999998E-2</v>
      </c>
      <c r="T41" s="294">
        <f t="shared" si="96"/>
        <v>94.567000000000007</v>
      </c>
      <c r="U41" s="295">
        <f>IF(SUM(H41:S41)&lt;90," ",H41/stab.data!$U$7)</f>
        <v>0.65757938885560208</v>
      </c>
      <c r="V41" s="295">
        <f>IF(SUM(H41:S41)&lt;90," ",I41/stab.data!$U$8)</f>
        <v>1.9950436806928835E-2</v>
      </c>
      <c r="W41" s="295">
        <f>IF(SUM(H41:S41)&lt;90," ",J41*2/stab.data!$U$9)</f>
        <v>0.25923637469228428</v>
      </c>
      <c r="X41" s="295">
        <f>IF(SUM(H41:S41)&lt;90," ",K41*2/stab.data!$U$10)</f>
        <v>0</v>
      </c>
      <c r="Y41" s="295">
        <f>IF(SUM(H41:S41)&lt;90," ",L41/stab.data!$U$11)</f>
        <v>0.178117083762492</v>
      </c>
      <c r="Z41" s="295">
        <f>IF(SUM(H41:S41)&lt;90," ",M41/stab.data!$U$12)</f>
        <v>3.8061942286817885E-3</v>
      </c>
      <c r="AA41" s="295">
        <f>IF(SUM(H41:S41)&lt;90," ",N41/stab.data!$U$13)</f>
        <v>0.29912663755458513</v>
      </c>
      <c r="AB41" s="295">
        <f>IF(SUM(H41:S41)&lt;90," ",O41/stab.data!$U$14)</f>
        <v>0.21041744681609872</v>
      </c>
      <c r="AC41" s="295">
        <f>IF(SUM(H41:S41)&lt;90," ",P41*2/stab.data!$U$15)</f>
        <v>6.2730924990722664E-2</v>
      </c>
      <c r="AD41" s="295">
        <f>IF(SUM(H41:S41)&lt;90," ",Q41*2/stab.data!$U$16)</f>
        <v>2.8196825733849996E-2</v>
      </c>
      <c r="AE41" s="295">
        <f>IF(SUM(H41:S41)&lt;90," ",R41/stab.data!$U$17)</f>
        <v>0</v>
      </c>
      <c r="AF41" s="295">
        <f>IF(SUM(H41:S41)&lt;90," ",S41/stab.data!$U$18)</f>
        <v>1.4667306010774828E-3</v>
      </c>
      <c r="AG41" s="295">
        <f t="shared" si="97"/>
        <v>1.417816115900574</v>
      </c>
      <c r="AH41" s="295">
        <f t="shared" si="98"/>
        <v>0.15079235012179909</v>
      </c>
      <c r="AI41" s="296">
        <f t="shared" si="99"/>
        <v>6.0293658389493876</v>
      </c>
      <c r="AJ41" s="296">
        <f t="shared" si="100"/>
        <v>0.18292617468615546</v>
      </c>
      <c r="AK41" s="296">
        <f t="shared" si="101"/>
        <v>2.3769463706928451</v>
      </c>
      <c r="AL41" s="296">
        <f t="shared" si="102"/>
        <v>0</v>
      </c>
      <c r="AM41" s="296">
        <f t="shared" si="103"/>
        <v>1.6331610728247459</v>
      </c>
      <c r="AN41" s="296">
        <f t="shared" si="104"/>
        <v>3.4899113092274323E-2</v>
      </c>
      <c r="AO41" s="296">
        <f t="shared" si="105"/>
        <v>2.7427014297545922</v>
      </c>
      <c r="AP41" s="296">
        <f t="shared" si="106"/>
        <v>1.9293241048200276</v>
      </c>
      <c r="AQ41" s="296">
        <f t="shared" si="107"/>
        <v>0.5751817994827918</v>
      </c>
      <c r="AR41" s="296">
        <f t="shared" si="108"/>
        <v>0.25853757086631629</v>
      </c>
      <c r="AS41" s="296">
        <f t="shared" si="109"/>
        <v>0</v>
      </c>
      <c r="AT41" s="296">
        <f t="shared" si="110"/>
        <v>1.3448498433730886E-2</v>
      </c>
      <c r="AU41" s="295">
        <f t="shared" si="111"/>
        <v>15.763043475169136</v>
      </c>
      <c r="AV41" s="295">
        <f t="shared" si="112"/>
        <v>1.8416000183762076</v>
      </c>
      <c r="AW41" s="295">
        <f>IF(SUM(H41:S41)&lt;90," ",CO41*AG41*stab.data!$U$20/13/2)</f>
        <v>4.4072234840886004</v>
      </c>
      <c r="AX41" s="295">
        <f>IF(SUM(H41:S41)&lt;90," ",CQ41*AG41*stab.data!$U$11/13)</f>
        <v>8.8313240578638794</v>
      </c>
      <c r="AY41" s="295">
        <f t="shared" si="113"/>
        <v>-1.1733111443319342E-2</v>
      </c>
      <c r="AZ41" s="297">
        <f t="shared" si="114"/>
        <v>96.838414448885388</v>
      </c>
      <c r="BA41" s="298">
        <f>IF(SUM(H41:S41)&lt;90," ",EXP('eq. coef.'!$C$104+'eq. coef.'!$C$105*'Amp (T-P-fO2 calculation)'!AI41+'eq. coef.'!$C$106*'Amp (T-P-fO2 calculation)'!AJ41+'eq. coef.'!$C$107*'Amp (T-P-fO2 calculation)'!AK41+'eq. coef.'!$C$108*'Amp (T-P-fO2 calculation)'!AM41+'eq. coef.'!$C$109*'Amp (T-P-fO2 calculation)'!AO41+'eq. coef.'!$C$110*'Amp (T-P-fO2 calculation)'!AP41+'eq. coef.'!$C$111*'Amp (T-P-fO2 calculation)'!AQ41+'eq. coef.'!$C$112*'Amp (T-P-fO2 calculation)'!AR41))</f>
        <v>684.24359085960521</v>
      </c>
      <c r="BB41" s="299">
        <f>IF(SUM(H41:S41)&lt;90," ",EXP('eq. coef.'!$C$176+'eq. coef.'!$C$177*'Amp (T-P-fO2 calculation)'!AI41+'eq. coef.'!$C$178*'Amp (T-P-fO2 calculation)'!AJ41+'eq. coef.'!$C$179*'Amp (T-P-fO2 calculation)'!AK41+'eq. coef.'!$C$180*'Amp (T-P-fO2 calculation)'!AM41+'eq. coef.'!$C$181*'Amp (T-P-fO2 calculation)'!AO41+'eq. coef.'!$C$182*'Amp (T-P-fO2 calculation)'!AP41+'eq. coef.'!$C$183*'Amp (T-P-fO2 calculation)'!AQ41+'eq. coef.'!$C$184*'Amp (T-P-fO2 calculation)'!AR41))</f>
        <v>490.14550404887791</v>
      </c>
      <c r="BC41" s="299">
        <f>IF(SUM(H41:S41)&lt;90," ",('eq. coef.'!$C$234+'eq. coef.'!$C$235*'Amp (T-P-fO2 calculation)'!AI41+'eq. coef.'!$C$236*'Amp (T-P-fO2 calculation)'!AJ41+'eq. coef.'!$C$237*'Amp (T-P-fO2 calculation)'!AK41+'eq. coef.'!$C$238*'Amp (T-P-fO2 calculation)'!AM41+'eq. coef.'!$C$239*'Amp (T-P-fO2 calculation)'!AO41+'eq. coef.'!$C$240*'Amp (T-P-fO2 calculation)'!AP41+'eq. coef.'!$C$241*'Amp (T-P-fO2 calculation)'!AQ41+'eq. coef.'!$C$242*'Amp (T-P-fO2 calculation)'!AR41))</f>
        <v>521.21629208033585</v>
      </c>
      <c r="BD41" s="299">
        <f>IF(SUM(H41:S41)&lt;90," ",('eq. coef.'!$C$270+'eq. coef.'!$C$271*'Amp (T-P-fO2 calculation)'!AI41+'eq. coef.'!$C$272*'Amp (T-P-fO2 calculation)'!AJ41+'eq. coef.'!$C$273*'Amp (T-P-fO2 calculation)'!AK41+'eq. coef.'!$C$274*'Amp (T-P-fO2 calculation)'!AM41+'eq. coef.'!$C$275*'Amp (T-P-fO2 calculation)'!AO41+'eq. coef.'!$C$276*'Amp (T-P-fO2 calculation)'!AP41+'eq. coef.'!$C$277*'Amp (T-P-fO2 calculation)'!AQ41+'eq. coef.'!$C$278*'Amp (T-P-fO2 calculation)'!AR41))</f>
        <v>726.9298975691944</v>
      </c>
      <c r="BE41" s="299">
        <f>IF(SUM(H41:S41)&lt;90," ",EXP('eq. coef.'!$C$328+'eq. coef.'!$C$329*'Amp (T-P-fO2 calculation)'!AI41+'eq. coef.'!$C$330*'Amp (T-P-fO2 calculation)'!AJ41+'eq. coef.'!$C$331*'Amp (T-P-fO2 calculation)'!AK41+'eq. coef.'!$C$332*'Amp (T-P-fO2 calculation)'!AM41+'eq. coef.'!$C$333*'Amp (T-P-fO2 calculation)'!AO41+'eq. coef.'!$C$334*'Amp (T-P-fO2 calculation)'!AP41+'eq. coef.'!$C$335*'Amp (T-P-fO2 calculation)'!AQ41+'eq. coef.'!$C$336*'Amp (T-P-fO2 calculation)'!AR41))</f>
        <v>1191.467416057649</v>
      </c>
      <c r="BF41" s="300" t="str">
        <f t="shared" si="19"/>
        <v>low Total</v>
      </c>
      <c r="BG41" s="301" t="str">
        <f t="shared" si="20"/>
        <v>ok</v>
      </c>
      <c r="BH41" s="301" t="str">
        <f t="shared" si="21"/>
        <v>ok</v>
      </c>
      <c r="BI41" s="299">
        <f t="shared" si="90"/>
        <v>6.049760296604795</v>
      </c>
      <c r="BJ41" s="302">
        <f t="shared" si="115"/>
        <v>-0.74129130615725003</v>
      </c>
      <c r="BK41" s="299">
        <f t="shared" si="116"/>
        <v>236.78439352031648</v>
      </c>
      <c r="BL41" s="303">
        <f>IF(SUM(H41:S41)&lt;90," ",'eq. coef.'!$C$360+'eq. coef.'!$C$361*'Amp (T-P-fO2 calculation)'!AI41+'eq. coef.'!$C$362*'Amp (T-P-fO2 calculation)'!AJ41+'eq. coef.'!$C$363*'Amp (T-P-fO2 calculation)'!AK41+'eq. coef.'!$C$364*'Amp (T-P-fO2 calculation)'!AM41+'eq. coef.'!$C$365*'Amp (T-P-fO2 calculation)'!AO41+'eq. coef.'!$C$366*'Amp (T-P-fO2 calculation)'!AP41+'eq. coef.'!$C$367*'Amp (T-P-fO2 calculation)'!AQ41+'eq. coef.'!$C$368*'Amp (T-P-fO2 calculation)'!AR41+'eq. coef.'!$C$369*LN(BO41))</f>
        <v>929.29320027479343</v>
      </c>
      <c r="BM41" s="304">
        <f t="shared" si="91"/>
        <v>22</v>
      </c>
      <c r="BN41" s="305">
        <f t="shared" si="92"/>
        <v>484</v>
      </c>
      <c r="BO41" s="306">
        <f t="shared" si="93"/>
        <v>726.9298975691944</v>
      </c>
      <c r="BP41" s="299" t="str">
        <f t="shared" si="94"/>
        <v>P1d</v>
      </c>
      <c r="BQ41" s="302"/>
      <c r="BR41" s="302">
        <f t="shared" si="117"/>
        <v>0</v>
      </c>
      <c r="BS41" s="302">
        <f t="shared" si="118"/>
        <v>0</v>
      </c>
      <c r="BT41" s="299">
        <f t="shared" si="95"/>
        <v>87.231587708303323</v>
      </c>
      <c r="BU41" s="311">
        <f t="shared" si="62"/>
        <v>855.08996758799321</v>
      </c>
      <c r="BV41" s="312">
        <f t="shared" si="63"/>
        <v>790.01737648559106</v>
      </c>
      <c r="BW41" s="267">
        <f>IF(SUM(H41:S41)&lt;90," ",'eq. coef.'!$B$1128*'Amp (T-P-fO2 calculation)'!CH41+'eq. coef.'!$B$1129*'Amp (T-P-fO2 calculation)'!CL41+'eq. coef.'!$B$1130*'Amp (T-P-fO2 calculation)'!CM41+'eq. coef.'!$B$1131*'Amp (T-P-fO2 calculation)'!CO41+'eq. coef.'!$B$1132*'Amp (T-P-fO2 calculation)'!CP41+'eq. coef.'!$B$1133*'Amp (T-P-fO2 calculation)'!CQ41+'eq. coef.'!$B$1134*'Amp (T-P-fO2 calculation)'!CR41+'eq. coef.'!$B$1135*'Amp (T-P-fO2 calculation)'!CU41+'eq. coef.'!$B$1135*'Amp (T-P-fO2 calculation)'!CY41+'eq. coef.'!$B$1137*'Amp (T-P-fO2 calculation)'!CZ41)</f>
        <v>4.5225520332444162</v>
      </c>
      <c r="BX41" s="268">
        <f t="shared" si="32"/>
        <v>0.4</v>
      </c>
      <c r="BY41" s="269"/>
      <c r="BZ41" s="282">
        <f t="shared" si="64"/>
        <v>-11.16956552726541</v>
      </c>
      <c r="CA41" s="269">
        <f t="shared" si="65"/>
        <v>3.0572743224360099</v>
      </c>
      <c r="CB41" s="282">
        <f t="shared" si="66"/>
        <v>-9.711257871705703</v>
      </c>
      <c r="CC41" s="268">
        <f t="shared" si="33"/>
        <v>-6.653983549269693</v>
      </c>
      <c r="CD41" s="268"/>
      <c r="CE41" s="267">
        <f>IF(SUM(H41:S41)&lt;90," ",EXP('eq. coef.'!$B$1156*'Amp (T-P-fO2 calculation)'!CH41+'eq. coef.'!$B$1157*'Amp (T-P-fO2 calculation)'!CL41+'eq. coef.'!$B$1158*'Amp (T-P-fO2 calculation)'!CM41+'eq. coef.'!$B$1159*'Amp (T-P-fO2 calculation)'!CO41+'eq. coef.'!$B$1160*'Amp (T-P-fO2 calculation)'!CP41+'eq. coef.'!$B$1161*'Amp (T-P-fO2 calculation)'!CQ41+'eq. coef.'!$B$1162*'Amp (T-P-fO2 calculation)'!CR41+'eq. coef.'!$B$1163*'Amp (T-P-fO2 calculation)'!CU41+'eq. coef.'!$B$1164*'Amp (T-P-fO2 calculation)'!CY41+'eq. coef.'!$B$1165*'Amp (T-P-fO2 calculation)'!CZ41))</f>
        <v>8.6877193588613046</v>
      </c>
      <c r="CF41" s="302">
        <f t="shared" si="34"/>
        <v>1.4769122910064219</v>
      </c>
      <c r="CG41" s="296">
        <f t="shared" si="35"/>
        <v>6.0293658389493876</v>
      </c>
      <c r="CH41" s="296">
        <f t="shared" si="36"/>
        <v>1.9706341610506124</v>
      </c>
      <c r="CI41" s="296">
        <f t="shared" si="37"/>
        <v>0</v>
      </c>
      <c r="CJ41" s="296">
        <f t="shared" si="38"/>
        <v>8</v>
      </c>
      <c r="CK41" s="296"/>
      <c r="CL41" s="296">
        <f t="shared" si="39"/>
        <v>0.40631220964223269</v>
      </c>
      <c r="CM41" s="296">
        <f t="shared" si="40"/>
        <v>0.18292617468615546</v>
      </c>
      <c r="CN41" s="296">
        <f t="shared" si="41"/>
        <v>0</v>
      </c>
      <c r="CO41" s="296">
        <f t="shared" si="42"/>
        <v>0.50610202204691035</v>
      </c>
      <c r="CP41" s="296">
        <f t="shared" si="43"/>
        <v>2.7427014297545922</v>
      </c>
      <c r="CQ41" s="296">
        <f t="shared" si="44"/>
        <v>1.1270590507778355</v>
      </c>
      <c r="CR41" s="296">
        <f t="shared" si="45"/>
        <v>3.4899113092274323E-2</v>
      </c>
      <c r="CS41" s="296">
        <f t="shared" si="46"/>
        <v>5.0000000000000009</v>
      </c>
      <c r="CT41" s="296"/>
      <c r="CU41" s="296">
        <f t="shared" si="47"/>
        <v>1.9293241048200276</v>
      </c>
      <c r="CV41" s="296">
        <f t="shared" si="48"/>
        <v>7.0675895179972414E-2</v>
      </c>
      <c r="CW41" s="296">
        <f t="shared" si="49"/>
        <v>2</v>
      </c>
      <c r="CX41" s="296"/>
      <c r="CY41" s="296">
        <f t="shared" si="50"/>
        <v>0.50450590430281939</v>
      </c>
      <c r="CZ41" s="296">
        <f t="shared" si="51"/>
        <v>0.25853757086631629</v>
      </c>
      <c r="DA41" s="296">
        <f t="shared" si="52"/>
        <v>0.76304347516913573</v>
      </c>
      <c r="DB41" s="296"/>
      <c r="DC41" s="296">
        <f t="shared" si="53"/>
        <v>1.9865515015662691</v>
      </c>
      <c r="DD41" s="296">
        <f t="shared" si="54"/>
        <v>0</v>
      </c>
      <c r="DE41" s="296">
        <f t="shared" si="55"/>
        <v>1.3448498433730886E-2</v>
      </c>
      <c r="DF41" s="296">
        <f t="shared" si="56"/>
        <v>2</v>
      </c>
      <c r="DG41" s="302">
        <f t="shared" si="57"/>
        <v>45.49389797795309</v>
      </c>
      <c r="DH41" s="302"/>
      <c r="DI41" s="295">
        <f t="shared" si="58"/>
        <v>0.70875224540440629</v>
      </c>
      <c r="DJ41" s="295">
        <f t="shared" si="59"/>
        <v>0.62677961844960073</v>
      </c>
      <c r="DK41" s="295">
        <f t="shared" si="60"/>
        <v>0.17093873662946743</v>
      </c>
      <c r="DL41" s="296">
        <f t="shared" si="61"/>
        <v>2.3769463706928451</v>
      </c>
    </row>
    <row r="42" spans="1:116" s="286" customFormat="1" ht="13.8" x14ac:dyDescent="0.25">
      <c r="A42" s="314" t="s">
        <v>554</v>
      </c>
      <c r="B42" s="315"/>
      <c r="C42" s="314"/>
      <c r="D42" s="316"/>
      <c r="E42" s="317"/>
      <c r="F42" s="317"/>
      <c r="G42" s="317"/>
      <c r="H42" s="318"/>
      <c r="I42" s="319"/>
      <c r="J42" s="319"/>
      <c r="K42" s="319"/>
      <c r="L42" s="319"/>
      <c r="M42" s="319"/>
      <c r="N42" s="319"/>
      <c r="O42" s="319"/>
      <c r="P42" s="319"/>
      <c r="Q42" s="319"/>
      <c r="R42" s="319"/>
      <c r="S42" s="319"/>
      <c r="T42" s="320"/>
      <c r="U42" s="314"/>
      <c r="V42" s="314"/>
      <c r="W42" s="314"/>
      <c r="X42" s="314"/>
      <c r="Y42" s="314"/>
      <c r="Z42" s="314"/>
      <c r="AA42" s="314"/>
      <c r="AB42" s="314"/>
      <c r="AC42" s="314"/>
      <c r="AD42" s="314"/>
      <c r="AE42" s="314"/>
      <c r="AF42" s="314"/>
      <c r="AG42" s="314"/>
      <c r="AH42" s="314"/>
      <c r="AI42" s="314"/>
      <c r="AJ42" s="314"/>
      <c r="AK42" s="314"/>
      <c r="AL42" s="314"/>
      <c r="AM42" s="314"/>
      <c r="AN42" s="314"/>
      <c r="AO42" s="314"/>
      <c r="AP42" s="314"/>
      <c r="AQ42" s="314"/>
      <c r="AR42" s="314"/>
      <c r="AS42" s="314"/>
      <c r="AT42" s="314"/>
      <c r="AU42" s="314"/>
      <c r="AV42" s="314"/>
      <c r="AW42" s="314"/>
      <c r="AX42" s="314"/>
      <c r="AY42" s="314"/>
      <c r="AZ42" s="321"/>
      <c r="BA42" s="322"/>
      <c r="BB42" s="314"/>
      <c r="BC42" s="314"/>
      <c r="BD42" s="314"/>
      <c r="BE42" s="314"/>
      <c r="BF42" s="320"/>
      <c r="BG42" s="321"/>
      <c r="BH42" s="321"/>
      <c r="BI42" s="323"/>
      <c r="BJ42" s="323"/>
      <c r="BK42" s="323"/>
      <c r="BL42" s="322"/>
      <c r="BM42" s="321"/>
      <c r="BN42" s="321"/>
      <c r="BO42" s="324">
        <f>AVERAGE(BO5:BO41)</f>
        <v>900.6899485030084</v>
      </c>
      <c r="BP42" s="314"/>
      <c r="BQ42" s="314"/>
      <c r="BR42" s="314"/>
      <c r="BS42" s="314"/>
      <c r="BT42" s="314"/>
      <c r="BU42" s="325">
        <f>AVERAGE(BU11:BU41)</f>
        <v>828.54119950787731</v>
      </c>
      <c r="BV42" s="325">
        <f>AVERAGE(BV5:BV41)</f>
        <v>809.5090133748887</v>
      </c>
      <c r="BW42" s="322"/>
      <c r="BX42" s="323"/>
      <c r="BY42" s="326"/>
      <c r="BZ42" s="326"/>
      <c r="CA42" s="326"/>
      <c r="CB42" s="326"/>
      <c r="CC42" s="323"/>
      <c r="CD42" s="323"/>
      <c r="CE42" s="322"/>
      <c r="CF42" s="314"/>
      <c r="CG42" s="314"/>
      <c r="CH42" s="314"/>
      <c r="CI42" s="314"/>
      <c r="CJ42" s="314"/>
      <c r="CK42" s="314"/>
      <c r="CL42" s="314"/>
      <c r="CM42" s="314"/>
      <c r="CN42" s="314"/>
      <c r="CO42" s="314"/>
      <c r="CP42" s="314"/>
      <c r="CQ42" s="314"/>
      <c r="CR42" s="314"/>
      <c r="CS42" s="314"/>
      <c r="CT42" s="314"/>
      <c r="CU42" s="314"/>
      <c r="CV42" s="314"/>
      <c r="CW42" s="314"/>
      <c r="CX42" s="314"/>
      <c r="CY42" s="314"/>
      <c r="CZ42" s="314"/>
      <c r="DA42" s="314"/>
      <c r="DB42" s="314"/>
      <c r="DC42" s="314"/>
      <c r="DD42" s="314"/>
      <c r="DE42" s="314"/>
      <c r="DF42" s="314"/>
      <c r="DG42" s="314"/>
      <c r="DH42" s="314"/>
      <c r="DI42" s="314"/>
      <c r="DJ42" s="314"/>
      <c r="DK42" s="314"/>
      <c r="DL42" s="314"/>
    </row>
    <row r="43" spans="1:116" ht="14.4" customHeight="1" x14ac:dyDescent="0.25">
      <c r="A43" s="329" t="s">
        <v>539</v>
      </c>
      <c r="B43" s="330"/>
      <c r="C43" s="330"/>
      <c r="D43" s="330"/>
      <c r="E43" s="330"/>
      <c r="F43" s="330"/>
      <c r="G43" s="330"/>
      <c r="H43" s="330"/>
      <c r="I43" s="330"/>
      <c r="J43" s="330"/>
      <c r="K43" s="330"/>
      <c r="L43" s="330"/>
      <c r="M43" s="330"/>
      <c r="N43" s="330"/>
      <c r="O43" s="330"/>
      <c r="P43" s="330"/>
      <c r="Q43" s="330"/>
      <c r="R43" s="330"/>
      <c r="S43" s="330"/>
      <c r="T43" s="330"/>
      <c r="U43" s="330"/>
      <c r="V43" s="330"/>
      <c r="W43" s="330"/>
      <c r="X43" s="330"/>
      <c r="Y43" s="330"/>
      <c r="Z43" s="330"/>
      <c r="AA43" s="330"/>
      <c r="AB43" s="330"/>
      <c r="AC43" s="330"/>
      <c r="AD43" s="330"/>
      <c r="AE43" s="330"/>
      <c r="AF43" s="330"/>
      <c r="AG43" s="330"/>
      <c r="AH43" s="330"/>
      <c r="AI43" s="330"/>
      <c r="AJ43" s="330"/>
      <c r="AK43" s="330"/>
      <c r="AL43" s="330"/>
      <c r="AM43" s="330"/>
      <c r="AN43" s="330"/>
      <c r="AO43" s="330"/>
      <c r="AP43" s="330"/>
      <c r="AQ43" s="330"/>
      <c r="AR43" s="330"/>
      <c r="AS43" s="330"/>
      <c r="AT43" s="330"/>
      <c r="AU43" s="330"/>
      <c r="AV43" s="330"/>
      <c r="AW43" s="330"/>
      <c r="AX43" s="330"/>
      <c r="AY43" s="330"/>
      <c r="AZ43" s="330"/>
      <c r="BA43" s="330"/>
      <c r="BB43" s="330"/>
      <c r="BC43" s="330"/>
      <c r="BD43" s="330"/>
      <c r="BE43" s="330"/>
      <c r="BF43" s="330"/>
      <c r="BG43" s="330"/>
      <c r="BH43" s="330"/>
      <c r="BI43" s="330"/>
      <c r="BJ43" s="330"/>
      <c r="BK43" s="330"/>
      <c r="BL43" s="330"/>
      <c r="BM43" s="330"/>
      <c r="BN43" s="330"/>
      <c r="BO43" s="330"/>
      <c r="BP43" s="330"/>
      <c r="BQ43" s="330"/>
      <c r="BR43" s="330"/>
      <c r="BS43" s="330"/>
      <c r="BT43" s="330"/>
      <c r="BU43" s="330"/>
      <c r="BV43" s="330"/>
      <c r="BW43" s="330"/>
      <c r="BX43" s="330"/>
      <c r="BY43" s="330"/>
      <c r="BZ43" s="330"/>
      <c r="CA43" s="330"/>
      <c r="CB43" s="330"/>
      <c r="CC43" s="330"/>
      <c r="CD43" s="330"/>
      <c r="CE43" s="330"/>
      <c r="CF43" s="330"/>
      <c r="CG43" s="330"/>
      <c r="CH43" s="330"/>
      <c r="CI43" s="330"/>
      <c r="CJ43" s="330"/>
      <c r="CK43" s="330"/>
      <c r="CL43" s="330"/>
      <c r="CM43" s="330"/>
      <c r="CN43" s="330"/>
      <c r="CO43" s="330"/>
      <c r="CP43" s="330"/>
      <c r="CQ43" s="330"/>
      <c r="CR43" s="330"/>
      <c r="CS43" s="330"/>
      <c r="CT43" s="330"/>
      <c r="CU43" s="330"/>
      <c r="CV43" s="330"/>
      <c r="CW43" s="330"/>
      <c r="CX43" s="330"/>
      <c r="CY43" s="330"/>
      <c r="CZ43" s="330"/>
      <c r="DA43" s="330"/>
      <c r="DB43" s="330"/>
      <c r="DC43" s="330"/>
      <c r="DD43" s="330"/>
      <c r="DE43" s="330"/>
      <c r="DF43" s="330"/>
      <c r="DG43" s="330"/>
      <c r="DH43" s="330"/>
      <c r="DI43" s="330"/>
      <c r="DJ43" s="330"/>
      <c r="DK43" s="330"/>
      <c r="DL43" s="331"/>
    </row>
    <row r="44" spans="1:116" ht="14.4" customHeight="1" x14ac:dyDescent="0.25">
      <c r="A44" s="330"/>
      <c r="B44" s="330"/>
      <c r="C44" s="330"/>
      <c r="D44" s="330"/>
      <c r="E44" s="330"/>
      <c r="F44" s="330"/>
      <c r="G44" s="330"/>
      <c r="H44" s="330"/>
      <c r="I44" s="330"/>
      <c r="J44" s="330"/>
      <c r="K44" s="330"/>
      <c r="L44" s="330"/>
      <c r="M44" s="330"/>
      <c r="N44" s="330"/>
      <c r="O44" s="330"/>
      <c r="P44" s="330"/>
      <c r="Q44" s="330"/>
      <c r="R44" s="330"/>
      <c r="S44" s="330"/>
      <c r="T44" s="330"/>
      <c r="U44" s="330"/>
      <c r="V44" s="330"/>
      <c r="W44" s="330"/>
      <c r="X44" s="330"/>
      <c r="Y44" s="330"/>
      <c r="Z44" s="330"/>
      <c r="AA44" s="330"/>
      <c r="AB44" s="330"/>
      <c r="AC44" s="330"/>
      <c r="AD44" s="330"/>
      <c r="AE44" s="330"/>
      <c r="AF44" s="330"/>
      <c r="AG44" s="330"/>
      <c r="AH44" s="330"/>
      <c r="AI44" s="330"/>
      <c r="AJ44" s="330"/>
      <c r="AK44" s="330"/>
      <c r="AL44" s="330"/>
      <c r="AM44" s="330"/>
      <c r="AN44" s="330"/>
      <c r="AO44" s="330"/>
      <c r="AP44" s="330"/>
      <c r="AQ44" s="330"/>
      <c r="AR44" s="330"/>
      <c r="AS44" s="330"/>
      <c r="AT44" s="330"/>
      <c r="AU44" s="330"/>
      <c r="AV44" s="330"/>
      <c r="AW44" s="330"/>
      <c r="AX44" s="330"/>
      <c r="AY44" s="330"/>
      <c r="AZ44" s="330"/>
      <c r="BA44" s="330"/>
      <c r="BB44" s="330"/>
      <c r="BC44" s="330"/>
      <c r="BD44" s="330"/>
      <c r="BE44" s="330"/>
      <c r="BF44" s="330"/>
      <c r="BG44" s="330"/>
      <c r="BH44" s="330"/>
      <c r="BI44" s="330"/>
      <c r="BJ44" s="330"/>
      <c r="BK44" s="330"/>
      <c r="BL44" s="330"/>
      <c r="BM44" s="330"/>
      <c r="BN44" s="330"/>
      <c r="BO44" s="330"/>
      <c r="BP44" s="330"/>
      <c r="BQ44" s="330"/>
      <c r="BR44" s="330"/>
      <c r="BS44" s="330"/>
      <c r="BT44" s="330"/>
      <c r="BU44" s="330"/>
      <c r="BV44" s="330"/>
      <c r="BW44" s="330"/>
      <c r="BX44" s="330"/>
      <c r="BY44" s="330"/>
      <c r="BZ44" s="330"/>
      <c r="CA44" s="330"/>
      <c r="CB44" s="330"/>
      <c r="CC44" s="330"/>
      <c r="CD44" s="330"/>
      <c r="CE44" s="330"/>
      <c r="CF44" s="330"/>
      <c r="CG44" s="330"/>
      <c r="CH44" s="330"/>
      <c r="CI44" s="330"/>
      <c r="CJ44" s="330"/>
      <c r="CK44" s="330"/>
      <c r="CL44" s="330"/>
      <c r="CM44" s="330"/>
      <c r="CN44" s="330"/>
      <c r="CO44" s="330"/>
      <c r="CP44" s="330"/>
      <c r="CQ44" s="330"/>
      <c r="CR44" s="330"/>
      <c r="CS44" s="330"/>
      <c r="CT44" s="330"/>
      <c r="CU44" s="330"/>
      <c r="CV44" s="330"/>
      <c r="CW44" s="330"/>
      <c r="CX44" s="330"/>
      <c r="CY44" s="330"/>
      <c r="CZ44" s="330"/>
      <c r="DA44" s="330"/>
      <c r="DB44" s="330"/>
      <c r="DC44" s="330"/>
      <c r="DD44" s="330"/>
      <c r="DE44" s="330"/>
      <c r="DF44" s="330"/>
      <c r="DG44" s="330"/>
      <c r="DH44" s="330"/>
      <c r="DI44" s="330"/>
      <c r="DJ44" s="330"/>
      <c r="DK44" s="330"/>
      <c r="DL44" s="331"/>
    </row>
    <row r="45" spans="1:116" ht="40.200000000000003" customHeight="1" x14ac:dyDescent="0.25">
      <c r="A45" s="346" t="s">
        <v>550</v>
      </c>
      <c r="B45" s="346"/>
      <c r="C45" s="346"/>
      <c r="D45" s="346"/>
      <c r="E45" s="346"/>
      <c r="F45" s="346"/>
      <c r="G45" s="270"/>
      <c r="H45" s="271"/>
      <c r="I45" s="272"/>
      <c r="J45" s="272"/>
      <c r="K45" s="272"/>
      <c r="L45" s="272"/>
      <c r="M45" s="272"/>
      <c r="N45" s="272"/>
      <c r="O45" s="272"/>
      <c r="P45" s="272"/>
      <c r="Q45" s="272"/>
      <c r="R45" s="272"/>
      <c r="S45" s="272"/>
      <c r="T45" s="273"/>
      <c r="U45" s="274"/>
      <c r="V45" s="274"/>
      <c r="W45" s="274"/>
      <c r="X45" s="274"/>
      <c r="Y45" s="274"/>
      <c r="Z45" s="274"/>
      <c r="AA45" s="274"/>
      <c r="AB45" s="274"/>
      <c r="AC45" s="274"/>
      <c r="AD45" s="274"/>
      <c r="AE45" s="274"/>
      <c r="AF45" s="274"/>
      <c r="AG45" s="274"/>
      <c r="AH45" s="274"/>
      <c r="AI45" s="274"/>
      <c r="AJ45" s="274"/>
      <c r="AK45" s="274"/>
      <c r="AL45" s="274"/>
      <c r="AM45" s="274"/>
      <c r="AN45" s="274"/>
      <c r="AO45" s="274"/>
      <c r="AP45" s="274"/>
      <c r="AQ45" s="274"/>
      <c r="AR45" s="274"/>
      <c r="AS45" s="274"/>
      <c r="AT45" s="274"/>
      <c r="AU45" s="274"/>
      <c r="AV45" s="274"/>
      <c r="AW45" s="274"/>
      <c r="AX45" s="274"/>
      <c r="AY45" s="274"/>
      <c r="AZ45" s="275"/>
      <c r="BA45" s="276"/>
      <c r="BB45" s="274"/>
      <c r="BC45" s="274"/>
      <c r="BD45" s="274"/>
      <c r="BE45" s="274"/>
      <c r="BF45" s="273"/>
      <c r="BG45" s="275"/>
      <c r="BH45" s="275"/>
      <c r="BI45" s="277"/>
      <c r="DB45" s="264"/>
    </row>
    <row r="46" spans="1:116" ht="40.200000000000003" customHeight="1" x14ac:dyDescent="0.25">
      <c r="A46" s="346" t="s">
        <v>555</v>
      </c>
      <c r="B46" s="347"/>
      <c r="C46" s="347"/>
      <c r="D46" s="347"/>
      <c r="E46" s="347"/>
      <c r="F46" s="347"/>
      <c r="G46" s="270"/>
      <c r="H46" s="271"/>
      <c r="I46" s="272"/>
      <c r="J46" s="272"/>
      <c r="K46" s="272"/>
      <c r="L46" s="272"/>
      <c r="M46" s="272"/>
      <c r="N46" s="272"/>
      <c r="O46" s="272"/>
      <c r="P46" s="272"/>
      <c r="Q46" s="272"/>
      <c r="R46" s="272"/>
      <c r="S46" s="272"/>
      <c r="T46" s="273"/>
      <c r="U46" s="274"/>
      <c r="V46" s="274"/>
      <c r="W46" s="274"/>
      <c r="X46" s="274"/>
      <c r="Y46" s="274"/>
      <c r="Z46" s="274"/>
      <c r="AA46" s="274"/>
      <c r="AB46" s="274"/>
      <c r="AC46" s="274"/>
      <c r="AD46" s="274"/>
      <c r="AE46" s="274"/>
      <c r="AF46" s="274"/>
      <c r="AG46" s="274"/>
      <c r="AH46" s="274"/>
      <c r="AI46" s="274"/>
      <c r="AJ46" s="274"/>
      <c r="AK46" s="274"/>
      <c r="AL46" s="274"/>
      <c r="AM46" s="274"/>
      <c r="AN46" s="274"/>
      <c r="AO46" s="274"/>
      <c r="AP46" s="274"/>
      <c r="AQ46" s="274"/>
      <c r="AR46" s="274"/>
      <c r="AS46" s="274"/>
      <c r="AT46" s="274"/>
      <c r="AU46" s="274"/>
      <c r="AV46" s="274"/>
      <c r="AW46" s="274"/>
      <c r="AX46" s="274"/>
      <c r="AY46" s="274"/>
      <c r="AZ46" s="275"/>
      <c r="BA46" s="276"/>
      <c r="BB46" s="274"/>
      <c r="BC46" s="274"/>
      <c r="BD46" s="274"/>
      <c r="BE46" s="274"/>
      <c r="BF46" s="273"/>
      <c r="BG46" s="275"/>
      <c r="BH46" s="275"/>
      <c r="BI46" s="277"/>
      <c r="DB46" s="264"/>
    </row>
    <row r="47" spans="1:116" ht="22.8" customHeight="1" x14ac:dyDescent="0.25">
      <c r="A47" s="327" t="s">
        <v>547</v>
      </c>
      <c r="B47" s="328"/>
      <c r="C47" s="328"/>
      <c r="D47" s="328"/>
      <c r="E47" s="328"/>
      <c r="F47" s="328"/>
      <c r="G47" s="270"/>
      <c r="H47" s="271"/>
      <c r="I47" s="272"/>
      <c r="J47" s="272"/>
      <c r="K47" s="272"/>
      <c r="L47" s="272"/>
      <c r="M47" s="272"/>
      <c r="N47" s="272"/>
      <c r="O47" s="272"/>
      <c r="P47" s="272"/>
      <c r="Q47" s="272"/>
      <c r="R47" s="272"/>
      <c r="S47" s="272"/>
      <c r="T47" s="273"/>
      <c r="U47" s="274"/>
      <c r="V47" s="274"/>
      <c r="W47" s="274"/>
      <c r="X47" s="274"/>
      <c r="Y47" s="274"/>
      <c r="Z47" s="274"/>
      <c r="AA47" s="274"/>
      <c r="AB47" s="274"/>
      <c r="AC47" s="274"/>
      <c r="AD47" s="274"/>
      <c r="AE47" s="274"/>
      <c r="AF47" s="274"/>
      <c r="AG47" s="274"/>
      <c r="AH47" s="274"/>
      <c r="AI47" s="274"/>
      <c r="AJ47" s="274"/>
      <c r="AK47" s="274"/>
      <c r="AL47" s="274"/>
      <c r="AM47" s="274"/>
      <c r="AN47" s="274"/>
      <c r="AO47" s="274"/>
      <c r="AP47" s="274"/>
      <c r="AQ47" s="274"/>
      <c r="AR47" s="274"/>
      <c r="AS47" s="274"/>
      <c r="AT47" s="274"/>
      <c r="AU47" s="274"/>
      <c r="AV47" s="274"/>
      <c r="AW47" s="274"/>
      <c r="AX47" s="274"/>
      <c r="AY47" s="274"/>
      <c r="AZ47" s="275"/>
      <c r="BA47" s="276"/>
      <c r="BB47" s="274"/>
      <c r="BC47" s="274"/>
      <c r="BD47" s="274"/>
      <c r="BE47" s="274"/>
      <c r="BF47" s="273"/>
      <c r="BG47" s="275"/>
      <c r="BH47" s="275"/>
      <c r="BI47" s="277"/>
      <c r="DB47" s="264"/>
    </row>
    <row r="48" spans="1:116" ht="16.8" customHeight="1" x14ac:dyDescent="0.25">
      <c r="A48" s="328"/>
      <c r="B48" s="328"/>
      <c r="C48" s="328"/>
      <c r="D48" s="328"/>
      <c r="E48" s="328"/>
      <c r="F48" s="328"/>
      <c r="G48" s="270"/>
      <c r="H48" s="271"/>
      <c r="I48" s="272"/>
      <c r="J48" s="272"/>
      <c r="K48" s="272"/>
      <c r="L48" s="272"/>
      <c r="M48" s="272"/>
      <c r="N48" s="272"/>
      <c r="O48" s="272"/>
      <c r="P48" s="272"/>
      <c r="Q48" s="272"/>
      <c r="R48" s="272"/>
      <c r="S48" s="272"/>
      <c r="T48" s="273"/>
      <c r="U48" s="274"/>
      <c r="V48" s="274"/>
      <c r="W48" s="274"/>
      <c r="X48" s="274"/>
      <c r="Y48" s="274"/>
      <c r="Z48" s="274"/>
      <c r="AA48" s="274"/>
      <c r="AB48" s="274"/>
      <c r="AC48" s="274"/>
      <c r="AD48" s="274"/>
      <c r="AE48" s="274"/>
      <c r="AF48" s="274"/>
      <c r="AG48" s="274"/>
      <c r="AH48" s="274"/>
      <c r="AI48" s="274"/>
      <c r="AJ48" s="274"/>
      <c r="AK48" s="274"/>
      <c r="AL48" s="274"/>
      <c r="AM48" s="274"/>
      <c r="AN48" s="274"/>
      <c r="AO48" s="274"/>
      <c r="AP48" s="274"/>
      <c r="AQ48" s="274"/>
      <c r="AR48" s="274"/>
      <c r="AS48" s="274"/>
      <c r="AT48" s="274"/>
      <c r="AU48" s="274"/>
      <c r="AV48" s="274"/>
      <c r="AW48" s="274"/>
      <c r="AX48" s="274"/>
      <c r="AY48" s="274"/>
      <c r="AZ48" s="275"/>
      <c r="BA48" s="276"/>
      <c r="BB48" s="274"/>
      <c r="BC48" s="274"/>
      <c r="BD48" s="274"/>
      <c r="BE48" s="274"/>
      <c r="BF48" s="273"/>
      <c r="BG48" s="275"/>
      <c r="BH48" s="275"/>
      <c r="BI48" s="277"/>
      <c r="DB48" s="264"/>
    </row>
    <row r="49" spans="1:106" ht="12.6" customHeight="1" x14ac:dyDescent="0.25">
      <c r="A49" s="328"/>
      <c r="B49" s="328"/>
      <c r="C49" s="328"/>
      <c r="D49" s="328"/>
      <c r="E49" s="328"/>
      <c r="F49" s="328"/>
      <c r="G49" s="270"/>
      <c r="H49" s="271"/>
      <c r="I49" s="272"/>
      <c r="J49" s="272"/>
      <c r="K49" s="272"/>
      <c r="L49" s="272"/>
      <c r="M49" s="272"/>
      <c r="N49" s="272"/>
      <c r="O49" s="272"/>
      <c r="P49" s="272"/>
      <c r="Q49" s="272"/>
      <c r="R49" s="272"/>
      <c r="S49" s="272"/>
      <c r="T49" s="273"/>
      <c r="U49" s="274"/>
      <c r="V49" s="274"/>
      <c r="W49" s="274"/>
      <c r="X49" s="274"/>
      <c r="Y49" s="274"/>
      <c r="Z49" s="274"/>
      <c r="AA49" s="274"/>
      <c r="AB49" s="274"/>
      <c r="AC49" s="274"/>
      <c r="AD49" s="274"/>
      <c r="AE49" s="274"/>
      <c r="AF49" s="274"/>
      <c r="AG49" s="274"/>
      <c r="AH49" s="274"/>
      <c r="AI49" s="274"/>
      <c r="AJ49" s="274"/>
      <c r="AK49" s="274"/>
      <c r="AL49" s="274"/>
      <c r="AM49" s="274"/>
      <c r="AN49" s="274"/>
      <c r="AO49" s="274"/>
      <c r="AP49" s="274"/>
      <c r="AQ49" s="274"/>
      <c r="AR49" s="274"/>
      <c r="AS49" s="274"/>
      <c r="AT49" s="274"/>
      <c r="AU49" s="274"/>
      <c r="AV49" s="274"/>
      <c r="AW49" s="274"/>
      <c r="AX49" s="274"/>
      <c r="AY49" s="274"/>
      <c r="AZ49" s="275"/>
      <c r="BA49" s="276"/>
      <c r="BB49" s="274"/>
      <c r="BC49" s="274"/>
      <c r="BD49" s="274"/>
      <c r="BE49" s="274"/>
      <c r="BF49" s="273"/>
      <c r="BG49" s="275"/>
      <c r="BH49" s="275"/>
      <c r="BI49" s="277"/>
      <c r="DB49" s="264"/>
    </row>
    <row r="50" spans="1:106" ht="16.2" x14ac:dyDescent="0.35">
      <c r="A50" s="328" t="s">
        <v>565</v>
      </c>
      <c r="B50" s="328"/>
      <c r="C50" s="328"/>
      <c r="D50" s="328"/>
      <c r="E50" s="328"/>
      <c r="F50" s="328"/>
      <c r="DB50" s="264"/>
    </row>
    <row r="51" spans="1:106" ht="14.4" x14ac:dyDescent="0.25">
      <c r="A51" s="328" t="s">
        <v>552</v>
      </c>
      <c r="B51" s="328"/>
      <c r="C51" s="328"/>
      <c r="D51" s="328"/>
      <c r="E51" s="328"/>
      <c r="F51" s="328"/>
      <c r="DB51" s="264"/>
    </row>
    <row r="52" spans="1:106" ht="14.4" x14ac:dyDescent="0.25">
      <c r="A52" s="327" t="s">
        <v>547</v>
      </c>
      <c r="B52" s="328"/>
      <c r="C52" s="328"/>
      <c r="D52" s="328"/>
      <c r="E52" s="328"/>
      <c r="F52" s="328"/>
      <c r="DB52" s="264"/>
    </row>
    <row r="53" spans="1:106" ht="14.4" x14ac:dyDescent="0.25">
      <c r="A53" s="328"/>
      <c r="B53" s="328"/>
      <c r="C53" s="328"/>
      <c r="D53" s="328"/>
      <c r="E53" s="328"/>
      <c r="F53" s="328"/>
      <c r="DB53" s="264"/>
    </row>
    <row r="54" spans="1:106" ht="14.4" x14ac:dyDescent="0.25">
      <c r="A54" s="328"/>
      <c r="B54" s="328"/>
      <c r="C54" s="328"/>
      <c r="D54" s="328"/>
      <c r="E54" s="328"/>
      <c r="F54" s="328"/>
      <c r="DB54" s="264"/>
    </row>
    <row r="56" spans="1:106" ht="14.4" x14ac:dyDescent="0.25">
      <c r="DB56" s="264"/>
    </row>
    <row r="57" spans="1:106" ht="14.4" x14ac:dyDescent="0.25">
      <c r="DB57" s="264"/>
    </row>
    <row r="58" spans="1:106" ht="14.4" x14ac:dyDescent="0.25">
      <c r="DB58" s="264"/>
    </row>
    <row r="59" spans="1:106" ht="14.4" x14ac:dyDescent="0.25">
      <c r="DB59" s="266"/>
    </row>
    <row r="60" spans="1:106" ht="14.4" x14ac:dyDescent="0.25">
      <c r="DB60" s="266"/>
    </row>
    <row r="61" spans="1:106" ht="14.4" x14ac:dyDescent="0.25">
      <c r="DB61" s="266"/>
    </row>
    <row r="62" spans="1:106" ht="14.4" x14ac:dyDescent="0.25">
      <c r="DB62" s="266"/>
    </row>
    <row r="63" spans="1:106" ht="14.4" x14ac:dyDescent="0.25">
      <c r="DB63" s="266"/>
    </row>
    <row r="64" spans="1:106" ht="14.4" x14ac:dyDescent="0.25">
      <c r="DB64" s="266"/>
    </row>
    <row r="65" spans="106:106" ht="14.4" x14ac:dyDescent="0.25">
      <c r="DB65" s="264"/>
    </row>
    <row r="66" spans="106:106" ht="14.4" x14ac:dyDescent="0.25">
      <c r="DB66" s="264"/>
    </row>
    <row r="67" spans="106:106" ht="14.4" x14ac:dyDescent="0.25">
      <c r="DB67" s="266"/>
    </row>
    <row r="68" spans="106:106" ht="14.4" x14ac:dyDescent="0.25">
      <c r="DB68" s="264"/>
    </row>
    <row r="69" spans="106:106" ht="14.4" x14ac:dyDescent="0.25">
      <c r="DB69" s="264"/>
    </row>
    <row r="70" spans="106:106" ht="14.4" x14ac:dyDescent="0.25">
      <c r="DB70" s="264"/>
    </row>
    <row r="71" spans="106:106" ht="14.4" x14ac:dyDescent="0.25">
      <c r="DB71" s="264"/>
    </row>
    <row r="72" spans="106:106" ht="14.4" x14ac:dyDescent="0.25">
      <c r="DB72" s="264"/>
    </row>
    <row r="73" spans="106:106" ht="14.4" x14ac:dyDescent="0.25">
      <c r="DB73" s="264"/>
    </row>
    <row r="74" spans="106:106" x14ac:dyDescent="0.25">
      <c r="DB74" s="265"/>
    </row>
    <row r="75" spans="106:106" x14ac:dyDescent="0.25">
      <c r="DB75" s="285"/>
    </row>
    <row r="76" spans="106:106" x14ac:dyDescent="0.25">
      <c r="DB76" s="285"/>
    </row>
    <row r="77" spans="106:106" x14ac:dyDescent="0.25">
      <c r="DB77" s="285"/>
    </row>
    <row r="78" spans="106:106" x14ac:dyDescent="0.25">
      <c r="DB78" s="285"/>
    </row>
    <row r="79" spans="106:106" x14ac:dyDescent="0.25">
      <c r="DB79" s="285"/>
    </row>
    <row r="80" spans="106:106" x14ac:dyDescent="0.25">
      <c r="DB80" s="285"/>
    </row>
    <row r="81" spans="106:106" x14ac:dyDescent="0.25">
      <c r="DB81" s="285"/>
    </row>
    <row r="82" spans="106:106" x14ac:dyDescent="0.25">
      <c r="DB82" s="285"/>
    </row>
    <row r="83" spans="106:106" x14ac:dyDescent="0.25">
      <c r="DB83" s="285"/>
    </row>
    <row r="84" spans="106:106" x14ac:dyDescent="0.25">
      <c r="DB84" s="285"/>
    </row>
  </sheetData>
  <mergeCells count="20">
    <mergeCell ref="A1:DL1"/>
    <mergeCell ref="H2:S2"/>
    <mergeCell ref="A2:F2"/>
    <mergeCell ref="A47:F49"/>
    <mergeCell ref="CC2:CF3"/>
    <mergeCell ref="T2:BT2"/>
    <mergeCell ref="A52:F54"/>
    <mergeCell ref="A43:DL44"/>
    <mergeCell ref="A50:F50"/>
    <mergeCell ref="A51:F51"/>
    <mergeCell ref="BW2:BZ3"/>
    <mergeCell ref="CA2:CB3"/>
    <mergeCell ref="F3:F4"/>
    <mergeCell ref="E3:E4"/>
    <mergeCell ref="D3:D4"/>
    <mergeCell ref="C3:C4"/>
    <mergeCell ref="B3:B4"/>
    <mergeCell ref="A3:A4"/>
    <mergeCell ref="A45:F45"/>
    <mergeCell ref="A46:F46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J1165"/>
  <sheetViews>
    <sheetView topLeftCell="A1124" workbookViewId="0">
      <selection activeCell="A1111" sqref="A1111:I1190"/>
    </sheetView>
  </sheetViews>
  <sheetFormatPr defaultRowHeight="13.2" x14ac:dyDescent="0.25"/>
  <cols>
    <col min="1" max="1" width="21.109375" customWidth="1"/>
    <col min="2" max="2" width="22.6640625" customWidth="1"/>
    <col min="3" max="3" width="30.6640625" customWidth="1"/>
    <col min="4" max="5" width="13.5546875" customWidth="1"/>
    <col min="6" max="7" width="9.44140625" customWidth="1"/>
    <col min="9" max="9" width="10" bestFit="1" customWidth="1"/>
    <col min="10" max="10" width="10.5546875" bestFit="1" customWidth="1"/>
  </cols>
  <sheetData>
    <row r="2" spans="1:3" ht="13.8" x14ac:dyDescent="0.3">
      <c r="A2" t="s">
        <v>5</v>
      </c>
    </row>
    <row r="5" spans="1:3" ht="16.8" x14ac:dyDescent="0.3">
      <c r="A5" t="s">
        <v>86</v>
      </c>
    </row>
    <row r="7" spans="1:3" ht="18" customHeight="1" thickBot="1" x14ac:dyDescent="0.3">
      <c r="A7" s="406" t="s">
        <v>87</v>
      </c>
      <c r="B7" s="429"/>
      <c r="C7" s="429"/>
    </row>
    <row r="8" spans="1:3" ht="14.1" customHeight="1" x14ac:dyDescent="0.25">
      <c r="A8" s="449" t="s">
        <v>88</v>
      </c>
      <c r="B8" s="422"/>
      <c r="C8" s="11" t="s">
        <v>6</v>
      </c>
    </row>
    <row r="9" spans="1:3" ht="14.1" customHeight="1" x14ac:dyDescent="0.25">
      <c r="A9" s="448" t="s">
        <v>89</v>
      </c>
      <c r="B9" s="424"/>
      <c r="C9" s="12" t="s">
        <v>90</v>
      </c>
    </row>
    <row r="10" spans="1:3" ht="14.1" customHeight="1" x14ac:dyDescent="0.25">
      <c r="A10" s="444" t="s">
        <v>91</v>
      </c>
      <c r="B10" s="13" t="s">
        <v>92</v>
      </c>
      <c r="C10" s="12" t="s">
        <v>170</v>
      </c>
    </row>
    <row r="11" spans="1:3" ht="14.1" customHeight="1" x14ac:dyDescent="0.25">
      <c r="A11" s="425"/>
      <c r="B11" s="13" t="s">
        <v>94</v>
      </c>
      <c r="C11" s="12" t="s">
        <v>95</v>
      </c>
    </row>
    <row r="12" spans="1:3" ht="14.1" customHeight="1" x14ac:dyDescent="0.25">
      <c r="A12" s="425"/>
      <c r="B12" s="13" t="s">
        <v>96</v>
      </c>
      <c r="C12" s="12" t="s">
        <v>95</v>
      </c>
    </row>
    <row r="13" spans="1:3" ht="14.1" customHeight="1" x14ac:dyDescent="0.25">
      <c r="A13" s="425"/>
      <c r="B13" s="13" t="s">
        <v>97</v>
      </c>
      <c r="C13" s="12" t="s">
        <v>95</v>
      </c>
    </row>
    <row r="14" spans="1:3" ht="24" customHeight="1" x14ac:dyDescent="0.25">
      <c r="A14" s="425"/>
      <c r="B14" s="13" t="s">
        <v>98</v>
      </c>
      <c r="C14" s="14">
        <v>58</v>
      </c>
    </row>
    <row r="15" spans="1:3" ht="24" customHeight="1" x14ac:dyDescent="0.25">
      <c r="A15" s="444" t="s">
        <v>99</v>
      </c>
      <c r="B15" s="13" t="s">
        <v>100</v>
      </c>
      <c r="C15" s="12" t="s">
        <v>101</v>
      </c>
    </row>
    <row r="16" spans="1:3" ht="33.9" customHeight="1" x14ac:dyDescent="0.25">
      <c r="A16" s="425"/>
      <c r="B16" s="13" t="s">
        <v>102</v>
      </c>
      <c r="C16" s="12" t="s">
        <v>103</v>
      </c>
    </row>
    <row r="17" spans="1:5" ht="101.1" customHeight="1" x14ac:dyDescent="0.25">
      <c r="A17" s="448" t="s">
        <v>104</v>
      </c>
      <c r="B17" s="424"/>
      <c r="C17" s="12" t="s">
        <v>7</v>
      </c>
    </row>
    <row r="18" spans="1:5" ht="14.1" customHeight="1" thickBot="1" x14ac:dyDescent="0.3">
      <c r="A18" s="445" t="s">
        <v>105</v>
      </c>
      <c r="B18" s="13" t="s">
        <v>106</v>
      </c>
      <c r="C18" s="15" t="s">
        <v>8</v>
      </c>
    </row>
    <row r="19" spans="1:5" ht="14.1" customHeight="1" x14ac:dyDescent="0.25">
      <c r="A19" s="425"/>
      <c r="B19" s="13" t="s">
        <v>108</v>
      </c>
      <c r="C19" s="15" t="s">
        <v>151</v>
      </c>
    </row>
    <row r="20" spans="1:5" ht="14.1" customHeight="1" x14ac:dyDescent="0.25">
      <c r="A20" s="425"/>
      <c r="B20" s="13" t="s">
        <v>109</v>
      </c>
      <c r="C20" s="12" t="s">
        <v>9</v>
      </c>
    </row>
    <row r="21" spans="1:5" ht="33.9" customHeight="1" thickBot="1" x14ac:dyDescent="0.3">
      <c r="A21" s="426"/>
      <c r="B21" s="16" t="s">
        <v>110</v>
      </c>
      <c r="C21" s="17" t="s">
        <v>111</v>
      </c>
    </row>
    <row r="24" spans="1:5" ht="13.8" x14ac:dyDescent="0.3">
      <c r="A24" t="s">
        <v>171</v>
      </c>
    </row>
    <row r="26" spans="1:5" ht="18" customHeight="1" thickBot="1" x14ac:dyDescent="0.3">
      <c r="A26" s="374" t="s">
        <v>112</v>
      </c>
      <c r="B26" s="409"/>
      <c r="C26" s="409"/>
      <c r="D26" s="409"/>
    </row>
    <row r="27" spans="1:5" ht="24.9" customHeight="1" thickBot="1" x14ac:dyDescent="0.3">
      <c r="A27" s="18" t="s">
        <v>113</v>
      </c>
      <c r="B27" s="19" t="s">
        <v>114</v>
      </c>
      <c r="C27" s="20" t="s">
        <v>115</v>
      </c>
      <c r="D27" s="21" t="s">
        <v>116</v>
      </c>
    </row>
    <row r="28" spans="1:5" ht="24" customHeight="1" thickBot="1" x14ac:dyDescent="0.3">
      <c r="A28" s="22">
        <v>1</v>
      </c>
      <c r="B28" s="23" t="s">
        <v>3</v>
      </c>
      <c r="C28" s="24" t="s">
        <v>117</v>
      </c>
      <c r="D28" s="25" t="s">
        <v>118</v>
      </c>
    </row>
    <row r="29" spans="1:5" ht="15" customHeight="1" x14ac:dyDescent="0.25">
      <c r="A29" s="370" t="s">
        <v>158</v>
      </c>
      <c r="B29" s="409"/>
      <c r="C29" s="409"/>
      <c r="D29" s="409"/>
    </row>
    <row r="31" spans="1:5" ht="18" customHeight="1" thickBot="1" x14ac:dyDescent="0.3">
      <c r="A31" s="374" t="s">
        <v>119</v>
      </c>
      <c r="B31" s="409"/>
      <c r="C31" s="409"/>
      <c r="D31" s="409"/>
      <c r="E31" s="409"/>
    </row>
    <row r="32" spans="1:5" ht="24.9" customHeight="1" thickBot="1" x14ac:dyDescent="0.3">
      <c r="A32" s="18" t="s">
        <v>113</v>
      </c>
      <c r="B32" s="19" t="s">
        <v>120</v>
      </c>
      <c r="C32" s="20" t="s">
        <v>121</v>
      </c>
      <c r="D32" s="20" t="s">
        <v>122</v>
      </c>
      <c r="E32" s="21" t="s">
        <v>123</v>
      </c>
    </row>
    <row r="33" spans="1:7" ht="14.1" customHeight="1" thickBot="1" x14ac:dyDescent="0.3">
      <c r="A33" s="22">
        <v>1</v>
      </c>
      <c r="B33" s="26" t="s">
        <v>10</v>
      </c>
      <c r="C33" s="27">
        <v>0.89691692941955403</v>
      </c>
      <c r="D33" s="27">
        <v>0.88008704034519547</v>
      </c>
      <c r="E33" s="50">
        <v>190.85507244541111</v>
      </c>
    </row>
    <row r="34" spans="1:7" ht="15" customHeight="1" x14ac:dyDescent="0.25">
      <c r="A34" s="370" t="s">
        <v>4</v>
      </c>
      <c r="B34" s="409"/>
      <c r="C34" s="409"/>
      <c r="D34" s="409"/>
      <c r="E34" s="409"/>
    </row>
    <row r="36" spans="1:7" ht="20.100000000000001" customHeight="1" thickBot="1" x14ac:dyDescent="0.3">
      <c r="A36" s="410" t="s">
        <v>124</v>
      </c>
      <c r="B36" s="405"/>
      <c r="C36" s="405"/>
      <c r="D36" s="405"/>
      <c r="E36" s="405"/>
      <c r="F36" s="405"/>
      <c r="G36" s="405"/>
    </row>
    <row r="37" spans="1:7" ht="24.9" customHeight="1" thickBot="1" x14ac:dyDescent="0.3">
      <c r="A37" s="358" t="s">
        <v>113</v>
      </c>
      <c r="B37" s="412"/>
      <c r="C37" s="19" t="s">
        <v>125</v>
      </c>
      <c r="D37" s="20" t="s">
        <v>126</v>
      </c>
      <c r="E37" s="20" t="s">
        <v>127</v>
      </c>
      <c r="F37" s="20" t="s">
        <v>128</v>
      </c>
      <c r="G37" s="21" t="s">
        <v>129</v>
      </c>
    </row>
    <row r="38" spans="1:7" ht="14.1" customHeight="1" thickBot="1" x14ac:dyDescent="0.3">
      <c r="A38" s="368">
        <v>1</v>
      </c>
      <c r="B38" s="28" t="s">
        <v>130</v>
      </c>
      <c r="C38" s="53">
        <v>15529889.609771</v>
      </c>
      <c r="D38" s="30">
        <v>8</v>
      </c>
      <c r="E38" s="54">
        <v>1941236.201221375</v>
      </c>
      <c r="F38" s="31">
        <v>53.293098098077621</v>
      </c>
      <c r="G38" s="55" t="s">
        <v>131</v>
      </c>
    </row>
    <row r="39" spans="1:7" ht="14.1" customHeight="1" x14ac:dyDescent="0.25">
      <c r="A39" s="403"/>
      <c r="B39" s="13" t="s">
        <v>132</v>
      </c>
      <c r="C39" s="57">
        <v>1784857.2752290133</v>
      </c>
      <c r="D39" s="34">
        <v>49</v>
      </c>
      <c r="E39" s="35">
        <v>36425.658678143125</v>
      </c>
      <c r="F39" s="36"/>
      <c r="G39" s="37"/>
    </row>
    <row r="40" spans="1:7" ht="14.1" customHeight="1" thickBot="1" x14ac:dyDescent="0.3">
      <c r="A40" s="404"/>
      <c r="B40" s="16" t="s">
        <v>133</v>
      </c>
      <c r="C40" s="56">
        <v>17314746.885000013</v>
      </c>
      <c r="D40" s="39">
        <v>57</v>
      </c>
      <c r="E40" s="40"/>
      <c r="F40" s="40"/>
      <c r="G40" s="41"/>
    </row>
    <row r="41" spans="1:7" ht="15" customHeight="1" x14ac:dyDescent="0.25">
      <c r="A41" s="370" t="s">
        <v>4</v>
      </c>
      <c r="B41" s="405"/>
      <c r="C41" s="405"/>
      <c r="D41" s="405"/>
      <c r="E41" s="405"/>
      <c r="F41" s="405"/>
      <c r="G41" s="405"/>
    </row>
    <row r="42" spans="1:7" ht="15" customHeight="1" x14ac:dyDescent="0.25">
      <c r="A42" s="370" t="s">
        <v>165</v>
      </c>
      <c r="B42" s="405"/>
      <c r="C42" s="405"/>
      <c r="D42" s="405"/>
      <c r="E42" s="405"/>
      <c r="F42" s="405"/>
      <c r="G42" s="405"/>
    </row>
    <row r="44" spans="1:7" ht="20.100000000000001" customHeight="1" thickBot="1" x14ac:dyDescent="0.3">
      <c r="A44" s="410" t="s">
        <v>135</v>
      </c>
      <c r="B44" s="405"/>
      <c r="C44" s="405"/>
      <c r="D44" s="405"/>
      <c r="E44" s="405"/>
      <c r="F44" s="405"/>
      <c r="G44" s="405"/>
    </row>
    <row r="45" spans="1:7" ht="24.9" customHeight="1" thickBot="1" x14ac:dyDescent="0.3">
      <c r="A45" s="358" t="s">
        <v>113</v>
      </c>
      <c r="B45" s="413"/>
      <c r="C45" s="362" t="s">
        <v>136</v>
      </c>
      <c r="D45" s="416"/>
      <c r="E45" s="42" t="s">
        <v>137</v>
      </c>
      <c r="F45" s="364" t="s">
        <v>138</v>
      </c>
      <c r="G45" s="366" t="s">
        <v>129</v>
      </c>
    </row>
    <row r="46" spans="1:7" ht="15" customHeight="1" thickBot="1" x14ac:dyDescent="0.3">
      <c r="A46" s="404"/>
      <c r="B46" s="414"/>
      <c r="C46" s="43" t="s">
        <v>139</v>
      </c>
      <c r="D46" s="44" t="s">
        <v>140</v>
      </c>
      <c r="E46" s="44" t="s">
        <v>141</v>
      </c>
      <c r="F46" s="418"/>
      <c r="G46" s="420"/>
    </row>
    <row r="47" spans="1:7" ht="14.1" customHeight="1" thickBot="1" x14ac:dyDescent="0.3">
      <c r="A47" s="368">
        <v>1</v>
      </c>
      <c r="B47" s="28" t="s">
        <v>142</v>
      </c>
      <c r="C47" s="29">
        <v>118111.99999908578</v>
      </c>
      <c r="D47" s="31">
        <v>29043.666169957294</v>
      </c>
      <c r="E47" s="45"/>
      <c r="F47" s="31">
        <v>4.0667042276246992</v>
      </c>
      <c r="G47" s="46">
        <v>1.7255240979455349E-4</v>
      </c>
    </row>
    <row r="48" spans="1:7" ht="14.1" customHeight="1" x14ac:dyDescent="0.25">
      <c r="A48" s="403"/>
      <c r="B48" s="13" t="s">
        <v>143</v>
      </c>
      <c r="C48" s="33">
        <v>-9352.6519579476881</v>
      </c>
      <c r="D48" s="35">
        <v>2252.939223070256</v>
      </c>
      <c r="E48" s="35">
        <v>-4.7827769083650926</v>
      </c>
      <c r="F48" s="35">
        <v>-4.1513112569464257</v>
      </c>
      <c r="G48" s="47">
        <v>1.3146073204031128E-4</v>
      </c>
    </row>
    <row r="49" spans="1:7" ht="14.1" customHeight="1" x14ac:dyDescent="0.25">
      <c r="A49" s="403"/>
      <c r="B49" s="13" t="s">
        <v>144</v>
      </c>
      <c r="C49" s="33">
        <v>-10956.644472227552</v>
      </c>
      <c r="D49" s="35">
        <v>2198.9740358349986</v>
      </c>
      <c r="E49" s="35">
        <v>-2.3784155205413424</v>
      </c>
      <c r="F49" s="35">
        <v>-4.9826165719446855</v>
      </c>
      <c r="G49" s="47">
        <v>8.2112098154845358E-6</v>
      </c>
    </row>
    <row r="50" spans="1:7" ht="14.1" customHeight="1" x14ac:dyDescent="0.25">
      <c r="A50" s="403"/>
      <c r="B50" s="13" t="s">
        <v>145</v>
      </c>
      <c r="C50" s="33">
        <v>-8265.5501893536039</v>
      </c>
      <c r="D50" s="35">
        <v>2214.0627453205584</v>
      </c>
      <c r="E50" s="35">
        <v>-5.3633668625604862</v>
      </c>
      <c r="F50" s="35">
        <v>-3.7332050353238269</v>
      </c>
      <c r="G50" s="47">
        <v>4.9263479533706545E-4</v>
      </c>
    </row>
    <row r="51" spans="1:7" ht="14.1" customHeight="1" x14ac:dyDescent="0.25">
      <c r="A51" s="403"/>
      <c r="B51" s="13" t="s">
        <v>146</v>
      </c>
      <c r="C51" s="33">
        <v>-8817.6976077473173</v>
      </c>
      <c r="D51" s="35">
        <v>2254.8855205068494</v>
      </c>
      <c r="E51" s="35">
        <v>-5.0669788711674002</v>
      </c>
      <c r="F51" s="35">
        <v>-3.9104857109399016</v>
      </c>
      <c r="G51" s="47">
        <v>2.8340355324717723E-4</v>
      </c>
    </row>
    <row r="52" spans="1:7" ht="14.1" customHeight="1" x14ac:dyDescent="0.25">
      <c r="A52" s="403"/>
      <c r="B52" s="13" t="s">
        <v>150</v>
      </c>
      <c r="C52" s="33">
        <v>-8620.5092697872624</v>
      </c>
      <c r="D52" s="35">
        <v>2221.3589616958511</v>
      </c>
      <c r="E52" s="35">
        <v>-5.2769426149854963</v>
      </c>
      <c r="F52" s="35">
        <v>-3.8807367104711932</v>
      </c>
      <c r="G52" s="47">
        <v>3.1119810745561819E-4</v>
      </c>
    </row>
    <row r="53" spans="1:7" ht="14.1" customHeight="1" x14ac:dyDescent="0.25">
      <c r="A53" s="403"/>
      <c r="B53" s="13" t="s">
        <v>147</v>
      </c>
      <c r="C53" s="33">
        <v>-1165.1813990268645</v>
      </c>
      <c r="D53" s="35">
        <v>345.05560074612305</v>
      </c>
      <c r="E53" s="35">
        <v>-0.17059679888331455</v>
      </c>
      <c r="F53" s="35">
        <v>-3.3767931791495669</v>
      </c>
      <c r="G53" s="47">
        <v>1.4436056068964282E-3</v>
      </c>
    </row>
    <row r="54" spans="1:7" ht="14.1" customHeight="1" x14ac:dyDescent="0.25">
      <c r="A54" s="403"/>
      <c r="B54" s="13" t="s">
        <v>148</v>
      </c>
      <c r="C54" s="33">
        <v>1218.4665616659993</v>
      </c>
      <c r="D54" s="35">
        <v>526.3520242579915</v>
      </c>
      <c r="E54" s="35">
        <v>0.28642514318307072</v>
      </c>
      <c r="F54" s="35">
        <v>2.3149270934859514</v>
      </c>
      <c r="G54" s="47">
        <v>2.4848325955208132E-2</v>
      </c>
    </row>
    <row r="55" spans="1:7" ht="14.1" customHeight="1" thickBot="1" x14ac:dyDescent="0.3">
      <c r="A55" s="404"/>
      <c r="B55" s="16" t="s">
        <v>149</v>
      </c>
      <c r="C55" s="38">
        <v>3327.4982906156929</v>
      </c>
      <c r="D55" s="48">
        <v>530.99327421072553</v>
      </c>
      <c r="E55" s="48">
        <v>0.41970236966913754</v>
      </c>
      <c r="F55" s="48">
        <v>6.2665544974401497</v>
      </c>
      <c r="G55" s="49">
        <v>9.0752026709078444E-8</v>
      </c>
    </row>
    <row r="56" spans="1:7" ht="15" customHeight="1" x14ac:dyDescent="0.25">
      <c r="A56" s="370" t="s">
        <v>166</v>
      </c>
      <c r="B56" s="405"/>
      <c r="C56" s="405"/>
      <c r="D56" s="405"/>
      <c r="E56" s="405"/>
      <c r="F56" s="405"/>
      <c r="G56" s="405"/>
    </row>
    <row r="59" spans="1:7" ht="13.8" x14ac:dyDescent="0.3">
      <c r="A59" t="s">
        <v>11</v>
      </c>
    </row>
    <row r="62" spans="1:7" ht="16.8" x14ac:dyDescent="0.3">
      <c r="A62" t="s">
        <v>86</v>
      </c>
    </row>
    <row r="64" spans="1:7" ht="18" customHeight="1" thickBot="1" x14ac:dyDescent="0.3">
      <c r="A64" s="406" t="s">
        <v>87</v>
      </c>
      <c r="B64" s="429"/>
      <c r="C64" s="429"/>
    </row>
    <row r="65" spans="1:3" ht="14.1" customHeight="1" x14ac:dyDescent="0.25">
      <c r="A65" s="449" t="s">
        <v>88</v>
      </c>
      <c r="B65" s="422"/>
      <c r="C65" s="11" t="s">
        <v>12</v>
      </c>
    </row>
    <row r="66" spans="1:3" ht="14.1" customHeight="1" x14ac:dyDescent="0.25">
      <c r="A66" s="448" t="s">
        <v>89</v>
      </c>
      <c r="B66" s="424"/>
      <c r="C66" s="12" t="s">
        <v>90</v>
      </c>
    </row>
    <row r="67" spans="1:3" ht="14.1" customHeight="1" x14ac:dyDescent="0.25">
      <c r="A67" s="444" t="s">
        <v>91</v>
      </c>
      <c r="B67" s="13" t="s">
        <v>92</v>
      </c>
      <c r="C67" s="12" t="s">
        <v>93</v>
      </c>
    </row>
    <row r="68" spans="1:3" ht="14.1" customHeight="1" x14ac:dyDescent="0.25">
      <c r="A68" s="425"/>
      <c r="B68" s="13" t="s">
        <v>94</v>
      </c>
      <c r="C68" s="12" t="s">
        <v>95</v>
      </c>
    </row>
    <row r="69" spans="1:3" ht="14.1" customHeight="1" x14ac:dyDescent="0.25">
      <c r="A69" s="425"/>
      <c r="B69" s="13" t="s">
        <v>96</v>
      </c>
      <c r="C69" s="12" t="s">
        <v>95</v>
      </c>
    </row>
    <row r="70" spans="1:3" ht="14.1" customHeight="1" x14ac:dyDescent="0.25">
      <c r="A70" s="425"/>
      <c r="B70" s="13" t="s">
        <v>97</v>
      </c>
      <c r="C70" s="12" t="s">
        <v>95</v>
      </c>
    </row>
    <row r="71" spans="1:3" ht="24" customHeight="1" x14ac:dyDescent="0.25">
      <c r="A71" s="425"/>
      <c r="B71" s="13" t="s">
        <v>98</v>
      </c>
      <c r="C71" s="14">
        <v>58</v>
      </c>
    </row>
    <row r="72" spans="1:3" ht="24" customHeight="1" x14ac:dyDescent="0.25">
      <c r="A72" s="444" t="s">
        <v>99</v>
      </c>
      <c r="B72" s="13" t="s">
        <v>100</v>
      </c>
      <c r="C72" s="12" t="s">
        <v>101</v>
      </c>
    </row>
    <row r="73" spans="1:3" ht="33.9" customHeight="1" x14ac:dyDescent="0.25">
      <c r="A73" s="425"/>
      <c r="B73" s="13" t="s">
        <v>102</v>
      </c>
      <c r="C73" s="12" t="s">
        <v>103</v>
      </c>
    </row>
    <row r="74" spans="1:3" ht="101.1" customHeight="1" x14ac:dyDescent="0.25">
      <c r="A74" s="448" t="s">
        <v>104</v>
      </c>
      <c r="B74" s="424"/>
      <c r="C74" s="12" t="s">
        <v>13</v>
      </c>
    </row>
    <row r="75" spans="1:3" ht="14.1" customHeight="1" thickBot="1" x14ac:dyDescent="0.3">
      <c r="A75" s="445" t="s">
        <v>105</v>
      </c>
      <c r="B75" s="13" t="s">
        <v>106</v>
      </c>
      <c r="C75" s="15" t="s">
        <v>8</v>
      </c>
    </row>
    <row r="76" spans="1:3" ht="14.1" customHeight="1" x14ac:dyDescent="0.25">
      <c r="A76" s="425"/>
      <c r="B76" s="13" t="s">
        <v>108</v>
      </c>
      <c r="C76" s="15" t="s">
        <v>169</v>
      </c>
    </row>
    <row r="77" spans="1:3" ht="14.1" customHeight="1" x14ac:dyDescent="0.25">
      <c r="A77" s="425"/>
      <c r="B77" s="13" t="s">
        <v>109</v>
      </c>
      <c r="C77" s="12" t="s">
        <v>9</v>
      </c>
    </row>
    <row r="78" spans="1:3" ht="33.9" customHeight="1" thickBot="1" x14ac:dyDescent="0.3">
      <c r="A78" s="426"/>
      <c r="B78" s="16" t="s">
        <v>110</v>
      </c>
      <c r="C78" s="17" t="s">
        <v>111</v>
      </c>
    </row>
    <row r="81" spans="1:7" ht="13.8" x14ac:dyDescent="0.3">
      <c r="A81" t="s">
        <v>24</v>
      </c>
    </row>
    <row r="83" spans="1:7" ht="18" customHeight="1" thickBot="1" x14ac:dyDescent="0.3">
      <c r="A83" s="374" t="s">
        <v>112</v>
      </c>
      <c r="B83" s="409"/>
      <c r="C83" s="409"/>
      <c r="D83" s="409"/>
    </row>
    <row r="84" spans="1:7" ht="24.9" customHeight="1" thickBot="1" x14ac:dyDescent="0.3">
      <c r="A84" s="18" t="s">
        <v>113</v>
      </c>
      <c r="B84" s="19" t="s">
        <v>114</v>
      </c>
      <c r="C84" s="20" t="s">
        <v>115</v>
      </c>
      <c r="D84" s="21" t="s">
        <v>116</v>
      </c>
    </row>
    <row r="85" spans="1:7" ht="24" customHeight="1" thickBot="1" x14ac:dyDescent="0.3">
      <c r="A85" s="22">
        <v>1</v>
      </c>
      <c r="B85" s="23" t="s">
        <v>25</v>
      </c>
      <c r="C85" s="24" t="s">
        <v>117</v>
      </c>
      <c r="D85" s="25" t="s">
        <v>118</v>
      </c>
    </row>
    <row r="86" spans="1:7" ht="15" customHeight="1" x14ac:dyDescent="0.25">
      <c r="A86" s="370" t="s">
        <v>158</v>
      </c>
      <c r="B86" s="409"/>
      <c r="C86" s="409"/>
      <c r="D86" s="409"/>
    </row>
    <row r="88" spans="1:7" ht="18" customHeight="1" thickBot="1" x14ac:dyDescent="0.3">
      <c r="A88" s="374" t="s">
        <v>119</v>
      </c>
      <c r="B88" s="409"/>
      <c r="C88" s="409"/>
      <c r="D88" s="409"/>
      <c r="E88" s="409"/>
    </row>
    <row r="89" spans="1:7" ht="24.9" customHeight="1" thickBot="1" x14ac:dyDescent="0.3">
      <c r="A89" s="18" t="s">
        <v>113</v>
      </c>
      <c r="B89" s="19" t="s">
        <v>120</v>
      </c>
      <c r="C89" s="20" t="s">
        <v>121</v>
      </c>
      <c r="D89" s="20" t="s">
        <v>122</v>
      </c>
      <c r="E89" s="21" t="s">
        <v>123</v>
      </c>
    </row>
    <row r="90" spans="1:7" ht="14.1" customHeight="1" thickBot="1" x14ac:dyDescent="0.3">
      <c r="A90" s="22">
        <v>1</v>
      </c>
      <c r="B90" s="26" t="s">
        <v>27</v>
      </c>
      <c r="C90" s="27">
        <v>0.94534602622800412</v>
      </c>
      <c r="D90" s="27">
        <v>0.93693772257077401</v>
      </c>
      <c r="E90" s="52">
        <v>0.20563707317237823</v>
      </c>
    </row>
    <row r="91" spans="1:7" ht="15" customHeight="1" x14ac:dyDescent="0.25">
      <c r="A91" s="370" t="s">
        <v>26</v>
      </c>
      <c r="B91" s="409"/>
      <c r="C91" s="409"/>
      <c r="D91" s="409"/>
      <c r="E91" s="409"/>
    </row>
    <row r="93" spans="1:7" ht="20.100000000000001" customHeight="1" thickBot="1" x14ac:dyDescent="0.3">
      <c r="A93" s="410" t="s">
        <v>124</v>
      </c>
      <c r="B93" s="405"/>
      <c r="C93" s="405"/>
      <c r="D93" s="405"/>
      <c r="E93" s="405"/>
      <c r="F93" s="405"/>
      <c r="G93" s="405"/>
    </row>
    <row r="94" spans="1:7" ht="24.9" customHeight="1" thickBot="1" x14ac:dyDescent="0.3">
      <c r="A94" s="358" t="s">
        <v>113</v>
      </c>
      <c r="B94" s="412"/>
      <c r="C94" s="19" t="s">
        <v>125</v>
      </c>
      <c r="D94" s="20" t="s">
        <v>126</v>
      </c>
      <c r="E94" s="20" t="s">
        <v>127</v>
      </c>
      <c r="F94" s="20" t="s">
        <v>128</v>
      </c>
      <c r="G94" s="21" t="s">
        <v>129</v>
      </c>
    </row>
    <row r="95" spans="1:7" ht="14.1" customHeight="1" thickBot="1" x14ac:dyDescent="0.3">
      <c r="A95" s="368">
        <v>1</v>
      </c>
      <c r="B95" s="28" t="s">
        <v>130</v>
      </c>
      <c r="C95" s="29">
        <v>38.034282723165106</v>
      </c>
      <c r="D95" s="30">
        <v>8</v>
      </c>
      <c r="E95" s="31">
        <v>4.7542853403956382</v>
      </c>
      <c r="F95" s="31">
        <v>112.43005304822915</v>
      </c>
      <c r="G95" s="32" t="s">
        <v>131</v>
      </c>
    </row>
    <row r="96" spans="1:7" ht="14.1" customHeight="1" x14ac:dyDescent="0.25">
      <c r="A96" s="403"/>
      <c r="B96" s="13" t="s">
        <v>132</v>
      </c>
      <c r="C96" s="33">
        <v>2.198903504870906</v>
      </c>
      <c r="D96" s="34">
        <v>52</v>
      </c>
      <c r="E96" s="35">
        <v>4.2286605862902039E-2</v>
      </c>
      <c r="F96" s="36"/>
      <c r="G96" s="37"/>
    </row>
    <row r="97" spans="1:7" ht="14.1" customHeight="1" thickBot="1" x14ac:dyDescent="0.3">
      <c r="A97" s="404"/>
      <c r="B97" s="16" t="s">
        <v>133</v>
      </c>
      <c r="C97" s="38">
        <v>40.233186228036011</v>
      </c>
      <c r="D97" s="39">
        <v>60</v>
      </c>
      <c r="E97" s="40"/>
      <c r="F97" s="40"/>
      <c r="G97" s="41"/>
    </row>
    <row r="98" spans="1:7" ht="15" customHeight="1" x14ac:dyDescent="0.25">
      <c r="A98" s="370" t="s">
        <v>26</v>
      </c>
      <c r="B98" s="405"/>
      <c r="C98" s="405"/>
      <c r="D98" s="405"/>
      <c r="E98" s="405"/>
      <c r="F98" s="405"/>
      <c r="G98" s="405"/>
    </row>
    <row r="99" spans="1:7" ht="15" customHeight="1" x14ac:dyDescent="0.25">
      <c r="A99" s="370" t="s">
        <v>159</v>
      </c>
      <c r="B99" s="405"/>
      <c r="C99" s="405"/>
      <c r="D99" s="405"/>
      <c r="E99" s="405"/>
      <c r="F99" s="405"/>
      <c r="G99" s="405"/>
    </row>
    <row r="101" spans="1:7" ht="20.100000000000001" customHeight="1" thickBot="1" x14ac:dyDescent="0.3">
      <c r="A101" s="410" t="s">
        <v>135</v>
      </c>
      <c r="B101" s="405"/>
      <c r="C101" s="405"/>
      <c r="D101" s="405"/>
      <c r="E101" s="405"/>
      <c r="F101" s="405"/>
      <c r="G101" s="405"/>
    </row>
    <row r="102" spans="1:7" ht="24.9" customHeight="1" thickBot="1" x14ac:dyDescent="0.3">
      <c r="A102" s="358" t="s">
        <v>113</v>
      </c>
      <c r="B102" s="413"/>
      <c r="C102" s="362" t="s">
        <v>136</v>
      </c>
      <c r="D102" s="416"/>
      <c r="E102" s="42" t="s">
        <v>137</v>
      </c>
      <c r="F102" s="364" t="s">
        <v>138</v>
      </c>
      <c r="G102" s="366" t="s">
        <v>129</v>
      </c>
    </row>
    <row r="103" spans="1:7" ht="15" customHeight="1" thickBot="1" x14ac:dyDescent="0.3">
      <c r="A103" s="404"/>
      <c r="B103" s="414"/>
      <c r="C103" s="43" t="s">
        <v>139</v>
      </c>
      <c r="D103" s="44" t="s">
        <v>140</v>
      </c>
      <c r="E103" s="44" t="s">
        <v>141</v>
      </c>
      <c r="F103" s="418"/>
      <c r="G103" s="420"/>
    </row>
    <row r="104" spans="1:7" ht="14.1" customHeight="1" thickBot="1" x14ac:dyDescent="0.3">
      <c r="A104" s="368">
        <v>1</v>
      </c>
      <c r="B104" s="28" t="s">
        <v>142</v>
      </c>
      <c r="C104" s="29">
        <v>125.93321150060365</v>
      </c>
      <c r="D104" s="31">
        <v>33.446311356284355</v>
      </c>
      <c r="E104" s="45"/>
      <c r="F104" s="31">
        <v>3.7652346819088489</v>
      </c>
      <c r="G104" s="46">
        <v>4.2496611610458594E-4</v>
      </c>
    </row>
    <row r="105" spans="1:7" ht="14.1" customHeight="1" x14ac:dyDescent="0.25">
      <c r="A105" s="403"/>
      <c r="B105" s="13" t="s">
        <v>143</v>
      </c>
      <c r="C105" s="33">
        <v>-9.5875714031882318</v>
      </c>
      <c r="D105" s="35">
        <v>2.5983226809241997</v>
      </c>
      <c r="E105" s="35">
        <v>-3.4475678506951484</v>
      </c>
      <c r="F105" s="35">
        <v>-3.6899079061950921</v>
      </c>
      <c r="G105" s="47">
        <v>5.3774083005375889E-4</v>
      </c>
    </row>
    <row r="106" spans="1:7" ht="14.1" customHeight="1" x14ac:dyDescent="0.25">
      <c r="A106" s="403"/>
      <c r="B106" s="13" t="s">
        <v>144</v>
      </c>
      <c r="C106" s="33">
        <v>-10.116155674851743</v>
      </c>
      <c r="D106" s="35">
        <v>2.527740122966315</v>
      </c>
      <c r="E106" s="35">
        <v>-1.9166552326066046</v>
      </c>
      <c r="F106" s="35">
        <v>-4.0020552678415324</v>
      </c>
      <c r="G106" s="47">
        <v>1.999342071406038E-4</v>
      </c>
    </row>
    <row r="107" spans="1:7" ht="14.1" customHeight="1" x14ac:dyDescent="0.25">
      <c r="A107" s="403"/>
      <c r="B107" s="13" t="s">
        <v>145</v>
      </c>
      <c r="C107" s="33">
        <v>-8.1734551277959326</v>
      </c>
      <c r="D107" s="35">
        <v>2.5517942198775629</v>
      </c>
      <c r="E107" s="35">
        <v>-3.7641124639564434</v>
      </c>
      <c r="F107" s="35">
        <v>-3.2030228237557892</v>
      </c>
      <c r="G107" s="47">
        <v>2.3228503348374304E-3</v>
      </c>
    </row>
    <row r="108" spans="1:7" ht="14.1" customHeight="1" x14ac:dyDescent="0.25">
      <c r="A108" s="403"/>
      <c r="B108" s="13" t="s">
        <v>146</v>
      </c>
      <c r="C108" s="33">
        <v>-9.2260762741626525</v>
      </c>
      <c r="D108" s="35">
        <v>2.5841715366968518</v>
      </c>
      <c r="E108" s="35">
        <v>-3.567782236656976</v>
      </c>
      <c r="F108" s="35">
        <v>-3.5702259479088752</v>
      </c>
      <c r="G108" s="47">
        <v>7.7791740901378675E-4</v>
      </c>
    </row>
    <row r="109" spans="1:7" ht="14.1" customHeight="1" x14ac:dyDescent="0.25">
      <c r="A109" s="403"/>
      <c r="B109" s="13" t="s">
        <v>150</v>
      </c>
      <c r="C109" s="33">
        <v>-8.7933905066115674</v>
      </c>
      <c r="D109" s="35">
        <v>2.558863618508159</v>
      </c>
      <c r="E109" s="35">
        <v>-3.878622742229346</v>
      </c>
      <c r="F109" s="35">
        <v>-3.4364436005925922</v>
      </c>
      <c r="G109" s="47">
        <v>1.1670095854261606E-3</v>
      </c>
    </row>
    <row r="110" spans="1:7" ht="14.1" customHeight="1" x14ac:dyDescent="0.25">
      <c r="A110" s="403"/>
      <c r="B110" s="13" t="s">
        <v>147</v>
      </c>
      <c r="C110" s="33">
        <v>-1.6658613001890483</v>
      </c>
      <c r="D110" s="35">
        <v>0.31892106231348133</v>
      </c>
      <c r="E110" s="35">
        <v>-0.19759047640336047</v>
      </c>
      <c r="F110" s="35">
        <v>-5.2234282932106915</v>
      </c>
      <c r="G110" s="47">
        <v>3.1370194482898437E-6</v>
      </c>
    </row>
    <row r="111" spans="1:7" ht="14.1" customHeight="1" x14ac:dyDescent="0.25">
      <c r="A111" s="403"/>
      <c r="B111" s="13" t="s">
        <v>148</v>
      </c>
      <c r="C111" s="33">
        <v>2.4834719799140239</v>
      </c>
      <c r="D111" s="35">
        <v>0.51780898080895776</v>
      </c>
      <c r="E111" s="35">
        <v>0.38810634855561305</v>
      </c>
      <c r="F111" s="35">
        <v>4.7961160813282318</v>
      </c>
      <c r="G111" s="47">
        <v>1.3994129731766837E-5</v>
      </c>
    </row>
    <row r="112" spans="1:7" ht="14.1" customHeight="1" thickBot="1" x14ac:dyDescent="0.3">
      <c r="A112" s="404"/>
      <c r="B112" s="16" t="s">
        <v>149</v>
      </c>
      <c r="C112" s="38">
        <v>2.5191849586146664</v>
      </c>
      <c r="D112" s="48">
        <v>0.56028968160289405</v>
      </c>
      <c r="E112" s="48">
        <v>0.25956019119569534</v>
      </c>
      <c r="F112" s="48">
        <v>4.4962187263697313</v>
      </c>
      <c r="G112" s="49">
        <v>3.9013383680002741E-5</v>
      </c>
    </row>
    <row r="113" spans="1:7" ht="15" customHeight="1" x14ac:dyDescent="0.25">
      <c r="A113" s="370" t="s">
        <v>160</v>
      </c>
      <c r="B113" s="405"/>
      <c r="C113" s="405"/>
      <c r="D113" s="405"/>
      <c r="E113" s="405"/>
      <c r="F113" s="405"/>
      <c r="G113" s="405"/>
    </row>
    <row r="116" spans="1:7" ht="13.8" x14ac:dyDescent="0.3">
      <c r="A116" t="s">
        <v>24</v>
      </c>
    </row>
    <row r="118" spans="1:7" ht="13.5" customHeight="1" thickBot="1" x14ac:dyDescent="0.3">
      <c r="A118" s="374" t="s">
        <v>112</v>
      </c>
      <c r="B118" s="409"/>
      <c r="C118" s="409"/>
      <c r="D118" s="409"/>
    </row>
    <row r="119" spans="1:7" ht="13.8" thickBot="1" x14ac:dyDescent="0.3">
      <c r="A119" s="18" t="s">
        <v>113</v>
      </c>
      <c r="B119" s="19" t="s">
        <v>114</v>
      </c>
      <c r="C119" s="20" t="s">
        <v>115</v>
      </c>
      <c r="D119" s="21" t="s">
        <v>116</v>
      </c>
    </row>
    <row r="120" spans="1:7" ht="25.2" thickBot="1" x14ac:dyDescent="0.3">
      <c r="A120" s="22">
        <v>1</v>
      </c>
      <c r="B120" s="23" t="s">
        <v>28</v>
      </c>
      <c r="C120" s="24" t="s">
        <v>117</v>
      </c>
      <c r="D120" s="25" t="s">
        <v>118</v>
      </c>
    </row>
    <row r="121" spans="1:7" x14ac:dyDescent="0.25">
      <c r="A121" s="370" t="s">
        <v>158</v>
      </c>
      <c r="B121" s="409"/>
      <c r="C121" s="409"/>
      <c r="D121" s="409"/>
    </row>
    <row r="123" spans="1:7" ht="13.8" thickBot="1" x14ac:dyDescent="0.3">
      <c r="A123" s="374" t="s">
        <v>119</v>
      </c>
      <c r="B123" s="409"/>
      <c r="C123" s="409"/>
      <c r="D123" s="409"/>
      <c r="E123" s="409"/>
    </row>
    <row r="124" spans="1:7" ht="24" thickBot="1" x14ac:dyDescent="0.3">
      <c r="A124" s="18" t="s">
        <v>113</v>
      </c>
      <c r="B124" s="19" t="s">
        <v>120</v>
      </c>
      <c r="C124" s="20" t="s">
        <v>121</v>
      </c>
      <c r="D124" s="20" t="s">
        <v>122</v>
      </c>
      <c r="E124" s="21" t="s">
        <v>123</v>
      </c>
    </row>
    <row r="125" spans="1:7" ht="13.8" thickBot="1" x14ac:dyDescent="0.3">
      <c r="A125" s="22">
        <v>1</v>
      </c>
      <c r="B125" s="26" t="s">
        <v>29</v>
      </c>
      <c r="C125" s="27">
        <v>0.94743122119356904</v>
      </c>
      <c r="D125" s="27">
        <v>0.93815437787478706</v>
      </c>
      <c r="E125" s="52">
        <v>0.20364374253224815</v>
      </c>
    </row>
    <row r="126" spans="1:7" x14ac:dyDescent="0.25">
      <c r="A126" s="370" t="s">
        <v>30</v>
      </c>
      <c r="B126" s="409"/>
      <c r="C126" s="409"/>
      <c r="D126" s="409"/>
      <c r="E126" s="409"/>
    </row>
    <row r="128" spans="1:7" ht="14.4" thickBot="1" x14ac:dyDescent="0.3">
      <c r="A128" s="410" t="s">
        <v>124</v>
      </c>
      <c r="B128" s="405"/>
      <c r="C128" s="405"/>
      <c r="D128" s="405"/>
      <c r="E128" s="405"/>
      <c r="F128" s="405"/>
      <c r="G128" s="405"/>
    </row>
    <row r="129" spans="1:7" ht="14.4" thickBot="1" x14ac:dyDescent="0.3">
      <c r="A129" s="358" t="s">
        <v>113</v>
      </c>
      <c r="B129" s="412"/>
      <c r="C129" s="19" t="s">
        <v>125</v>
      </c>
      <c r="D129" s="20" t="s">
        <v>126</v>
      </c>
      <c r="E129" s="20" t="s">
        <v>127</v>
      </c>
      <c r="F129" s="20" t="s">
        <v>128</v>
      </c>
      <c r="G129" s="21" t="s">
        <v>129</v>
      </c>
    </row>
    <row r="130" spans="1:7" ht="13.8" thickBot="1" x14ac:dyDescent="0.3">
      <c r="A130" s="368">
        <v>1</v>
      </c>
      <c r="B130" s="28" t="s">
        <v>130</v>
      </c>
      <c r="C130" s="29">
        <v>38.118176760536443</v>
      </c>
      <c r="D130" s="30">
        <v>9</v>
      </c>
      <c r="E130" s="31">
        <v>4.2353529733929376</v>
      </c>
      <c r="F130" s="31">
        <v>102.12862162664713</v>
      </c>
      <c r="G130" s="32" t="s">
        <v>131</v>
      </c>
    </row>
    <row r="131" spans="1:7" ht="12.75" customHeight="1" x14ac:dyDescent="0.25">
      <c r="A131" s="403"/>
      <c r="B131" s="13" t="s">
        <v>132</v>
      </c>
      <c r="C131" s="33">
        <v>2.1150094674995694</v>
      </c>
      <c r="D131" s="34">
        <v>51</v>
      </c>
      <c r="E131" s="35">
        <v>4.1470773872540577E-2</v>
      </c>
      <c r="F131" s="36"/>
      <c r="G131" s="37"/>
    </row>
    <row r="132" spans="1:7" ht="13.5" customHeight="1" thickBot="1" x14ac:dyDescent="0.3">
      <c r="A132" s="404"/>
      <c r="B132" s="16" t="s">
        <v>133</v>
      </c>
      <c r="C132" s="38">
        <v>40.233186228036011</v>
      </c>
      <c r="D132" s="39">
        <v>60</v>
      </c>
      <c r="E132" s="40"/>
      <c r="F132" s="40"/>
      <c r="G132" s="41"/>
    </row>
    <row r="133" spans="1:7" ht="13.8" x14ac:dyDescent="0.25">
      <c r="A133" s="370" t="s">
        <v>30</v>
      </c>
      <c r="B133" s="405"/>
      <c r="C133" s="405"/>
      <c r="D133" s="405"/>
      <c r="E133" s="405"/>
      <c r="F133" s="405"/>
      <c r="G133" s="405"/>
    </row>
    <row r="134" spans="1:7" ht="13.8" x14ac:dyDescent="0.25">
      <c r="A134" s="370" t="s">
        <v>159</v>
      </c>
      <c r="B134" s="405"/>
      <c r="C134" s="405"/>
      <c r="D134" s="405"/>
      <c r="E134" s="405"/>
      <c r="F134" s="405"/>
      <c r="G134" s="405"/>
    </row>
    <row r="136" spans="1:7" ht="14.4" thickBot="1" x14ac:dyDescent="0.3">
      <c r="A136" s="410" t="s">
        <v>135</v>
      </c>
      <c r="B136" s="405"/>
      <c r="C136" s="405"/>
      <c r="D136" s="405"/>
      <c r="E136" s="405"/>
      <c r="F136" s="405"/>
      <c r="G136" s="405"/>
    </row>
    <row r="137" spans="1:7" ht="24" thickBot="1" x14ac:dyDescent="0.3">
      <c r="A137" s="358" t="s">
        <v>113</v>
      </c>
      <c r="B137" s="413"/>
      <c r="C137" s="362" t="s">
        <v>136</v>
      </c>
      <c r="D137" s="416"/>
      <c r="E137" s="42" t="s">
        <v>137</v>
      </c>
      <c r="F137" s="364" t="s">
        <v>138</v>
      </c>
      <c r="G137" s="366" t="s">
        <v>129</v>
      </c>
    </row>
    <row r="138" spans="1:7" ht="13.5" customHeight="1" thickBot="1" x14ac:dyDescent="0.3">
      <c r="A138" s="404"/>
      <c r="B138" s="414"/>
      <c r="C138" s="43" t="s">
        <v>139</v>
      </c>
      <c r="D138" s="44" t="s">
        <v>140</v>
      </c>
      <c r="E138" s="44" t="s">
        <v>141</v>
      </c>
      <c r="F138" s="418"/>
      <c r="G138" s="420"/>
    </row>
    <row r="139" spans="1:7" ht="13.8" thickBot="1" x14ac:dyDescent="0.3">
      <c r="A139" s="368">
        <v>1</v>
      </c>
      <c r="B139" s="28" t="s">
        <v>142</v>
      </c>
      <c r="C139" s="29">
        <v>87.396492552528443</v>
      </c>
      <c r="D139" s="31">
        <v>42.792318883412079</v>
      </c>
      <c r="E139" s="45"/>
      <c r="F139" s="31">
        <v>2.0423406544207312</v>
      </c>
      <c r="G139" s="46">
        <v>4.6304266073305358E-2</v>
      </c>
    </row>
    <row r="140" spans="1:7" ht="12.75" customHeight="1" x14ac:dyDescent="0.25">
      <c r="A140" s="403"/>
      <c r="B140" s="13" t="s">
        <v>143</v>
      </c>
      <c r="C140" s="33">
        <v>-7.2681448878886803</v>
      </c>
      <c r="D140" s="35">
        <v>3.0463681885049554</v>
      </c>
      <c r="E140" s="35">
        <v>-2.6135317898489667</v>
      </c>
      <c r="F140" s="35">
        <v>-2.3858392807914712</v>
      </c>
      <c r="G140" s="47">
        <v>2.0791206272117928E-2</v>
      </c>
    </row>
    <row r="141" spans="1:7" ht="12.75" customHeight="1" x14ac:dyDescent="0.25">
      <c r="A141" s="403"/>
      <c r="B141" s="13" t="s">
        <v>144</v>
      </c>
      <c r="C141" s="33">
        <v>-8.2164292359337061</v>
      </c>
      <c r="D141" s="35">
        <v>2.8372859819769705</v>
      </c>
      <c r="E141" s="35">
        <v>-1.5567239764353489</v>
      </c>
      <c r="F141" s="35">
        <v>-2.8958763015523181</v>
      </c>
      <c r="G141" s="47">
        <v>5.5552655145504302E-3</v>
      </c>
    </row>
    <row r="142" spans="1:7" ht="12.75" customHeight="1" x14ac:dyDescent="0.25">
      <c r="A142" s="403"/>
      <c r="B142" s="13" t="s">
        <v>145</v>
      </c>
      <c r="C142" s="33">
        <v>-6.0882053547871031</v>
      </c>
      <c r="D142" s="35">
        <v>2.9215533990003664</v>
      </c>
      <c r="E142" s="35">
        <v>-2.8037946377348315</v>
      </c>
      <c r="F142" s="35">
        <v>-2.0838932318917167</v>
      </c>
      <c r="G142" s="47">
        <v>4.2198738681532851E-2</v>
      </c>
    </row>
    <row r="143" spans="1:7" ht="12.75" customHeight="1" x14ac:dyDescent="0.25">
      <c r="A143" s="403"/>
      <c r="B143" s="13" t="s">
        <v>146</v>
      </c>
      <c r="C143" s="33">
        <v>-7.062635413671531</v>
      </c>
      <c r="D143" s="35">
        <v>2.9770411248896962</v>
      </c>
      <c r="E143" s="35">
        <v>-2.7311659284074925</v>
      </c>
      <c r="F143" s="35">
        <v>-2.3723674337663749</v>
      </c>
      <c r="G143" s="47">
        <v>2.1484406955596266E-2</v>
      </c>
    </row>
    <row r="144" spans="1:7" ht="12.75" customHeight="1" x14ac:dyDescent="0.25">
      <c r="A144" s="403"/>
      <c r="B144" s="13" t="s">
        <v>150</v>
      </c>
      <c r="C144" s="33">
        <v>-6.7647495215830036</v>
      </c>
      <c r="D144" s="35">
        <v>2.9078836513645592</v>
      </c>
      <c r="E144" s="35">
        <v>-2.9838219194483844</v>
      </c>
      <c r="F144" s="35">
        <v>-2.3263480704974437</v>
      </c>
      <c r="G144" s="47">
        <v>2.4011229080435514E-2</v>
      </c>
    </row>
    <row r="145" spans="1:7" ht="12.75" customHeight="1" x14ac:dyDescent="0.25">
      <c r="A145" s="403"/>
      <c r="B145" s="13" t="s">
        <v>147</v>
      </c>
      <c r="C145" s="33">
        <v>-1.4143278311730123</v>
      </c>
      <c r="D145" s="35">
        <v>0.36197200123316869</v>
      </c>
      <c r="E145" s="35">
        <v>-0.16775568885614495</v>
      </c>
      <c r="F145" s="35">
        <v>-3.9072851666832533</v>
      </c>
      <c r="G145" s="47">
        <v>2.7584765314776793E-4</v>
      </c>
    </row>
    <row r="146" spans="1:7" ht="12.75" customHeight="1" x14ac:dyDescent="0.25">
      <c r="A146" s="403"/>
      <c r="B146" s="13" t="s">
        <v>148</v>
      </c>
      <c r="C146" s="33">
        <v>2.084111157083957</v>
      </c>
      <c r="D146" s="35">
        <v>0.58463010549697425</v>
      </c>
      <c r="E146" s="35">
        <v>0.32569595215963348</v>
      </c>
      <c r="F146" s="35">
        <v>3.5648372149982333</v>
      </c>
      <c r="G146" s="47">
        <v>8.0133845724976308E-4</v>
      </c>
    </row>
    <row r="147" spans="1:7" ht="13.5" customHeight="1" x14ac:dyDescent="0.25">
      <c r="A147" s="403"/>
      <c r="B147" s="13" t="s">
        <v>149</v>
      </c>
      <c r="C147" s="33">
        <v>2.4178443465418709</v>
      </c>
      <c r="D147" s="35">
        <v>0.55941457569963537</v>
      </c>
      <c r="E147" s="35">
        <v>0.24911872338859611</v>
      </c>
      <c r="F147" s="35">
        <v>4.3220975133119808</v>
      </c>
      <c r="G147" s="47">
        <v>7.1692927934009773E-5</v>
      </c>
    </row>
    <row r="148" spans="1:7" ht="13.8" thickBot="1" x14ac:dyDescent="0.3">
      <c r="A148" s="404"/>
      <c r="B148" s="16" t="s">
        <v>31</v>
      </c>
      <c r="C148" s="38">
        <v>1.4540349532923353</v>
      </c>
      <c r="D148" s="48">
        <v>1.0223047267822056</v>
      </c>
      <c r="E148" s="48">
        <v>0.16615831809850498</v>
      </c>
      <c r="F148" s="48">
        <v>1.4223107016916949</v>
      </c>
      <c r="G148" s="49">
        <v>0.16102369257782084</v>
      </c>
    </row>
    <row r="149" spans="1:7" ht="13.8" x14ac:dyDescent="0.25">
      <c r="A149" s="370" t="s">
        <v>160</v>
      </c>
      <c r="B149" s="405"/>
      <c r="C149" s="405"/>
      <c r="D149" s="405"/>
      <c r="E149" s="405"/>
      <c r="F149" s="405"/>
      <c r="G149" s="405"/>
    </row>
    <row r="153" spans="1:7" ht="13.8" x14ac:dyDescent="0.3">
      <c r="A153" t="s">
        <v>171</v>
      </c>
    </row>
    <row r="155" spans="1:7" ht="18" customHeight="1" thickBot="1" x14ac:dyDescent="0.3">
      <c r="A155" s="406" t="s">
        <v>112</v>
      </c>
      <c r="B155" s="406"/>
      <c r="C155" s="406"/>
      <c r="D155" s="406"/>
    </row>
    <row r="156" spans="1:7" ht="24.9" customHeight="1" thickBot="1" x14ac:dyDescent="0.3">
      <c r="A156" s="18" t="s">
        <v>113</v>
      </c>
      <c r="B156" s="19" t="s">
        <v>114</v>
      </c>
      <c r="C156" s="20" t="s">
        <v>115</v>
      </c>
      <c r="D156" s="21" t="s">
        <v>116</v>
      </c>
    </row>
    <row r="157" spans="1:7" ht="33.9" customHeight="1" thickBot="1" x14ac:dyDescent="0.3">
      <c r="A157" s="22">
        <v>1</v>
      </c>
      <c r="B157" s="23" t="s">
        <v>16</v>
      </c>
      <c r="C157" s="24" t="s">
        <v>117</v>
      </c>
      <c r="D157" s="25" t="s">
        <v>118</v>
      </c>
    </row>
    <row r="158" spans="1:7" ht="15" customHeight="1" x14ac:dyDescent="0.25">
      <c r="A158" s="432" t="s">
        <v>158</v>
      </c>
      <c r="B158" s="432"/>
      <c r="C158" s="432"/>
      <c r="D158" s="432"/>
    </row>
    <row r="160" spans="1:7" ht="18" customHeight="1" thickBot="1" x14ac:dyDescent="0.3">
      <c r="A160" s="406" t="s">
        <v>119</v>
      </c>
      <c r="B160" s="406"/>
      <c r="C160" s="406"/>
      <c r="D160" s="406"/>
      <c r="E160" s="406"/>
    </row>
    <row r="161" spans="1:7" ht="24.9" customHeight="1" thickBot="1" x14ac:dyDescent="0.3">
      <c r="A161" s="18" t="s">
        <v>113</v>
      </c>
      <c r="B161" s="19" t="s">
        <v>120</v>
      </c>
      <c r="C161" s="20" t="s">
        <v>121</v>
      </c>
      <c r="D161" s="20" t="s">
        <v>122</v>
      </c>
      <c r="E161" s="21" t="s">
        <v>123</v>
      </c>
    </row>
    <row r="162" spans="1:7" ht="14.1" customHeight="1" thickBot="1" x14ac:dyDescent="0.3">
      <c r="A162" s="22">
        <v>1</v>
      </c>
      <c r="B162" s="26" t="s">
        <v>178</v>
      </c>
      <c r="C162" s="27">
        <v>0.91221737453789875</v>
      </c>
      <c r="D162" s="27">
        <v>0.89093673806223783</v>
      </c>
      <c r="E162" s="52">
        <v>0.14290406063796737</v>
      </c>
    </row>
    <row r="163" spans="1:7" ht="15" customHeight="1" x14ac:dyDescent="0.25">
      <c r="A163" s="432" t="s">
        <v>17</v>
      </c>
      <c r="B163" s="432"/>
      <c r="C163" s="432"/>
      <c r="D163" s="432"/>
      <c r="E163" s="432"/>
    </row>
    <row r="165" spans="1:7" ht="20.100000000000001" customHeight="1" thickBot="1" x14ac:dyDescent="0.3">
      <c r="A165" s="388" t="s">
        <v>124</v>
      </c>
      <c r="B165" s="388"/>
      <c r="C165" s="388"/>
      <c r="D165" s="388"/>
      <c r="E165" s="388"/>
      <c r="F165" s="388"/>
      <c r="G165" s="388"/>
    </row>
    <row r="166" spans="1:7" ht="24.9" customHeight="1" thickBot="1" x14ac:dyDescent="0.3">
      <c r="A166" s="446" t="s">
        <v>113</v>
      </c>
      <c r="B166" s="447"/>
      <c r="C166" s="19" t="s">
        <v>125</v>
      </c>
      <c r="D166" s="20" t="s">
        <v>126</v>
      </c>
      <c r="E166" s="20" t="s">
        <v>127</v>
      </c>
      <c r="F166" s="20" t="s">
        <v>128</v>
      </c>
      <c r="G166" s="21" t="s">
        <v>129</v>
      </c>
    </row>
    <row r="167" spans="1:7" ht="14.1" customHeight="1" x14ac:dyDescent="0.25">
      <c r="A167" s="443">
        <v>1</v>
      </c>
      <c r="B167" s="28" t="s">
        <v>130</v>
      </c>
      <c r="C167" s="29">
        <v>7.0031407150690272</v>
      </c>
      <c r="D167" s="30">
        <v>8</v>
      </c>
      <c r="E167" s="31">
        <v>0.87539258938362841</v>
      </c>
      <c r="F167" s="31">
        <v>42.866075720113948</v>
      </c>
      <c r="G167" s="32" t="s">
        <v>131</v>
      </c>
    </row>
    <row r="168" spans="1:7" ht="14.1" customHeight="1" x14ac:dyDescent="0.25">
      <c r="A168" s="444"/>
      <c r="B168" s="13" t="s">
        <v>132</v>
      </c>
      <c r="C168" s="33">
        <v>0.67391182804505534</v>
      </c>
      <c r="D168" s="34">
        <v>33</v>
      </c>
      <c r="E168" s="35">
        <v>2.042157054681986E-2</v>
      </c>
      <c r="F168" s="36"/>
      <c r="G168" s="37"/>
    </row>
    <row r="169" spans="1:7" ht="14.1" customHeight="1" thickBot="1" x14ac:dyDescent="0.3">
      <c r="A169" s="445"/>
      <c r="B169" s="16" t="s">
        <v>133</v>
      </c>
      <c r="C169" s="38">
        <v>7.6770525431140824</v>
      </c>
      <c r="D169" s="39">
        <v>41</v>
      </c>
      <c r="E169" s="40"/>
      <c r="F169" s="40"/>
      <c r="G169" s="41"/>
    </row>
    <row r="170" spans="1:7" ht="15" customHeight="1" x14ac:dyDescent="0.25">
      <c r="A170" s="432" t="s">
        <v>17</v>
      </c>
      <c r="B170" s="432"/>
      <c r="C170" s="432"/>
      <c r="D170" s="432"/>
      <c r="E170" s="432"/>
      <c r="F170" s="432"/>
      <c r="G170" s="432"/>
    </row>
    <row r="171" spans="1:7" ht="15" customHeight="1" x14ac:dyDescent="0.25">
      <c r="A171" s="370" t="s">
        <v>159</v>
      </c>
      <c r="B171" s="370"/>
      <c r="C171" s="370"/>
      <c r="D171" s="370"/>
      <c r="E171" s="370"/>
      <c r="F171" s="370"/>
      <c r="G171" s="370"/>
    </row>
    <row r="173" spans="1:7" ht="20.100000000000001" customHeight="1" thickBot="1" x14ac:dyDescent="0.3">
      <c r="A173" s="388" t="s">
        <v>135</v>
      </c>
      <c r="B173" s="388"/>
      <c r="C173" s="388"/>
      <c r="D173" s="388"/>
      <c r="E173" s="388"/>
      <c r="F173" s="388"/>
      <c r="G173" s="388"/>
    </row>
    <row r="174" spans="1:7" ht="24.9" customHeight="1" x14ac:dyDescent="0.25">
      <c r="A174" s="433" t="s">
        <v>113</v>
      </c>
      <c r="B174" s="434"/>
      <c r="C174" s="437" t="s">
        <v>136</v>
      </c>
      <c r="D174" s="438"/>
      <c r="E174" s="42" t="s">
        <v>137</v>
      </c>
      <c r="F174" s="439" t="s">
        <v>138</v>
      </c>
      <c r="G174" s="441" t="s">
        <v>129</v>
      </c>
    </row>
    <row r="175" spans="1:7" ht="15" customHeight="1" thickBot="1" x14ac:dyDescent="0.3">
      <c r="A175" s="435"/>
      <c r="B175" s="436"/>
      <c r="C175" s="43" t="s">
        <v>139</v>
      </c>
      <c r="D175" s="44" t="s">
        <v>140</v>
      </c>
      <c r="E175" s="44" t="s">
        <v>141</v>
      </c>
      <c r="F175" s="440"/>
      <c r="G175" s="442"/>
    </row>
    <row r="176" spans="1:7" ht="14.1" customHeight="1" x14ac:dyDescent="0.25">
      <c r="A176" s="443">
        <v>1</v>
      </c>
      <c r="B176" s="28" t="s">
        <v>142</v>
      </c>
      <c r="C176" s="29">
        <v>38.722545084806278</v>
      </c>
      <c r="D176" s="31">
        <v>31.150362189242522</v>
      </c>
      <c r="E176" s="45"/>
      <c r="F176" s="31">
        <v>1.2430849069927905</v>
      </c>
      <c r="G176" s="46">
        <v>0.22259639195667147</v>
      </c>
    </row>
    <row r="177" spans="1:7" ht="14.1" customHeight="1" x14ac:dyDescent="0.25">
      <c r="A177" s="444"/>
      <c r="B177" s="13" t="s">
        <v>143</v>
      </c>
      <c r="C177" s="33">
        <v>-2.6956630467177698</v>
      </c>
      <c r="D177" s="35">
        <v>2.4080719142225204</v>
      </c>
      <c r="E177" s="35">
        <v>-1.7355696775263203</v>
      </c>
      <c r="F177" s="35">
        <v>-1.1194279667466251</v>
      </c>
      <c r="G177" s="47">
        <v>0.2710395658585788</v>
      </c>
    </row>
    <row r="178" spans="1:7" ht="14.1" customHeight="1" x14ac:dyDescent="0.25">
      <c r="A178" s="444"/>
      <c r="B178" s="13" t="s">
        <v>144</v>
      </c>
      <c r="C178" s="33">
        <v>-2.3564703871794119</v>
      </c>
      <c r="D178" s="35">
        <v>2.4073631852982347</v>
      </c>
      <c r="E178" s="35">
        <v>-0.73177397091213692</v>
      </c>
      <c r="F178" s="35">
        <v>-0.9788595262943186</v>
      </c>
      <c r="G178" s="47">
        <v>0.33477136700932408</v>
      </c>
    </row>
    <row r="179" spans="1:7" ht="14.1" customHeight="1" x14ac:dyDescent="0.25">
      <c r="A179" s="444"/>
      <c r="B179" s="13" t="s">
        <v>145</v>
      </c>
      <c r="C179" s="33">
        <v>-1.3006397502091906</v>
      </c>
      <c r="D179" s="35">
        <v>2.3642546350468399</v>
      </c>
      <c r="E179" s="35">
        <v>-1.0356048327121987</v>
      </c>
      <c r="F179" s="35">
        <v>-0.5501267633904513</v>
      </c>
      <c r="G179" s="47">
        <v>0.58593708876983674</v>
      </c>
    </row>
    <row r="180" spans="1:7" ht="14.1" customHeight="1" x14ac:dyDescent="0.25">
      <c r="A180" s="444"/>
      <c r="B180" s="13" t="s">
        <v>146</v>
      </c>
      <c r="C180" s="33">
        <v>-2.7779767369381951</v>
      </c>
      <c r="D180" s="35">
        <v>2.4096527238190859</v>
      </c>
      <c r="E180" s="35">
        <v>-1.9570356804127003</v>
      </c>
      <c r="F180" s="35">
        <v>-1.1528535666066222</v>
      </c>
      <c r="G180" s="47">
        <v>0.25725316644056162</v>
      </c>
    </row>
    <row r="181" spans="1:7" ht="14.1" customHeight="1" x14ac:dyDescent="0.25">
      <c r="A181" s="444"/>
      <c r="B181" s="13" t="s">
        <v>150</v>
      </c>
      <c r="C181" s="33">
        <v>-2.4838482139544387</v>
      </c>
      <c r="D181" s="35">
        <v>2.3717549849388138</v>
      </c>
      <c r="E181" s="35">
        <v>-2.0792732367051103</v>
      </c>
      <c r="F181" s="35">
        <v>-1.0472617237983866</v>
      </c>
      <c r="G181" s="47">
        <v>0.30258913565080947</v>
      </c>
    </row>
    <row r="182" spans="1:7" ht="14.1" customHeight="1" x14ac:dyDescent="0.25">
      <c r="A182" s="444"/>
      <c r="B182" s="13" t="s">
        <v>147</v>
      </c>
      <c r="C182" s="33">
        <v>-0.66138663856398316</v>
      </c>
      <c r="D182" s="35">
        <v>0.34587707876271762</v>
      </c>
      <c r="E182" s="35">
        <v>-0.14904773624754766</v>
      </c>
      <c r="F182" s="35">
        <v>-1.9122014125073459</v>
      </c>
      <c r="G182" s="47">
        <v>6.45641335528188E-2</v>
      </c>
    </row>
    <row r="183" spans="1:7" ht="14.1" customHeight="1" x14ac:dyDescent="0.25">
      <c r="A183" s="444"/>
      <c r="B183" s="13" t="s">
        <v>148</v>
      </c>
      <c r="C183" s="33">
        <v>-0.2705302077931615</v>
      </c>
      <c r="D183" s="35">
        <v>0.61788759987147568</v>
      </c>
      <c r="E183" s="35">
        <v>-5.6434732230937736E-2</v>
      </c>
      <c r="F183" s="35">
        <v>-0.43783077674553333</v>
      </c>
      <c r="G183" s="47">
        <v>0.66436144987729384</v>
      </c>
    </row>
    <row r="184" spans="1:7" ht="14.1" customHeight="1" thickBot="1" x14ac:dyDescent="0.3">
      <c r="A184" s="445"/>
      <c r="B184" s="16" t="s">
        <v>149</v>
      </c>
      <c r="C184" s="38">
        <v>0.11169632209230831</v>
      </c>
      <c r="D184" s="48">
        <v>0.44284987344766674</v>
      </c>
      <c r="E184" s="48">
        <v>1.8105032462319263E-2</v>
      </c>
      <c r="F184" s="48">
        <v>0.25222164166545236</v>
      </c>
      <c r="G184" s="49">
        <v>0.80243409437384661</v>
      </c>
    </row>
    <row r="185" spans="1:7" ht="14.1" customHeight="1" x14ac:dyDescent="0.25">
      <c r="A185" s="432" t="s">
        <v>160</v>
      </c>
      <c r="B185" s="432"/>
      <c r="C185" s="432"/>
      <c r="D185" s="432"/>
      <c r="E185" s="432"/>
      <c r="F185" s="432"/>
      <c r="G185" s="432"/>
    </row>
    <row r="186" spans="1:7" ht="15" customHeight="1" x14ac:dyDescent="0.25"/>
    <row r="189" spans="1:7" ht="13.8" x14ac:dyDescent="0.3">
      <c r="A189" t="s">
        <v>161</v>
      </c>
    </row>
    <row r="192" spans="1:7" ht="16.8" x14ac:dyDescent="0.3">
      <c r="A192" t="s">
        <v>86</v>
      </c>
    </row>
    <row r="194" spans="1:3" ht="18" customHeight="1" thickBot="1" x14ac:dyDescent="0.3">
      <c r="A194" s="406" t="s">
        <v>87</v>
      </c>
      <c r="B194" s="429"/>
      <c r="C194" s="429"/>
    </row>
    <row r="195" spans="1:3" ht="14.1" customHeight="1" x14ac:dyDescent="0.25">
      <c r="A195" s="449" t="s">
        <v>88</v>
      </c>
      <c r="B195" s="422"/>
      <c r="C195" s="11" t="s">
        <v>162</v>
      </c>
    </row>
    <row r="196" spans="1:3" ht="14.1" customHeight="1" x14ac:dyDescent="0.25">
      <c r="A196" s="448" t="s">
        <v>89</v>
      </c>
      <c r="B196" s="424"/>
      <c r="C196" s="12" t="s">
        <v>90</v>
      </c>
    </row>
    <row r="197" spans="1:3" ht="14.1" customHeight="1" x14ac:dyDescent="0.25">
      <c r="A197" s="444" t="s">
        <v>91</v>
      </c>
      <c r="B197" s="13" t="s">
        <v>92</v>
      </c>
      <c r="C197" s="12" t="s">
        <v>152</v>
      </c>
    </row>
    <row r="198" spans="1:3" ht="14.1" customHeight="1" x14ac:dyDescent="0.25">
      <c r="A198" s="425"/>
      <c r="B198" s="13" t="s">
        <v>94</v>
      </c>
      <c r="C198" s="12" t="s">
        <v>95</v>
      </c>
    </row>
    <row r="199" spans="1:3" ht="14.1" customHeight="1" x14ac:dyDescent="0.25">
      <c r="A199" s="425"/>
      <c r="B199" s="13" t="s">
        <v>96</v>
      </c>
      <c r="C199" s="12" t="s">
        <v>95</v>
      </c>
    </row>
    <row r="200" spans="1:3" ht="14.1" customHeight="1" x14ac:dyDescent="0.25">
      <c r="A200" s="425"/>
      <c r="B200" s="13" t="s">
        <v>97</v>
      </c>
      <c r="C200" s="12" t="s">
        <v>95</v>
      </c>
    </row>
    <row r="201" spans="1:3" ht="24" customHeight="1" x14ac:dyDescent="0.25">
      <c r="A201" s="425"/>
      <c r="B201" s="13" t="s">
        <v>98</v>
      </c>
      <c r="C201" s="14">
        <v>42</v>
      </c>
    </row>
    <row r="202" spans="1:3" ht="24" customHeight="1" x14ac:dyDescent="0.25">
      <c r="A202" s="444" t="s">
        <v>99</v>
      </c>
      <c r="B202" s="13" t="s">
        <v>100</v>
      </c>
      <c r="C202" s="12" t="s">
        <v>101</v>
      </c>
    </row>
    <row r="203" spans="1:3" ht="33.9" customHeight="1" x14ac:dyDescent="0.25">
      <c r="A203" s="425"/>
      <c r="B203" s="13" t="s">
        <v>102</v>
      </c>
      <c r="C203" s="12" t="s">
        <v>103</v>
      </c>
    </row>
    <row r="204" spans="1:3" ht="101.1" customHeight="1" x14ac:dyDescent="0.25">
      <c r="A204" s="448" t="s">
        <v>104</v>
      </c>
      <c r="B204" s="424"/>
      <c r="C204" s="12" t="s">
        <v>163</v>
      </c>
    </row>
    <row r="205" spans="1:3" ht="14.1" customHeight="1" thickBot="1" x14ac:dyDescent="0.3">
      <c r="A205" s="445" t="s">
        <v>105</v>
      </c>
      <c r="B205" s="13" t="s">
        <v>106</v>
      </c>
      <c r="C205" s="15" t="s">
        <v>107</v>
      </c>
    </row>
    <row r="206" spans="1:3" ht="14.1" customHeight="1" x14ac:dyDescent="0.25">
      <c r="A206" s="425"/>
      <c r="B206" s="13" t="s">
        <v>108</v>
      </c>
      <c r="C206" s="15" t="s">
        <v>164</v>
      </c>
    </row>
    <row r="207" spans="1:3" ht="14.1" customHeight="1" x14ac:dyDescent="0.25">
      <c r="A207" s="425"/>
      <c r="B207" s="13" t="s">
        <v>109</v>
      </c>
      <c r="C207" s="12" t="s">
        <v>153</v>
      </c>
    </row>
    <row r="208" spans="1:3" ht="33.9" customHeight="1" thickBot="1" x14ac:dyDescent="0.3">
      <c r="A208" s="426"/>
      <c r="B208" s="16" t="s">
        <v>110</v>
      </c>
      <c r="C208" s="17" t="s">
        <v>111</v>
      </c>
    </row>
    <row r="211" spans="1:7" ht="13.8" x14ac:dyDescent="0.3">
      <c r="A211" t="s">
        <v>23</v>
      </c>
    </row>
    <row r="213" spans="1:7" ht="18" customHeight="1" thickBot="1" x14ac:dyDescent="0.3">
      <c r="A213" s="374" t="s">
        <v>112</v>
      </c>
      <c r="B213" s="409"/>
      <c r="C213" s="409"/>
      <c r="D213" s="409"/>
    </row>
    <row r="214" spans="1:7" ht="24.9" customHeight="1" thickBot="1" x14ac:dyDescent="0.3">
      <c r="A214" s="18" t="s">
        <v>113</v>
      </c>
      <c r="B214" s="19" t="s">
        <v>114</v>
      </c>
      <c r="C214" s="20" t="s">
        <v>115</v>
      </c>
      <c r="D214" s="21" t="s">
        <v>116</v>
      </c>
    </row>
    <row r="215" spans="1:7" ht="33.9" customHeight="1" thickBot="1" x14ac:dyDescent="0.3">
      <c r="A215" s="22">
        <v>1</v>
      </c>
      <c r="B215" s="23" t="s">
        <v>16</v>
      </c>
      <c r="C215" s="24" t="s">
        <v>117</v>
      </c>
      <c r="D215" s="25" t="s">
        <v>118</v>
      </c>
    </row>
    <row r="216" spans="1:7" ht="15" customHeight="1" x14ac:dyDescent="0.25">
      <c r="A216" s="370" t="s">
        <v>158</v>
      </c>
      <c r="B216" s="409"/>
      <c r="C216" s="409"/>
      <c r="D216" s="409"/>
    </row>
    <row r="218" spans="1:7" ht="18" customHeight="1" thickBot="1" x14ac:dyDescent="0.3">
      <c r="A218" s="374" t="s">
        <v>119</v>
      </c>
      <c r="B218" s="409"/>
      <c r="C218" s="409"/>
      <c r="D218" s="409"/>
      <c r="E218" s="409"/>
    </row>
    <row r="219" spans="1:7" ht="24.9" customHeight="1" thickBot="1" x14ac:dyDescent="0.3">
      <c r="A219" s="18" t="s">
        <v>113</v>
      </c>
      <c r="B219" s="19" t="s">
        <v>120</v>
      </c>
      <c r="C219" s="20" t="s">
        <v>121</v>
      </c>
      <c r="D219" s="20" t="s">
        <v>122</v>
      </c>
      <c r="E219" s="21" t="s">
        <v>123</v>
      </c>
    </row>
    <row r="220" spans="1:7" ht="14.1" customHeight="1" thickBot="1" x14ac:dyDescent="0.3">
      <c r="A220" s="22">
        <v>1</v>
      </c>
      <c r="B220" s="26" t="s">
        <v>179</v>
      </c>
      <c r="C220" s="27">
        <v>0.91744813680674164</v>
      </c>
      <c r="D220" s="27">
        <v>0.89681017100842708</v>
      </c>
      <c r="E220" s="51">
        <v>42.363029884733592</v>
      </c>
    </row>
    <row r="221" spans="1:7" ht="15" customHeight="1" x14ac:dyDescent="0.25">
      <c r="A221" s="370" t="s">
        <v>17</v>
      </c>
      <c r="B221" s="409"/>
      <c r="C221" s="409"/>
      <c r="D221" s="409"/>
      <c r="E221" s="409"/>
    </row>
    <row r="223" spans="1:7" ht="20.100000000000001" customHeight="1" thickBot="1" x14ac:dyDescent="0.3">
      <c r="A223" s="410" t="s">
        <v>124</v>
      </c>
      <c r="B223" s="405"/>
      <c r="C223" s="405"/>
      <c r="D223" s="405"/>
      <c r="E223" s="405"/>
      <c r="F223" s="405"/>
      <c r="G223" s="405"/>
    </row>
    <row r="224" spans="1:7" ht="24.9" customHeight="1" thickBot="1" x14ac:dyDescent="0.3">
      <c r="A224" s="358" t="s">
        <v>113</v>
      </c>
      <c r="B224" s="412"/>
      <c r="C224" s="19" t="s">
        <v>125</v>
      </c>
      <c r="D224" s="20" t="s">
        <v>126</v>
      </c>
      <c r="E224" s="20" t="s">
        <v>127</v>
      </c>
      <c r="F224" s="20" t="s">
        <v>128</v>
      </c>
      <c r="G224" s="21" t="s">
        <v>129</v>
      </c>
    </row>
    <row r="225" spans="1:7" ht="14.1" customHeight="1" thickBot="1" x14ac:dyDescent="0.3">
      <c r="A225" s="368">
        <v>1</v>
      </c>
      <c r="B225" s="28" t="s">
        <v>130</v>
      </c>
      <c r="C225" s="29">
        <v>638232.1095870377</v>
      </c>
      <c r="D225" s="30">
        <v>8</v>
      </c>
      <c r="E225" s="31">
        <v>79779.013698379713</v>
      </c>
      <c r="F225" s="31">
        <v>44.454387887476052</v>
      </c>
      <c r="G225" s="32" t="s">
        <v>131</v>
      </c>
    </row>
    <row r="226" spans="1:7" ht="14.1" customHeight="1" x14ac:dyDescent="0.25">
      <c r="A226" s="403"/>
      <c r="B226" s="13" t="s">
        <v>132</v>
      </c>
      <c r="C226" s="33">
        <v>57428.041632474604</v>
      </c>
      <c r="D226" s="34">
        <v>32</v>
      </c>
      <c r="E226" s="35">
        <v>1794.6263010148314</v>
      </c>
      <c r="F226" s="36"/>
      <c r="G226" s="37"/>
    </row>
    <row r="227" spans="1:7" ht="14.1" customHeight="1" thickBot="1" x14ac:dyDescent="0.3">
      <c r="A227" s="404"/>
      <c r="B227" s="16" t="s">
        <v>133</v>
      </c>
      <c r="C227" s="38">
        <v>695660.15121951234</v>
      </c>
      <c r="D227" s="39">
        <v>40</v>
      </c>
      <c r="E227" s="40"/>
      <c r="F227" s="40"/>
      <c r="G227" s="41"/>
    </row>
    <row r="228" spans="1:7" ht="15" customHeight="1" x14ac:dyDescent="0.25">
      <c r="A228" s="370" t="s">
        <v>17</v>
      </c>
      <c r="B228" s="405"/>
      <c r="C228" s="405"/>
      <c r="D228" s="405"/>
      <c r="E228" s="405"/>
      <c r="F228" s="405"/>
      <c r="G228" s="405"/>
    </row>
    <row r="229" spans="1:7" ht="15" customHeight="1" x14ac:dyDescent="0.25">
      <c r="A229" s="370" t="s">
        <v>165</v>
      </c>
      <c r="B229" s="405"/>
      <c r="C229" s="405"/>
      <c r="D229" s="405"/>
      <c r="E229" s="405"/>
      <c r="F229" s="405"/>
      <c r="G229" s="405"/>
    </row>
    <row r="231" spans="1:7" ht="20.100000000000001" customHeight="1" thickBot="1" x14ac:dyDescent="0.3">
      <c r="A231" s="410" t="s">
        <v>135</v>
      </c>
      <c r="B231" s="405"/>
      <c r="C231" s="405"/>
      <c r="D231" s="405"/>
      <c r="E231" s="405"/>
      <c r="F231" s="405"/>
      <c r="G231" s="405"/>
    </row>
    <row r="232" spans="1:7" ht="24.9" customHeight="1" thickBot="1" x14ac:dyDescent="0.3">
      <c r="A232" s="358" t="s">
        <v>113</v>
      </c>
      <c r="B232" s="413"/>
      <c r="C232" s="362" t="s">
        <v>136</v>
      </c>
      <c r="D232" s="416"/>
      <c r="E232" s="42" t="s">
        <v>137</v>
      </c>
      <c r="F232" s="364" t="s">
        <v>138</v>
      </c>
      <c r="G232" s="366" t="s">
        <v>129</v>
      </c>
    </row>
    <row r="233" spans="1:7" ht="15" customHeight="1" thickBot="1" x14ac:dyDescent="0.3">
      <c r="A233" s="404"/>
      <c r="B233" s="414"/>
      <c r="C233" s="43" t="s">
        <v>139</v>
      </c>
      <c r="D233" s="44" t="s">
        <v>140</v>
      </c>
      <c r="E233" s="44" t="s">
        <v>141</v>
      </c>
      <c r="F233" s="418"/>
      <c r="G233" s="420"/>
    </row>
    <row r="234" spans="1:7" ht="14.1" customHeight="1" thickBot="1" x14ac:dyDescent="0.3">
      <c r="A234" s="368">
        <v>1</v>
      </c>
      <c r="B234" s="28" t="s">
        <v>142</v>
      </c>
      <c r="C234" s="29">
        <v>24023.367332414862</v>
      </c>
      <c r="D234" s="31">
        <v>9816.6683799228304</v>
      </c>
      <c r="E234" s="45"/>
      <c r="F234" s="31">
        <v>2.4472016780711208</v>
      </c>
      <c r="G234" s="46">
        <v>2.0068801536088691E-2</v>
      </c>
    </row>
    <row r="235" spans="1:7" ht="14.1" customHeight="1" x14ac:dyDescent="0.25">
      <c r="A235" s="403"/>
      <c r="B235" s="13" t="s">
        <v>143</v>
      </c>
      <c r="C235" s="33">
        <v>-1925.2982498793253</v>
      </c>
      <c r="D235" s="35">
        <v>763.28611719587639</v>
      </c>
      <c r="E235" s="35">
        <v>-4.0203672532170156</v>
      </c>
      <c r="F235" s="35">
        <v>-2.522380803875214</v>
      </c>
      <c r="G235" s="47">
        <v>1.6826676462999027E-2</v>
      </c>
    </row>
    <row r="236" spans="1:7" ht="14.1" customHeight="1" x14ac:dyDescent="0.25">
      <c r="A236" s="403"/>
      <c r="B236" s="13" t="s">
        <v>144</v>
      </c>
      <c r="C236" s="33">
        <v>-1720.6325094441765</v>
      </c>
      <c r="D236" s="35">
        <v>771.74803886066877</v>
      </c>
      <c r="E236" s="35">
        <v>-1.7543329062332365</v>
      </c>
      <c r="F236" s="35">
        <v>-2.2295262479504911</v>
      </c>
      <c r="G236" s="47">
        <v>3.2922710710692429E-2</v>
      </c>
    </row>
    <row r="237" spans="1:7" ht="14.1" customHeight="1" x14ac:dyDescent="0.25">
      <c r="A237" s="403"/>
      <c r="B237" s="13" t="s">
        <v>145</v>
      </c>
      <c r="C237" s="33">
        <v>-1478.538473918223</v>
      </c>
      <c r="D237" s="35">
        <v>747.55880441032639</v>
      </c>
      <c r="E237" s="35">
        <v>-3.8305034696685909</v>
      </c>
      <c r="F237" s="35">
        <v>-1.9778222999921626</v>
      </c>
      <c r="G237" s="47">
        <v>5.6614328188630964E-2</v>
      </c>
    </row>
    <row r="238" spans="1:7" ht="14.1" customHeight="1" x14ac:dyDescent="0.25">
      <c r="A238" s="403"/>
      <c r="B238" s="13" t="s">
        <v>146</v>
      </c>
      <c r="C238" s="33">
        <v>-1843.1924982453675</v>
      </c>
      <c r="D238" s="35">
        <v>751.11272618428018</v>
      </c>
      <c r="E238" s="35">
        <v>-4.3135947659745693</v>
      </c>
      <c r="F238" s="35">
        <v>-2.4539492329053592</v>
      </c>
      <c r="G238" s="47">
        <v>1.9756021167472739E-2</v>
      </c>
    </row>
    <row r="239" spans="1:7" ht="14.1" customHeight="1" x14ac:dyDescent="0.25">
      <c r="A239" s="403"/>
      <c r="B239" s="13" t="s">
        <v>150</v>
      </c>
      <c r="C239" s="33">
        <v>-1746.9443749740374</v>
      </c>
      <c r="D239" s="35">
        <v>738.33698916888591</v>
      </c>
      <c r="E239" s="35">
        <v>-4.8429845430897931</v>
      </c>
      <c r="F239" s="35">
        <v>-2.3660529007770519</v>
      </c>
      <c r="G239" s="47">
        <v>2.4201062470507361E-2</v>
      </c>
    </row>
    <row r="240" spans="1:7" ht="14.1" customHeight="1" x14ac:dyDescent="0.25">
      <c r="A240" s="403"/>
      <c r="B240" s="13" t="s">
        <v>147</v>
      </c>
      <c r="C240" s="33">
        <v>-158.27905590737058</v>
      </c>
      <c r="D240" s="35">
        <v>109.233787491819</v>
      </c>
      <c r="E240" s="35">
        <v>-0.11708217616768493</v>
      </c>
      <c r="F240" s="35">
        <v>-1.448993571876511</v>
      </c>
      <c r="G240" s="47">
        <v>0.1570689014317565</v>
      </c>
    </row>
    <row r="241" spans="1:7" ht="14.1" customHeight="1" x14ac:dyDescent="0.25">
      <c r="A241" s="403"/>
      <c r="B241" s="13" t="s">
        <v>148</v>
      </c>
      <c r="C241" s="33">
        <v>-40.444324681332205</v>
      </c>
      <c r="D241" s="35">
        <v>184.51100571282018</v>
      </c>
      <c r="E241" s="35">
        <v>-2.7534287288380248E-2</v>
      </c>
      <c r="F241" s="35">
        <v>-0.21919735641288121</v>
      </c>
      <c r="G241" s="47">
        <v>0.82788847470254168</v>
      </c>
    </row>
    <row r="242" spans="1:7" ht="14.1" customHeight="1" thickBot="1" x14ac:dyDescent="0.3">
      <c r="A242" s="404"/>
      <c r="B242" s="16" t="s">
        <v>149</v>
      </c>
      <c r="C242" s="38">
        <v>253.51576430264967</v>
      </c>
      <c r="D242" s="48">
        <v>295.79232825230815</v>
      </c>
      <c r="E242" s="48">
        <v>8.9166180709656984E-2</v>
      </c>
      <c r="F242" s="48">
        <v>0.85707349409820743</v>
      </c>
      <c r="G242" s="49">
        <v>0.39777767678413356</v>
      </c>
    </row>
    <row r="243" spans="1:7" ht="14.1" customHeight="1" x14ac:dyDescent="0.25">
      <c r="A243" s="370" t="s">
        <v>166</v>
      </c>
      <c r="B243" s="405"/>
      <c r="C243" s="405"/>
      <c r="D243" s="405"/>
      <c r="E243" s="405"/>
      <c r="F243" s="405"/>
      <c r="G243" s="405"/>
    </row>
    <row r="247" spans="1:7" ht="13.8" x14ac:dyDescent="0.3">
      <c r="A247" t="s">
        <v>36</v>
      </c>
    </row>
    <row r="249" spans="1:7" ht="18" customHeight="1" thickBot="1" x14ac:dyDescent="0.3">
      <c r="A249" s="406" t="s">
        <v>112</v>
      </c>
      <c r="B249" s="406"/>
      <c r="C249" s="406"/>
      <c r="D249" s="406"/>
    </row>
    <row r="250" spans="1:7" ht="24.9" customHeight="1" thickBot="1" x14ac:dyDescent="0.3">
      <c r="A250" s="18" t="s">
        <v>113</v>
      </c>
      <c r="B250" s="19" t="s">
        <v>114</v>
      </c>
      <c r="C250" s="20" t="s">
        <v>115</v>
      </c>
      <c r="D250" s="21" t="s">
        <v>116</v>
      </c>
    </row>
    <row r="251" spans="1:7" ht="33.9" customHeight="1" thickBot="1" x14ac:dyDescent="0.3">
      <c r="A251" s="22">
        <v>1</v>
      </c>
      <c r="B251" s="23" t="s">
        <v>21</v>
      </c>
      <c r="C251" s="24" t="s">
        <v>117</v>
      </c>
      <c r="D251" s="25" t="s">
        <v>118</v>
      </c>
    </row>
    <row r="252" spans="1:7" ht="15" customHeight="1" x14ac:dyDescent="0.25">
      <c r="A252" s="432" t="s">
        <v>158</v>
      </c>
      <c r="B252" s="432"/>
      <c r="C252" s="432"/>
      <c r="D252" s="432"/>
    </row>
    <row r="254" spans="1:7" ht="18" customHeight="1" thickBot="1" x14ac:dyDescent="0.3">
      <c r="A254" s="406" t="s">
        <v>119</v>
      </c>
      <c r="B254" s="406"/>
      <c r="C254" s="406"/>
      <c r="D254" s="406"/>
      <c r="E254" s="406"/>
    </row>
    <row r="255" spans="1:7" ht="24.9" customHeight="1" thickBot="1" x14ac:dyDescent="0.3">
      <c r="A255" s="18" t="s">
        <v>113</v>
      </c>
      <c r="B255" s="19" t="s">
        <v>120</v>
      </c>
      <c r="C255" s="20" t="s">
        <v>121</v>
      </c>
      <c r="D255" s="20" t="s">
        <v>122</v>
      </c>
      <c r="E255" s="21" t="s">
        <v>123</v>
      </c>
    </row>
    <row r="256" spans="1:7" ht="14.1" customHeight="1" thickBot="1" x14ac:dyDescent="0.3">
      <c r="A256" s="22">
        <v>1</v>
      </c>
      <c r="B256" s="26" t="s">
        <v>18</v>
      </c>
      <c r="C256" s="27">
        <v>0.89154179755711893</v>
      </c>
      <c r="D256" s="27">
        <v>0.85381720540307338</v>
      </c>
      <c r="E256" s="50">
        <v>166.56938946289901</v>
      </c>
    </row>
    <row r="257" spans="1:7" ht="15" customHeight="1" x14ac:dyDescent="0.25">
      <c r="A257" s="432" t="s">
        <v>22</v>
      </c>
      <c r="B257" s="432"/>
      <c r="C257" s="432"/>
      <c r="D257" s="432"/>
      <c r="E257" s="432"/>
    </row>
    <row r="259" spans="1:7" ht="20.100000000000001" customHeight="1" thickBot="1" x14ac:dyDescent="0.3">
      <c r="A259" s="388" t="s">
        <v>124</v>
      </c>
      <c r="B259" s="388"/>
      <c r="C259" s="388"/>
      <c r="D259" s="388"/>
      <c r="E259" s="388"/>
      <c r="F259" s="388"/>
      <c r="G259" s="388"/>
    </row>
    <row r="260" spans="1:7" ht="24.9" customHeight="1" thickBot="1" x14ac:dyDescent="0.3">
      <c r="A260" s="446" t="s">
        <v>113</v>
      </c>
      <c r="B260" s="447"/>
      <c r="C260" s="19" t="s">
        <v>125</v>
      </c>
      <c r="D260" s="20" t="s">
        <v>126</v>
      </c>
      <c r="E260" s="20" t="s">
        <v>127</v>
      </c>
      <c r="F260" s="20" t="s">
        <v>128</v>
      </c>
      <c r="G260" s="21" t="s">
        <v>129</v>
      </c>
    </row>
    <row r="261" spans="1:7" ht="14.1" customHeight="1" x14ac:dyDescent="0.25">
      <c r="A261" s="443">
        <v>1</v>
      </c>
      <c r="B261" s="28" t="s">
        <v>130</v>
      </c>
      <c r="C261" s="29">
        <v>5245628.5003610104</v>
      </c>
      <c r="D261" s="30">
        <v>8</v>
      </c>
      <c r="E261" s="31">
        <v>655703.5625451263</v>
      </c>
      <c r="F261" s="31">
        <v>23.632907518696928</v>
      </c>
      <c r="G261" s="32" t="s">
        <v>131</v>
      </c>
    </row>
    <row r="262" spans="1:7" ht="14.1" customHeight="1" x14ac:dyDescent="0.25">
      <c r="A262" s="444"/>
      <c r="B262" s="13" t="s">
        <v>132</v>
      </c>
      <c r="C262" s="33">
        <v>638143.31463898753</v>
      </c>
      <c r="D262" s="34">
        <v>23</v>
      </c>
      <c r="E262" s="35">
        <v>27745.361506042937</v>
      </c>
      <c r="F262" s="36"/>
      <c r="G262" s="37"/>
    </row>
    <row r="263" spans="1:7" ht="14.1" customHeight="1" thickBot="1" x14ac:dyDescent="0.3">
      <c r="A263" s="445"/>
      <c r="B263" s="16" t="s">
        <v>133</v>
      </c>
      <c r="C263" s="38">
        <v>5883771.8149999976</v>
      </c>
      <c r="D263" s="39">
        <v>31</v>
      </c>
      <c r="E263" s="40"/>
      <c r="F263" s="40"/>
      <c r="G263" s="41"/>
    </row>
    <row r="264" spans="1:7" ht="15" customHeight="1" x14ac:dyDescent="0.25">
      <c r="A264" s="432" t="s">
        <v>22</v>
      </c>
      <c r="B264" s="432"/>
      <c r="C264" s="432"/>
      <c r="D264" s="432"/>
      <c r="E264" s="432"/>
      <c r="F264" s="432"/>
      <c r="G264" s="432"/>
    </row>
    <row r="265" spans="1:7" ht="15" customHeight="1" x14ac:dyDescent="0.25">
      <c r="A265" s="370" t="s">
        <v>165</v>
      </c>
      <c r="B265" s="370"/>
      <c r="C265" s="370"/>
      <c r="D265" s="370"/>
      <c r="E265" s="370"/>
      <c r="F265" s="370"/>
      <c r="G265" s="370"/>
    </row>
    <row r="267" spans="1:7" ht="20.100000000000001" customHeight="1" thickBot="1" x14ac:dyDescent="0.3">
      <c r="A267" s="388" t="s">
        <v>135</v>
      </c>
      <c r="B267" s="388"/>
      <c r="C267" s="388"/>
      <c r="D267" s="388"/>
      <c r="E267" s="388"/>
      <c r="F267" s="388"/>
      <c r="G267" s="388"/>
    </row>
    <row r="268" spans="1:7" ht="24.9" customHeight="1" x14ac:dyDescent="0.25">
      <c r="A268" s="433" t="s">
        <v>113</v>
      </c>
      <c r="B268" s="434"/>
      <c r="C268" s="437" t="s">
        <v>136</v>
      </c>
      <c r="D268" s="438"/>
      <c r="E268" s="42" t="s">
        <v>137</v>
      </c>
      <c r="F268" s="439" t="s">
        <v>138</v>
      </c>
      <c r="G268" s="441" t="s">
        <v>129</v>
      </c>
    </row>
    <row r="269" spans="1:7" ht="15" customHeight="1" thickBot="1" x14ac:dyDescent="0.3">
      <c r="A269" s="435"/>
      <c r="B269" s="436"/>
      <c r="C269" s="43" t="s">
        <v>139</v>
      </c>
      <c r="D269" s="44" t="s">
        <v>140</v>
      </c>
      <c r="E269" s="44" t="s">
        <v>141</v>
      </c>
      <c r="F269" s="440"/>
      <c r="G269" s="442"/>
    </row>
    <row r="270" spans="1:7" ht="14.1" customHeight="1" x14ac:dyDescent="0.25">
      <c r="A270" s="443">
        <v>1</v>
      </c>
      <c r="B270" s="28" t="s">
        <v>142</v>
      </c>
      <c r="C270" s="29">
        <v>26105.709206732558</v>
      </c>
      <c r="D270" s="31">
        <v>59308.75743115088</v>
      </c>
      <c r="E270" s="45"/>
      <c r="F270" s="31">
        <v>0.44016618013010322</v>
      </c>
      <c r="G270" s="46">
        <v>0.66392557786497497</v>
      </c>
    </row>
    <row r="271" spans="1:7" ht="14.1" customHeight="1" x14ac:dyDescent="0.25">
      <c r="A271" s="444"/>
      <c r="B271" s="13" t="s">
        <v>143</v>
      </c>
      <c r="C271" s="33">
        <v>-1991.9339858346834</v>
      </c>
      <c r="D271" s="35">
        <v>4596.8461243729134</v>
      </c>
      <c r="E271" s="35">
        <v>-0.65271776889385769</v>
      </c>
      <c r="F271" s="35">
        <v>-0.43332622670862547</v>
      </c>
      <c r="G271" s="47">
        <v>0.66881469598534227</v>
      </c>
    </row>
    <row r="272" spans="1:7" ht="14.1" customHeight="1" x14ac:dyDescent="0.25">
      <c r="A272" s="444"/>
      <c r="B272" s="13" t="s">
        <v>144</v>
      </c>
      <c r="C272" s="33">
        <v>-3034.9724955129836</v>
      </c>
      <c r="D272" s="35">
        <v>4499.2209490996001</v>
      </c>
      <c r="E272" s="35">
        <v>-1.2175064182191875</v>
      </c>
      <c r="F272" s="35">
        <v>-0.67455511295135506</v>
      </c>
      <c r="G272" s="47">
        <v>0.50668284199653912</v>
      </c>
    </row>
    <row r="273" spans="1:7" ht="14.1" customHeight="1" x14ac:dyDescent="0.25">
      <c r="A273" s="444"/>
      <c r="B273" s="13" t="s">
        <v>145</v>
      </c>
      <c r="C273" s="33">
        <v>-1472.224226271795</v>
      </c>
      <c r="D273" s="35">
        <v>4566.986865492272</v>
      </c>
      <c r="E273" s="35">
        <v>-0.5984718160252428</v>
      </c>
      <c r="F273" s="35">
        <v>-0.32236226414307961</v>
      </c>
      <c r="G273" s="47">
        <v>0.75009021360302774</v>
      </c>
    </row>
    <row r="274" spans="1:7" ht="14.1" customHeight="1" x14ac:dyDescent="0.25">
      <c r="A274" s="444"/>
      <c r="B274" s="13" t="s">
        <v>146</v>
      </c>
      <c r="C274" s="33">
        <v>-2454.7648531112741</v>
      </c>
      <c r="D274" s="35">
        <v>4600.269928655207</v>
      </c>
      <c r="E274" s="35">
        <v>-1.6015449563799351</v>
      </c>
      <c r="F274" s="35">
        <v>-0.53361322078525797</v>
      </c>
      <c r="G274" s="47">
        <v>0.59872880094422054</v>
      </c>
    </row>
    <row r="275" spans="1:7" ht="14.1" customHeight="1" x14ac:dyDescent="0.25">
      <c r="A275" s="444"/>
      <c r="B275" s="13" t="s">
        <v>150</v>
      </c>
      <c r="C275" s="33">
        <v>-2125.7909587574673</v>
      </c>
      <c r="D275" s="35">
        <v>4571.6019558862681</v>
      </c>
      <c r="E275" s="35">
        <v>-1.916534690190574</v>
      </c>
      <c r="F275" s="35">
        <v>-0.46499913581066649</v>
      </c>
      <c r="G275" s="47">
        <v>0.64630445519810376</v>
      </c>
    </row>
    <row r="276" spans="1:7" ht="14.1" customHeight="1" x14ac:dyDescent="0.25">
      <c r="A276" s="444"/>
      <c r="B276" s="13" t="s">
        <v>147</v>
      </c>
      <c r="C276" s="33">
        <v>-830.64498440360296</v>
      </c>
      <c r="D276" s="35">
        <v>412.10504096179329</v>
      </c>
      <c r="E276" s="35">
        <v>-0.1991435903209699</v>
      </c>
      <c r="F276" s="35">
        <v>-2.0156147143092409</v>
      </c>
      <c r="G276" s="47">
        <v>5.5669955173791801E-2</v>
      </c>
    </row>
    <row r="277" spans="1:7" ht="14.1" customHeight="1" x14ac:dyDescent="0.25">
      <c r="A277" s="444"/>
      <c r="B277" s="13" t="s">
        <v>148</v>
      </c>
      <c r="C277" s="33">
        <v>2708.8290216029068</v>
      </c>
      <c r="D277" s="35">
        <v>692.4915631368707</v>
      </c>
      <c r="E277" s="35">
        <v>0.46326403845589637</v>
      </c>
      <c r="F277" s="35">
        <v>3.9117141143674954</v>
      </c>
      <c r="G277" s="47">
        <v>7.0027791986332897E-4</v>
      </c>
    </row>
    <row r="278" spans="1:7" ht="14.1" customHeight="1" thickBot="1" x14ac:dyDescent="0.3">
      <c r="A278" s="445"/>
      <c r="B278" s="16" t="s">
        <v>149</v>
      </c>
      <c r="C278" s="38">
        <v>2204.1048027563752</v>
      </c>
      <c r="D278" s="48">
        <v>654.15658477994987</v>
      </c>
      <c r="E278" s="48">
        <v>0.44586966152660928</v>
      </c>
      <c r="F278" s="48">
        <v>3.3693841108361062</v>
      </c>
      <c r="G278" s="49">
        <v>2.6476672209863887E-3</v>
      </c>
    </row>
    <row r="279" spans="1:7" ht="14.1" customHeight="1" x14ac:dyDescent="0.25">
      <c r="A279" s="432" t="s">
        <v>166</v>
      </c>
      <c r="B279" s="432"/>
      <c r="C279" s="432"/>
      <c r="D279" s="432"/>
      <c r="E279" s="432"/>
      <c r="F279" s="432"/>
      <c r="G279" s="432"/>
    </row>
    <row r="280" spans="1:7" ht="15" customHeight="1" x14ac:dyDescent="0.25"/>
    <row r="283" spans="1:7" ht="13.8" x14ac:dyDescent="0.3">
      <c r="A283" t="s">
        <v>161</v>
      </c>
    </row>
    <row r="286" spans="1:7" ht="16.8" x14ac:dyDescent="0.3">
      <c r="A286" t="s">
        <v>86</v>
      </c>
    </row>
    <row r="288" spans="1:7" ht="18" customHeight="1" thickBot="1" x14ac:dyDescent="0.3">
      <c r="A288" s="406" t="s">
        <v>87</v>
      </c>
      <c r="B288" s="429"/>
      <c r="C288" s="429"/>
    </row>
    <row r="289" spans="1:3" ht="14.1" customHeight="1" x14ac:dyDescent="0.25">
      <c r="A289" s="449" t="s">
        <v>88</v>
      </c>
      <c r="B289" s="422"/>
      <c r="C289" s="11" t="s">
        <v>168</v>
      </c>
    </row>
    <row r="290" spans="1:3" ht="14.1" customHeight="1" x14ac:dyDescent="0.25">
      <c r="A290" s="448" t="s">
        <v>89</v>
      </c>
      <c r="B290" s="424"/>
      <c r="C290" s="12" t="s">
        <v>90</v>
      </c>
    </row>
    <row r="291" spans="1:3" ht="14.1" customHeight="1" x14ac:dyDescent="0.25">
      <c r="A291" s="444" t="s">
        <v>91</v>
      </c>
      <c r="B291" s="13" t="s">
        <v>92</v>
      </c>
      <c r="C291" s="12" t="s">
        <v>93</v>
      </c>
    </row>
    <row r="292" spans="1:3" ht="14.1" customHeight="1" x14ac:dyDescent="0.25">
      <c r="A292" s="425"/>
      <c r="B292" s="13" t="s">
        <v>94</v>
      </c>
      <c r="C292" s="12" t="s">
        <v>95</v>
      </c>
    </row>
    <row r="293" spans="1:3" ht="14.1" customHeight="1" x14ac:dyDescent="0.25">
      <c r="A293" s="425"/>
      <c r="B293" s="13" t="s">
        <v>96</v>
      </c>
      <c r="C293" s="12" t="s">
        <v>95</v>
      </c>
    </row>
    <row r="294" spans="1:3" ht="14.1" customHeight="1" x14ac:dyDescent="0.25">
      <c r="A294" s="425"/>
      <c r="B294" s="13" t="s">
        <v>97</v>
      </c>
      <c r="C294" s="12" t="s">
        <v>95</v>
      </c>
    </row>
    <row r="295" spans="1:3" ht="24" customHeight="1" x14ac:dyDescent="0.25">
      <c r="A295" s="425"/>
      <c r="B295" s="13" t="s">
        <v>98</v>
      </c>
      <c r="C295" s="14">
        <v>30</v>
      </c>
    </row>
    <row r="296" spans="1:3" ht="24" customHeight="1" x14ac:dyDescent="0.25">
      <c r="A296" s="444" t="s">
        <v>99</v>
      </c>
      <c r="B296" s="13" t="s">
        <v>100</v>
      </c>
      <c r="C296" s="12" t="s">
        <v>101</v>
      </c>
    </row>
    <row r="297" spans="1:3" ht="33.9" customHeight="1" x14ac:dyDescent="0.25">
      <c r="A297" s="425"/>
      <c r="B297" s="13" t="s">
        <v>102</v>
      </c>
      <c r="C297" s="12" t="s">
        <v>103</v>
      </c>
    </row>
    <row r="298" spans="1:3" ht="101.1" customHeight="1" x14ac:dyDescent="0.25">
      <c r="A298" s="448" t="s">
        <v>104</v>
      </c>
      <c r="B298" s="424"/>
      <c r="C298" s="12" t="s">
        <v>163</v>
      </c>
    </row>
    <row r="299" spans="1:3" ht="14.1" customHeight="1" thickBot="1" x14ac:dyDescent="0.3">
      <c r="A299" s="445" t="s">
        <v>105</v>
      </c>
      <c r="B299" s="13" t="s">
        <v>106</v>
      </c>
      <c r="C299" s="15" t="s">
        <v>167</v>
      </c>
    </row>
    <row r="300" spans="1:3" ht="14.1" customHeight="1" x14ac:dyDescent="0.25">
      <c r="A300" s="425"/>
      <c r="B300" s="13" t="s">
        <v>108</v>
      </c>
      <c r="C300" s="15" t="s">
        <v>169</v>
      </c>
    </row>
    <row r="301" spans="1:3" ht="14.1" customHeight="1" x14ac:dyDescent="0.25">
      <c r="A301" s="425"/>
      <c r="B301" s="13" t="s">
        <v>109</v>
      </c>
      <c r="C301" s="12" t="s">
        <v>153</v>
      </c>
    </row>
    <row r="302" spans="1:3" ht="33.9" customHeight="1" thickBot="1" x14ac:dyDescent="0.3">
      <c r="A302" s="426"/>
      <c r="B302" s="16" t="s">
        <v>110</v>
      </c>
      <c r="C302" s="17" t="s">
        <v>111</v>
      </c>
    </row>
    <row r="305" spans="1:7" ht="13.8" x14ac:dyDescent="0.3">
      <c r="A305" t="s">
        <v>34</v>
      </c>
    </row>
    <row r="307" spans="1:7" ht="18" customHeight="1" thickBot="1" x14ac:dyDescent="0.3">
      <c r="A307" s="406" t="s">
        <v>112</v>
      </c>
      <c r="B307" s="406"/>
      <c r="C307" s="406"/>
      <c r="D307" s="406"/>
    </row>
    <row r="308" spans="1:7" ht="24.9" customHeight="1" thickBot="1" x14ac:dyDescent="0.3">
      <c r="A308" s="18" t="s">
        <v>113</v>
      </c>
      <c r="B308" s="19" t="s">
        <v>114</v>
      </c>
      <c r="C308" s="20" t="s">
        <v>115</v>
      </c>
      <c r="D308" s="21" t="s">
        <v>116</v>
      </c>
    </row>
    <row r="309" spans="1:7" ht="33.9" customHeight="1" thickBot="1" x14ac:dyDescent="0.3">
      <c r="A309" s="22">
        <v>1</v>
      </c>
      <c r="B309" s="23" t="s">
        <v>32</v>
      </c>
      <c r="C309" s="24" t="s">
        <v>117</v>
      </c>
      <c r="D309" s="25" t="s">
        <v>118</v>
      </c>
    </row>
    <row r="310" spans="1:7" ht="15" customHeight="1" x14ac:dyDescent="0.25">
      <c r="A310" s="432" t="s">
        <v>158</v>
      </c>
      <c r="B310" s="432"/>
      <c r="C310" s="432"/>
      <c r="D310" s="432"/>
    </row>
    <row r="312" spans="1:7" ht="18" customHeight="1" thickBot="1" x14ac:dyDescent="0.3">
      <c r="A312" s="406" t="s">
        <v>119</v>
      </c>
      <c r="B312" s="406"/>
      <c r="C312" s="406"/>
      <c r="D312" s="406"/>
      <c r="E312" s="406"/>
    </row>
    <row r="313" spans="1:7" ht="24.9" customHeight="1" thickBot="1" x14ac:dyDescent="0.3">
      <c r="A313" s="18" t="s">
        <v>113</v>
      </c>
      <c r="B313" s="19" t="s">
        <v>120</v>
      </c>
      <c r="C313" s="20" t="s">
        <v>121</v>
      </c>
      <c r="D313" s="20" t="s">
        <v>122</v>
      </c>
      <c r="E313" s="21" t="s">
        <v>123</v>
      </c>
    </row>
    <row r="314" spans="1:7" ht="14.1" customHeight="1" thickBot="1" x14ac:dyDescent="0.3">
      <c r="A314" s="22">
        <v>1</v>
      </c>
      <c r="B314" s="26" t="s">
        <v>35</v>
      </c>
      <c r="C314" s="27">
        <v>0.83946846797499419</v>
      </c>
      <c r="D314" s="27">
        <v>0.72271826286589902</v>
      </c>
      <c r="E314" s="52">
        <v>0.15800254093603119</v>
      </c>
    </row>
    <row r="315" spans="1:7" ht="15" customHeight="1" x14ac:dyDescent="0.25">
      <c r="A315" s="432" t="s">
        <v>33</v>
      </c>
      <c r="B315" s="432"/>
      <c r="C315" s="432"/>
      <c r="D315" s="432"/>
      <c r="E315" s="432"/>
    </row>
    <row r="317" spans="1:7" ht="20.100000000000001" customHeight="1" thickBot="1" x14ac:dyDescent="0.3">
      <c r="A317" s="388" t="s">
        <v>124</v>
      </c>
      <c r="B317" s="388"/>
      <c r="C317" s="388"/>
      <c r="D317" s="388"/>
      <c r="E317" s="388"/>
      <c r="F317" s="388"/>
      <c r="G317" s="388"/>
    </row>
    <row r="318" spans="1:7" ht="24.9" customHeight="1" thickBot="1" x14ac:dyDescent="0.3">
      <c r="A318" s="446" t="s">
        <v>113</v>
      </c>
      <c r="B318" s="447"/>
      <c r="C318" s="19" t="s">
        <v>125</v>
      </c>
      <c r="D318" s="20" t="s">
        <v>126</v>
      </c>
      <c r="E318" s="20" t="s">
        <v>127</v>
      </c>
      <c r="F318" s="20" t="s">
        <v>128</v>
      </c>
      <c r="G318" s="21" t="s">
        <v>129</v>
      </c>
    </row>
    <row r="319" spans="1:7" ht="14.1" customHeight="1" x14ac:dyDescent="0.25">
      <c r="A319" s="443">
        <v>1</v>
      </c>
      <c r="B319" s="28" t="s">
        <v>130</v>
      </c>
      <c r="C319" s="29">
        <v>1.4360344710067896</v>
      </c>
      <c r="D319" s="30">
        <v>8</v>
      </c>
      <c r="E319" s="31">
        <v>0.1795043088758487</v>
      </c>
      <c r="F319" s="31">
        <v>7.1902954447965888</v>
      </c>
      <c r="G319" s="32" t="s">
        <v>20</v>
      </c>
    </row>
    <row r="320" spans="1:7" ht="14.1" customHeight="1" x14ac:dyDescent="0.25">
      <c r="A320" s="444"/>
      <c r="B320" s="13" t="s">
        <v>132</v>
      </c>
      <c r="C320" s="33">
        <v>0.27461283236466438</v>
      </c>
      <c r="D320" s="34">
        <v>11</v>
      </c>
      <c r="E320" s="35">
        <v>2.4964802942242216E-2</v>
      </c>
      <c r="F320" s="36"/>
      <c r="G320" s="37"/>
    </row>
    <row r="321" spans="1:7" ht="14.1" customHeight="1" thickBot="1" x14ac:dyDescent="0.3">
      <c r="A321" s="445"/>
      <c r="B321" s="16" t="s">
        <v>133</v>
      </c>
      <c r="C321" s="38">
        <v>1.710647303371454</v>
      </c>
      <c r="D321" s="39">
        <v>19</v>
      </c>
      <c r="E321" s="40"/>
      <c r="F321" s="40"/>
      <c r="G321" s="41"/>
    </row>
    <row r="322" spans="1:7" ht="15" customHeight="1" x14ac:dyDescent="0.25">
      <c r="A322" s="432" t="s">
        <v>33</v>
      </c>
      <c r="B322" s="432"/>
      <c r="C322" s="432"/>
      <c r="D322" s="432"/>
      <c r="E322" s="432"/>
      <c r="F322" s="432"/>
      <c r="G322" s="432"/>
    </row>
    <row r="323" spans="1:7" ht="15" customHeight="1" x14ac:dyDescent="0.25">
      <c r="A323" s="370" t="s">
        <v>159</v>
      </c>
      <c r="B323" s="370"/>
      <c r="C323" s="370"/>
      <c r="D323" s="370"/>
      <c r="E323" s="370"/>
      <c r="F323" s="370"/>
      <c r="G323" s="370"/>
    </row>
    <row r="325" spans="1:7" ht="20.100000000000001" customHeight="1" thickBot="1" x14ac:dyDescent="0.3">
      <c r="A325" s="388" t="s">
        <v>135</v>
      </c>
      <c r="B325" s="388"/>
      <c r="C325" s="388"/>
      <c r="D325" s="388"/>
      <c r="E325" s="388"/>
      <c r="F325" s="388"/>
      <c r="G325" s="388"/>
    </row>
    <row r="326" spans="1:7" ht="24.9" customHeight="1" x14ac:dyDescent="0.25">
      <c r="A326" s="433" t="s">
        <v>113</v>
      </c>
      <c r="B326" s="434"/>
      <c r="C326" s="437" t="s">
        <v>136</v>
      </c>
      <c r="D326" s="438"/>
      <c r="E326" s="42" t="s">
        <v>137</v>
      </c>
      <c r="F326" s="439" t="s">
        <v>138</v>
      </c>
      <c r="G326" s="441" t="s">
        <v>129</v>
      </c>
    </row>
    <row r="327" spans="1:7" ht="15" customHeight="1" thickBot="1" x14ac:dyDescent="0.3">
      <c r="A327" s="435"/>
      <c r="B327" s="436"/>
      <c r="C327" s="43" t="s">
        <v>139</v>
      </c>
      <c r="D327" s="44" t="s">
        <v>140</v>
      </c>
      <c r="E327" s="44" t="s">
        <v>141</v>
      </c>
      <c r="F327" s="440"/>
      <c r="G327" s="442"/>
    </row>
    <row r="328" spans="1:7" ht="14.1" customHeight="1" x14ac:dyDescent="0.25">
      <c r="A328" s="443">
        <v>1</v>
      </c>
      <c r="B328" s="28" t="s">
        <v>142</v>
      </c>
      <c r="C328" s="29">
        <v>26.542631932695741</v>
      </c>
      <c r="D328" s="31">
        <v>63.97252383111276</v>
      </c>
      <c r="E328" s="45"/>
      <c r="F328" s="31">
        <v>0.41490674969723246</v>
      </c>
      <c r="G328" s="46">
        <v>0.68618713076845728</v>
      </c>
    </row>
    <row r="329" spans="1:7" ht="14.1" customHeight="1" x14ac:dyDescent="0.25">
      <c r="A329" s="444"/>
      <c r="B329" s="13" t="s">
        <v>143</v>
      </c>
      <c r="C329" s="33">
        <v>-1.2085174038623701</v>
      </c>
      <c r="D329" s="35">
        <v>4.9857151791071068</v>
      </c>
      <c r="E329" s="35">
        <v>-0.56896531731737476</v>
      </c>
      <c r="F329" s="35">
        <v>-0.2423959974542316</v>
      </c>
      <c r="G329" s="47">
        <v>0.81293340689771698</v>
      </c>
    </row>
    <row r="330" spans="1:7" ht="14.1" customHeight="1" x14ac:dyDescent="0.25">
      <c r="A330" s="444"/>
      <c r="B330" s="13" t="s">
        <v>144</v>
      </c>
      <c r="C330" s="33">
        <v>-3.8593093907100076</v>
      </c>
      <c r="D330" s="35">
        <v>4.748580802123616</v>
      </c>
      <c r="E330" s="35">
        <v>-2.3276940127165267</v>
      </c>
      <c r="F330" s="35">
        <v>-0.81272901347368531</v>
      </c>
      <c r="G330" s="47">
        <v>0.43361127594639304</v>
      </c>
    </row>
    <row r="331" spans="1:7" ht="14.1" customHeight="1" x14ac:dyDescent="0.25">
      <c r="A331" s="444"/>
      <c r="B331" s="13" t="s">
        <v>145</v>
      </c>
      <c r="C331" s="33">
        <v>-1.1053607066705118</v>
      </c>
      <c r="D331" s="35">
        <v>4.8990172893624697</v>
      </c>
      <c r="E331" s="35">
        <v>-0.73767591022534007</v>
      </c>
      <c r="F331" s="35">
        <v>-0.22562906831756807</v>
      </c>
      <c r="G331" s="47">
        <v>0.82562719798531947</v>
      </c>
    </row>
    <row r="332" spans="1:7" ht="14.1" customHeight="1" x14ac:dyDescent="0.25">
      <c r="A332" s="444"/>
      <c r="B332" s="13" t="s">
        <v>146</v>
      </c>
      <c r="C332" s="33">
        <v>-2.9067794703546816</v>
      </c>
      <c r="D332" s="35">
        <v>4.869872780295414</v>
      </c>
      <c r="E332" s="35">
        <v>-2.0624990893868604</v>
      </c>
      <c r="F332" s="35">
        <v>-0.59689022721828722</v>
      </c>
      <c r="G332" s="47">
        <v>0.56266442941743411</v>
      </c>
    </row>
    <row r="333" spans="1:7" ht="14.1" customHeight="1" x14ac:dyDescent="0.25">
      <c r="A333" s="444"/>
      <c r="B333" s="13" t="s">
        <v>150</v>
      </c>
      <c r="C333" s="33">
        <v>-2.6482574154833185</v>
      </c>
      <c r="D333" s="35">
        <v>4.8097214939799713</v>
      </c>
      <c r="E333" s="35">
        <v>-3.0546790972508209</v>
      </c>
      <c r="F333" s="35">
        <v>-0.55060514809391303</v>
      </c>
      <c r="G333" s="47">
        <v>0.59291012824199274</v>
      </c>
    </row>
    <row r="334" spans="1:7" ht="14.1" customHeight="1" x14ac:dyDescent="0.25">
      <c r="A334" s="444"/>
      <c r="B334" s="13" t="s">
        <v>147</v>
      </c>
      <c r="C334" s="33">
        <v>0.51335758443801904</v>
      </c>
      <c r="D334" s="35">
        <v>0.64798543312495271</v>
      </c>
      <c r="E334" s="35">
        <v>0.15102439217501443</v>
      </c>
      <c r="F334" s="35">
        <v>0.79223630377355558</v>
      </c>
      <c r="G334" s="47">
        <v>0.44497259030370795</v>
      </c>
    </row>
    <row r="335" spans="1:7" ht="14.1" customHeight="1" x14ac:dyDescent="0.25">
      <c r="A335" s="444"/>
      <c r="B335" s="13" t="s">
        <v>148</v>
      </c>
      <c r="C335" s="33">
        <v>2.9751971464850984</v>
      </c>
      <c r="D335" s="35">
        <v>0.96862822404708326</v>
      </c>
      <c r="E335" s="35">
        <v>0.47027314627805811</v>
      </c>
      <c r="F335" s="35">
        <v>3.0715573556738311</v>
      </c>
      <c r="G335" s="47">
        <v>1.0630318996481761E-2</v>
      </c>
    </row>
    <row r="336" spans="1:7" ht="14.1" customHeight="1" thickBot="1" x14ac:dyDescent="0.3">
      <c r="A336" s="445"/>
      <c r="B336" s="16" t="s">
        <v>149</v>
      </c>
      <c r="C336" s="38">
        <v>1.8146703274933129</v>
      </c>
      <c r="D336" s="48">
        <v>0.68156930752594902</v>
      </c>
      <c r="E336" s="48">
        <v>0.58262268279872098</v>
      </c>
      <c r="F336" s="48">
        <v>2.6624883301750262</v>
      </c>
      <c r="G336" s="49">
        <v>2.2088335803737289E-2</v>
      </c>
    </row>
    <row r="337" spans="1:7" ht="14.1" customHeight="1" x14ac:dyDescent="0.25">
      <c r="A337" s="432" t="s">
        <v>160</v>
      </c>
      <c r="B337" s="432"/>
      <c r="C337" s="432"/>
      <c r="D337" s="432"/>
      <c r="E337" s="432"/>
      <c r="F337" s="432"/>
      <c r="G337" s="432"/>
    </row>
    <row r="338" spans="1:7" ht="15" customHeight="1" x14ac:dyDescent="0.25"/>
    <row r="339" spans="1:7" ht="13.5" customHeight="1" x14ac:dyDescent="0.25"/>
    <row r="340" spans="1:7" ht="13.5" customHeight="1" thickBot="1" x14ac:dyDescent="0.3">
      <c r="A340" s="406" t="s">
        <v>204</v>
      </c>
      <c r="B340" s="406"/>
      <c r="C340" s="406"/>
      <c r="D340" s="406"/>
    </row>
    <row r="341" spans="1:7" ht="13.8" thickBot="1" x14ac:dyDescent="0.3">
      <c r="A341" s="81" t="s">
        <v>182</v>
      </c>
      <c r="B341" s="82" t="s">
        <v>205</v>
      </c>
      <c r="C341" s="83" t="s">
        <v>206</v>
      </c>
      <c r="D341" s="84" t="s">
        <v>207</v>
      </c>
    </row>
    <row r="342" spans="1:7" ht="23.4" thickBot="1" x14ac:dyDescent="0.3">
      <c r="A342" s="85" t="s">
        <v>187</v>
      </c>
      <c r="B342" s="86" t="s">
        <v>215</v>
      </c>
      <c r="C342" s="87" t="s">
        <v>208</v>
      </c>
      <c r="D342" s="88" t="s">
        <v>209</v>
      </c>
    </row>
    <row r="343" spans="1:7" x14ac:dyDescent="0.25">
      <c r="A343" s="386" t="s">
        <v>210</v>
      </c>
      <c r="B343" s="386"/>
      <c r="C343" s="386"/>
      <c r="D343" s="386"/>
    </row>
    <row r="345" spans="1:7" ht="13.8" thickBot="1" x14ac:dyDescent="0.3">
      <c r="A345" s="406" t="s">
        <v>181</v>
      </c>
      <c r="B345" s="406"/>
      <c r="C345" s="406"/>
      <c r="D345" s="406"/>
      <c r="E345" s="406"/>
    </row>
    <row r="346" spans="1:7" ht="35.4" thickBot="1" x14ac:dyDescent="0.3">
      <c r="A346" s="190" t="s">
        <v>182</v>
      </c>
      <c r="B346" s="19" t="s">
        <v>183</v>
      </c>
      <c r="C346" s="191" t="s">
        <v>184</v>
      </c>
      <c r="D346" s="191" t="s">
        <v>185</v>
      </c>
      <c r="E346" s="192" t="s">
        <v>186</v>
      </c>
    </row>
    <row r="347" spans="1:7" ht="13.8" thickBot="1" x14ac:dyDescent="0.3">
      <c r="A347" s="22" t="s">
        <v>187</v>
      </c>
      <c r="B347" s="149" t="s">
        <v>439</v>
      </c>
      <c r="C347" s="27">
        <v>0.93295955988346335</v>
      </c>
      <c r="D347" s="27">
        <v>0.92237422723348383</v>
      </c>
      <c r="E347" s="50">
        <v>23.972933665050444</v>
      </c>
    </row>
    <row r="348" spans="1:7" x14ac:dyDescent="0.25">
      <c r="A348" s="432" t="s">
        <v>436</v>
      </c>
      <c r="B348" s="432"/>
      <c r="C348" s="432"/>
      <c r="D348" s="432"/>
      <c r="E348" s="432"/>
    </row>
    <row r="349" spans="1:7" ht="13.5" customHeight="1" x14ac:dyDescent="0.25"/>
    <row r="350" spans="1:7" ht="13.5" customHeight="1" thickBot="1" x14ac:dyDescent="0.3">
      <c r="A350" s="406" t="s">
        <v>188</v>
      </c>
      <c r="B350" s="406"/>
      <c r="C350" s="406"/>
      <c r="D350" s="406"/>
      <c r="E350" s="406"/>
      <c r="F350" s="406"/>
      <c r="G350" s="406"/>
    </row>
    <row r="351" spans="1:7" ht="13.8" thickBot="1" x14ac:dyDescent="0.3">
      <c r="A351" s="446" t="s">
        <v>182</v>
      </c>
      <c r="B351" s="447"/>
      <c r="C351" s="19" t="s">
        <v>189</v>
      </c>
      <c r="D351" s="191" t="s">
        <v>190</v>
      </c>
      <c r="E351" s="191" t="s">
        <v>191</v>
      </c>
      <c r="F351" s="191" t="s">
        <v>85</v>
      </c>
      <c r="G351" s="192" t="s">
        <v>192</v>
      </c>
    </row>
    <row r="352" spans="1:7" ht="12.75" customHeight="1" x14ac:dyDescent="0.25">
      <c r="A352" s="443" t="s">
        <v>187</v>
      </c>
      <c r="B352" s="28" t="s">
        <v>193</v>
      </c>
      <c r="C352" s="29">
        <v>455872.28039170866</v>
      </c>
      <c r="D352" s="30">
        <v>9</v>
      </c>
      <c r="E352" s="31">
        <v>50652.475599078738</v>
      </c>
      <c r="F352" s="31">
        <v>88.137009079754577</v>
      </c>
      <c r="G352" s="151" t="s">
        <v>213</v>
      </c>
    </row>
    <row r="353" spans="1:10" ht="13.5" customHeight="1" x14ac:dyDescent="0.25">
      <c r="A353" s="444"/>
      <c r="B353" s="13" t="s">
        <v>194</v>
      </c>
      <c r="C353" s="33">
        <v>32757.988265007814</v>
      </c>
      <c r="D353" s="34">
        <v>57</v>
      </c>
      <c r="E353" s="35">
        <v>574.70154850890901</v>
      </c>
      <c r="F353" s="74"/>
      <c r="G353" s="75"/>
    </row>
    <row r="354" spans="1:10" ht="13.8" thickBot="1" x14ac:dyDescent="0.3">
      <c r="A354" s="445"/>
      <c r="B354" s="16" t="s">
        <v>195</v>
      </c>
      <c r="C354" s="38">
        <v>488630.26865671645</v>
      </c>
      <c r="D354" s="39">
        <v>66</v>
      </c>
      <c r="E354" s="76"/>
      <c r="F354" s="76"/>
      <c r="G354" s="77"/>
    </row>
    <row r="355" spans="1:10" x14ac:dyDescent="0.25">
      <c r="A355" s="432" t="s">
        <v>437</v>
      </c>
      <c r="B355" s="432"/>
      <c r="C355" s="432"/>
      <c r="D355" s="432"/>
      <c r="E355" s="432"/>
      <c r="F355" s="432"/>
      <c r="G355" s="432"/>
    </row>
    <row r="357" spans="1:10" ht="13.5" customHeight="1" thickBot="1" x14ac:dyDescent="0.3">
      <c r="A357" s="406" t="s">
        <v>196</v>
      </c>
      <c r="B357" s="406"/>
      <c r="C357" s="406"/>
      <c r="D357" s="406"/>
      <c r="E357" s="406"/>
      <c r="F357" s="406"/>
      <c r="G357" s="406"/>
    </row>
    <row r="358" spans="1:10" ht="23.4" x14ac:dyDescent="0.25">
      <c r="A358" s="433" t="s">
        <v>182</v>
      </c>
      <c r="B358" s="434"/>
      <c r="C358" s="437" t="s">
        <v>197</v>
      </c>
      <c r="D358" s="438"/>
      <c r="E358" s="42" t="s">
        <v>198</v>
      </c>
      <c r="F358" s="439" t="s">
        <v>199</v>
      </c>
      <c r="G358" s="441" t="s">
        <v>192</v>
      </c>
    </row>
    <row r="359" spans="1:10" ht="13.5" customHeight="1" thickBot="1" x14ac:dyDescent="0.3">
      <c r="A359" s="435"/>
      <c r="B359" s="436"/>
      <c r="C359" s="43" t="s">
        <v>180</v>
      </c>
      <c r="D359" s="44" t="s">
        <v>200</v>
      </c>
      <c r="E359" s="44" t="s">
        <v>201</v>
      </c>
      <c r="F359" s="440"/>
      <c r="G359" s="442"/>
    </row>
    <row r="360" spans="1:10" x14ac:dyDescent="0.25">
      <c r="A360" s="443" t="s">
        <v>187</v>
      </c>
      <c r="B360" s="28" t="s">
        <v>202</v>
      </c>
      <c r="C360" s="29">
        <v>8899.6815701935739</v>
      </c>
      <c r="D360" s="31">
        <v>3835.767621583002</v>
      </c>
      <c r="E360" s="78"/>
      <c r="F360" s="31">
        <v>2.3201826722028378</v>
      </c>
      <c r="G360" s="46">
        <v>2.3933985204401459E-2</v>
      </c>
      <c r="I360" s="79">
        <v>1</v>
      </c>
      <c r="J360" s="79">
        <f>C360*$I$360+I361</f>
        <v>8899.0211245855735</v>
      </c>
    </row>
    <row r="361" spans="1:10" ht="12.75" customHeight="1" x14ac:dyDescent="0.25">
      <c r="A361" s="444"/>
      <c r="B361" s="13" t="s">
        <v>46</v>
      </c>
      <c r="C361" s="33">
        <v>-691.42288250876675</v>
      </c>
      <c r="D361" s="35">
        <v>297.53941991860381</v>
      </c>
      <c r="E361" s="35">
        <v>-2.3661425253747823</v>
      </c>
      <c r="F361" s="35">
        <v>-2.3238026164664682</v>
      </c>
      <c r="G361" s="47">
        <v>2.3724843159125236E-2</v>
      </c>
      <c r="I361" s="79">
        <v>-0.66044560799999996</v>
      </c>
      <c r="J361" s="79">
        <f>C361*$I$360</f>
        <v>-691.42288250876675</v>
      </c>
    </row>
    <row r="362" spans="1:10" ht="12.75" customHeight="1" x14ac:dyDescent="0.25">
      <c r="A362" s="444"/>
      <c r="B362" s="13" t="s">
        <v>47</v>
      </c>
      <c r="C362" s="33">
        <v>-391.54831783074553</v>
      </c>
      <c r="D362" s="35">
        <v>300.32630564522555</v>
      </c>
      <c r="E362" s="35">
        <v>-0.6796860030838594</v>
      </c>
      <c r="F362" s="35">
        <v>-1.303742997102892</v>
      </c>
      <c r="G362" s="47">
        <v>0.19756225234948296</v>
      </c>
      <c r="J362" s="79">
        <f t="shared" ref="J362:J369" si="0">C362*$I$360</f>
        <v>-391.54831783074553</v>
      </c>
    </row>
    <row r="363" spans="1:10" ht="12.75" customHeight="1" x14ac:dyDescent="0.25">
      <c r="A363" s="444"/>
      <c r="B363" s="13" t="s">
        <v>48</v>
      </c>
      <c r="C363" s="33">
        <v>-666.14918925573284</v>
      </c>
      <c r="D363" s="35">
        <v>287.16873101435056</v>
      </c>
      <c r="E363" s="35">
        <v>-2.8997164171370646</v>
      </c>
      <c r="F363" s="35">
        <v>-2.3197135248769256</v>
      </c>
      <c r="G363" s="47">
        <v>2.3961209945618653E-2</v>
      </c>
      <c r="J363" s="79">
        <f t="shared" si="0"/>
        <v>-666.14918925573284</v>
      </c>
    </row>
    <row r="364" spans="1:10" ht="12.75" customHeight="1" x14ac:dyDescent="0.25">
      <c r="A364" s="444"/>
      <c r="B364" s="13" t="s">
        <v>49</v>
      </c>
      <c r="C364" s="33">
        <v>-636.48418646487767</v>
      </c>
      <c r="D364" s="35">
        <v>293.27214648156911</v>
      </c>
      <c r="E364" s="35">
        <v>-2.330464635515793</v>
      </c>
      <c r="F364" s="35">
        <v>-2.1702851569808996</v>
      </c>
      <c r="G364" s="47">
        <v>3.4166228163210313E-2</v>
      </c>
      <c r="J364" s="79">
        <f t="shared" si="0"/>
        <v>-636.48418646487767</v>
      </c>
    </row>
    <row r="365" spans="1:10" ht="12.75" customHeight="1" x14ac:dyDescent="0.25">
      <c r="A365" s="444"/>
      <c r="B365" s="13" t="s">
        <v>51</v>
      </c>
      <c r="C365" s="33">
        <v>-584.0208633969354</v>
      </c>
      <c r="D365" s="35">
        <v>290.57124089284633</v>
      </c>
      <c r="E365" s="35">
        <v>-2.4377567274295031</v>
      </c>
      <c r="F365" s="35">
        <v>-2.009905941146819</v>
      </c>
      <c r="G365" s="47">
        <v>4.9182798074659917E-2</v>
      </c>
      <c r="J365" s="79">
        <f t="shared" si="0"/>
        <v>-584.0208633969354</v>
      </c>
    </row>
    <row r="366" spans="1:10" ht="12.75" customHeight="1" x14ac:dyDescent="0.25">
      <c r="A366" s="444"/>
      <c r="B366" s="13" t="s">
        <v>52</v>
      </c>
      <c r="C366" s="33">
        <v>-23.2151988847822</v>
      </c>
      <c r="D366" s="35">
        <v>42.139539378832993</v>
      </c>
      <c r="E366" s="35">
        <v>-2.5846871815348376E-2</v>
      </c>
      <c r="F366" s="35">
        <v>-0.55091249754959037</v>
      </c>
      <c r="G366" s="47">
        <v>0.58384664268656361</v>
      </c>
      <c r="J366" s="79">
        <f t="shared" si="0"/>
        <v>-23.2151988847822</v>
      </c>
    </row>
    <row r="367" spans="1:10" ht="12.75" customHeight="1" x14ac:dyDescent="0.25">
      <c r="A367" s="444"/>
      <c r="B367" s="13" t="s">
        <v>53</v>
      </c>
      <c r="C367" s="33">
        <v>79.97109941030476</v>
      </c>
      <c r="D367" s="35">
        <v>71.141626448547626</v>
      </c>
      <c r="E367" s="35">
        <v>0.11727826787441092</v>
      </c>
      <c r="F367" s="35">
        <v>1.1241112046846855</v>
      </c>
      <c r="G367" s="47">
        <v>0.2656777135637679</v>
      </c>
      <c r="J367" s="79">
        <f t="shared" si="0"/>
        <v>79.97109941030476</v>
      </c>
    </row>
    <row r="368" spans="1:10" ht="12.75" customHeight="1" x14ac:dyDescent="0.25">
      <c r="A368" s="444"/>
      <c r="B368" s="13" t="s">
        <v>54</v>
      </c>
      <c r="C368" s="33">
        <v>-104.13391302250231</v>
      </c>
      <c r="D368" s="35">
        <v>86.743830741775099</v>
      </c>
      <c r="E368" s="35">
        <v>-0.10002691196825209</v>
      </c>
      <c r="F368" s="35">
        <v>-1.2004763005278749</v>
      </c>
      <c r="G368" s="47">
        <v>0.23491980001148616</v>
      </c>
      <c r="J368" s="79">
        <f t="shared" si="0"/>
        <v>-104.13391302250231</v>
      </c>
    </row>
    <row r="369" spans="1:10" ht="13.5" customHeight="1" thickBot="1" x14ac:dyDescent="0.3">
      <c r="A369" s="445"/>
      <c r="B369" s="16" t="s">
        <v>438</v>
      </c>
      <c r="C369" s="38">
        <v>78.992593974531729</v>
      </c>
      <c r="D369" s="48">
        <v>18.427017310004402</v>
      </c>
      <c r="E369" s="48">
        <v>0.71484104245851987</v>
      </c>
      <c r="F369" s="48">
        <v>4.2867813409848505</v>
      </c>
      <c r="G369" s="49">
        <v>7.0683396727267236E-5</v>
      </c>
      <c r="J369" s="79">
        <f t="shared" si="0"/>
        <v>78.992593974531729</v>
      </c>
    </row>
    <row r="370" spans="1:10" ht="13.5" customHeight="1" x14ac:dyDescent="0.25">
      <c r="A370" s="432" t="s">
        <v>203</v>
      </c>
      <c r="B370" s="432"/>
      <c r="C370" s="432"/>
      <c r="D370" s="432"/>
      <c r="E370" s="432"/>
      <c r="F370" s="432"/>
      <c r="G370" s="432"/>
    </row>
    <row r="373" spans="1:10" ht="13.8" x14ac:dyDescent="0.3">
      <c r="A373" t="s">
        <v>37</v>
      </c>
    </row>
    <row r="375" spans="1:10" ht="18" customHeight="1" thickBot="1" x14ac:dyDescent="0.3">
      <c r="A375" s="406" t="s">
        <v>112</v>
      </c>
      <c r="B375" s="406"/>
      <c r="C375" s="406"/>
      <c r="D375" s="406"/>
    </row>
    <row r="376" spans="1:10" ht="24.9" customHeight="1" thickBot="1" x14ac:dyDescent="0.3">
      <c r="A376" s="18" t="s">
        <v>113</v>
      </c>
      <c r="B376" s="19" t="s">
        <v>114</v>
      </c>
      <c r="C376" s="20" t="s">
        <v>115</v>
      </c>
      <c r="D376" s="21" t="s">
        <v>116</v>
      </c>
    </row>
    <row r="377" spans="1:10" ht="33.9" customHeight="1" thickBot="1" x14ac:dyDescent="0.3">
      <c r="A377" s="22">
        <v>1</v>
      </c>
      <c r="B377" s="23" t="s">
        <v>38</v>
      </c>
      <c r="C377" s="24" t="s">
        <v>117</v>
      </c>
      <c r="D377" s="25" t="s">
        <v>118</v>
      </c>
    </row>
    <row r="378" spans="1:10" ht="15" customHeight="1" x14ac:dyDescent="0.25">
      <c r="A378" s="432" t="s">
        <v>158</v>
      </c>
      <c r="B378" s="432"/>
      <c r="C378" s="432"/>
      <c r="D378" s="432"/>
    </row>
    <row r="380" spans="1:10" ht="18" customHeight="1" thickBot="1" x14ac:dyDescent="0.3">
      <c r="A380" s="406" t="s">
        <v>119</v>
      </c>
      <c r="B380" s="406"/>
      <c r="C380" s="406"/>
      <c r="D380" s="406"/>
      <c r="E380" s="406"/>
    </row>
    <row r="381" spans="1:10" ht="24.9" customHeight="1" thickBot="1" x14ac:dyDescent="0.3">
      <c r="A381" s="18" t="s">
        <v>113</v>
      </c>
      <c r="B381" s="19" t="s">
        <v>120</v>
      </c>
      <c r="C381" s="20" t="s">
        <v>121</v>
      </c>
      <c r="D381" s="20" t="s">
        <v>122</v>
      </c>
      <c r="E381" s="21" t="s">
        <v>123</v>
      </c>
    </row>
    <row r="382" spans="1:10" ht="14.1" customHeight="1" thickBot="1" x14ac:dyDescent="0.3">
      <c r="A382" s="22">
        <v>1</v>
      </c>
      <c r="B382" t="s">
        <v>154</v>
      </c>
      <c r="C382" s="2">
        <v>0.8768107179061656</v>
      </c>
      <c r="D382" s="2">
        <v>0.80434643432155717</v>
      </c>
      <c r="E382" s="2">
        <v>0.71982761748129975</v>
      </c>
    </row>
    <row r="383" spans="1:10" ht="15" customHeight="1" x14ac:dyDescent="0.25">
      <c r="A383" s="432" t="s">
        <v>39</v>
      </c>
      <c r="B383" s="432"/>
      <c r="C383" s="432"/>
      <c r="D383" s="432"/>
      <c r="E383" s="432"/>
    </row>
    <row r="385" spans="1:7" ht="20.100000000000001" customHeight="1" thickBot="1" x14ac:dyDescent="0.3">
      <c r="A385" s="388" t="s">
        <v>124</v>
      </c>
      <c r="B385" s="388"/>
      <c r="C385" s="388"/>
      <c r="D385" s="388"/>
      <c r="E385" s="388"/>
      <c r="F385" s="388"/>
      <c r="G385" s="388"/>
    </row>
    <row r="386" spans="1:7" ht="24.9" customHeight="1" thickBot="1" x14ac:dyDescent="0.3">
      <c r="A386" s="446" t="s">
        <v>113</v>
      </c>
      <c r="B386" s="447"/>
      <c r="C386" s="19" t="s">
        <v>125</v>
      </c>
      <c r="D386" s="20" t="s">
        <v>126</v>
      </c>
      <c r="E386" s="20" t="s">
        <v>127</v>
      </c>
      <c r="F386" s="20" t="s">
        <v>128</v>
      </c>
      <c r="G386" s="21" t="s">
        <v>129</v>
      </c>
    </row>
    <row r="387" spans="1:7" ht="14.1" customHeight="1" x14ac:dyDescent="0.25">
      <c r="A387" s="443">
        <v>1</v>
      </c>
      <c r="B387" s="28" t="s">
        <v>130</v>
      </c>
      <c r="C387" s="29">
        <v>1.9089346072260365</v>
      </c>
      <c r="D387" s="30">
        <v>9</v>
      </c>
      <c r="E387" s="31">
        <v>0.21210384524733739</v>
      </c>
      <c r="F387" s="31">
        <v>10.909174533065556</v>
      </c>
      <c r="G387" s="32" t="s">
        <v>131</v>
      </c>
    </row>
    <row r="388" spans="1:7" ht="14.1" customHeight="1" x14ac:dyDescent="0.25">
      <c r="A388" s="444"/>
      <c r="B388" s="13" t="s">
        <v>132</v>
      </c>
      <c r="C388" s="33">
        <v>0.349968661962476</v>
      </c>
      <c r="D388" s="34">
        <v>18</v>
      </c>
      <c r="E388" s="35">
        <v>1.9442703442359779E-2</v>
      </c>
      <c r="F388" s="36"/>
      <c r="G388" s="37"/>
    </row>
    <row r="389" spans="1:7" ht="14.1" customHeight="1" thickBot="1" x14ac:dyDescent="0.3">
      <c r="A389" s="445"/>
      <c r="B389" s="16" t="s">
        <v>133</v>
      </c>
      <c r="C389" s="38">
        <v>2.2589032691885125</v>
      </c>
      <c r="D389" s="39">
        <v>27</v>
      </c>
      <c r="E389" s="40"/>
      <c r="F389" s="40"/>
      <c r="G389" s="41"/>
    </row>
    <row r="390" spans="1:7" ht="15" customHeight="1" x14ac:dyDescent="0.25">
      <c r="A390" s="432" t="s">
        <v>39</v>
      </c>
      <c r="B390" s="432"/>
      <c r="C390" s="432"/>
      <c r="D390" s="432"/>
      <c r="E390" s="432"/>
      <c r="F390" s="432"/>
      <c r="G390" s="432"/>
    </row>
    <row r="391" spans="1:7" ht="15" customHeight="1" x14ac:dyDescent="0.25">
      <c r="A391" s="370" t="s">
        <v>19</v>
      </c>
      <c r="B391" s="370"/>
      <c r="C391" s="370"/>
      <c r="D391" s="370"/>
      <c r="E391" s="370"/>
      <c r="F391" s="370"/>
      <c r="G391" s="370"/>
    </row>
    <row r="393" spans="1:7" ht="20.100000000000001" customHeight="1" thickBot="1" x14ac:dyDescent="0.3">
      <c r="A393" s="388" t="s">
        <v>135</v>
      </c>
      <c r="B393" s="388"/>
      <c r="C393" s="388"/>
      <c r="D393" s="388"/>
      <c r="E393" s="388"/>
      <c r="F393" s="388"/>
      <c r="G393" s="388"/>
    </row>
    <row r="394" spans="1:7" ht="24.9" customHeight="1" x14ac:dyDescent="0.25">
      <c r="A394" s="433" t="s">
        <v>113</v>
      </c>
      <c r="B394" s="434"/>
      <c r="C394" s="437" t="s">
        <v>136</v>
      </c>
      <c r="D394" s="438"/>
      <c r="E394" s="42" t="s">
        <v>137</v>
      </c>
      <c r="F394" s="439" t="s">
        <v>138</v>
      </c>
      <c r="G394" s="441" t="s">
        <v>129</v>
      </c>
    </row>
    <row r="395" spans="1:7" ht="15" customHeight="1" thickBot="1" x14ac:dyDescent="0.3">
      <c r="A395" s="435"/>
      <c r="B395" s="436"/>
      <c r="C395" s="43" t="s">
        <v>139</v>
      </c>
      <c r="D395" s="44" t="s">
        <v>140</v>
      </c>
      <c r="E395" s="44" t="s">
        <v>141</v>
      </c>
      <c r="F395" s="440"/>
      <c r="G395" s="442"/>
    </row>
    <row r="396" spans="1:7" ht="14.1" customHeight="1" x14ac:dyDescent="0.25">
      <c r="A396">
        <v>1</v>
      </c>
      <c r="B396" t="s">
        <v>155</v>
      </c>
      <c r="C396">
        <v>-65.907409528462807</v>
      </c>
      <c r="D396">
        <v>40.553873836631489</v>
      </c>
      <c r="F396">
        <v>-1.6251815990247025</v>
      </c>
      <c r="G396">
        <v>0.12150433106908012</v>
      </c>
    </row>
    <row r="397" spans="1:7" ht="14.1" customHeight="1" x14ac:dyDescent="0.25">
      <c r="B397" t="s">
        <v>46</v>
      </c>
      <c r="C397">
        <v>5.0981335453317049</v>
      </c>
      <c r="D397">
        <v>3.1476007744009595</v>
      </c>
      <c r="E397">
        <v>5.9155567688095632</v>
      </c>
      <c r="F397">
        <v>1.6196887441362267</v>
      </c>
      <c r="G397">
        <v>0.12268627604480511</v>
      </c>
    </row>
    <row r="398" spans="1:7" ht="14.1" customHeight="1" x14ac:dyDescent="0.25">
      <c r="B398" t="s">
        <v>47</v>
      </c>
      <c r="C398">
        <v>3.1307892177074832</v>
      </c>
      <c r="D398">
        <v>3.0958794717655791</v>
      </c>
      <c r="E398">
        <v>1.8612455652066304</v>
      </c>
      <c r="F398">
        <v>1.0112761967189876</v>
      </c>
      <c r="G398">
        <v>0.32528596338953852</v>
      </c>
    </row>
    <row r="399" spans="1:7" ht="14.1" customHeight="1" x14ac:dyDescent="0.25">
      <c r="B399" t="s">
        <v>48</v>
      </c>
      <c r="C399">
        <v>4.9210638154755815</v>
      </c>
      <c r="D399">
        <v>3.0439847956293931</v>
      </c>
      <c r="E399">
        <v>6.9284316527586531</v>
      </c>
      <c r="F399">
        <v>1.6166519039586964</v>
      </c>
      <c r="G399">
        <v>0.12334391132252037</v>
      </c>
    </row>
    <row r="400" spans="1:7" ht="14.1" customHeight="1" x14ac:dyDescent="0.25">
      <c r="B400" t="s">
        <v>49</v>
      </c>
      <c r="C400">
        <v>4.9744394749007954</v>
      </c>
      <c r="D400">
        <v>3.1396730161473827</v>
      </c>
      <c r="E400">
        <v>5.2668306706452874</v>
      </c>
      <c r="F400">
        <v>1.5843813828118989</v>
      </c>
      <c r="G400">
        <v>0.13051826620452553</v>
      </c>
    </row>
    <row r="401" spans="1:7" ht="14.1" customHeight="1" x14ac:dyDescent="0.25">
      <c r="B401" t="s">
        <v>51</v>
      </c>
      <c r="C401">
        <v>4.653632197078772</v>
      </c>
      <c r="D401">
        <v>3.0631776296803013</v>
      </c>
      <c r="E401">
        <v>6.242002803086784</v>
      </c>
      <c r="F401">
        <v>1.5192172180901125</v>
      </c>
      <c r="G401">
        <v>0.14607770718221877</v>
      </c>
    </row>
    <row r="402" spans="1:7" ht="14.1" customHeight="1" x14ac:dyDescent="0.25">
      <c r="B402" t="s">
        <v>52</v>
      </c>
      <c r="C402">
        <v>1.0017637055166548</v>
      </c>
      <c r="D402">
        <v>0.41726389051129442</v>
      </c>
      <c r="E402">
        <v>0.29513482753184389</v>
      </c>
      <c r="F402">
        <v>2.4007917490515256</v>
      </c>
      <c r="G402">
        <v>2.7382331230783485E-2</v>
      </c>
    </row>
    <row r="403" spans="1:7" ht="14.1" customHeight="1" x14ac:dyDescent="0.25">
      <c r="B403" t="s">
        <v>53</v>
      </c>
      <c r="C403">
        <v>-0.78895000616799194</v>
      </c>
      <c r="D403">
        <v>0.83104125419180963</v>
      </c>
      <c r="E403">
        <v>-0.30083864302409563</v>
      </c>
      <c r="F403">
        <v>-0.94935119308276505</v>
      </c>
      <c r="G403">
        <v>0.35501532448701001</v>
      </c>
    </row>
    <row r="404" spans="1:7" ht="14.1" customHeight="1" x14ac:dyDescent="0.25">
      <c r="B404" t="s">
        <v>54</v>
      </c>
      <c r="C404">
        <v>-0.53905349331109553</v>
      </c>
      <c r="D404">
        <v>0.81376659458273981</v>
      </c>
      <c r="E404">
        <v>-0.16451019305369607</v>
      </c>
      <c r="F404">
        <v>-0.66241781967899049</v>
      </c>
      <c r="G404">
        <v>0.51609618937878676</v>
      </c>
    </row>
    <row r="405" spans="1:7" ht="14.1" customHeight="1" x14ac:dyDescent="0.25">
      <c r="B405" t="s">
        <v>157</v>
      </c>
      <c r="C405">
        <v>0.46416011177053818</v>
      </c>
      <c r="D405">
        <v>0.15410041507505332</v>
      </c>
      <c r="E405">
        <v>1.1100095979995739</v>
      </c>
      <c r="F405">
        <v>3.0120626965506414</v>
      </c>
      <c r="G405">
        <v>7.4863593772807029E-3</v>
      </c>
    </row>
    <row r="406" spans="1:7" ht="15" customHeight="1" x14ac:dyDescent="0.25">
      <c r="B406" t="s">
        <v>156</v>
      </c>
      <c r="C406">
        <v>6.3166965686810699E-11</v>
      </c>
      <c r="D406">
        <v>2.1711062358360081E-11</v>
      </c>
      <c r="E406">
        <v>0.64819725975229481</v>
      </c>
      <c r="F406">
        <v>2.9094368872505942</v>
      </c>
      <c r="G406">
        <v>9.7652486086301019E-3</v>
      </c>
    </row>
    <row r="407" spans="1:7" ht="13.5" customHeight="1" x14ac:dyDescent="0.25"/>
    <row r="408" spans="1:7" ht="15" customHeight="1" x14ac:dyDescent="0.25">
      <c r="A408" s="370" t="s">
        <v>134</v>
      </c>
      <c r="B408" s="405"/>
      <c r="C408" s="405"/>
      <c r="D408" s="405"/>
      <c r="E408" s="405"/>
      <c r="F408" s="405"/>
      <c r="G408" s="405"/>
    </row>
    <row r="412" spans="1:7" ht="21" x14ac:dyDescent="0.4">
      <c r="A412" s="80" t="s">
        <v>211</v>
      </c>
    </row>
    <row r="413" spans="1:7" ht="13.8" x14ac:dyDescent="0.3">
      <c r="A413" s="147" t="s">
        <v>404</v>
      </c>
    </row>
    <row r="415" spans="1:7" ht="13.5" customHeight="1" thickBot="1" x14ac:dyDescent="0.3">
      <c r="A415" s="406" t="s">
        <v>204</v>
      </c>
      <c r="B415" s="406"/>
      <c r="C415" s="406"/>
      <c r="D415" s="406"/>
    </row>
    <row r="416" spans="1:7" ht="13.8" thickBot="1" x14ac:dyDescent="0.3">
      <c r="A416" s="144" t="s">
        <v>182</v>
      </c>
      <c r="B416" s="19" t="s">
        <v>205</v>
      </c>
      <c r="C416" s="145" t="s">
        <v>206</v>
      </c>
      <c r="D416" s="146" t="s">
        <v>207</v>
      </c>
    </row>
    <row r="417" spans="1:7" ht="13.8" thickBot="1" x14ac:dyDescent="0.3">
      <c r="A417" s="22" t="s">
        <v>187</v>
      </c>
      <c r="B417" s="148" t="s">
        <v>408</v>
      </c>
      <c r="C417" s="24" t="s">
        <v>208</v>
      </c>
      <c r="D417" s="25" t="s">
        <v>209</v>
      </c>
    </row>
    <row r="418" spans="1:7" x14ac:dyDescent="0.25">
      <c r="A418" s="432" t="s">
        <v>212</v>
      </c>
      <c r="B418" s="432"/>
      <c r="C418" s="432"/>
      <c r="D418" s="432"/>
    </row>
    <row r="420" spans="1:7" ht="13.8" thickBot="1" x14ac:dyDescent="0.3">
      <c r="A420" s="406" t="s">
        <v>181</v>
      </c>
      <c r="B420" s="406"/>
      <c r="C420" s="406"/>
      <c r="D420" s="406"/>
      <c r="E420" s="406"/>
    </row>
    <row r="421" spans="1:7" ht="35.4" thickBot="1" x14ac:dyDescent="0.3">
      <c r="A421" s="144" t="s">
        <v>182</v>
      </c>
      <c r="B421" s="19" t="s">
        <v>183</v>
      </c>
      <c r="C421" s="145" t="s">
        <v>184</v>
      </c>
      <c r="D421" s="145" t="s">
        <v>185</v>
      </c>
      <c r="E421" s="146" t="s">
        <v>186</v>
      </c>
    </row>
    <row r="422" spans="1:7" ht="13.8" thickBot="1" x14ac:dyDescent="0.3">
      <c r="A422" s="22" t="s">
        <v>187</v>
      </c>
      <c r="B422" s="149" t="s">
        <v>409</v>
      </c>
      <c r="C422" s="27">
        <v>0.98034759456535658</v>
      </c>
      <c r="D422" s="27">
        <v>0.96605493606743409</v>
      </c>
      <c r="E422" s="150">
        <v>0.33108235253194218</v>
      </c>
    </row>
    <row r="423" spans="1:7" x14ac:dyDescent="0.25">
      <c r="A423" s="432" t="s">
        <v>410</v>
      </c>
      <c r="B423" s="432"/>
      <c r="C423" s="432"/>
      <c r="D423" s="432"/>
      <c r="E423" s="432"/>
    </row>
    <row r="425" spans="1:7" ht="13.5" customHeight="1" thickBot="1" x14ac:dyDescent="0.3">
      <c r="A425" s="406" t="s">
        <v>188</v>
      </c>
      <c r="B425" s="406"/>
      <c r="C425" s="406"/>
      <c r="D425" s="406"/>
      <c r="E425" s="406"/>
      <c r="F425" s="406"/>
      <c r="G425" s="406"/>
    </row>
    <row r="426" spans="1:7" ht="13.8" thickBot="1" x14ac:dyDescent="0.3">
      <c r="A426" s="446" t="s">
        <v>182</v>
      </c>
      <c r="B426" s="447"/>
      <c r="C426" s="19" t="s">
        <v>189</v>
      </c>
      <c r="D426" s="145" t="s">
        <v>190</v>
      </c>
      <c r="E426" s="145" t="s">
        <v>191</v>
      </c>
      <c r="F426" s="145" t="s">
        <v>85</v>
      </c>
      <c r="G426" s="146" t="s">
        <v>192</v>
      </c>
    </row>
    <row r="427" spans="1:7" ht="12.75" customHeight="1" x14ac:dyDescent="0.25">
      <c r="A427" s="443" t="s">
        <v>187</v>
      </c>
      <c r="B427" s="28" t="s">
        <v>193</v>
      </c>
      <c r="C427" s="29">
        <v>60.14909847654706</v>
      </c>
      <c r="D427" s="30">
        <v>8</v>
      </c>
      <c r="E427" s="31">
        <v>7.5186373095683825</v>
      </c>
      <c r="F427" s="31">
        <v>68.590989892318007</v>
      </c>
      <c r="G427" s="151" t="s">
        <v>213</v>
      </c>
    </row>
    <row r="428" spans="1:7" ht="12.75" customHeight="1" x14ac:dyDescent="0.25">
      <c r="A428" s="444"/>
      <c r="B428" s="13" t="s">
        <v>194</v>
      </c>
      <c r="C428" s="33">
        <v>1.2057707657389376</v>
      </c>
      <c r="D428" s="34">
        <v>11</v>
      </c>
      <c r="E428" s="35">
        <v>0.10961552415808523</v>
      </c>
      <c r="F428" s="74"/>
      <c r="G428" s="75"/>
    </row>
    <row r="429" spans="1:7" ht="13.5" customHeight="1" thickBot="1" x14ac:dyDescent="0.3">
      <c r="A429" s="445"/>
      <c r="B429" s="16" t="s">
        <v>195</v>
      </c>
      <c r="C429" s="38">
        <v>61.354869242286</v>
      </c>
      <c r="D429" s="39">
        <v>19</v>
      </c>
      <c r="E429" s="76"/>
      <c r="F429" s="76"/>
      <c r="G429" s="77"/>
    </row>
    <row r="430" spans="1:7" x14ac:dyDescent="0.25">
      <c r="A430" s="432" t="s">
        <v>411</v>
      </c>
      <c r="B430" s="432"/>
      <c r="C430" s="432"/>
      <c r="D430" s="432"/>
      <c r="E430" s="432"/>
      <c r="F430" s="432"/>
      <c r="G430" s="432"/>
    </row>
    <row r="432" spans="1:7" ht="13.5" customHeight="1" thickBot="1" x14ac:dyDescent="0.3">
      <c r="A432" s="406" t="s">
        <v>196</v>
      </c>
      <c r="B432" s="406"/>
      <c r="C432" s="406"/>
      <c r="D432" s="406"/>
      <c r="E432" s="406"/>
      <c r="F432" s="406"/>
      <c r="G432" s="406"/>
    </row>
    <row r="433" spans="1:7" ht="23.4" x14ac:dyDescent="0.25">
      <c r="A433" s="433" t="s">
        <v>182</v>
      </c>
      <c r="B433" s="434"/>
      <c r="C433" s="437" t="s">
        <v>197</v>
      </c>
      <c r="D433" s="438"/>
      <c r="E433" s="42" t="s">
        <v>198</v>
      </c>
      <c r="F433" s="439" t="s">
        <v>199</v>
      </c>
      <c r="G433" s="441" t="s">
        <v>192</v>
      </c>
    </row>
    <row r="434" spans="1:7" ht="13.5" customHeight="1" thickBot="1" x14ac:dyDescent="0.3">
      <c r="A434" s="435"/>
      <c r="B434" s="436"/>
      <c r="C434" s="43" t="s">
        <v>180</v>
      </c>
      <c r="D434" s="44" t="s">
        <v>200</v>
      </c>
      <c r="E434" s="44" t="s">
        <v>201</v>
      </c>
      <c r="F434" s="440"/>
      <c r="G434" s="442"/>
    </row>
    <row r="435" spans="1:7" ht="13.5" customHeight="1" x14ac:dyDescent="0.25">
      <c r="A435" s="443" t="s">
        <v>187</v>
      </c>
      <c r="B435" s="28" t="s">
        <v>202</v>
      </c>
      <c r="C435" s="29">
        <v>-276.20149642109493</v>
      </c>
      <c r="D435" s="31">
        <v>202.16145881128597</v>
      </c>
      <c r="E435" s="78"/>
      <c r="F435" s="31">
        <v>-1.3662421019573467</v>
      </c>
      <c r="G435" s="46">
        <v>0.19914214720782286</v>
      </c>
    </row>
    <row r="436" spans="1:7" ht="12.75" customHeight="1" x14ac:dyDescent="0.25">
      <c r="A436" s="444"/>
      <c r="B436" s="13" t="s">
        <v>46</v>
      </c>
      <c r="C436" s="33">
        <v>20.683773635282762</v>
      </c>
      <c r="D436" s="35">
        <v>16.331865782577982</v>
      </c>
      <c r="E436" s="35">
        <v>2.7149641483611084</v>
      </c>
      <c r="F436" s="35">
        <v>1.2664672800181336</v>
      </c>
      <c r="G436" s="47">
        <v>0.23150690994022308</v>
      </c>
    </row>
    <row r="437" spans="1:7" ht="12.75" customHeight="1" x14ac:dyDescent="0.25">
      <c r="A437" s="444"/>
      <c r="B437" s="13" t="s">
        <v>47</v>
      </c>
      <c r="C437" s="33">
        <v>11.238215412388595</v>
      </c>
      <c r="D437" s="35">
        <v>15.557546891868427</v>
      </c>
      <c r="E437" s="35">
        <v>0.89405683383860268</v>
      </c>
      <c r="F437" s="35">
        <v>0.72236423200257571</v>
      </c>
      <c r="G437" s="47">
        <v>0.48514480164394658</v>
      </c>
    </row>
    <row r="438" spans="1:7" ht="12.75" customHeight="1" x14ac:dyDescent="0.25">
      <c r="A438" s="444"/>
      <c r="B438" s="13" t="s">
        <v>48</v>
      </c>
      <c r="C438" s="33">
        <v>21.761043196185057</v>
      </c>
      <c r="D438" s="35">
        <v>15.475297408121369</v>
      </c>
      <c r="E438" s="35">
        <v>3.4758290711044211</v>
      </c>
      <c r="F438" s="35">
        <v>1.406179320648465</v>
      </c>
      <c r="G438" s="47">
        <v>0.18728576015841925</v>
      </c>
    </row>
    <row r="439" spans="1:7" ht="12.75" customHeight="1" x14ac:dyDescent="0.25">
      <c r="A439" s="444"/>
      <c r="B439" s="13" t="s">
        <v>49</v>
      </c>
      <c r="C439" s="33">
        <v>19.775175501048917</v>
      </c>
      <c r="D439" s="35">
        <v>14.511369787330864</v>
      </c>
      <c r="E439" s="35">
        <v>3.2840355886709971</v>
      </c>
      <c r="F439" s="35">
        <v>1.3627366534559413</v>
      </c>
      <c r="G439" s="47">
        <v>0.20021210406290774</v>
      </c>
    </row>
    <row r="440" spans="1:7" ht="12.75" customHeight="1" x14ac:dyDescent="0.25">
      <c r="A440" s="444"/>
      <c r="B440" s="13" t="s">
        <v>51</v>
      </c>
      <c r="C440" s="33">
        <v>22.944693819323387</v>
      </c>
      <c r="D440" s="35">
        <v>15.103810067186503</v>
      </c>
      <c r="E440" s="35">
        <v>5.1176137613092596</v>
      </c>
      <c r="F440" s="35">
        <v>1.5191328358379881</v>
      </c>
      <c r="G440" s="47">
        <v>0.15693547658619481</v>
      </c>
    </row>
    <row r="441" spans="1:7" ht="12.75" customHeight="1" x14ac:dyDescent="0.25">
      <c r="A441" s="444"/>
      <c r="B441" s="13" t="s">
        <v>52</v>
      </c>
      <c r="C441" s="33">
        <v>0.85208109694949241</v>
      </c>
      <c r="D441" s="35">
        <v>1.7620523838880267</v>
      </c>
      <c r="E441" s="35">
        <v>4.5370066259913536E-2</v>
      </c>
      <c r="F441" s="35">
        <v>0.48357307917790016</v>
      </c>
      <c r="G441" s="47">
        <v>0.63817134151062904</v>
      </c>
    </row>
    <row r="442" spans="1:7" ht="12.75" customHeight="1" x14ac:dyDescent="0.25">
      <c r="A442" s="444"/>
      <c r="B442" s="13" t="s">
        <v>53</v>
      </c>
      <c r="C442" s="33">
        <v>1.9495431049219516</v>
      </c>
      <c r="D442" s="35">
        <v>2.4976935669223934</v>
      </c>
      <c r="E442" s="35">
        <v>7.1438734523380759E-2</v>
      </c>
      <c r="F442" s="35">
        <v>0.78053734482894888</v>
      </c>
      <c r="G442" s="47">
        <v>0.45154473286904739</v>
      </c>
    </row>
    <row r="443" spans="1:7" ht="12.75" customHeight="1" thickBot="1" x14ac:dyDescent="0.3">
      <c r="A443" s="445"/>
      <c r="B443" s="16" t="s">
        <v>54</v>
      </c>
      <c r="C443" s="38">
        <v>14.68449281797065</v>
      </c>
      <c r="D443" s="48">
        <v>5.3758588704444499</v>
      </c>
      <c r="E443" s="48">
        <v>0.40907560954691763</v>
      </c>
      <c r="F443" s="48">
        <v>2.7315621878958676</v>
      </c>
      <c r="G443" s="49">
        <v>1.9523743678090403E-2</v>
      </c>
    </row>
    <row r="444" spans="1:7" ht="13.5" customHeight="1" x14ac:dyDescent="0.25">
      <c r="A444" s="432" t="s">
        <v>214</v>
      </c>
      <c r="B444" s="432"/>
      <c r="C444" s="432"/>
      <c r="D444" s="432"/>
      <c r="E444" s="432"/>
      <c r="F444" s="432"/>
      <c r="G444" s="432"/>
    </row>
    <row r="448" spans="1:7" ht="16.8" x14ac:dyDescent="0.3">
      <c r="A448" t="s">
        <v>86</v>
      </c>
    </row>
    <row r="450" spans="1:3" ht="13.8" thickBot="1" x14ac:dyDescent="0.3">
      <c r="A450" s="406" t="s">
        <v>87</v>
      </c>
      <c r="B450" s="429"/>
      <c r="C450" s="429"/>
    </row>
    <row r="451" spans="1:3" x14ac:dyDescent="0.25">
      <c r="A451" s="421" t="s">
        <v>217</v>
      </c>
      <c r="B451" s="422"/>
      <c r="C451" s="115" t="s">
        <v>218</v>
      </c>
    </row>
    <row r="452" spans="1:3" x14ac:dyDescent="0.25">
      <c r="A452" s="423" t="s">
        <v>219</v>
      </c>
      <c r="B452" s="424"/>
      <c r="C452" s="116" t="s">
        <v>220</v>
      </c>
    </row>
    <row r="453" spans="1:3" x14ac:dyDescent="0.25">
      <c r="A453" s="400" t="s">
        <v>221</v>
      </c>
      <c r="B453" s="94" t="s">
        <v>222</v>
      </c>
      <c r="C453" s="116" t="s">
        <v>223</v>
      </c>
    </row>
    <row r="454" spans="1:3" x14ac:dyDescent="0.25">
      <c r="A454" s="425"/>
      <c r="B454" s="94" t="s">
        <v>224</v>
      </c>
      <c r="C454" s="116" t="s">
        <v>225</v>
      </c>
    </row>
    <row r="455" spans="1:3" x14ac:dyDescent="0.25">
      <c r="A455" s="425"/>
      <c r="B455" s="94" t="s">
        <v>226</v>
      </c>
      <c r="C455" s="116" t="s">
        <v>225</v>
      </c>
    </row>
    <row r="456" spans="1:3" x14ac:dyDescent="0.25">
      <c r="A456" s="425"/>
      <c r="B456" s="94" t="s">
        <v>227</v>
      </c>
      <c r="C456" s="116" t="s">
        <v>225</v>
      </c>
    </row>
    <row r="457" spans="1:3" ht="22.8" x14ac:dyDescent="0.25">
      <c r="A457" s="425"/>
      <c r="B457" s="94" t="s">
        <v>228</v>
      </c>
      <c r="C457" s="117">
        <v>48</v>
      </c>
    </row>
    <row r="458" spans="1:3" ht="22.8" x14ac:dyDescent="0.25">
      <c r="A458" s="400" t="s">
        <v>229</v>
      </c>
      <c r="B458" s="94" t="s">
        <v>230</v>
      </c>
      <c r="C458" s="116" t="s">
        <v>231</v>
      </c>
    </row>
    <row r="459" spans="1:3" ht="22.8" x14ac:dyDescent="0.25">
      <c r="A459" s="425"/>
      <c r="B459" s="94" t="s">
        <v>232</v>
      </c>
      <c r="C459" s="116" t="s">
        <v>233</v>
      </c>
    </row>
    <row r="460" spans="1:3" ht="102.6" x14ac:dyDescent="0.25">
      <c r="A460" s="423" t="s">
        <v>234</v>
      </c>
      <c r="B460" s="424"/>
      <c r="C460" s="116" t="s">
        <v>235</v>
      </c>
    </row>
    <row r="461" spans="1:3" ht="13.8" thickBot="1" x14ac:dyDescent="0.3">
      <c r="A461" s="401" t="s">
        <v>236</v>
      </c>
      <c r="B461" s="94" t="s">
        <v>237</v>
      </c>
      <c r="C461" s="118" t="s">
        <v>238</v>
      </c>
    </row>
    <row r="462" spans="1:3" x14ac:dyDescent="0.25">
      <c r="A462" s="425"/>
      <c r="B462" s="94" t="s">
        <v>239</v>
      </c>
      <c r="C462" s="118" t="s">
        <v>240</v>
      </c>
    </row>
    <row r="463" spans="1:3" x14ac:dyDescent="0.25">
      <c r="A463" s="425"/>
      <c r="B463" s="94" t="s">
        <v>241</v>
      </c>
      <c r="C463" s="116" t="s">
        <v>242</v>
      </c>
    </row>
    <row r="464" spans="1:3" ht="23.4" thickBot="1" x14ac:dyDescent="0.3">
      <c r="A464" s="426"/>
      <c r="B464" s="98" t="s">
        <v>243</v>
      </c>
      <c r="C464" s="119" t="s">
        <v>244</v>
      </c>
    </row>
    <row r="467" spans="1:7" ht="13.8" x14ac:dyDescent="0.3">
      <c r="A467" t="s">
        <v>245</v>
      </c>
    </row>
    <row r="469" spans="1:7" ht="13.8" thickBot="1" x14ac:dyDescent="0.3">
      <c r="A469" s="374" t="s">
        <v>112</v>
      </c>
      <c r="B469" s="409"/>
      <c r="C469" s="409"/>
      <c r="D469" s="409"/>
    </row>
    <row r="470" spans="1:7" ht="13.8" thickBot="1" x14ac:dyDescent="0.3">
      <c r="A470" s="109" t="s">
        <v>246</v>
      </c>
      <c r="B470" s="82" t="s">
        <v>247</v>
      </c>
      <c r="C470" s="110" t="s">
        <v>248</v>
      </c>
      <c r="D470" s="112" t="s">
        <v>249</v>
      </c>
    </row>
    <row r="471" spans="1:7" ht="25.2" thickBot="1" x14ac:dyDescent="0.3">
      <c r="A471" s="85">
        <v>1</v>
      </c>
      <c r="B471" s="120" t="s">
        <v>250</v>
      </c>
      <c r="C471" s="87" t="s">
        <v>251</v>
      </c>
      <c r="D471" s="88" t="s">
        <v>252</v>
      </c>
    </row>
    <row r="472" spans="1:7" x14ac:dyDescent="0.25">
      <c r="A472" s="387" t="s">
        <v>253</v>
      </c>
      <c r="B472" s="409"/>
      <c r="C472" s="409"/>
      <c r="D472" s="409"/>
    </row>
    <row r="474" spans="1:7" ht="13.8" thickBot="1" x14ac:dyDescent="0.3">
      <c r="A474" s="374" t="s">
        <v>119</v>
      </c>
      <c r="B474" s="409"/>
      <c r="C474" s="409"/>
      <c r="D474" s="409"/>
      <c r="E474" s="409"/>
    </row>
    <row r="475" spans="1:7" ht="24" thickBot="1" x14ac:dyDescent="0.3">
      <c r="A475" s="109" t="s">
        <v>246</v>
      </c>
      <c r="B475" s="82" t="s">
        <v>254</v>
      </c>
      <c r="C475" s="110" t="s">
        <v>255</v>
      </c>
      <c r="D475" s="110" t="s">
        <v>256</v>
      </c>
      <c r="E475" s="112" t="s">
        <v>257</v>
      </c>
    </row>
    <row r="476" spans="1:7" ht="13.8" thickBot="1" x14ac:dyDescent="0.3">
      <c r="A476" s="85">
        <v>1</v>
      </c>
      <c r="B476" s="121" t="s">
        <v>258</v>
      </c>
      <c r="C476" s="89">
        <v>0.9718654771459907</v>
      </c>
      <c r="D476" s="89">
        <v>0.96583665082013159</v>
      </c>
      <c r="E476" s="138">
        <v>1.3880309397609296</v>
      </c>
    </row>
    <row r="477" spans="1:7" x14ac:dyDescent="0.25">
      <c r="A477" s="387" t="s">
        <v>259</v>
      </c>
      <c r="B477" s="409"/>
      <c r="C477" s="409"/>
      <c r="D477" s="409"/>
      <c r="E477" s="409"/>
    </row>
    <row r="479" spans="1:7" ht="14.4" thickBot="1" x14ac:dyDescent="0.3">
      <c r="A479" s="410" t="s">
        <v>124</v>
      </c>
      <c r="B479" s="405"/>
      <c r="C479" s="405"/>
      <c r="D479" s="405"/>
      <c r="E479" s="405"/>
      <c r="F479" s="405"/>
      <c r="G479" s="405"/>
    </row>
    <row r="480" spans="1:7" ht="14.4" thickBot="1" x14ac:dyDescent="0.3">
      <c r="A480" s="411" t="s">
        <v>246</v>
      </c>
      <c r="B480" s="412"/>
      <c r="C480" s="82" t="s">
        <v>260</v>
      </c>
      <c r="D480" s="110" t="s">
        <v>261</v>
      </c>
      <c r="E480" s="110" t="s">
        <v>262</v>
      </c>
      <c r="F480" s="110" t="s">
        <v>263</v>
      </c>
      <c r="G480" s="112" t="s">
        <v>264</v>
      </c>
    </row>
    <row r="481" spans="1:7" ht="13.8" thickBot="1" x14ac:dyDescent="0.3">
      <c r="A481" s="402">
        <v>1</v>
      </c>
      <c r="B481" s="90" t="s">
        <v>265</v>
      </c>
      <c r="C481" s="91">
        <v>2795.2083511421556</v>
      </c>
      <c r="D481" s="92">
        <v>9</v>
      </c>
      <c r="E481" s="93">
        <v>310.5787056824617</v>
      </c>
      <c r="F481" s="93">
        <v>161.20309735535406</v>
      </c>
      <c r="G481" s="123" t="s">
        <v>266</v>
      </c>
    </row>
    <row r="482" spans="1:7" x14ac:dyDescent="0.25">
      <c r="A482" s="403"/>
      <c r="B482" s="94" t="s">
        <v>267</v>
      </c>
      <c r="C482" s="95">
        <v>80.918455368811593</v>
      </c>
      <c r="D482" s="96">
        <v>42</v>
      </c>
      <c r="E482" s="97">
        <v>1.9266298897336094</v>
      </c>
      <c r="F482" s="36"/>
      <c r="G482" s="37"/>
    </row>
    <row r="483" spans="1:7" ht="13.8" thickBot="1" x14ac:dyDescent="0.3">
      <c r="A483" s="404"/>
      <c r="B483" s="98" t="s">
        <v>268</v>
      </c>
      <c r="C483" s="99">
        <v>2876.1268065109671</v>
      </c>
      <c r="D483" s="100">
        <v>51</v>
      </c>
      <c r="E483" s="111"/>
      <c r="F483" s="111"/>
      <c r="G483" s="113"/>
    </row>
    <row r="484" spans="1:7" ht="13.8" x14ac:dyDescent="0.25">
      <c r="A484" s="387" t="s">
        <v>259</v>
      </c>
      <c r="B484" s="405"/>
      <c r="C484" s="405"/>
      <c r="D484" s="405"/>
      <c r="E484" s="405"/>
      <c r="F484" s="405"/>
      <c r="G484" s="405"/>
    </row>
    <row r="485" spans="1:7" ht="13.8" x14ac:dyDescent="0.25">
      <c r="A485" s="387" t="s">
        <v>269</v>
      </c>
      <c r="B485" s="405"/>
      <c r="C485" s="405"/>
      <c r="D485" s="405"/>
      <c r="E485" s="405"/>
      <c r="F485" s="405"/>
      <c r="G485" s="405"/>
    </row>
    <row r="487" spans="1:7" ht="14.4" thickBot="1" x14ac:dyDescent="0.3">
      <c r="A487" s="410" t="s">
        <v>135</v>
      </c>
      <c r="B487" s="405"/>
      <c r="C487" s="405"/>
      <c r="D487" s="405"/>
      <c r="E487" s="405"/>
      <c r="F487" s="405"/>
      <c r="G487" s="405"/>
    </row>
    <row r="488" spans="1:7" ht="24" thickBot="1" x14ac:dyDescent="0.3">
      <c r="A488" s="411" t="s">
        <v>246</v>
      </c>
      <c r="B488" s="413"/>
      <c r="C488" s="415" t="s">
        <v>270</v>
      </c>
      <c r="D488" s="416"/>
      <c r="E488" s="101" t="s">
        <v>271</v>
      </c>
      <c r="F488" s="417" t="s">
        <v>272</v>
      </c>
      <c r="G488" s="419" t="s">
        <v>264</v>
      </c>
    </row>
    <row r="489" spans="1:7" ht="13.8" thickBot="1" x14ac:dyDescent="0.3">
      <c r="A489" s="404"/>
      <c r="B489" s="414"/>
      <c r="C489" s="102" t="s">
        <v>273</v>
      </c>
      <c r="D489" s="103" t="s">
        <v>274</v>
      </c>
      <c r="E489" s="103" t="s">
        <v>275</v>
      </c>
      <c r="F489" s="418"/>
      <c r="G489" s="420"/>
    </row>
    <row r="490" spans="1:7" ht="13.8" thickBot="1" x14ac:dyDescent="0.3">
      <c r="A490" s="402">
        <v>1</v>
      </c>
      <c r="B490" s="90" t="s">
        <v>276</v>
      </c>
      <c r="C490" s="124">
        <v>-142.3147445306895</v>
      </c>
      <c r="D490" s="93">
        <v>225.36719948184509</v>
      </c>
      <c r="E490" s="45"/>
      <c r="F490" s="125">
        <v>-0.63147940276088821</v>
      </c>
      <c r="G490" s="104">
        <v>0.5311492003850049</v>
      </c>
    </row>
    <row r="491" spans="1:7" x14ac:dyDescent="0.25">
      <c r="A491" s="403"/>
      <c r="B491" s="94" t="s">
        <v>277</v>
      </c>
      <c r="C491" s="95">
        <v>22.008201632554954</v>
      </c>
      <c r="D491" s="97">
        <v>17.169890641981599</v>
      </c>
      <c r="E491" s="97">
        <v>0.95731319413378657</v>
      </c>
      <c r="F491" s="97">
        <v>1.2817904371937781</v>
      </c>
      <c r="G491" s="105">
        <v>0.20694713766177936</v>
      </c>
    </row>
    <row r="492" spans="1:7" x14ac:dyDescent="0.25">
      <c r="A492" s="403"/>
      <c r="B492" s="94" t="s">
        <v>278</v>
      </c>
      <c r="C492" s="126">
        <v>-15.305757249638766</v>
      </c>
      <c r="D492" s="97">
        <v>17.555357401757025</v>
      </c>
      <c r="E492" s="127">
        <v>-0.23812053215110007</v>
      </c>
      <c r="F492" s="127">
        <v>-0.87185677279956098</v>
      </c>
      <c r="G492" s="105">
        <v>0.38824337191947711</v>
      </c>
    </row>
    <row r="493" spans="1:7" x14ac:dyDescent="0.25">
      <c r="A493" s="403"/>
      <c r="B493" s="94" t="s">
        <v>279</v>
      </c>
      <c r="C493" s="95">
        <v>2.1879860835326332</v>
      </c>
      <c r="D493" s="97">
        <v>16.873699002211474</v>
      </c>
      <c r="E493" s="97">
        <v>0.11569519558230236</v>
      </c>
      <c r="F493" s="97">
        <v>0.12966843151853513</v>
      </c>
      <c r="G493" s="105">
        <v>0.89744778441307094</v>
      </c>
    </row>
    <row r="494" spans="1:7" x14ac:dyDescent="0.25">
      <c r="A494" s="403"/>
      <c r="B494" s="94" t="s">
        <v>280</v>
      </c>
      <c r="C494" s="95">
        <v>16.455323487983442</v>
      </c>
      <c r="D494" s="97">
        <v>17.803429076596085</v>
      </c>
      <c r="E494" s="97">
        <v>0.55234166464002665</v>
      </c>
      <c r="F494" s="97">
        <v>0.9242783183614427</v>
      </c>
      <c r="G494" s="105">
        <v>0.36062152714380691</v>
      </c>
    </row>
    <row r="495" spans="1:7" x14ac:dyDescent="0.25">
      <c r="A495" s="403"/>
      <c r="B495" s="94" t="s">
        <v>281</v>
      </c>
      <c r="C495" s="95">
        <v>12.868274116050497</v>
      </c>
      <c r="D495" s="97">
        <v>17.613354372821689</v>
      </c>
      <c r="E495" s="97">
        <v>0.53470997868513148</v>
      </c>
      <c r="F495" s="97">
        <v>0.73059758202031666</v>
      </c>
      <c r="G495" s="105">
        <v>0.46908110999860064</v>
      </c>
    </row>
    <row r="496" spans="1:7" x14ac:dyDescent="0.25">
      <c r="A496" s="403"/>
      <c r="B496" s="94" t="s">
        <v>282</v>
      </c>
      <c r="C496" s="95">
        <v>0.40853529254584969</v>
      </c>
      <c r="D496" s="97">
        <v>3.3934300873032677</v>
      </c>
      <c r="E496" s="97">
        <v>5.3331464599539139E-3</v>
      </c>
      <c r="F496" s="97">
        <v>0.12039007200248805</v>
      </c>
      <c r="G496" s="105">
        <v>0.9047482432948859</v>
      </c>
    </row>
    <row r="497" spans="1:7" x14ac:dyDescent="0.25">
      <c r="A497" s="403"/>
      <c r="B497" s="94" t="s">
        <v>283</v>
      </c>
      <c r="C497" s="95">
        <v>6.710040046867265</v>
      </c>
      <c r="D497" s="97">
        <v>4.9936237916474076</v>
      </c>
      <c r="E497" s="97">
        <v>0.11302783462532007</v>
      </c>
      <c r="F497" s="97">
        <v>1.3437215791247277</v>
      </c>
      <c r="G497" s="105">
        <v>0.18625321918290297</v>
      </c>
    </row>
    <row r="498" spans="1:7" x14ac:dyDescent="0.25">
      <c r="A498" s="403"/>
      <c r="B498" s="94" t="s">
        <v>284</v>
      </c>
      <c r="C498" s="95">
        <v>20.980091395749739</v>
      </c>
      <c r="D498" s="97">
        <v>8.6510576328206277</v>
      </c>
      <c r="E498" s="97">
        <v>0.11947595532857729</v>
      </c>
      <c r="F498" s="97">
        <v>2.4251475699520104</v>
      </c>
      <c r="G498" s="105">
        <v>1.9681291255554036E-2</v>
      </c>
    </row>
    <row r="499" spans="1:7" ht="13.8" thickBot="1" x14ac:dyDescent="0.3">
      <c r="A499" s="404"/>
      <c r="B499" s="98" t="s">
        <v>285</v>
      </c>
      <c r="C499" s="128">
        <v>-964227172.05645478</v>
      </c>
      <c r="D499" s="129">
        <v>210730106.49164626</v>
      </c>
      <c r="E499" s="129">
        <v>-0.22803506801467469</v>
      </c>
      <c r="F499" s="129">
        <v>-4.5756498115501998</v>
      </c>
      <c r="G499" s="107">
        <v>4.1686408675342306E-5</v>
      </c>
    </row>
    <row r="500" spans="1:7" ht="13.8" x14ac:dyDescent="0.25">
      <c r="A500" s="387" t="s">
        <v>286</v>
      </c>
      <c r="B500" s="405"/>
      <c r="C500" s="405"/>
      <c r="D500" s="405"/>
      <c r="E500" s="405"/>
      <c r="F500" s="405"/>
      <c r="G500" s="405"/>
    </row>
    <row r="504" spans="1:7" ht="14.4" thickBot="1" x14ac:dyDescent="0.3">
      <c r="A504" s="410" t="s">
        <v>287</v>
      </c>
      <c r="B504" s="405"/>
      <c r="C504" s="405"/>
      <c r="D504" s="405"/>
      <c r="E504" s="405"/>
      <c r="F504" s="405"/>
      <c r="G504" s="405"/>
    </row>
    <row r="505" spans="1:7" ht="24" thickBot="1" x14ac:dyDescent="0.3">
      <c r="A505" s="411" t="s">
        <v>246</v>
      </c>
      <c r="B505" s="413"/>
      <c r="C505" s="427" t="s">
        <v>288</v>
      </c>
      <c r="D505" s="417" t="s">
        <v>272</v>
      </c>
      <c r="E505" s="417" t="s">
        <v>264</v>
      </c>
      <c r="F505" s="417" t="s">
        <v>289</v>
      </c>
      <c r="G505" s="130" t="s">
        <v>290</v>
      </c>
    </row>
    <row r="506" spans="1:7" ht="13.8" thickBot="1" x14ac:dyDescent="0.3">
      <c r="A506" s="404"/>
      <c r="B506" s="414"/>
      <c r="C506" s="428"/>
      <c r="D506" s="418"/>
      <c r="E506" s="418"/>
      <c r="F506" s="418"/>
      <c r="G506" s="131" t="s">
        <v>291</v>
      </c>
    </row>
    <row r="507" spans="1:7" ht="13.8" thickBot="1" x14ac:dyDescent="0.3">
      <c r="A507" s="114">
        <v>1</v>
      </c>
      <c r="B507" s="132" t="s">
        <v>292</v>
      </c>
      <c r="C507" s="120" t="s">
        <v>293</v>
      </c>
      <c r="D507" s="87" t="s">
        <v>251</v>
      </c>
      <c r="E507" s="87" t="s">
        <v>251</v>
      </c>
      <c r="F507" s="87" t="s">
        <v>251</v>
      </c>
      <c r="G507" s="108">
        <v>0</v>
      </c>
    </row>
    <row r="508" spans="1:7" x14ac:dyDescent="0.25">
      <c r="A508" s="400" t="s">
        <v>221</v>
      </c>
      <c r="B508" s="94" t="s">
        <v>222</v>
      </c>
      <c r="C508" s="116" t="s">
        <v>223</v>
      </c>
    </row>
    <row r="509" spans="1:7" x14ac:dyDescent="0.25">
      <c r="A509" s="425"/>
      <c r="B509" s="94" t="s">
        <v>224</v>
      </c>
      <c r="C509" s="116" t="s">
        <v>225</v>
      </c>
    </row>
    <row r="510" spans="1:7" x14ac:dyDescent="0.25">
      <c r="A510" s="425"/>
      <c r="B510" s="94" t="s">
        <v>226</v>
      </c>
      <c r="C510" s="116" t="s">
        <v>225</v>
      </c>
    </row>
    <row r="511" spans="1:7" x14ac:dyDescent="0.25">
      <c r="A511" s="425"/>
      <c r="B511" s="94" t="s">
        <v>227</v>
      </c>
      <c r="C511" s="116" t="s">
        <v>225</v>
      </c>
    </row>
    <row r="512" spans="1:7" ht="22.8" x14ac:dyDescent="0.25">
      <c r="A512" s="425"/>
      <c r="B512" s="94" t="s">
        <v>228</v>
      </c>
      <c r="C512" s="117">
        <v>48</v>
      </c>
    </row>
    <row r="513" spans="1:4" ht="22.8" x14ac:dyDescent="0.25">
      <c r="A513" s="400" t="s">
        <v>229</v>
      </c>
      <c r="B513" s="94" t="s">
        <v>230</v>
      </c>
      <c r="C513" s="116" t="s">
        <v>231</v>
      </c>
    </row>
    <row r="514" spans="1:4" ht="22.8" x14ac:dyDescent="0.25">
      <c r="A514" s="425"/>
      <c r="B514" s="94" t="s">
        <v>232</v>
      </c>
      <c r="C514" s="116" t="s">
        <v>233</v>
      </c>
    </row>
    <row r="515" spans="1:4" ht="102.6" x14ac:dyDescent="0.25">
      <c r="A515" s="423" t="s">
        <v>234</v>
      </c>
      <c r="B515" s="424"/>
      <c r="C515" s="116" t="s">
        <v>294</v>
      </c>
    </row>
    <row r="516" spans="1:4" ht="13.8" thickBot="1" x14ac:dyDescent="0.3">
      <c r="A516" s="401" t="s">
        <v>236</v>
      </c>
      <c r="B516" s="94" t="s">
        <v>237</v>
      </c>
      <c r="C516" s="118" t="s">
        <v>295</v>
      </c>
    </row>
    <row r="517" spans="1:4" x14ac:dyDescent="0.25">
      <c r="A517" s="425"/>
      <c r="B517" s="94" t="s">
        <v>239</v>
      </c>
      <c r="C517" s="118" t="s">
        <v>296</v>
      </c>
    </row>
    <row r="518" spans="1:4" x14ac:dyDescent="0.25">
      <c r="A518" s="425"/>
      <c r="B518" s="94" t="s">
        <v>241</v>
      </c>
      <c r="C518" s="116" t="s">
        <v>242</v>
      </c>
    </row>
    <row r="519" spans="1:4" ht="23.4" thickBot="1" x14ac:dyDescent="0.3">
      <c r="A519" s="426"/>
      <c r="B519" s="98" t="s">
        <v>243</v>
      </c>
      <c r="C519" s="119" t="s">
        <v>244</v>
      </c>
    </row>
    <row r="522" spans="1:4" ht="13.8" x14ac:dyDescent="0.3">
      <c r="A522" t="s">
        <v>297</v>
      </c>
    </row>
    <row r="524" spans="1:4" ht="13.8" thickBot="1" x14ac:dyDescent="0.3">
      <c r="A524" s="374" t="s">
        <v>112</v>
      </c>
      <c r="B524" s="409"/>
      <c r="C524" s="409"/>
      <c r="D524" s="409"/>
    </row>
    <row r="525" spans="1:4" ht="13.8" thickBot="1" x14ac:dyDescent="0.3">
      <c r="A525" s="109" t="s">
        <v>246</v>
      </c>
      <c r="B525" s="82" t="s">
        <v>247</v>
      </c>
      <c r="C525" s="110" t="s">
        <v>248</v>
      </c>
      <c r="D525" s="112" t="s">
        <v>249</v>
      </c>
    </row>
    <row r="526" spans="1:4" ht="25.2" thickBot="1" x14ac:dyDescent="0.3">
      <c r="A526" s="85">
        <v>1</v>
      </c>
      <c r="B526" s="120" t="s">
        <v>298</v>
      </c>
      <c r="C526" s="87" t="s">
        <v>251</v>
      </c>
      <c r="D526" s="88" t="s">
        <v>252</v>
      </c>
    </row>
    <row r="527" spans="1:4" x14ac:dyDescent="0.25">
      <c r="A527" s="387" t="s">
        <v>253</v>
      </c>
      <c r="B527" s="409"/>
      <c r="C527" s="409"/>
      <c r="D527" s="409"/>
    </row>
    <row r="529" spans="1:7" ht="13.8" thickBot="1" x14ac:dyDescent="0.3">
      <c r="A529" s="374" t="s">
        <v>119</v>
      </c>
      <c r="B529" s="409"/>
      <c r="C529" s="409"/>
      <c r="D529" s="409"/>
      <c r="E529" s="409"/>
    </row>
    <row r="530" spans="1:7" ht="24" thickBot="1" x14ac:dyDescent="0.3">
      <c r="A530" s="109" t="s">
        <v>246</v>
      </c>
      <c r="B530" s="82" t="s">
        <v>254</v>
      </c>
      <c r="C530" s="110" t="s">
        <v>255</v>
      </c>
      <c r="D530" s="110" t="s">
        <v>256</v>
      </c>
      <c r="E530" s="112" t="s">
        <v>257</v>
      </c>
    </row>
    <row r="531" spans="1:7" ht="13.8" thickBot="1" x14ac:dyDescent="0.3">
      <c r="A531" s="85">
        <v>1</v>
      </c>
      <c r="B531" s="121" t="s">
        <v>299</v>
      </c>
      <c r="C531" s="89">
        <v>0.88978888388864918</v>
      </c>
      <c r="D531" s="89">
        <v>0.86617221615050255</v>
      </c>
      <c r="E531" s="122">
        <v>0.2667671328290066</v>
      </c>
    </row>
    <row r="532" spans="1:7" x14ac:dyDescent="0.25">
      <c r="A532" s="387" t="s">
        <v>300</v>
      </c>
      <c r="B532" s="409"/>
      <c r="C532" s="409"/>
      <c r="D532" s="409"/>
      <c r="E532" s="409"/>
    </row>
    <row r="534" spans="1:7" ht="14.4" thickBot="1" x14ac:dyDescent="0.3">
      <c r="A534" s="410" t="s">
        <v>124</v>
      </c>
      <c r="B534" s="405"/>
      <c r="C534" s="405"/>
      <c r="D534" s="405"/>
      <c r="E534" s="405"/>
      <c r="F534" s="405"/>
      <c r="G534" s="405"/>
    </row>
    <row r="535" spans="1:7" ht="14.4" thickBot="1" x14ac:dyDescent="0.3">
      <c r="A535" s="411" t="s">
        <v>246</v>
      </c>
      <c r="B535" s="412"/>
      <c r="C535" s="82" t="s">
        <v>260</v>
      </c>
      <c r="D535" s="110" t="s">
        <v>261</v>
      </c>
      <c r="E535" s="110" t="s">
        <v>262</v>
      </c>
      <c r="F535" s="110" t="s">
        <v>263</v>
      </c>
      <c r="G535" s="112" t="s">
        <v>264</v>
      </c>
    </row>
    <row r="536" spans="1:7" ht="13.8" thickBot="1" x14ac:dyDescent="0.3">
      <c r="A536" s="402">
        <v>1</v>
      </c>
      <c r="B536" s="90" t="s">
        <v>265</v>
      </c>
      <c r="C536" s="91">
        <v>24.131010457286813</v>
      </c>
      <c r="D536" s="92">
        <v>9</v>
      </c>
      <c r="E536" s="93">
        <v>2.6812233841429793</v>
      </c>
      <c r="F536" s="93">
        <v>37.676309535041874</v>
      </c>
      <c r="G536" s="123" t="s">
        <v>266</v>
      </c>
    </row>
    <row r="537" spans="1:7" x14ac:dyDescent="0.25">
      <c r="A537" s="403"/>
      <c r="B537" s="94" t="s">
        <v>267</v>
      </c>
      <c r="C537" s="95">
        <v>2.9889175326279713</v>
      </c>
      <c r="D537" s="96">
        <v>42</v>
      </c>
      <c r="E537" s="97">
        <v>7.1164703157808845E-2</v>
      </c>
      <c r="F537" s="36"/>
      <c r="G537" s="37"/>
    </row>
    <row r="538" spans="1:7" ht="13.8" thickBot="1" x14ac:dyDescent="0.3">
      <c r="A538" s="404"/>
      <c r="B538" s="98" t="s">
        <v>268</v>
      </c>
      <c r="C538" s="99">
        <v>27.119927989914785</v>
      </c>
      <c r="D538" s="100">
        <v>51</v>
      </c>
      <c r="E538" s="111"/>
      <c r="F538" s="111"/>
      <c r="G538" s="113"/>
    </row>
    <row r="539" spans="1:7" ht="13.8" x14ac:dyDescent="0.25">
      <c r="A539" s="387" t="s">
        <v>300</v>
      </c>
      <c r="B539" s="405"/>
      <c r="C539" s="405"/>
      <c r="D539" s="405"/>
      <c r="E539" s="405"/>
      <c r="F539" s="405"/>
      <c r="G539" s="405"/>
    </row>
    <row r="540" spans="1:7" ht="13.8" x14ac:dyDescent="0.25">
      <c r="A540" s="387" t="s">
        <v>301</v>
      </c>
      <c r="B540" s="405"/>
      <c r="C540" s="405"/>
      <c r="D540" s="405"/>
      <c r="E540" s="405"/>
      <c r="F540" s="405"/>
      <c r="G540" s="405"/>
    </row>
    <row r="542" spans="1:7" ht="14.4" thickBot="1" x14ac:dyDescent="0.3">
      <c r="A542" s="410" t="s">
        <v>135</v>
      </c>
      <c r="B542" s="405"/>
      <c r="C542" s="405"/>
      <c r="D542" s="405"/>
      <c r="E542" s="405"/>
      <c r="F542" s="405"/>
      <c r="G542" s="405"/>
    </row>
    <row r="543" spans="1:7" ht="24" thickBot="1" x14ac:dyDescent="0.3">
      <c r="A543" s="411" t="s">
        <v>246</v>
      </c>
      <c r="B543" s="413"/>
      <c r="C543" s="415" t="s">
        <v>270</v>
      </c>
      <c r="D543" s="416"/>
      <c r="E543" s="101" t="s">
        <v>271</v>
      </c>
      <c r="F543" s="417" t="s">
        <v>272</v>
      </c>
      <c r="G543" s="419" t="s">
        <v>264</v>
      </c>
    </row>
    <row r="544" spans="1:7" ht="13.8" thickBot="1" x14ac:dyDescent="0.3">
      <c r="A544" s="404"/>
      <c r="B544" s="414"/>
      <c r="C544" s="102" t="s">
        <v>273</v>
      </c>
      <c r="D544" s="103" t="s">
        <v>274</v>
      </c>
      <c r="E544" s="103" t="s">
        <v>275</v>
      </c>
      <c r="F544" s="418"/>
      <c r="G544" s="420"/>
    </row>
    <row r="545" spans="1:7" ht="13.8" thickBot="1" x14ac:dyDescent="0.3">
      <c r="A545" s="402">
        <v>1</v>
      </c>
      <c r="B545" s="90" t="s">
        <v>276</v>
      </c>
      <c r="C545" s="91">
        <v>97.9537622639712</v>
      </c>
      <c r="D545" s="93">
        <v>57.966896112463239</v>
      </c>
      <c r="E545" s="45"/>
      <c r="F545" s="93">
        <v>1.6898224475212247</v>
      </c>
      <c r="G545" s="104">
        <v>9.8472698914092729E-2</v>
      </c>
    </row>
    <row r="546" spans="1:7" x14ac:dyDescent="0.25">
      <c r="A546" s="403"/>
      <c r="B546" s="94" t="s">
        <v>277</v>
      </c>
      <c r="C546" s="95">
        <v>-9.0414818509356056</v>
      </c>
      <c r="D546" s="97">
        <v>4.700871178529515</v>
      </c>
      <c r="E546" s="97">
        <v>-4.0501289631128001</v>
      </c>
      <c r="F546" s="97">
        <v>-1.9233630336928063</v>
      </c>
      <c r="G546" s="105">
        <v>6.1230830102383386E-2</v>
      </c>
    </row>
    <row r="547" spans="1:7" x14ac:dyDescent="0.25">
      <c r="A547" s="403"/>
      <c r="B547" s="94" t="s">
        <v>278</v>
      </c>
      <c r="C547" s="95">
        <v>-4.2382773950864063</v>
      </c>
      <c r="D547" s="97">
        <v>4.755432444824363</v>
      </c>
      <c r="E547" s="97">
        <v>-0.6790334209902521</v>
      </c>
      <c r="F547" s="97">
        <v>-0.89124962750741854</v>
      </c>
      <c r="G547" s="105">
        <v>0.37787277386127349</v>
      </c>
    </row>
    <row r="548" spans="1:7" x14ac:dyDescent="0.25">
      <c r="A548" s="403"/>
      <c r="B548" s="94" t="s">
        <v>279</v>
      </c>
      <c r="C548" s="95">
        <v>-4.4954603435867382</v>
      </c>
      <c r="D548" s="97">
        <v>3.6011510676430332</v>
      </c>
      <c r="E548" s="97">
        <v>-2.4479620965483719</v>
      </c>
      <c r="F548" s="97">
        <v>-1.2483398388863018</v>
      </c>
      <c r="G548" s="105">
        <v>0.2188209141065042</v>
      </c>
    </row>
    <row r="549" spans="1:7" x14ac:dyDescent="0.25">
      <c r="A549" s="403"/>
      <c r="B549" s="94" t="s">
        <v>280</v>
      </c>
      <c r="C549" s="95">
        <v>-8.4408747902874985</v>
      </c>
      <c r="D549" s="97">
        <v>4.8804061013839695</v>
      </c>
      <c r="E549" s="97">
        <v>-2.9177534227381989</v>
      </c>
      <c r="F549" s="97">
        <v>-1.729543528743205</v>
      </c>
      <c r="G549" s="105">
        <v>9.1056058052626135E-2</v>
      </c>
    </row>
    <row r="550" spans="1:7" x14ac:dyDescent="0.25">
      <c r="A550" s="403"/>
      <c r="B550" s="94" t="s">
        <v>281</v>
      </c>
      <c r="C550" s="95">
        <v>-7.2865445307797145</v>
      </c>
      <c r="D550" s="97">
        <v>4.5892566094336837</v>
      </c>
      <c r="E550" s="97">
        <v>-3.1180233106181867</v>
      </c>
      <c r="F550" s="97">
        <v>-1.587739616869861</v>
      </c>
      <c r="G550" s="105">
        <v>0.11984605755619566</v>
      </c>
    </row>
    <row r="551" spans="1:7" x14ac:dyDescent="0.25">
      <c r="A551" s="403"/>
      <c r="B551" s="94" t="s">
        <v>282</v>
      </c>
      <c r="C551" s="95">
        <v>-1.9254724698702634</v>
      </c>
      <c r="D551" s="97">
        <v>1.4010499611220433</v>
      </c>
      <c r="E551" s="97">
        <v>-0.25885168278420184</v>
      </c>
      <c r="F551" s="97">
        <v>-1.3743067865533016</v>
      </c>
      <c r="G551" s="105">
        <v>0.17663596985870775</v>
      </c>
    </row>
    <row r="552" spans="1:7" x14ac:dyDescent="0.25">
      <c r="A552" s="403"/>
      <c r="B552" s="94" t="s">
        <v>283</v>
      </c>
      <c r="C552" s="95">
        <v>-0.56505841302623372</v>
      </c>
      <c r="D552" s="97">
        <v>0.96409343663517089</v>
      </c>
      <c r="E552" s="97">
        <v>-9.8019704683738246E-2</v>
      </c>
      <c r="F552" s="97">
        <v>-0.58610337084999919</v>
      </c>
      <c r="G552" s="105">
        <v>0.56094282963466624</v>
      </c>
    </row>
    <row r="553" spans="1:7" x14ac:dyDescent="0.25">
      <c r="A553" s="403"/>
      <c r="B553" s="94" t="s">
        <v>284</v>
      </c>
      <c r="C553" s="95">
        <v>0.19284866595735448</v>
      </c>
      <c r="D553" s="97">
        <v>1.8623492837280706</v>
      </c>
      <c r="E553" s="97">
        <v>1.1309659346392721E-2</v>
      </c>
      <c r="F553" s="97">
        <v>0.10355128742085801</v>
      </c>
      <c r="G553" s="105">
        <v>0.91801833443627412</v>
      </c>
    </row>
    <row r="554" spans="1:7" ht="13.8" thickBot="1" x14ac:dyDescent="0.3">
      <c r="A554" s="404"/>
      <c r="B554" s="98" t="s">
        <v>302</v>
      </c>
      <c r="C554" s="99">
        <v>42.139222598447653</v>
      </c>
      <c r="D554" s="106">
        <v>21.839871627144955</v>
      </c>
      <c r="E554" s="106">
        <v>1.6410029799258554</v>
      </c>
      <c r="F554" s="106">
        <v>1.9294629253256448</v>
      </c>
      <c r="G554" s="107">
        <v>6.0447256936155783E-2</v>
      </c>
    </row>
    <row r="555" spans="1:7" ht="13.8" x14ac:dyDescent="0.25">
      <c r="A555" s="387" t="s">
        <v>303</v>
      </c>
      <c r="B555" s="405"/>
      <c r="C555" s="405"/>
      <c r="D555" s="405"/>
      <c r="E555" s="405"/>
      <c r="F555" s="405"/>
      <c r="G555" s="405"/>
    </row>
    <row r="560" spans="1:7" ht="13.8" x14ac:dyDescent="0.3">
      <c r="A560" t="s">
        <v>304</v>
      </c>
    </row>
    <row r="563" spans="1:3" ht="16.8" x14ac:dyDescent="0.3">
      <c r="A563" t="s">
        <v>86</v>
      </c>
    </row>
    <row r="565" spans="1:3" ht="13.8" thickBot="1" x14ac:dyDescent="0.3">
      <c r="A565" s="406" t="s">
        <v>87</v>
      </c>
      <c r="B565" s="429"/>
      <c r="C565" s="429"/>
    </row>
    <row r="566" spans="1:3" x14ac:dyDescent="0.25">
      <c r="A566" s="421" t="s">
        <v>217</v>
      </c>
      <c r="B566" s="422"/>
      <c r="C566" s="115" t="s">
        <v>305</v>
      </c>
    </row>
    <row r="567" spans="1:3" x14ac:dyDescent="0.25">
      <c r="A567" s="423" t="s">
        <v>219</v>
      </c>
      <c r="B567" s="424"/>
      <c r="C567" s="116" t="s">
        <v>220</v>
      </c>
    </row>
    <row r="568" spans="1:3" x14ac:dyDescent="0.25">
      <c r="A568" s="400" t="s">
        <v>221</v>
      </c>
      <c r="B568" s="94" t="s">
        <v>222</v>
      </c>
      <c r="C568" s="116" t="s">
        <v>223</v>
      </c>
    </row>
    <row r="569" spans="1:3" x14ac:dyDescent="0.25">
      <c r="A569" s="425"/>
      <c r="B569" s="94" t="s">
        <v>224</v>
      </c>
      <c r="C569" s="116" t="s">
        <v>225</v>
      </c>
    </row>
    <row r="570" spans="1:3" x14ac:dyDescent="0.25">
      <c r="A570" s="425"/>
      <c r="B570" s="94" t="s">
        <v>226</v>
      </c>
      <c r="C570" s="116" t="s">
        <v>225</v>
      </c>
    </row>
    <row r="571" spans="1:3" x14ac:dyDescent="0.25">
      <c r="A571" s="425"/>
      <c r="B571" s="94" t="s">
        <v>227</v>
      </c>
      <c r="C571" s="116" t="s">
        <v>225</v>
      </c>
    </row>
    <row r="572" spans="1:3" ht="22.8" x14ac:dyDescent="0.25">
      <c r="A572" s="425"/>
      <c r="B572" s="94" t="s">
        <v>228</v>
      </c>
      <c r="C572" s="117">
        <v>48</v>
      </c>
    </row>
    <row r="573" spans="1:3" ht="22.8" x14ac:dyDescent="0.25">
      <c r="A573" s="400" t="s">
        <v>229</v>
      </c>
      <c r="B573" s="94" t="s">
        <v>230</v>
      </c>
      <c r="C573" s="116" t="s">
        <v>231</v>
      </c>
    </row>
    <row r="574" spans="1:3" ht="22.8" x14ac:dyDescent="0.25">
      <c r="A574" s="425"/>
      <c r="B574" s="94" t="s">
        <v>232</v>
      </c>
      <c r="C574" s="116" t="s">
        <v>233</v>
      </c>
    </row>
    <row r="575" spans="1:3" ht="102.6" x14ac:dyDescent="0.25">
      <c r="A575" s="423" t="s">
        <v>234</v>
      </c>
      <c r="B575" s="424"/>
      <c r="C575" s="116" t="s">
        <v>306</v>
      </c>
    </row>
    <row r="576" spans="1:3" ht="13.8" thickBot="1" x14ac:dyDescent="0.3">
      <c r="A576" s="401" t="s">
        <v>236</v>
      </c>
      <c r="B576" s="94" t="s">
        <v>237</v>
      </c>
      <c r="C576" s="118" t="s">
        <v>307</v>
      </c>
    </row>
    <row r="577" spans="1:5" x14ac:dyDescent="0.25">
      <c r="A577" s="425"/>
      <c r="B577" s="94" t="s">
        <v>239</v>
      </c>
      <c r="C577" s="118" t="s">
        <v>308</v>
      </c>
    </row>
    <row r="578" spans="1:5" x14ac:dyDescent="0.25">
      <c r="A578" s="425"/>
      <c r="B578" s="94" t="s">
        <v>241</v>
      </c>
      <c r="C578" s="116" t="s">
        <v>242</v>
      </c>
    </row>
    <row r="579" spans="1:5" ht="23.4" thickBot="1" x14ac:dyDescent="0.3">
      <c r="A579" s="426"/>
      <c r="B579" s="98" t="s">
        <v>243</v>
      </c>
      <c r="C579" s="119" t="s">
        <v>244</v>
      </c>
    </row>
    <row r="582" spans="1:5" ht="13.8" x14ac:dyDescent="0.3">
      <c r="A582" t="s">
        <v>309</v>
      </c>
    </row>
    <row r="584" spans="1:5" ht="13.8" thickBot="1" x14ac:dyDescent="0.3">
      <c r="A584" s="406" t="s">
        <v>112</v>
      </c>
      <c r="B584" s="406"/>
      <c r="C584" s="406"/>
      <c r="D584" s="406"/>
    </row>
    <row r="585" spans="1:5" ht="13.8" thickBot="1" x14ac:dyDescent="0.3">
      <c r="A585" s="109" t="s">
        <v>246</v>
      </c>
      <c r="B585" s="82" t="s">
        <v>247</v>
      </c>
      <c r="C585" s="110" t="s">
        <v>248</v>
      </c>
      <c r="D585" s="112" t="s">
        <v>249</v>
      </c>
    </row>
    <row r="586" spans="1:5" ht="25.2" thickBot="1" x14ac:dyDescent="0.3">
      <c r="A586" s="85">
        <v>1</v>
      </c>
      <c r="B586" s="120" t="s">
        <v>310</v>
      </c>
      <c r="C586" s="87" t="s">
        <v>251</v>
      </c>
      <c r="D586" s="88" t="s">
        <v>252</v>
      </c>
    </row>
    <row r="587" spans="1:5" x14ac:dyDescent="0.25">
      <c r="A587" s="386" t="s">
        <v>253</v>
      </c>
      <c r="B587" s="386"/>
      <c r="C587" s="386"/>
      <c r="D587" s="386"/>
    </row>
    <row r="589" spans="1:5" ht="13.8" thickBot="1" x14ac:dyDescent="0.3">
      <c r="A589" s="406" t="s">
        <v>119</v>
      </c>
      <c r="B589" s="406"/>
      <c r="C589" s="406"/>
      <c r="D589" s="406"/>
      <c r="E589" s="406"/>
    </row>
    <row r="590" spans="1:5" ht="24" thickBot="1" x14ac:dyDescent="0.3">
      <c r="A590" s="109" t="s">
        <v>246</v>
      </c>
      <c r="B590" s="82" t="s">
        <v>254</v>
      </c>
      <c r="C590" s="110" t="s">
        <v>255</v>
      </c>
      <c r="D590" s="110" t="s">
        <v>256</v>
      </c>
      <c r="E590" s="112" t="s">
        <v>257</v>
      </c>
    </row>
    <row r="591" spans="1:5" ht="13.8" thickBot="1" x14ac:dyDescent="0.3">
      <c r="A591" s="85">
        <v>1</v>
      </c>
      <c r="B591" s="121" t="s">
        <v>311</v>
      </c>
      <c r="C591" s="89">
        <v>0.94984839873448745</v>
      </c>
      <c r="D591" s="89">
        <v>0.93910162703473476</v>
      </c>
      <c r="E591" s="122">
        <v>0.53521244354003594</v>
      </c>
    </row>
    <row r="592" spans="1:5" x14ac:dyDescent="0.25">
      <c r="A592" s="386" t="s">
        <v>312</v>
      </c>
      <c r="B592" s="386"/>
      <c r="C592" s="386"/>
      <c r="D592" s="386"/>
      <c r="E592" s="386"/>
    </row>
    <row r="594" spans="1:7" ht="14.4" thickBot="1" x14ac:dyDescent="0.3">
      <c r="A594" s="388" t="s">
        <v>124</v>
      </c>
      <c r="B594" s="388"/>
      <c r="C594" s="388"/>
      <c r="D594" s="388"/>
      <c r="E594" s="388"/>
      <c r="F594" s="388"/>
      <c r="G594" s="388"/>
    </row>
    <row r="595" spans="1:7" ht="13.8" thickBot="1" x14ac:dyDescent="0.3">
      <c r="A595" s="407" t="s">
        <v>246</v>
      </c>
      <c r="B595" s="408"/>
      <c r="C595" s="82" t="s">
        <v>260</v>
      </c>
      <c r="D595" s="110" t="s">
        <v>261</v>
      </c>
      <c r="E595" s="110" t="s">
        <v>262</v>
      </c>
      <c r="F595" s="110" t="s">
        <v>263</v>
      </c>
      <c r="G595" s="112" t="s">
        <v>264</v>
      </c>
    </row>
    <row r="596" spans="1:7" x14ac:dyDescent="0.25">
      <c r="A596" s="399">
        <v>1</v>
      </c>
      <c r="B596" s="90" t="s">
        <v>265</v>
      </c>
      <c r="C596" s="91">
        <v>227.86162255600826</v>
      </c>
      <c r="D596" s="92">
        <v>9</v>
      </c>
      <c r="E596" s="93">
        <v>25.317958061778693</v>
      </c>
      <c r="F596" s="93">
        <v>88.384533073904024</v>
      </c>
      <c r="G596" s="123" t="s">
        <v>266</v>
      </c>
    </row>
    <row r="597" spans="1:7" x14ac:dyDescent="0.25">
      <c r="A597" s="400"/>
      <c r="B597" s="94" t="s">
        <v>267</v>
      </c>
      <c r="C597" s="95">
        <v>12.030999108244037</v>
      </c>
      <c r="D597" s="96">
        <v>42</v>
      </c>
      <c r="E597" s="97">
        <v>0.28645235972009614</v>
      </c>
      <c r="F597" s="36"/>
      <c r="G597" s="37"/>
    </row>
    <row r="598" spans="1:7" ht="13.8" thickBot="1" x14ac:dyDescent="0.3">
      <c r="A598" s="401"/>
      <c r="B598" s="98" t="s">
        <v>268</v>
      </c>
      <c r="C598" s="99">
        <v>239.89262166425229</v>
      </c>
      <c r="D598" s="100">
        <v>51</v>
      </c>
      <c r="E598" s="111"/>
      <c r="F598" s="111"/>
      <c r="G598" s="113"/>
    </row>
    <row r="599" spans="1:7" x14ac:dyDescent="0.25">
      <c r="A599" s="386" t="s">
        <v>312</v>
      </c>
      <c r="B599" s="386"/>
      <c r="C599" s="386"/>
      <c r="D599" s="386"/>
      <c r="E599" s="386"/>
      <c r="F599" s="386"/>
      <c r="G599" s="386"/>
    </row>
    <row r="600" spans="1:7" x14ac:dyDescent="0.25">
      <c r="A600" s="387" t="s">
        <v>313</v>
      </c>
      <c r="B600" s="387"/>
      <c r="C600" s="387"/>
      <c r="D600" s="387"/>
      <c r="E600" s="387"/>
      <c r="F600" s="387"/>
      <c r="G600" s="387"/>
    </row>
    <row r="602" spans="1:7" ht="14.4" thickBot="1" x14ac:dyDescent="0.3">
      <c r="A602" s="388" t="s">
        <v>135</v>
      </c>
      <c r="B602" s="388"/>
      <c r="C602" s="388"/>
      <c r="D602" s="388"/>
      <c r="E602" s="388"/>
      <c r="F602" s="388"/>
      <c r="G602" s="388"/>
    </row>
    <row r="603" spans="1:7" ht="23.4" x14ac:dyDescent="0.25">
      <c r="A603" s="389" t="s">
        <v>246</v>
      </c>
      <c r="B603" s="390"/>
      <c r="C603" s="393" t="s">
        <v>270</v>
      </c>
      <c r="D603" s="394"/>
      <c r="E603" s="101" t="s">
        <v>271</v>
      </c>
      <c r="F603" s="395" t="s">
        <v>272</v>
      </c>
      <c r="G603" s="397" t="s">
        <v>264</v>
      </c>
    </row>
    <row r="604" spans="1:7" ht="13.8" thickBot="1" x14ac:dyDescent="0.3">
      <c r="A604" s="391"/>
      <c r="B604" s="392"/>
      <c r="C604" s="102" t="s">
        <v>273</v>
      </c>
      <c r="D604" s="103" t="s">
        <v>274</v>
      </c>
      <c r="E604" s="103" t="s">
        <v>275</v>
      </c>
      <c r="F604" s="396"/>
      <c r="G604" s="398"/>
    </row>
    <row r="605" spans="1:7" x14ac:dyDescent="0.25">
      <c r="A605" s="399">
        <v>1</v>
      </c>
      <c r="B605" s="90" t="s">
        <v>276</v>
      </c>
      <c r="C605" s="124">
        <v>-52.83911414980944</v>
      </c>
      <c r="D605" s="93">
        <v>85.346679003360592</v>
      </c>
      <c r="E605" s="45"/>
      <c r="F605" s="125">
        <v>-0.61911154325909812</v>
      </c>
      <c r="G605" s="104">
        <v>0.53918678143166598</v>
      </c>
    </row>
    <row r="606" spans="1:7" x14ac:dyDescent="0.25">
      <c r="A606" s="400"/>
      <c r="B606" s="94" t="s">
        <v>277</v>
      </c>
      <c r="C606" s="95">
        <v>3.3116336875673444</v>
      </c>
      <c r="D606" s="97">
        <v>6.5114330337560054</v>
      </c>
      <c r="E606" s="97">
        <v>0.49877806924001927</v>
      </c>
      <c r="F606" s="97">
        <v>0.50858753678329494</v>
      </c>
      <c r="G606" s="105">
        <v>0.61370265441960503</v>
      </c>
    </row>
    <row r="607" spans="1:7" x14ac:dyDescent="0.25">
      <c r="A607" s="400"/>
      <c r="B607" s="94" t="s">
        <v>278</v>
      </c>
      <c r="C607" s="95">
        <v>6.8641130354164988</v>
      </c>
      <c r="D607" s="97">
        <v>6.6609079416766139</v>
      </c>
      <c r="E607" s="97">
        <v>0.36976178071461363</v>
      </c>
      <c r="F607" s="97">
        <v>1.0305071163749993</v>
      </c>
      <c r="G607" s="105">
        <v>0.3086700603200585</v>
      </c>
    </row>
    <row r="608" spans="1:7" x14ac:dyDescent="0.25">
      <c r="A608" s="400"/>
      <c r="B608" s="94" t="s">
        <v>279</v>
      </c>
      <c r="C608" s="95">
        <v>8.6399872287429069</v>
      </c>
      <c r="D608" s="97">
        <v>6.3411643195562828</v>
      </c>
      <c r="E608" s="97">
        <v>1.5819015054227741</v>
      </c>
      <c r="F608" s="97">
        <v>1.3625237879575216</v>
      </c>
      <c r="G608" s="105">
        <v>0.18029464605253567</v>
      </c>
    </row>
    <row r="609" spans="1:7" x14ac:dyDescent="0.25">
      <c r="A609" s="400"/>
      <c r="B609" s="94" t="s">
        <v>280</v>
      </c>
      <c r="C609" s="95">
        <v>6.0759890414820346</v>
      </c>
      <c r="D609" s="97">
        <v>6.7322541895000514</v>
      </c>
      <c r="E609" s="97">
        <v>0.70617759038607164</v>
      </c>
      <c r="F609" s="97">
        <v>0.90251925587694537</v>
      </c>
      <c r="G609" s="105">
        <v>0.37192816980869181</v>
      </c>
    </row>
    <row r="610" spans="1:7" x14ac:dyDescent="0.25">
      <c r="A610" s="400"/>
      <c r="B610" s="94" t="s">
        <v>281</v>
      </c>
      <c r="C610" s="95">
        <v>6.9080540184702972</v>
      </c>
      <c r="D610" s="97">
        <v>6.6433786374828774</v>
      </c>
      <c r="E610" s="97">
        <v>0.9939150800607558</v>
      </c>
      <c r="F610" s="97">
        <v>1.0398404780805484</v>
      </c>
      <c r="G610" s="105">
        <v>0.30436330758943447</v>
      </c>
    </row>
    <row r="611" spans="1:7" x14ac:dyDescent="0.25">
      <c r="A611" s="400"/>
      <c r="B611" s="94" t="s">
        <v>282</v>
      </c>
      <c r="C611" s="126">
        <v>-0.34018805307318245</v>
      </c>
      <c r="D611" s="97">
        <v>1.2590405227564954</v>
      </c>
      <c r="E611" s="127">
        <v>-1.5376891768525568E-2</v>
      </c>
      <c r="F611" s="127">
        <v>-0.27019627003616031</v>
      </c>
      <c r="G611" s="105">
        <v>0.7883325527993077</v>
      </c>
    </row>
    <row r="612" spans="1:7" x14ac:dyDescent="0.25">
      <c r="A612" s="400"/>
      <c r="B612" s="94" t="s">
        <v>283</v>
      </c>
      <c r="C612" s="95">
        <v>1.9712720262519361</v>
      </c>
      <c r="D612" s="97">
        <v>1.9293161262946799</v>
      </c>
      <c r="E612" s="97">
        <v>0.11497473678539007</v>
      </c>
      <c r="F612" s="97">
        <v>1.0217465138996344</v>
      </c>
      <c r="G612" s="105">
        <v>0.31275033492774379</v>
      </c>
    </row>
    <row r="613" spans="1:7" x14ac:dyDescent="0.25">
      <c r="A613" s="400"/>
      <c r="B613" s="94" t="s">
        <v>284</v>
      </c>
      <c r="C613" s="126">
        <v>-0.71507611639297664</v>
      </c>
      <c r="D613" s="97">
        <v>3.3261833961125311</v>
      </c>
      <c r="E613" s="127">
        <v>-1.4100060576300822E-2</v>
      </c>
      <c r="F613" s="127">
        <v>-0.2149839714877779</v>
      </c>
      <c r="G613" s="105">
        <v>0.83082032785494531</v>
      </c>
    </row>
    <row r="614" spans="1:7" ht="13.8" thickBot="1" x14ac:dyDescent="0.3">
      <c r="A614" s="401"/>
      <c r="B614" s="98" t="s">
        <v>314</v>
      </c>
      <c r="C614" s="128">
        <v>4.8815648492107785E+28</v>
      </c>
      <c r="D614" s="129">
        <v>2.1914355776321797E+28</v>
      </c>
      <c r="E614" s="106">
        <v>9.385353906616864E-2</v>
      </c>
      <c r="F614" s="106">
        <v>2.2275648433549899</v>
      </c>
      <c r="G614" s="107">
        <v>3.1323132196764136E-2</v>
      </c>
    </row>
    <row r="615" spans="1:7" x14ac:dyDescent="0.25">
      <c r="A615" s="386" t="s">
        <v>315</v>
      </c>
      <c r="B615" s="386"/>
      <c r="C615" s="386"/>
      <c r="D615" s="386"/>
      <c r="E615" s="386"/>
      <c r="F615" s="386"/>
      <c r="G615" s="386"/>
    </row>
    <row r="619" spans="1:7" ht="14.4" thickBot="1" x14ac:dyDescent="0.3">
      <c r="A619" s="410" t="s">
        <v>287</v>
      </c>
      <c r="B619" s="405"/>
      <c r="C619" s="405"/>
      <c r="D619" s="405"/>
      <c r="E619" s="405"/>
      <c r="F619" s="405"/>
      <c r="G619" s="405"/>
    </row>
    <row r="620" spans="1:7" ht="24" thickBot="1" x14ac:dyDescent="0.3">
      <c r="A620" s="411" t="s">
        <v>246</v>
      </c>
      <c r="B620" s="413"/>
      <c r="C620" s="427" t="s">
        <v>288</v>
      </c>
      <c r="D620" s="417" t="s">
        <v>272</v>
      </c>
      <c r="E620" s="417" t="s">
        <v>264</v>
      </c>
      <c r="F620" s="417" t="s">
        <v>289</v>
      </c>
      <c r="G620" s="130" t="s">
        <v>290</v>
      </c>
    </row>
    <row r="621" spans="1:7" ht="13.8" thickBot="1" x14ac:dyDescent="0.3">
      <c r="A621" s="404"/>
      <c r="B621" s="414"/>
      <c r="C621" s="428"/>
      <c r="D621" s="418"/>
      <c r="E621" s="418"/>
      <c r="F621" s="418"/>
      <c r="G621" s="131" t="s">
        <v>291</v>
      </c>
    </row>
    <row r="622" spans="1:7" ht="13.8" thickBot="1" x14ac:dyDescent="0.3">
      <c r="A622" s="114">
        <v>1</v>
      </c>
      <c r="B622" s="132" t="s">
        <v>292</v>
      </c>
      <c r="C622" s="120" t="s">
        <v>293</v>
      </c>
      <c r="D622" s="87" t="s">
        <v>251</v>
      </c>
      <c r="E622" s="87" t="s">
        <v>251</v>
      </c>
      <c r="F622" s="87" t="s">
        <v>251</v>
      </c>
      <c r="G622" s="108">
        <v>0</v>
      </c>
    </row>
    <row r="623" spans="1:7" ht="13.8" x14ac:dyDescent="0.25">
      <c r="A623" s="387" t="s">
        <v>316</v>
      </c>
      <c r="B623" s="405"/>
      <c r="C623" s="405"/>
      <c r="D623" s="405"/>
      <c r="E623" s="405"/>
      <c r="F623" s="405"/>
      <c r="G623" s="405"/>
    </row>
    <row r="624" spans="1:7" ht="13.8" x14ac:dyDescent="0.25">
      <c r="A624" s="387" t="s">
        <v>313</v>
      </c>
      <c r="B624" s="405"/>
      <c r="C624" s="405"/>
      <c r="D624" s="405"/>
      <c r="E624" s="405"/>
      <c r="F624" s="405"/>
      <c r="G624" s="405"/>
    </row>
    <row r="633" spans="1:3" ht="13.8" thickBot="1" x14ac:dyDescent="0.3">
      <c r="A633" s="406" t="s">
        <v>87</v>
      </c>
      <c r="B633" s="429"/>
      <c r="C633" s="429"/>
    </row>
    <row r="634" spans="1:3" x14ac:dyDescent="0.25">
      <c r="A634" s="421" t="s">
        <v>217</v>
      </c>
      <c r="B634" s="422"/>
      <c r="C634" s="115" t="s">
        <v>317</v>
      </c>
    </row>
    <row r="635" spans="1:3" x14ac:dyDescent="0.25">
      <c r="A635" s="423" t="s">
        <v>219</v>
      </c>
      <c r="B635" s="424"/>
      <c r="C635" s="116" t="s">
        <v>220</v>
      </c>
    </row>
    <row r="636" spans="1:3" x14ac:dyDescent="0.25">
      <c r="A636" s="400" t="s">
        <v>221</v>
      </c>
      <c r="B636" s="94" t="s">
        <v>222</v>
      </c>
      <c r="C636" s="116" t="s">
        <v>223</v>
      </c>
    </row>
    <row r="637" spans="1:3" x14ac:dyDescent="0.25">
      <c r="A637" s="425"/>
      <c r="B637" s="94" t="s">
        <v>224</v>
      </c>
      <c r="C637" s="116" t="s">
        <v>225</v>
      </c>
    </row>
    <row r="638" spans="1:3" x14ac:dyDescent="0.25">
      <c r="A638" s="425"/>
      <c r="B638" s="94" t="s">
        <v>226</v>
      </c>
      <c r="C638" s="116" t="s">
        <v>225</v>
      </c>
    </row>
    <row r="639" spans="1:3" x14ac:dyDescent="0.25">
      <c r="A639" s="425"/>
      <c r="B639" s="94" t="s">
        <v>227</v>
      </c>
      <c r="C639" s="116" t="s">
        <v>225</v>
      </c>
    </row>
    <row r="640" spans="1:3" ht="22.8" x14ac:dyDescent="0.25">
      <c r="A640" s="425"/>
      <c r="B640" s="94" t="s">
        <v>228</v>
      </c>
      <c r="C640" s="117">
        <v>48</v>
      </c>
    </row>
    <row r="641" spans="1:4" ht="22.8" x14ac:dyDescent="0.25">
      <c r="A641" s="400" t="s">
        <v>229</v>
      </c>
      <c r="B641" s="94" t="s">
        <v>230</v>
      </c>
      <c r="C641" s="116" t="s">
        <v>231</v>
      </c>
    </row>
    <row r="642" spans="1:4" ht="22.8" x14ac:dyDescent="0.25">
      <c r="A642" s="425"/>
      <c r="B642" s="94" t="s">
        <v>232</v>
      </c>
      <c r="C642" s="116" t="s">
        <v>233</v>
      </c>
    </row>
    <row r="643" spans="1:4" ht="102.6" x14ac:dyDescent="0.25">
      <c r="A643" s="423" t="s">
        <v>234</v>
      </c>
      <c r="B643" s="424"/>
      <c r="C643" s="116" t="s">
        <v>318</v>
      </c>
    </row>
    <row r="644" spans="1:4" ht="13.8" thickBot="1" x14ac:dyDescent="0.3">
      <c r="A644" s="401" t="s">
        <v>236</v>
      </c>
      <c r="B644" s="94" t="s">
        <v>237</v>
      </c>
      <c r="C644" s="118" t="s">
        <v>319</v>
      </c>
    </row>
    <row r="645" spans="1:4" x14ac:dyDescent="0.25">
      <c r="A645" s="425"/>
      <c r="B645" s="94" t="s">
        <v>239</v>
      </c>
      <c r="C645" s="118" t="s">
        <v>320</v>
      </c>
    </row>
    <row r="646" spans="1:4" x14ac:dyDescent="0.25">
      <c r="A646" s="425"/>
      <c r="B646" s="94" t="s">
        <v>241</v>
      </c>
      <c r="C646" s="116" t="s">
        <v>242</v>
      </c>
    </row>
    <row r="647" spans="1:4" ht="23.4" thickBot="1" x14ac:dyDescent="0.3">
      <c r="A647" s="426"/>
      <c r="B647" s="98" t="s">
        <v>243</v>
      </c>
      <c r="C647" s="119" t="s">
        <v>244</v>
      </c>
    </row>
    <row r="650" spans="1:4" ht="13.8" x14ac:dyDescent="0.3">
      <c r="A650" t="s">
        <v>309</v>
      </c>
    </row>
    <row r="652" spans="1:4" ht="13.8" thickBot="1" x14ac:dyDescent="0.3">
      <c r="A652" s="374" t="s">
        <v>112</v>
      </c>
      <c r="B652" s="409"/>
      <c r="C652" s="409"/>
      <c r="D652" s="409"/>
    </row>
    <row r="653" spans="1:4" ht="13.8" thickBot="1" x14ac:dyDescent="0.3">
      <c r="A653" s="109" t="s">
        <v>246</v>
      </c>
      <c r="B653" s="82" t="s">
        <v>247</v>
      </c>
      <c r="C653" s="110" t="s">
        <v>248</v>
      </c>
      <c r="D653" s="112" t="s">
        <v>249</v>
      </c>
    </row>
    <row r="654" spans="1:4" ht="13.8" thickBot="1" x14ac:dyDescent="0.3">
      <c r="A654" s="85">
        <v>1</v>
      </c>
      <c r="B654" s="120" t="s">
        <v>321</v>
      </c>
      <c r="C654" s="87" t="s">
        <v>251</v>
      </c>
      <c r="D654" s="88" t="s">
        <v>252</v>
      </c>
    </row>
    <row r="655" spans="1:4" x14ac:dyDescent="0.25">
      <c r="A655" s="387" t="s">
        <v>253</v>
      </c>
      <c r="B655" s="409"/>
      <c r="C655" s="409"/>
      <c r="D655" s="409"/>
    </row>
    <row r="657" spans="1:7" ht="13.8" thickBot="1" x14ac:dyDescent="0.3">
      <c r="A657" s="374" t="s">
        <v>119</v>
      </c>
      <c r="B657" s="409"/>
      <c r="C657" s="409"/>
      <c r="D657" s="409"/>
      <c r="E657" s="409"/>
    </row>
    <row r="658" spans="1:7" ht="24" thickBot="1" x14ac:dyDescent="0.3">
      <c r="A658" s="109" t="s">
        <v>246</v>
      </c>
      <c r="B658" s="82" t="s">
        <v>254</v>
      </c>
      <c r="C658" s="110" t="s">
        <v>255</v>
      </c>
      <c r="D658" s="110" t="s">
        <v>256</v>
      </c>
      <c r="E658" s="112" t="s">
        <v>257</v>
      </c>
    </row>
    <row r="659" spans="1:7" ht="13.8" thickBot="1" x14ac:dyDescent="0.3">
      <c r="A659" s="85">
        <v>1</v>
      </c>
      <c r="B659" s="121" t="s">
        <v>322</v>
      </c>
      <c r="C659" s="89">
        <v>0.92374943724004033</v>
      </c>
      <c r="D659" s="89">
        <v>0.90956328602888503</v>
      </c>
      <c r="E659" s="122">
        <v>0.25519297889151293</v>
      </c>
    </row>
    <row r="660" spans="1:7" x14ac:dyDescent="0.25">
      <c r="A660" s="387" t="s">
        <v>323</v>
      </c>
      <c r="B660" s="409"/>
      <c r="C660" s="409"/>
      <c r="D660" s="409"/>
      <c r="E660" s="409"/>
    </row>
    <row r="662" spans="1:7" ht="14.4" thickBot="1" x14ac:dyDescent="0.3">
      <c r="A662" s="410" t="s">
        <v>124</v>
      </c>
      <c r="B662" s="405"/>
      <c r="C662" s="405"/>
      <c r="D662" s="405"/>
      <c r="E662" s="405"/>
      <c r="F662" s="405"/>
      <c r="G662" s="405"/>
    </row>
    <row r="663" spans="1:7" ht="14.4" thickBot="1" x14ac:dyDescent="0.3">
      <c r="A663" s="411" t="s">
        <v>246</v>
      </c>
      <c r="B663" s="412"/>
      <c r="C663" s="82" t="s">
        <v>260</v>
      </c>
      <c r="D663" s="110" t="s">
        <v>261</v>
      </c>
      <c r="E663" s="110" t="s">
        <v>262</v>
      </c>
      <c r="F663" s="110" t="s">
        <v>263</v>
      </c>
      <c r="G663" s="112" t="s">
        <v>264</v>
      </c>
    </row>
    <row r="664" spans="1:7" ht="13.8" thickBot="1" x14ac:dyDescent="0.3">
      <c r="A664" s="402">
        <v>1</v>
      </c>
      <c r="B664" s="90" t="s">
        <v>265</v>
      </c>
      <c r="C664" s="91">
        <v>33.924779385171995</v>
      </c>
      <c r="D664" s="92">
        <v>8</v>
      </c>
      <c r="E664" s="93">
        <v>4.2405974231464993</v>
      </c>
      <c r="F664" s="93">
        <v>65.116283020700465</v>
      </c>
      <c r="G664" s="123" t="s">
        <v>266</v>
      </c>
    </row>
    <row r="665" spans="1:7" x14ac:dyDescent="0.25">
      <c r="A665" s="403"/>
      <c r="B665" s="94" t="s">
        <v>267</v>
      </c>
      <c r="C665" s="95">
        <v>2.8003086284475391</v>
      </c>
      <c r="D665" s="96">
        <v>43</v>
      </c>
      <c r="E665" s="97">
        <v>6.5123456475524172E-2</v>
      </c>
      <c r="F665" s="36"/>
      <c r="G665" s="37"/>
    </row>
    <row r="666" spans="1:7" ht="13.8" thickBot="1" x14ac:dyDescent="0.3">
      <c r="A666" s="404"/>
      <c r="B666" s="98" t="s">
        <v>268</v>
      </c>
      <c r="C666" s="99">
        <v>36.725088013619533</v>
      </c>
      <c r="D666" s="100">
        <v>51</v>
      </c>
      <c r="E666" s="111"/>
      <c r="F666" s="111"/>
      <c r="G666" s="113"/>
    </row>
    <row r="667" spans="1:7" ht="13.8" x14ac:dyDescent="0.25">
      <c r="A667" s="387" t="s">
        <v>323</v>
      </c>
      <c r="B667" s="405"/>
      <c r="C667" s="405"/>
      <c r="D667" s="405"/>
      <c r="E667" s="405"/>
      <c r="F667" s="405"/>
      <c r="G667" s="405"/>
    </row>
    <row r="668" spans="1:7" ht="13.8" x14ac:dyDescent="0.25">
      <c r="A668" s="387" t="s">
        <v>324</v>
      </c>
      <c r="B668" s="405"/>
      <c r="C668" s="405"/>
      <c r="D668" s="405"/>
      <c r="E668" s="405"/>
      <c r="F668" s="405"/>
      <c r="G668" s="405"/>
    </row>
    <row r="670" spans="1:7" ht="14.4" thickBot="1" x14ac:dyDescent="0.3">
      <c r="A670" s="410" t="s">
        <v>135</v>
      </c>
      <c r="B670" s="405"/>
      <c r="C670" s="405"/>
      <c r="D670" s="405"/>
      <c r="E670" s="405"/>
      <c r="F670" s="405"/>
      <c r="G670" s="405"/>
    </row>
    <row r="671" spans="1:7" ht="24" thickBot="1" x14ac:dyDescent="0.3">
      <c r="A671" s="411" t="s">
        <v>246</v>
      </c>
      <c r="B671" s="413"/>
      <c r="C671" s="415" t="s">
        <v>270</v>
      </c>
      <c r="D671" s="416"/>
      <c r="E671" s="101" t="s">
        <v>271</v>
      </c>
      <c r="F671" s="417" t="s">
        <v>272</v>
      </c>
      <c r="G671" s="419" t="s">
        <v>264</v>
      </c>
    </row>
    <row r="672" spans="1:7" ht="13.8" thickBot="1" x14ac:dyDescent="0.3">
      <c r="A672" s="404"/>
      <c r="B672" s="414"/>
      <c r="C672" s="102" t="s">
        <v>273</v>
      </c>
      <c r="D672" s="103" t="s">
        <v>274</v>
      </c>
      <c r="E672" s="103" t="s">
        <v>275</v>
      </c>
      <c r="F672" s="418"/>
      <c r="G672" s="420"/>
    </row>
    <row r="673" spans="1:7" ht="13.8" thickBot="1" x14ac:dyDescent="0.3">
      <c r="A673" s="402">
        <v>1</v>
      </c>
      <c r="B673" s="90" t="s">
        <v>276</v>
      </c>
      <c r="C673" s="91">
        <v>-8.657583361774579</v>
      </c>
      <c r="D673" s="93">
        <v>40.669976796848168</v>
      </c>
      <c r="E673" s="45"/>
      <c r="F673" s="93">
        <v>-0.21287406690739794</v>
      </c>
      <c r="G673" s="104">
        <v>0.83243119445450919</v>
      </c>
    </row>
    <row r="674" spans="1:7" x14ac:dyDescent="0.25">
      <c r="A674" s="403"/>
      <c r="B674" s="94" t="s">
        <v>277</v>
      </c>
      <c r="C674" s="95">
        <v>7.0031158338678158E-3</v>
      </c>
      <c r="D674" s="97">
        <v>3.103938391599391</v>
      </c>
      <c r="E674" s="97">
        <v>2.6957734417812464E-3</v>
      </c>
      <c r="F674" s="97">
        <v>2.2562032329060708E-3</v>
      </c>
      <c r="G674" s="105">
        <v>0.99821024674400605</v>
      </c>
    </row>
    <row r="675" spans="1:7" x14ac:dyDescent="0.25">
      <c r="A675" s="403"/>
      <c r="B675" s="94" t="s">
        <v>278</v>
      </c>
      <c r="C675" s="95">
        <v>4.5517875389121079</v>
      </c>
      <c r="D675" s="97">
        <v>3.1740823604331649</v>
      </c>
      <c r="E675" s="97">
        <v>0.62668110163288915</v>
      </c>
      <c r="F675" s="97">
        <v>1.434048339656482</v>
      </c>
      <c r="G675" s="105">
        <v>0.15879102565201089</v>
      </c>
    </row>
    <row r="676" spans="1:7" x14ac:dyDescent="0.25">
      <c r="A676" s="403"/>
      <c r="B676" s="94" t="s">
        <v>279</v>
      </c>
      <c r="C676" s="95">
        <v>1.8145055453624588</v>
      </c>
      <c r="D676" s="97">
        <v>3.0190753097588807</v>
      </c>
      <c r="E676" s="97">
        <v>0.84908596316501661</v>
      </c>
      <c r="F676" s="97">
        <v>0.6010136744509943</v>
      </c>
      <c r="G676" s="105">
        <v>0.55098611314521206</v>
      </c>
    </row>
    <row r="677" spans="1:7" x14ac:dyDescent="0.25">
      <c r="A677" s="403"/>
      <c r="B677" s="94" t="s">
        <v>280</v>
      </c>
      <c r="C677" s="95">
        <v>1.1983742928938774</v>
      </c>
      <c r="D677" s="97">
        <v>3.2056432273668185</v>
      </c>
      <c r="E677" s="97">
        <v>0.35597250650770618</v>
      </c>
      <c r="F677" s="97">
        <v>0.37383270934933294</v>
      </c>
      <c r="G677" s="105">
        <v>0.71036576169372334</v>
      </c>
    </row>
    <row r="678" spans="1:7" x14ac:dyDescent="0.25">
      <c r="A678" s="403"/>
      <c r="B678" s="94" t="s">
        <v>281</v>
      </c>
      <c r="C678" s="95">
        <v>1.2713312427877823</v>
      </c>
      <c r="D678" s="97">
        <v>3.1624810217595871</v>
      </c>
      <c r="E678" s="97">
        <v>0.46749750513068122</v>
      </c>
      <c r="F678" s="97">
        <v>0.40200438644226888</v>
      </c>
      <c r="G678" s="105">
        <v>0.68967208359103849</v>
      </c>
    </row>
    <row r="679" spans="1:7" x14ac:dyDescent="0.25">
      <c r="A679" s="403"/>
      <c r="B679" s="94" t="s">
        <v>282</v>
      </c>
      <c r="C679" s="95">
        <v>0.32356882859762082</v>
      </c>
      <c r="D679" s="97">
        <v>0.59430650192236978</v>
      </c>
      <c r="E679" s="97">
        <v>3.7380335860721245E-2</v>
      </c>
      <c r="F679" s="97">
        <v>0.54444773454604811</v>
      </c>
      <c r="G679" s="105">
        <v>0.58894586631485468</v>
      </c>
    </row>
    <row r="680" spans="1:7" x14ac:dyDescent="0.25">
      <c r="A680" s="403"/>
      <c r="B680" s="94" t="s">
        <v>283</v>
      </c>
      <c r="C680" s="95">
        <v>-0.80302007410499321</v>
      </c>
      <c r="D680" s="97">
        <v>0.91809027735623649</v>
      </c>
      <c r="E680" s="97">
        <v>-0.11970417275889085</v>
      </c>
      <c r="F680" s="97">
        <v>-0.87466352047360385</v>
      </c>
      <c r="G680" s="105">
        <v>0.3866163363726951</v>
      </c>
    </row>
    <row r="681" spans="1:7" ht="13.8" thickBot="1" x14ac:dyDescent="0.3">
      <c r="A681" s="404"/>
      <c r="B681" s="98" t="s">
        <v>284</v>
      </c>
      <c r="C681" s="99">
        <v>-5.3300827647365647</v>
      </c>
      <c r="D681" s="106">
        <v>1.5832341176986742</v>
      </c>
      <c r="E681" s="106">
        <v>-0.26861464138921748</v>
      </c>
      <c r="F681" s="106">
        <v>-3.3665790202172752</v>
      </c>
      <c r="G681" s="107">
        <v>1.6122293550517829E-3</v>
      </c>
    </row>
    <row r="682" spans="1:7" ht="13.8" x14ac:dyDescent="0.25">
      <c r="A682" s="387" t="s">
        <v>325</v>
      </c>
      <c r="B682" s="405"/>
      <c r="C682" s="405"/>
      <c r="D682" s="405"/>
      <c r="E682" s="405"/>
      <c r="F682" s="405"/>
      <c r="G682" s="405"/>
    </row>
    <row r="687" spans="1:7" ht="14.4" thickBot="1" x14ac:dyDescent="0.3">
      <c r="A687" s="410" t="s">
        <v>287</v>
      </c>
      <c r="B687" s="405"/>
      <c r="C687" s="405"/>
      <c r="D687" s="405"/>
      <c r="E687" s="405"/>
      <c r="F687" s="405"/>
      <c r="G687" s="405"/>
    </row>
    <row r="688" spans="1:7" ht="24" thickBot="1" x14ac:dyDescent="0.3">
      <c r="A688" s="411" t="s">
        <v>246</v>
      </c>
      <c r="B688" s="413"/>
      <c r="C688" s="427" t="s">
        <v>288</v>
      </c>
      <c r="D688" s="417" t="s">
        <v>272</v>
      </c>
      <c r="E688" s="417" t="s">
        <v>264</v>
      </c>
      <c r="F688" s="417" t="s">
        <v>289</v>
      </c>
      <c r="G688" s="130" t="s">
        <v>290</v>
      </c>
    </row>
    <row r="689" spans="1:7" ht="13.8" thickBot="1" x14ac:dyDescent="0.3">
      <c r="A689" s="404"/>
      <c r="B689" s="414"/>
      <c r="C689" s="428"/>
      <c r="D689" s="418"/>
      <c r="E689" s="418"/>
      <c r="F689" s="418"/>
      <c r="G689" s="131" t="s">
        <v>291</v>
      </c>
    </row>
    <row r="690" spans="1:7" ht="13.8" thickBot="1" x14ac:dyDescent="0.3">
      <c r="A690" s="114">
        <v>1</v>
      </c>
      <c r="B690" s="132" t="s">
        <v>292</v>
      </c>
      <c r="C690" s="120" t="s">
        <v>293</v>
      </c>
      <c r="D690" s="87" t="s">
        <v>251</v>
      </c>
      <c r="E690" s="87" t="s">
        <v>251</v>
      </c>
      <c r="F690" s="87" t="s">
        <v>251</v>
      </c>
      <c r="G690" s="108">
        <v>0</v>
      </c>
    </row>
    <row r="691" spans="1:7" ht="13.8" x14ac:dyDescent="0.25">
      <c r="A691" s="387" t="s">
        <v>316</v>
      </c>
      <c r="B691" s="405"/>
      <c r="C691" s="405"/>
      <c r="D691" s="405"/>
      <c r="E691" s="405"/>
      <c r="F691" s="405"/>
      <c r="G691" s="405"/>
    </row>
    <row r="692" spans="1:7" ht="13.8" x14ac:dyDescent="0.25">
      <c r="A692" s="387" t="s">
        <v>326</v>
      </c>
      <c r="B692" s="405"/>
      <c r="C692" s="405"/>
      <c r="D692" s="405"/>
      <c r="E692" s="405"/>
      <c r="F692" s="405"/>
      <c r="G692" s="405"/>
    </row>
    <row r="693" spans="1:7" ht="13.8" x14ac:dyDescent="0.25">
      <c r="A693" s="387" t="s">
        <v>326</v>
      </c>
      <c r="B693" s="405"/>
      <c r="C693" s="405"/>
      <c r="D693" s="405"/>
      <c r="E693" s="405"/>
      <c r="F693" s="405"/>
      <c r="G693" s="405"/>
    </row>
    <row r="696" spans="1:7" ht="13.8" x14ac:dyDescent="0.3">
      <c r="A696" t="s">
        <v>327</v>
      </c>
    </row>
    <row r="699" spans="1:7" ht="16.8" x14ac:dyDescent="0.3">
      <c r="A699" t="s">
        <v>86</v>
      </c>
    </row>
    <row r="701" spans="1:7" ht="13.8" thickBot="1" x14ac:dyDescent="0.3">
      <c r="A701" s="406" t="s">
        <v>87</v>
      </c>
      <c r="B701" s="429"/>
      <c r="C701" s="429"/>
    </row>
    <row r="702" spans="1:7" x14ac:dyDescent="0.25">
      <c r="A702" s="421" t="s">
        <v>217</v>
      </c>
      <c r="B702" s="422"/>
      <c r="C702" s="115" t="s">
        <v>328</v>
      </c>
    </row>
    <row r="703" spans="1:7" x14ac:dyDescent="0.25">
      <c r="A703" s="423" t="s">
        <v>219</v>
      </c>
      <c r="B703" s="424"/>
      <c r="C703" s="116" t="s">
        <v>220</v>
      </c>
    </row>
    <row r="704" spans="1:7" x14ac:dyDescent="0.25">
      <c r="A704" s="400" t="s">
        <v>221</v>
      </c>
      <c r="B704" s="94" t="s">
        <v>222</v>
      </c>
      <c r="C704" s="116" t="s">
        <v>223</v>
      </c>
    </row>
    <row r="705" spans="1:4" x14ac:dyDescent="0.25">
      <c r="A705" s="425"/>
      <c r="B705" s="94" t="s">
        <v>224</v>
      </c>
      <c r="C705" s="116" t="s">
        <v>225</v>
      </c>
    </row>
    <row r="706" spans="1:4" x14ac:dyDescent="0.25">
      <c r="A706" s="425"/>
      <c r="B706" s="94" t="s">
        <v>226</v>
      </c>
      <c r="C706" s="116" t="s">
        <v>225</v>
      </c>
    </row>
    <row r="707" spans="1:4" x14ac:dyDescent="0.25">
      <c r="A707" s="425"/>
      <c r="B707" s="94" t="s">
        <v>227</v>
      </c>
      <c r="C707" s="116" t="s">
        <v>225</v>
      </c>
    </row>
    <row r="708" spans="1:4" ht="22.8" x14ac:dyDescent="0.25">
      <c r="A708" s="425"/>
      <c r="B708" s="94" t="s">
        <v>228</v>
      </c>
      <c r="C708" s="117">
        <v>48</v>
      </c>
    </row>
    <row r="709" spans="1:4" ht="22.8" x14ac:dyDescent="0.25">
      <c r="A709" s="400" t="s">
        <v>229</v>
      </c>
      <c r="B709" s="94" t="s">
        <v>230</v>
      </c>
      <c r="C709" s="116" t="s">
        <v>231</v>
      </c>
    </row>
    <row r="710" spans="1:4" ht="22.8" x14ac:dyDescent="0.25">
      <c r="A710" s="425"/>
      <c r="B710" s="94" t="s">
        <v>232</v>
      </c>
      <c r="C710" s="116" t="s">
        <v>233</v>
      </c>
    </row>
    <row r="711" spans="1:4" ht="102.6" x14ac:dyDescent="0.25">
      <c r="A711" s="423" t="s">
        <v>234</v>
      </c>
      <c r="B711" s="424"/>
      <c r="C711" s="116" t="s">
        <v>329</v>
      </c>
    </row>
    <row r="712" spans="1:4" ht="13.8" thickBot="1" x14ac:dyDescent="0.3">
      <c r="A712" s="401" t="s">
        <v>236</v>
      </c>
      <c r="B712" s="94" t="s">
        <v>237</v>
      </c>
      <c r="C712" s="118" t="s">
        <v>240</v>
      </c>
    </row>
    <row r="713" spans="1:4" x14ac:dyDescent="0.25">
      <c r="A713" s="425"/>
      <c r="B713" s="94" t="s">
        <v>239</v>
      </c>
      <c r="C713" s="118" t="s">
        <v>330</v>
      </c>
    </row>
    <row r="714" spans="1:4" x14ac:dyDescent="0.25">
      <c r="A714" s="425"/>
      <c r="B714" s="94" t="s">
        <v>241</v>
      </c>
      <c r="C714" s="116" t="s">
        <v>242</v>
      </c>
    </row>
    <row r="715" spans="1:4" ht="23.4" thickBot="1" x14ac:dyDescent="0.3">
      <c r="A715" s="426"/>
      <c r="B715" s="98" t="s">
        <v>243</v>
      </c>
      <c r="C715" s="119" t="s">
        <v>244</v>
      </c>
    </row>
    <row r="718" spans="1:4" ht="13.8" x14ac:dyDescent="0.3">
      <c r="A718" t="s">
        <v>331</v>
      </c>
    </row>
    <row r="720" spans="1:4" ht="13.8" thickBot="1" x14ac:dyDescent="0.3">
      <c r="A720" s="374" t="s">
        <v>112</v>
      </c>
      <c r="B720" s="409"/>
      <c r="C720" s="409"/>
      <c r="D720" s="409"/>
    </row>
    <row r="721" spans="1:7" ht="13.8" thickBot="1" x14ac:dyDescent="0.3">
      <c r="A721" s="109" t="s">
        <v>246</v>
      </c>
      <c r="B721" s="82" t="s">
        <v>247</v>
      </c>
      <c r="C721" s="110" t="s">
        <v>248</v>
      </c>
      <c r="D721" s="112" t="s">
        <v>249</v>
      </c>
    </row>
    <row r="722" spans="1:7" ht="13.8" thickBot="1" x14ac:dyDescent="0.3">
      <c r="A722" s="85">
        <v>1</v>
      </c>
      <c r="B722" s="120" t="s">
        <v>332</v>
      </c>
      <c r="C722" s="87" t="s">
        <v>251</v>
      </c>
      <c r="D722" s="88" t="s">
        <v>252</v>
      </c>
    </row>
    <row r="723" spans="1:7" x14ac:dyDescent="0.25">
      <c r="A723" s="387" t="s">
        <v>253</v>
      </c>
      <c r="B723" s="409"/>
      <c r="C723" s="409"/>
      <c r="D723" s="409"/>
    </row>
    <row r="725" spans="1:7" ht="13.8" thickBot="1" x14ac:dyDescent="0.3">
      <c r="A725" s="374" t="s">
        <v>119</v>
      </c>
      <c r="B725" s="409"/>
      <c r="C725" s="409"/>
      <c r="D725" s="409"/>
      <c r="E725" s="409"/>
    </row>
    <row r="726" spans="1:7" ht="24" thickBot="1" x14ac:dyDescent="0.3">
      <c r="A726" s="109" t="s">
        <v>246</v>
      </c>
      <c r="B726" s="82" t="s">
        <v>254</v>
      </c>
      <c r="C726" s="110" t="s">
        <v>255</v>
      </c>
      <c r="D726" s="110" t="s">
        <v>256</v>
      </c>
      <c r="E726" s="112" t="s">
        <v>257</v>
      </c>
    </row>
    <row r="727" spans="1:7" ht="13.8" thickBot="1" x14ac:dyDescent="0.3">
      <c r="A727" s="85">
        <v>1</v>
      </c>
      <c r="B727" s="121" t="s">
        <v>333</v>
      </c>
      <c r="C727" s="89">
        <v>0.57504995461428987</v>
      </c>
      <c r="D727" s="89">
        <v>0.45363565593265842</v>
      </c>
      <c r="E727" s="122">
        <v>5.1241826239938428E-2</v>
      </c>
    </row>
    <row r="728" spans="1:7" x14ac:dyDescent="0.25">
      <c r="A728" s="387" t="s">
        <v>334</v>
      </c>
      <c r="B728" s="409"/>
      <c r="C728" s="409"/>
      <c r="D728" s="409"/>
      <c r="E728" s="409"/>
    </row>
    <row r="730" spans="1:7" ht="14.4" thickBot="1" x14ac:dyDescent="0.3">
      <c r="A730" s="410" t="s">
        <v>124</v>
      </c>
      <c r="B730" s="405"/>
      <c r="C730" s="405"/>
      <c r="D730" s="405"/>
      <c r="E730" s="405"/>
      <c r="F730" s="405"/>
      <c r="G730" s="405"/>
    </row>
    <row r="731" spans="1:7" ht="14.4" thickBot="1" x14ac:dyDescent="0.3">
      <c r="A731" s="411" t="s">
        <v>246</v>
      </c>
      <c r="B731" s="412"/>
      <c r="C731" s="82" t="s">
        <v>260</v>
      </c>
      <c r="D731" s="110" t="s">
        <v>261</v>
      </c>
      <c r="E731" s="110" t="s">
        <v>262</v>
      </c>
      <c r="F731" s="110" t="s">
        <v>263</v>
      </c>
      <c r="G731" s="112" t="s">
        <v>264</v>
      </c>
    </row>
    <row r="732" spans="1:7" ht="13.8" thickBot="1" x14ac:dyDescent="0.3">
      <c r="A732" s="402">
        <v>1</v>
      </c>
      <c r="B732" s="90" t="s">
        <v>265</v>
      </c>
      <c r="C732" s="91">
        <v>9.9488967503508413E-2</v>
      </c>
      <c r="D732" s="92">
        <v>8</v>
      </c>
      <c r="E732" s="93">
        <v>1.2436120937938552E-2</v>
      </c>
      <c r="F732" s="93">
        <v>4.7362622101221099</v>
      </c>
      <c r="G732" s="123" t="s">
        <v>335</v>
      </c>
    </row>
    <row r="733" spans="1:7" x14ac:dyDescent="0.25">
      <c r="A733" s="403"/>
      <c r="B733" s="94" t="s">
        <v>267</v>
      </c>
      <c r="C733" s="95">
        <v>7.352029317931319E-2</v>
      </c>
      <c r="D733" s="96">
        <v>28</v>
      </c>
      <c r="E733" s="97">
        <v>2.6257247564040426E-3</v>
      </c>
      <c r="F733" s="36"/>
      <c r="G733" s="37"/>
    </row>
    <row r="734" spans="1:7" ht="13.8" thickBot="1" x14ac:dyDescent="0.3">
      <c r="A734" s="404"/>
      <c r="B734" s="98" t="s">
        <v>268</v>
      </c>
      <c r="C734" s="99">
        <v>0.1730092606828216</v>
      </c>
      <c r="D734" s="100">
        <v>36</v>
      </c>
      <c r="E734" s="111"/>
      <c r="F734" s="111"/>
      <c r="G734" s="113"/>
    </row>
    <row r="735" spans="1:7" ht="13.8" x14ac:dyDescent="0.25">
      <c r="A735" s="387" t="s">
        <v>334</v>
      </c>
      <c r="B735" s="405"/>
      <c r="C735" s="405"/>
      <c r="D735" s="405"/>
      <c r="E735" s="405"/>
      <c r="F735" s="405"/>
      <c r="G735" s="405"/>
    </row>
    <row r="736" spans="1:7" ht="13.8" x14ac:dyDescent="0.25">
      <c r="A736" s="387" t="s">
        <v>336</v>
      </c>
      <c r="B736" s="405"/>
      <c r="C736" s="405"/>
      <c r="D736" s="405"/>
      <c r="E736" s="405"/>
      <c r="F736" s="405"/>
      <c r="G736" s="405"/>
    </row>
    <row r="738" spans="1:7" ht="14.4" thickBot="1" x14ac:dyDescent="0.3">
      <c r="A738" s="410" t="s">
        <v>135</v>
      </c>
      <c r="B738" s="405"/>
      <c r="C738" s="405"/>
      <c r="D738" s="405"/>
      <c r="E738" s="405"/>
      <c r="F738" s="405"/>
      <c r="G738" s="405"/>
    </row>
    <row r="739" spans="1:7" ht="24" thickBot="1" x14ac:dyDescent="0.3">
      <c r="A739" s="411" t="s">
        <v>246</v>
      </c>
      <c r="B739" s="413"/>
      <c r="C739" s="415" t="s">
        <v>270</v>
      </c>
      <c r="D739" s="416"/>
      <c r="E739" s="101" t="s">
        <v>271</v>
      </c>
      <c r="F739" s="417" t="s">
        <v>272</v>
      </c>
      <c r="G739" s="419" t="s">
        <v>264</v>
      </c>
    </row>
    <row r="740" spans="1:7" ht="13.8" thickBot="1" x14ac:dyDescent="0.3">
      <c r="A740" s="404"/>
      <c r="B740" s="414"/>
      <c r="C740" s="102" t="s">
        <v>273</v>
      </c>
      <c r="D740" s="103" t="s">
        <v>274</v>
      </c>
      <c r="E740" s="103" t="s">
        <v>275</v>
      </c>
      <c r="F740" s="418"/>
      <c r="G740" s="420"/>
    </row>
    <row r="741" spans="1:7" ht="13.8" thickBot="1" x14ac:dyDescent="0.3">
      <c r="A741" s="402">
        <v>1</v>
      </c>
      <c r="B741" s="90" t="s">
        <v>276</v>
      </c>
      <c r="C741" s="91">
        <v>20.077923428419535</v>
      </c>
      <c r="D741" s="93">
        <v>9.9821121341988839</v>
      </c>
      <c r="E741" s="45"/>
      <c r="F741" s="93">
        <v>2.011390290801506</v>
      </c>
      <c r="G741" s="104">
        <v>5.3999260577997643E-2</v>
      </c>
    </row>
    <row r="742" spans="1:7" x14ac:dyDescent="0.25">
      <c r="A742" s="403"/>
      <c r="B742" s="94" t="s">
        <v>277</v>
      </c>
      <c r="C742" s="95">
        <v>-1.6049403319227029</v>
      </c>
      <c r="D742" s="97">
        <v>0.77385656881011311</v>
      </c>
      <c r="E742" s="97">
        <v>-7.1266072918360308</v>
      </c>
      <c r="F742" s="97">
        <v>-2.0739506474571505</v>
      </c>
      <c r="G742" s="105">
        <v>4.7395118042078972E-2</v>
      </c>
    </row>
    <row r="743" spans="1:7" x14ac:dyDescent="0.25">
      <c r="A743" s="403"/>
      <c r="B743" s="94" t="s">
        <v>278</v>
      </c>
      <c r="C743" s="95">
        <v>-1.3721083073285156</v>
      </c>
      <c r="D743" s="97">
        <v>0.75483803559536478</v>
      </c>
      <c r="E743" s="97">
        <v>-2.6014539112139303</v>
      </c>
      <c r="F743" s="97">
        <v>-1.8177519449537147</v>
      </c>
      <c r="G743" s="105">
        <v>7.9817810264421918E-2</v>
      </c>
    </row>
    <row r="744" spans="1:7" x14ac:dyDescent="0.25">
      <c r="A744" s="403"/>
      <c r="B744" s="94" t="s">
        <v>279</v>
      </c>
      <c r="C744" s="95">
        <v>-1.4998104898564248</v>
      </c>
      <c r="D744" s="97">
        <v>0.76481723282158065</v>
      </c>
      <c r="E744" s="97">
        <v>-8.0949973258295103</v>
      </c>
      <c r="F744" s="97">
        <v>-1.9610050944109756</v>
      </c>
      <c r="G744" s="105">
        <v>5.9893629913816443E-2</v>
      </c>
    </row>
    <row r="745" spans="1:7" x14ac:dyDescent="0.25">
      <c r="A745" s="403"/>
      <c r="B745" s="94" t="s">
        <v>280</v>
      </c>
      <c r="C745" s="95">
        <v>-1.5045166473935709</v>
      </c>
      <c r="D745" s="97">
        <v>0.76763855096862021</v>
      </c>
      <c r="E745" s="97">
        <v>-6.5665744470082608</v>
      </c>
      <c r="F745" s="97">
        <v>-1.9599284656758635</v>
      </c>
      <c r="G745" s="105">
        <v>6.0025495973581908E-2</v>
      </c>
    </row>
    <row r="746" spans="1:7" x14ac:dyDescent="0.25">
      <c r="A746" s="403"/>
      <c r="B746" s="94" t="s">
        <v>281</v>
      </c>
      <c r="C746" s="95">
        <v>-1.497904387976724</v>
      </c>
      <c r="D746" s="97">
        <v>0.76278526151751502</v>
      </c>
      <c r="E746" s="97">
        <v>-7.1885557251168919</v>
      </c>
      <c r="F746" s="97">
        <v>-1.9637301132388609</v>
      </c>
      <c r="G746" s="105">
        <v>5.9560999140100844E-2</v>
      </c>
    </row>
    <row r="747" spans="1:7" x14ac:dyDescent="0.25">
      <c r="A747" s="403"/>
      <c r="B747" s="94" t="s">
        <v>282</v>
      </c>
      <c r="C747" s="95">
        <v>5.7253378154509746E-2</v>
      </c>
      <c r="D747" s="97">
        <v>0.1267140830110558</v>
      </c>
      <c r="E747" s="97">
        <v>6.437273085100062E-2</v>
      </c>
      <c r="F747" s="97">
        <v>0.4518312155525317</v>
      </c>
      <c r="G747" s="105">
        <v>0.65487129849993719</v>
      </c>
    </row>
    <row r="748" spans="1:7" x14ac:dyDescent="0.25">
      <c r="A748" s="403"/>
      <c r="B748" s="94" t="s">
        <v>283</v>
      </c>
      <c r="C748" s="95">
        <v>2.490763303867851E-2</v>
      </c>
      <c r="D748" s="97">
        <v>0.19448192444285345</v>
      </c>
      <c r="E748" s="97">
        <v>4.5176646255227243E-2</v>
      </c>
      <c r="F748" s="97">
        <v>0.12807171211429147</v>
      </c>
      <c r="G748" s="105">
        <v>0.89900766029770973</v>
      </c>
    </row>
    <row r="749" spans="1:7" ht="13.8" thickBot="1" x14ac:dyDescent="0.3">
      <c r="A749" s="404"/>
      <c r="B749" s="98" t="s">
        <v>284</v>
      </c>
      <c r="C749" s="99">
        <v>0.21311400092432711</v>
      </c>
      <c r="D749" s="106">
        <v>0.17986856292696213</v>
      </c>
      <c r="E749" s="106">
        <v>0.1986648843457417</v>
      </c>
      <c r="F749" s="106">
        <v>1.1848318430767955</v>
      </c>
      <c r="G749" s="107">
        <v>0.24604348271442181</v>
      </c>
    </row>
    <row r="750" spans="1:7" ht="13.8" x14ac:dyDescent="0.25">
      <c r="A750" s="387" t="s">
        <v>337</v>
      </c>
      <c r="B750" s="405"/>
      <c r="C750" s="405"/>
      <c r="D750" s="405"/>
      <c r="E750" s="405"/>
      <c r="F750" s="405"/>
      <c r="G750" s="405"/>
    </row>
    <row r="752" spans="1:7" ht="13.8" x14ac:dyDescent="0.25">
      <c r="A752" s="387" t="s">
        <v>337</v>
      </c>
      <c r="B752" s="405"/>
      <c r="C752" s="405"/>
      <c r="D752" s="405"/>
      <c r="E752" s="405"/>
      <c r="F752" s="405"/>
      <c r="G752" s="405"/>
    </row>
    <row r="757" spans="1:3" ht="13.8" x14ac:dyDescent="0.3">
      <c r="A757" t="s">
        <v>338</v>
      </c>
    </row>
    <row r="760" spans="1:3" ht="16.8" x14ac:dyDescent="0.3">
      <c r="A760" t="s">
        <v>86</v>
      </c>
    </row>
    <row r="762" spans="1:3" ht="13.8" thickBot="1" x14ac:dyDescent="0.3">
      <c r="A762" s="406" t="s">
        <v>87</v>
      </c>
      <c r="B762" s="429"/>
      <c r="C762" s="429"/>
    </row>
    <row r="763" spans="1:3" x14ac:dyDescent="0.25">
      <c r="A763" s="421" t="s">
        <v>217</v>
      </c>
      <c r="B763" s="422"/>
      <c r="C763" s="115" t="s">
        <v>339</v>
      </c>
    </row>
    <row r="764" spans="1:3" x14ac:dyDescent="0.25">
      <c r="A764" s="423" t="s">
        <v>219</v>
      </c>
      <c r="B764" s="424"/>
      <c r="C764" s="116" t="s">
        <v>220</v>
      </c>
    </row>
    <row r="765" spans="1:3" x14ac:dyDescent="0.25">
      <c r="A765" s="400" t="s">
        <v>221</v>
      </c>
      <c r="B765" s="94" t="s">
        <v>222</v>
      </c>
      <c r="C765" s="116" t="s">
        <v>223</v>
      </c>
    </row>
    <row r="766" spans="1:3" x14ac:dyDescent="0.25">
      <c r="A766" s="425"/>
      <c r="B766" s="94" t="s">
        <v>224</v>
      </c>
      <c r="C766" s="116" t="s">
        <v>225</v>
      </c>
    </row>
    <row r="767" spans="1:3" x14ac:dyDescent="0.25">
      <c r="A767" s="425"/>
      <c r="B767" s="94" t="s">
        <v>226</v>
      </c>
      <c r="C767" s="116" t="s">
        <v>225</v>
      </c>
    </row>
    <row r="768" spans="1:3" x14ac:dyDescent="0.25">
      <c r="A768" s="425"/>
      <c r="B768" s="94" t="s">
        <v>227</v>
      </c>
      <c r="C768" s="116" t="s">
        <v>225</v>
      </c>
    </row>
    <row r="769" spans="1:4" ht="22.8" x14ac:dyDescent="0.25">
      <c r="A769" s="425"/>
      <c r="B769" s="94" t="s">
        <v>228</v>
      </c>
      <c r="C769" s="117">
        <v>48</v>
      </c>
    </row>
    <row r="770" spans="1:4" ht="22.8" x14ac:dyDescent="0.25">
      <c r="A770" s="400" t="s">
        <v>229</v>
      </c>
      <c r="B770" s="94" t="s">
        <v>230</v>
      </c>
      <c r="C770" s="116" t="s">
        <v>231</v>
      </c>
    </row>
    <row r="771" spans="1:4" ht="22.8" x14ac:dyDescent="0.25">
      <c r="A771" s="425"/>
      <c r="B771" s="94" t="s">
        <v>232</v>
      </c>
      <c r="C771" s="116" t="s">
        <v>233</v>
      </c>
    </row>
    <row r="772" spans="1:4" ht="102.6" x14ac:dyDescent="0.25">
      <c r="A772" s="423" t="s">
        <v>234</v>
      </c>
      <c r="B772" s="424"/>
      <c r="C772" s="116" t="s">
        <v>340</v>
      </c>
    </row>
    <row r="773" spans="1:4" ht="13.8" thickBot="1" x14ac:dyDescent="0.3">
      <c r="A773" s="401" t="s">
        <v>236</v>
      </c>
      <c r="B773" s="94" t="s">
        <v>237</v>
      </c>
      <c r="C773" s="118" t="s">
        <v>319</v>
      </c>
    </row>
    <row r="774" spans="1:4" x14ac:dyDescent="0.25">
      <c r="A774" s="425"/>
      <c r="B774" s="94" t="s">
        <v>239</v>
      </c>
      <c r="C774" s="118" t="s">
        <v>296</v>
      </c>
    </row>
    <row r="775" spans="1:4" x14ac:dyDescent="0.25">
      <c r="A775" s="425"/>
      <c r="B775" s="94" t="s">
        <v>241</v>
      </c>
      <c r="C775" s="116" t="s">
        <v>242</v>
      </c>
    </row>
    <row r="776" spans="1:4" ht="23.4" thickBot="1" x14ac:dyDescent="0.3">
      <c r="A776" s="426"/>
      <c r="B776" s="98" t="s">
        <v>243</v>
      </c>
      <c r="C776" s="119" t="s">
        <v>244</v>
      </c>
    </row>
    <row r="779" spans="1:4" ht="13.8" x14ac:dyDescent="0.3">
      <c r="A779" t="s">
        <v>341</v>
      </c>
    </row>
    <row r="781" spans="1:4" ht="13.8" thickBot="1" x14ac:dyDescent="0.3">
      <c r="A781" s="406" t="s">
        <v>112</v>
      </c>
      <c r="B781" s="406"/>
      <c r="C781" s="406"/>
      <c r="D781" s="406"/>
    </row>
    <row r="782" spans="1:4" ht="13.8" thickBot="1" x14ac:dyDescent="0.3">
      <c r="A782" s="109" t="s">
        <v>246</v>
      </c>
      <c r="B782" s="82" t="s">
        <v>247</v>
      </c>
      <c r="C782" s="110" t="s">
        <v>248</v>
      </c>
      <c r="D782" s="112" t="s">
        <v>249</v>
      </c>
    </row>
    <row r="783" spans="1:4" ht="36.6" thickBot="1" x14ac:dyDescent="0.3">
      <c r="A783" s="85">
        <v>1</v>
      </c>
      <c r="B783" s="120" t="s">
        <v>342</v>
      </c>
      <c r="C783" s="87" t="s">
        <v>251</v>
      </c>
      <c r="D783" s="88" t="s">
        <v>252</v>
      </c>
    </row>
    <row r="784" spans="1:4" x14ac:dyDescent="0.25">
      <c r="A784" s="386" t="s">
        <v>343</v>
      </c>
      <c r="B784" s="386"/>
      <c r="C784" s="386"/>
      <c r="D784" s="386"/>
    </row>
    <row r="786" spans="1:7" ht="13.8" thickBot="1" x14ac:dyDescent="0.3">
      <c r="A786" s="406" t="s">
        <v>119</v>
      </c>
      <c r="B786" s="406"/>
      <c r="C786" s="406"/>
      <c r="D786" s="406"/>
      <c r="E786" s="406"/>
    </row>
    <row r="787" spans="1:7" ht="24" thickBot="1" x14ac:dyDescent="0.3">
      <c r="A787" s="109" t="s">
        <v>246</v>
      </c>
      <c r="B787" s="82" t="s">
        <v>254</v>
      </c>
      <c r="C787" s="110" t="s">
        <v>255</v>
      </c>
      <c r="D787" s="110" t="s">
        <v>256</v>
      </c>
      <c r="E787" s="112" t="s">
        <v>257</v>
      </c>
    </row>
    <row r="788" spans="1:7" ht="13.8" thickBot="1" x14ac:dyDescent="0.3">
      <c r="A788" s="85">
        <v>1</v>
      </c>
      <c r="B788" s="121" t="s">
        <v>344</v>
      </c>
      <c r="C788" s="133">
        <v>0.87865055147690996</v>
      </c>
      <c r="D788" s="133">
        <v>0.84157155331707689</v>
      </c>
      <c r="E788" s="134">
        <v>0.75826805899263727</v>
      </c>
    </row>
    <row r="789" spans="1:7" x14ac:dyDescent="0.25">
      <c r="A789" s="386" t="s">
        <v>345</v>
      </c>
      <c r="B789" s="386"/>
      <c r="C789" s="386"/>
      <c r="D789" s="386"/>
      <c r="E789" s="386"/>
    </row>
    <row r="790" spans="1:7" x14ac:dyDescent="0.25">
      <c r="C790" s="135"/>
      <c r="D790" s="135"/>
      <c r="E790" s="135"/>
    </row>
    <row r="791" spans="1:7" ht="14.4" thickBot="1" x14ac:dyDescent="0.3">
      <c r="A791" s="388" t="s">
        <v>124</v>
      </c>
      <c r="B791" s="388"/>
      <c r="C791" s="388"/>
      <c r="D791" s="388"/>
      <c r="E791" s="388"/>
      <c r="F791" s="388"/>
      <c r="G791" s="388"/>
    </row>
    <row r="792" spans="1:7" ht="13.8" thickBot="1" x14ac:dyDescent="0.3">
      <c r="A792" s="407" t="s">
        <v>246</v>
      </c>
      <c r="B792" s="408"/>
      <c r="C792" s="82" t="s">
        <v>260</v>
      </c>
      <c r="D792" s="110" t="s">
        <v>261</v>
      </c>
      <c r="E792" s="110" t="s">
        <v>262</v>
      </c>
      <c r="F792" s="110" t="s">
        <v>263</v>
      </c>
      <c r="G792" s="112" t="s">
        <v>264</v>
      </c>
    </row>
    <row r="793" spans="1:7" x14ac:dyDescent="0.25">
      <c r="A793" s="399">
        <v>1</v>
      </c>
      <c r="B793" s="90" t="s">
        <v>265</v>
      </c>
      <c r="C793" s="91">
        <v>149.87403656101338</v>
      </c>
      <c r="D793" s="92">
        <v>11</v>
      </c>
      <c r="E793" s="93">
        <v>13.62491241463758</v>
      </c>
      <c r="F793" s="93">
        <v>23.696717686097951</v>
      </c>
      <c r="G793" s="123" t="s">
        <v>266</v>
      </c>
    </row>
    <row r="794" spans="1:7" x14ac:dyDescent="0.25">
      <c r="A794" s="400"/>
      <c r="B794" s="94" t="s">
        <v>267</v>
      </c>
      <c r="C794" s="95">
        <v>20.69893617438462</v>
      </c>
      <c r="D794" s="96">
        <v>36</v>
      </c>
      <c r="E794" s="97">
        <v>0.57497044928846164</v>
      </c>
      <c r="F794" s="36"/>
      <c r="G794" s="37"/>
    </row>
    <row r="795" spans="1:7" ht="13.8" thickBot="1" x14ac:dyDescent="0.3">
      <c r="A795" s="401"/>
      <c r="B795" s="98" t="s">
        <v>268</v>
      </c>
      <c r="C795" s="99">
        <v>170.572972735398</v>
      </c>
      <c r="D795" s="100">
        <v>47</v>
      </c>
      <c r="E795" s="111"/>
      <c r="F795" s="111"/>
      <c r="G795" s="113"/>
    </row>
    <row r="796" spans="1:7" x14ac:dyDescent="0.25">
      <c r="A796" s="386" t="s">
        <v>345</v>
      </c>
      <c r="B796" s="386"/>
      <c r="C796" s="386"/>
      <c r="D796" s="386"/>
      <c r="E796" s="386"/>
      <c r="F796" s="386"/>
      <c r="G796" s="386"/>
    </row>
    <row r="797" spans="1:7" x14ac:dyDescent="0.25">
      <c r="A797" s="387" t="s">
        <v>346</v>
      </c>
      <c r="B797" s="387"/>
      <c r="C797" s="387"/>
      <c r="D797" s="387"/>
      <c r="E797" s="387"/>
      <c r="F797" s="387"/>
      <c r="G797" s="387"/>
    </row>
    <row r="799" spans="1:7" ht="14.4" thickBot="1" x14ac:dyDescent="0.3">
      <c r="A799" s="388" t="s">
        <v>135</v>
      </c>
      <c r="B799" s="388"/>
      <c r="C799" s="388"/>
      <c r="D799" s="388"/>
      <c r="E799" s="388"/>
      <c r="F799" s="388"/>
      <c r="G799" s="388"/>
    </row>
    <row r="800" spans="1:7" ht="23.4" x14ac:dyDescent="0.25">
      <c r="A800" s="389" t="s">
        <v>246</v>
      </c>
      <c r="B800" s="390"/>
      <c r="C800" s="393" t="s">
        <v>270</v>
      </c>
      <c r="D800" s="394"/>
      <c r="E800" s="101" t="s">
        <v>271</v>
      </c>
      <c r="F800" s="395" t="s">
        <v>272</v>
      </c>
      <c r="G800" s="397" t="s">
        <v>264</v>
      </c>
    </row>
    <row r="801" spans="1:7" ht="13.8" thickBot="1" x14ac:dyDescent="0.3">
      <c r="A801" s="391"/>
      <c r="B801" s="392"/>
      <c r="C801" s="102" t="s">
        <v>273</v>
      </c>
      <c r="D801" s="103" t="s">
        <v>274</v>
      </c>
      <c r="E801" s="103" t="s">
        <v>275</v>
      </c>
      <c r="F801" s="396"/>
      <c r="G801" s="398"/>
    </row>
    <row r="802" spans="1:7" x14ac:dyDescent="0.25">
      <c r="A802" s="399">
        <v>1</v>
      </c>
      <c r="B802" s="90" t="s">
        <v>276</v>
      </c>
      <c r="C802" s="91">
        <v>89.089758750104721</v>
      </c>
      <c r="D802" s="93">
        <v>63.37700422536394</v>
      </c>
      <c r="E802" s="45"/>
      <c r="F802" s="93">
        <v>1.4057111067179529</v>
      </c>
      <c r="G802" s="104">
        <v>0.16838226193876271</v>
      </c>
    </row>
    <row r="803" spans="1:7" x14ac:dyDescent="0.25">
      <c r="A803" s="400"/>
      <c r="B803" s="94" t="s">
        <v>277</v>
      </c>
      <c r="C803" s="95">
        <v>-13.366160275329054</v>
      </c>
      <c r="D803" s="97">
        <v>11.193027948457761</v>
      </c>
      <c r="E803" s="97">
        <v>-2.0309356521683104</v>
      </c>
      <c r="F803" s="97">
        <v>-1.1941505316415046</v>
      </c>
      <c r="G803" s="105">
        <v>0.24022833419302175</v>
      </c>
    </row>
    <row r="804" spans="1:7" x14ac:dyDescent="0.25">
      <c r="A804" s="400"/>
      <c r="B804" s="94" t="s">
        <v>278</v>
      </c>
      <c r="C804" s="95">
        <v>1.7325181639616656</v>
      </c>
      <c r="D804" s="97">
        <v>4.9034537963670264</v>
      </c>
      <c r="E804" s="97">
        <v>0.11634369898658307</v>
      </c>
      <c r="F804" s="97">
        <v>0.35332609134510251</v>
      </c>
      <c r="G804" s="105">
        <v>0.72590470860579426</v>
      </c>
    </row>
    <row r="805" spans="1:7" x14ac:dyDescent="0.25">
      <c r="A805" s="400"/>
      <c r="B805" s="94" t="s">
        <v>279</v>
      </c>
      <c r="C805" s="95">
        <v>-8.4909675883517135</v>
      </c>
      <c r="D805" s="97">
        <v>8.1575978959061217</v>
      </c>
      <c r="E805" s="97">
        <v>-1.6001096651550129</v>
      </c>
      <c r="F805" s="97">
        <v>-1.0408661589722255</v>
      </c>
      <c r="G805" s="105">
        <v>0.30487787360947916</v>
      </c>
    </row>
    <row r="806" spans="1:7" x14ac:dyDescent="0.25">
      <c r="A806" s="400"/>
      <c r="B806" s="94" t="s">
        <v>280</v>
      </c>
      <c r="C806" s="95">
        <v>-7.9027046017317852</v>
      </c>
      <c r="D806" s="97">
        <v>8.3267672014090088</v>
      </c>
      <c r="E806" s="97">
        <v>-1.2556288225960832</v>
      </c>
      <c r="F806" s="97">
        <v>-0.94907236032665043</v>
      </c>
      <c r="G806" s="105">
        <v>0.34891190865416211</v>
      </c>
    </row>
    <row r="807" spans="1:7" x14ac:dyDescent="0.25">
      <c r="A807" s="400"/>
      <c r="B807" s="94" t="s">
        <v>347</v>
      </c>
      <c r="C807" s="95">
        <v>38.519462034537938</v>
      </c>
      <c r="D807" s="97">
        <v>58.045897345666681</v>
      </c>
      <c r="E807" s="97">
        <v>0.2645958313101931</v>
      </c>
      <c r="F807" s="97">
        <v>0.66360352403809542</v>
      </c>
      <c r="G807" s="105">
        <v>0.51117171513574466</v>
      </c>
    </row>
    <row r="808" spans="1:7" x14ac:dyDescent="0.25">
      <c r="A808" s="400"/>
      <c r="B808" s="94" t="s">
        <v>282</v>
      </c>
      <c r="C808" s="95">
        <v>-3.4813427300817672</v>
      </c>
      <c r="D808" s="97">
        <v>4.3595233805979934</v>
      </c>
      <c r="E808" s="97">
        <v>-0.146317078771347</v>
      </c>
      <c r="F808" s="97">
        <v>-0.79856039895907915</v>
      </c>
      <c r="G808" s="105">
        <v>0.42978228392148154</v>
      </c>
    </row>
    <row r="809" spans="1:7" x14ac:dyDescent="0.25">
      <c r="A809" s="400"/>
      <c r="B809" s="94" t="s">
        <v>283</v>
      </c>
      <c r="C809" s="95">
        <v>16.747335855657024</v>
      </c>
      <c r="D809" s="97">
        <v>23.542025087147945</v>
      </c>
      <c r="E809" s="97">
        <v>1.1185234871158651</v>
      </c>
      <c r="F809" s="97">
        <v>0.71138042686054759</v>
      </c>
      <c r="G809" s="105">
        <v>0.48143289752348173</v>
      </c>
    </row>
    <row r="810" spans="1:7" x14ac:dyDescent="0.25">
      <c r="A810" s="400"/>
      <c r="B810" s="94" t="s">
        <v>284</v>
      </c>
      <c r="C810" s="95">
        <v>-13.573317262435618</v>
      </c>
      <c r="D810" s="97">
        <v>16.609377795910401</v>
      </c>
      <c r="E810" s="97">
        <v>-0.42966370807590498</v>
      </c>
      <c r="F810" s="97">
        <v>-0.8172080513321619</v>
      </c>
      <c r="G810" s="105">
        <v>0.41918517065751826</v>
      </c>
    </row>
    <row r="811" spans="1:7" x14ac:dyDescent="0.25">
      <c r="A811" s="400"/>
      <c r="B811" s="94" t="s">
        <v>348</v>
      </c>
      <c r="C811" s="95">
        <v>1.420836825623991E-3</v>
      </c>
      <c r="D811" s="97">
        <v>1.3044243459347457E-3</v>
      </c>
      <c r="E811" s="97">
        <v>0.4095404613742703</v>
      </c>
      <c r="F811" s="97">
        <v>1.0892443322236711</v>
      </c>
      <c r="G811" s="105">
        <v>0.28328417126064986</v>
      </c>
    </row>
    <row r="812" spans="1:7" x14ac:dyDescent="0.25">
      <c r="A812" s="400"/>
      <c r="B812" s="94" t="s">
        <v>349</v>
      </c>
      <c r="C812" s="95">
        <v>0.43877559661382298</v>
      </c>
      <c r="D812" s="97">
        <v>0.32538316307682569</v>
      </c>
      <c r="E812" s="97">
        <v>0.60760539709236927</v>
      </c>
      <c r="F812" s="97">
        <v>1.3484889398233073</v>
      </c>
      <c r="G812" s="105">
        <v>0.1859241762588954</v>
      </c>
    </row>
    <row r="813" spans="1:7" ht="13.8" thickBot="1" x14ac:dyDescent="0.3">
      <c r="A813" s="401"/>
      <c r="B813" s="98" t="s">
        <v>350</v>
      </c>
      <c r="C813" s="99">
        <v>-1.6489709980485459</v>
      </c>
      <c r="D813" s="106">
        <v>2.5768915439145488</v>
      </c>
      <c r="E813" s="106">
        <v>-1.5037177546864462</v>
      </c>
      <c r="F813" s="106">
        <v>-0.63990702361636786</v>
      </c>
      <c r="G813" s="107">
        <v>0.52628486310046174</v>
      </c>
    </row>
    <row r="814" spans="1:7" x14ac:dyDescent="0.25">
      <c r="A814" s="386" t="s">
        <v>351</v>
      </c>
      <c r="B814" s="386"/>
      <c r="C814" s="386"/>
      <c r="D814" s="386"/>
      <c r="E814" s="386"/>
      <c r="F814" s="386"/>
      <c r="G814" s="386"/>
    </row>
    <row r="816" spans="1:7" ht="14.4" thickBot="1" x14ac:dyDescent="0.3">
      <c r="A816" s="388" t="s">
        <v>287</v>
      </c>
      <c r="B816" s="388"/>
      <c r="C816" s="388"/>
      <c r="D816" s="388"/>
      <c r="E816" s="388"/>
      <c r="F816" s="388"/>
      <c r="G816" s="388"/>
    </row>
    <row r="817" spans="1:7" ht="23.4" x14ac:dyDescent="0.25">
      <c r="A817" s="389" t="s">
        <v>246</v>
      </c>
      <c r="B817" s="390"/>
      <c r="C817" s="430" t="s">
        <v>288</v>
      </c>
      <c r="D817" s="395" t="s">
        <v>272</v>
      </c>
      <c r="E817" s="395" t="s">
        <v>264</v>
      </c>
      <c r="F817" s="395" t="s">
        <v>289</v>
      </c>
      <c r="G817" s="130" t="s">
        <v>290</v>
      </c>
    </row>
    <row r="818" spans="1:7" ht="13.8" thickBot="1" x14ac:dyDescent="0.3">
      <c r="A818" s="391"/>
      <c r="B818" s="392"/>
      <c r="C818" s="431"/>
      <c r="D818" s="396"/>
      <c r="E818" s="396"/>
      <c r="F818" s="396"/>
      <c r="G818" s="131" t="s">
        <v>291</v>
      </c>
    </row>
    <row r="819" spans="1:7" x14ac:dyDescent="0.25">
      <c r="A819" s="399">
        <v>1</v>
      </c>
      <c r="B819" s="90" t="s">
        <v>281</v>
      </c>
      <c r="C819" s="136" t="s">
        <v>352</v>
      </c>
      <c r="D819" s="93">
        <v>-1.0445601611577755</v>
      </c>
      <c r="E819" s="93">
        <v>0.30338739223040706</v>
      </c>
      <c r="F819" s="93">
        <v>-0.17387348663481181</v>
      </c>
      <c r="G819" s="104">
        <v>3.358925954282463E-5</v>
      </c>
    </row>
    <row r="820" spans="1:7" ht="13.8" thickBot="1" x14ac:dyDescent="0.3">
      <c r="A820" s="401"/>
      <c r="B820" s="98" t="s">
        <v>292</v>
      </c>
      <c r="C820" s="137" t="s">
        <v>353</v>
      </c>
      <c r="D820" s="106">
        <v>-1.0445601608724142</v>
      </c>
      <c r="E820" s="106">
        <v>0.30338739236050055</v>
      </c>
      <c r="F820" s="106">
        <v>-0.17387348658874768</v>
      </c>
      <c r="G820" s="107">
        <v>1.0672599119681001E-6</v>
      </c>
    </row>
    <row r="821" spans="1:7" x14ac:dyDescent="0.25">
      <c r="A821" s="386" t="s">
        <v>354</v>
      </c>
      <c r="B821" s="386"/>
      <c r="C821" s="386"/>
      <c r="D821" s="386"/>
      <c r="E821" s="386"/>
      <c r="F821" s="386"/>
      <c r="G821" s="386"/>
    </row>
    <row r="822" spans="1:7" x14ac:dyDescent="0.25">
      <c r="A822" s="387" t="s">
        <v>346</v>
      </c>
      <c r="B822" s="387"/>
      <c r="C822" s="387"/>
      <c r="D822" s="387"/>
      <c r="E822" s="387"/>
      <c r="F822" s="387"/>
      <c r="G822" s="387"/>
    </row>
    <row r="824" spans="1:7" ht="13.8" x14ac:dyDescent="0.3">
      <c r="A824" t="s">
        <v>355</v>
      </c>
    </row>
    <row r="826" spans="1:7" ht="13.8" thickBot="1" x14ac:dyDescent="0.3">
      <c r="A826" s="374" t="s">
        <v>112</v>
      </c>
      <c r="B826" s="409"/>
      <c r="C826" s="409"/>
      <c r="D826" s="409"/>
    </row>
    <row r="827" spans="1:7" ht="13.8" thickBot="1" x14ac:dyDescent="0.3">
      <c r="A827" s="109" t="s">
        <v>246</v>
      </c>
      <c r="B827" s="82" t="s">
        <v>247</v>
      </c>
      <c r="C827" s="110" t="s">
        <v>248</v>
      </c>
      <c r="D827" s="112" t="s">
        <v>249</v>
      </c>
    </row>
    <row r="828" spans="1:7" ht="25.2" thickBot="1" x14ac:dyDescent="0.3">
      <c r="A828" s="85">
        <v>1</v>
      </c>
      <c r="B828" s="120" t="s">
        <v>356</v>
      </c>
      <c r="C828" s="87" t="s">
        <v>251</v>
      </c>
      <c r="D828" s="88" t="s">
        <v>252</v>
      </c>
    </row>
    <row r="829" spans="1:7" x14ac:dyDescent="0.25">
      <c r="A829" s="387" t="s">
        <v>253</v>
      </c>
      <c r="B829" s="409"/>
      <c r="C829" s="409"/>
      <c r="D829" s="409"/>
    </row>
    <row r="831" spans="1:7" ht="13.8" thickBot="1" x14ac:dyDescent="0.3">
      <c r="A831" s="374" t="s">
        <v>119</v>
      </c>
      <c r="B831" s="409"/>
      <c r="C831" s="409"/>
      <c r="D831" s="409"/>
      <c r="E831" s="409"/>
    </row>
    <row r="832" spans="1:7" ht="24" thickBot="1" x14ac:dyDescent="0.3">
      <c r="A832" s="109" t="s">
        <v>246</v>
      </c>
      <c r="B832" s="82" t="s">
        <v>254</v>
      </c>
      <c r="C832" s="110" t="s">
        <v>255</v>
      </c>
      <c r="D832" s="110" t="s">
        <v>256</v>
      </c>
      <c r="E832" s="112" t="s">
        <v>257</v>
      </c>
    </row>
    <row r="833" spans="1:7" ht="13.8" thickBot="1" x14ac:dyDescent="0.3">
      <c r="A833" s="85">
        <v>1</v>
      </c>
      <c r="B833" s="121" t="s">
        <v>357</v>
      </c>
      <c r="C833" s="89">
        <v>0.93214044962100706</v>
      </c>
      <c r="D833" s="89">
        <v>0.91759911739693711</v>
      </c>
      <c r="E833" s="122">
        <v>0.28976390546443431</v>
      </c>
    </row>
    <row r="834" spans="1:7" x14ac:dyDescent="0.25">
      <c r="A834" s="387" t="s">
        <v>358</v>
      </c>
      <c r="B834" s="409"/>
      <c r="C834" s="409"/>
      <c r="D834" s="409"/>
      <c r="E834" s="409"/>
    </row>
    <row r="836" spans="1:7" ht="14.4" thickBot="1" x14ac:dyDescent="0.3">
      <c r="A836" s="410" t="s">
        <v>124</v>
      </c>
      <c r="B836" s="405"/>
      <c r="C836" s="405"/>
      <c r="D836" s="405"/>
      <c r="E836" s="405"/>
      <c r="F836" s="405"/>
      <c r="G836" s="405"/>
    </row>
    <row r="837" spans="1:7" ht="14.4" thickBot="1" x14ac:dyDescent="0.3">
      <c r="A837" s="411" t="s">
        <v>246</v>
      </c>
      <c r="B837" s="412"/>
      <c r="C837" s="82" t="s">
        <v>260</v>
      </c>
      <c r="D837" s="110" t="s">
        <v>261</v>
      </c>
      <c r="E837" s="110" t="s">
        <v>262</v>
      </c>
      <c r="F837" s="110" t="s">
        <v>263</v>
      </c>
      <c r="G837" s="112" t="s">
        <v>264</v>
      </c>
    </row>
    <row r="838" spans="1:7" ht="13.8" thickBot="1" x14ac:dyDescent="0.3">
      <c r="A838" s="402">
        <v>1</v>
      </c>
      <c r="B838" s="90" t="s">
        <v>265</v>
      </c>
      <c r="C838" s="91">
        <v>48.440457905481956</v>
      </c>
      <c r="D838" s="92">
        <v>9</v>
      </c>
      <c r="E838" s="93">
        <v>5.3822731006091065</v>
      </c>
      <c r="F838" s="93">
        <v>64.102823266637031</v>
      </c>
      <c r="G838" s="123" t="s">
        <v>266</v>
      </c>
    </row>
    <row r="839" spans="1:7" x14ac:dyDescent="0.25">
      <c r="A839" s="403"/>
      <c r="B839" s="94" t="s">
        <v>267</v>
      </c>
      <c r="C839" s="95">
        <v>3.5264510782200684</v>
      </c>
      <c r="D839" s="96">
        <v>42</v>
      </c>
      <c r="E839" s="97">
        <v>8.3963120910001632E-2</v>
      </c>
      <c r="F839" s="36"/>
      <c r="G839" s="37"/>
    </row>
    <row r="840" spans="1:7" ht="13.8" thickBot="1" x14ac:dyDescent="0.3">
      <c r="A840" s="404"/>
      <c r="B840" s="98" t="s">
        <v>268</v>
      </c>
      <c r="C840" s="99">
        <v>51.966908983702027</v>
      </c>
      <c r="D840" s="100">
        <v>51</v>
      </c>
      <c r="E840" s="111"/>
      <c r="F840" s="111"/>
      <c r="G840" s="113"/>
    </row>
    <row r="841" spans="1:7" ht="13.8" x14ac:dyDescent="0.25">
      <c r="A841" s="387" t="s">
        <v>358</v>
      </c>
      <c r="B841" s="405"/>
      <c r="C841" s="405"/>
      <c r="D841" s="405"/>
      <c r="E841" s="405"/>
      <c r="F841" s="405"/>
      <c r="G841" s="405"/>
    </row>
    <row r="842" spans="1:7" ht="13.8" x14ac:dyDescent="0.25">
      <c r="A842" s="387" t="s">
        <v>346</v>
      </c>
      <c r="B842" s="405"/>
      <c r="C842" s="405"/>
      <c r="D842" s="405"/>
      <c r="E842" s="405"/>
      <c r="F842" s="405"/>
      <c r="G842" s="405"/>
    </row>
    <row r="844" spans="1:7" ht="14.4" thickBot="1" x14ac:dyDescent="0.3">
      <c r="A844" s="410" t="s">
        <v>135</v>
      </c>
      <c r="B844" s="405"/>
      <c r="C844" s="405"/>
      <c r="D844" s="405"/>
      <c r="E844" s="405"/>
      <c r="F844" s="405"/>
      <c r="G844" s="405"/>
    </row>
    <row r="845" spans="1:7" ht="24" thickBot="1" x14ac:dyDescent="0.3">
      <c r="A845" s="411" t="s">
        <v>246</v>
      </c>
      <c r="B845" s="413"/>
      <c r="C845" s="415" t="s">
        <v>270</v>
      </c>
      <c r="D845" s="416"/>
      <c r="E845" s="101" t="s">
        <v>271</v>
      </c>
      <c r="F845" s="417" t="s">
        <v>272</v>
      </c>
      <c r="G845" s="419" t="s">
        <v>264</v>
      </c>
    </row>
    <row r="846" spans="1:7" ht="13.8" thickBot="1" x14ac:dyDescent="0.3">
      <c r="A846" s="404"/>
      <c r="B846" s="414"/>
      <c r="C846" s="102" t="s">
        <v>273</v>
      </c>
      <c r="D846" s="103" t="s">
        <v>274</v>
      </c>
      <c r="E846" s="103" t="s">
        <v>275</v>
      </c>
      <c r="F846" s="418"/>
      <c r="G846" s="420"/>
    </row>
    <row r="847" spans="1:7" ht="13.8" thickBot="1" x14ac:dyDescent="0.3">
      <c r="A847" s="402">
        <v>1</v>
      </c>
      <c r="B847" s="90" t="s">
        <v>276</v>
      </c>
      <c r="C847" s="91">
        <v>73.817667459188243</v>
      </c>
      <c r="D847" s="93">
        <v>46.970789503390385</v>
      </c>
      <c r="E847" s="45"/>
      <c r="F847" s="93">
        <v>1.571565397125378</v>
      </c>
      <c r="G847" s="104">
        <v>0.12355534807574657</v>
      </c>
    </row>
    <row r="848" spans="1:7" x14ac:dyDescent="0.25">
      <c r="A848" s="403"/>
      <c r="B848" s="94" t="s">
        <v>277</v>
      </c>
      <c r="C848" s="95">
        <v>-6.2053410523182535</v>
      </c>
      <c r="D848" s="97">
        <v>3.586106046924058</v>
      </c>
      <c r="E848" s="97">
        <v>-2.0080555199732095</v>
      </c>
      <c r="F848" s="97">
        <v>-1.7303841467936552</v>
      </c>
      <c r="G848" s="105">
        <v>9.0904267774020497E-2</v>
      </c>
    </row>
    <row r="849" spans="1:7" x14ac:dyDescent="0.25">
      <c r="A849" s="403"/>
      <c r="B849" s="94" t="s">
        <v>278</v>
      </c>
      <c r="C849" s="95">
        <v>-0.31958059767299224</v>
      </c>
      <c r="D849" s="97">
        <v>3.6981807342078294</v>
      </c>
      <c r="E849" s="97">
        <v>-3.6988183211229216E-2</v>
      </c>
      <c r="F849" s="97">
        <v>-8.6415624503394683E-2</v>
      </c>
      <c r="G849" s="105">
        <v>0.93154669728396766</v>
      </c>
    </row>
    <row r="850" spans="1:7" x14ac:dyDescent="0.25">
      <c r="A850" s="403"/>
      <c r="B850" s="94" t="s">
        <v>279</v>
      </c>
      <c r="C850" s="95">
        <v>-3.9985899041448238</v>
      </c>
      <c r="D850" s="97">
        <v>3.4812082884489048</v>
      </c>
      <c r="E850" s="97">
        <v>-1.5729619114192979</v>
      </c>
      <c r="F850" s="97">
        <v>-1.1486212753809237</v>
      </c>
      <c r="G850" s="105">
        <v>0.25721197751346914</v>
      </c>
    </row>
    <row r="851" spans="1:7" x14ac:dyDescent="0.25">
      <c r="A851" s="403"/>
      <c r="B851" s="94" t="s">
        <v>280</v>
      </c>
      <c r="C851" s="95">
        <v>-6.2767446973021084</v>
      </c>
      <c r="D851" s="97">
        <v>3.6962592154491354</v>
      </c>
      <c r="E851" s="97">
        <v>-1.5673876362589407</v>
      </c>
      <c r="F851" s="97">
        <v>-1.6981343383784884</v>
      </c>
      <c r="G851" s="105">
        <v>9.6880664207242104E-2</v>
      </c>
    </row>
    <row r="852" spans="1:7" x14ac:dyDescent="0.25">
      <c r="A852" s="403"/>
      <c r="B852" s="94" t="s">
        <v>281</v>
      </c>
      <c r="C852" s="95">
        <v>-5.3359080776535821</v>
      </c>
      <c r="D852" s="97">
        <v>3.6477658498545735</v>
      </c>
      <c r="E852" s="97">
        <v>-1.6494794029517856</v>
      </c>
      <c r="F852" s="97">
        <v>-1.4627879905905448</v>
      </c>
      <c r="G852" s="105">
        <v>0.15096898770957309</v>
      </c>
    </row>
    <row r="853" spans="1:7" x14ac:dyDescent="0.25">
      <c r="A853" s="403"/>
      <c r="B853" s="94" t="s">
        <v>282</v>
      </c>
      <c r="C853" s="95">
        <v>1.1255798757974211</v>
      </c>
      <c r="D853" s="97">
        <v>0.68669050521904029</v>
      </c>
      <c r="E853" s="97">
        <v>0.10931275052277516</v>
      </c>
      <c r="F853" s="97">
        <v>1.6391370890418588</v>
      </c>
      <c r="G853" s="105">
        <v>0.10865513813707602</v>
      </c>
    </row>
    <row r="854" spans="1:7" x14ac:dyDescent="0.25">
      <c r="A854" s="403"/>
      <c r="B854" s="94" t="s">
        <v>283</v>
      </c>
      <c r="C854" s="95">
        <v>-2.8936139756356214</v>
      </c>
      <c r="D854" s="97">
        <v>1.0496050397969543</v>
      </c>
      <c r="E854" s="97">
        <v>-0.36261140608016162</v>
      </c>
      <c r="F854" s="97">
        <v>-2.7568598338622592</v>
      </c>
      <c r="G854" s="105">
        <v>8.5992813991886807E-3</v>
      </c>
    </row>
    <row r="855" spans="1:7" x14ac:dyDescent="0.25">
      <c r="A855" s="403"/>
      <c r="B855" s="94" t="s">
        <v>284</v>
      </c>
      <c r="C855" s="95">
        <v>-5.5057506170550878</v>
      </c>
      <c r="D855" s="97">
        <v>1.8030555297935393</v>
      </c>
      <c r="E855" s="97">
        <v>-0.23325461457937655</v>
      </c>
      <c r="F855" s="97">
        <v>-3.0535668625167243</v>
      </c>
      <c r="G855" s="105">
        <v>3.9150876975876485E-3</v>
      </c>
    </row>
    <row r="856" spans="1:7" ht="13.8" thickBot="1" x14ac:dyDescent="0.3">
      <c r="A856" s="404"/>
      <c r="B856" s="98" t="s">
        <v>359</v>
      </c>
      <c r="C856" s="99">
        <v>8.6765494300936094E-62</v>
      </c>
      <c r="D856" s="106">
        <v>1.0342344816707267E-62</v>
      </c>
      <c r="E856" s="106">
        <v>0.38016921737716036</v>
      </c>
      <c r="F856" s="106">
        <v>8.3893445672757956</v>
      </c>
      <c r="G856" s="107">
        <v>1.6118097996495303E-10</v>
      </c>
    </row>
    <row r="857" spans="1:7" ht="13.8" x14ac:dyDescent="0.25">
      <c r="A857" s="387" t="s">
        <v>351</v>
      </c>
      <c r="B857" s="405"/>
      <c r="C857" s="405"/>
      <c r="D857" s="405"/>
      <c r="E857" s="405"/>
      <c r="F857" s="405"/>
      <c r="G857" s="405"/>
    </row>
    <row r="861" spans="1:7" ht="14.4" thickBot="1" x14ac:dyDescent="0.3">
      <c r="A861" s="410" t="s">
        <v>287</v>
      </c>
      <c r="B861" s="405"/>
      <c r="C861" s="405"/>
      <c r="D861" s="405"/>
      <c r="E861" s="405"/>
      <c r="F861" s="405"/>
      <c r="G861" s="405"/>
    </row>
    <row r="862" spans="1:7" ht="24" thickBot="1" x14ac:dyDescent="0.3">
      <c r="A862" s="411" t="s">
        <v>246</v>
      </c>
      <c r="B862" s="413"/>
      <c r="C862" s="427" t="s">
        <v>288</v>
      </c>
      <c r="D862" s="417" t="s">
        <v>272</v>
      </c>
      <c r="E862" s="417" t="s">
        <v>264</v>
      </c>
      <c r="F862" s="417" t="s">
        <v>289</v>
      </c>
      <c r="G862" s="130" t="s">
        <v>290</v>
      </c>
    </row>
    <row r="863" spans="1:7" ht="13.8" thickBot="1" x14ac:dyDescent="0.3">
      <c r="A863" s="404"/>
      <c r="B863" s="414"/>
      <c r="C863" s="428"/>
      <c r="D863" s="418"/>
      <c r="E863" s="418"/>
      <c r="F863" s="418"/>
      <c r="G863" s="131" t="s">
        <v>291</v>
      </c>
    </row>
    <row r="864" spans="1:7" ht="13.8" thickBot="1" x14ac:dyDescent="0.3">
      <c r="A864" s="114">
        <v>1</v>
      </c>
      <c r="B864" s="132" t="s">
        <v>292</v>
      </c>
      <c r="C864" s="120" t="s">
        <v>293</v>
      </c>
      <c r="D864" s="87" t="s">
        <v>251</v>
      </c>
      <c r="E864" s="87" t="s">
        <v>251</v>
      </c>
      <c r="F864" s="87" t="s">
        <v>251</v>
      </c>
      <c r="G864" s="108">
        <v>0</v>
      </c>
    </row>
    <row r="865" spans="1:7" ht="13.8" x14ac:dyDescent="0.25">
      <c r="A865" s="387" t="s">
        <v>316</v>
      </c>
      <c r="B865" s="405"/>
      <c r="C865" s="405"/>
      <c r="D865" s="405"/>
      <c r="E865" s="405"/>
      <c r="F865" s="405"/>
      <c r="G865" s="405"/>
    </row>
    <row r="866" spans="1:7" ht="13.8" x14ac:dyDescent="0.25">
      <c r="A866" s="387" t="s">
        <v>346</v>
      </c>
      <c r="B866" s="405"/>
      <c r="C866" s="405"/>
      <c r="D866" s="405"/>
      <c r="E866" s="405"/>
      <c r="F866" s="405"/>
      <c r="G866" s="405"/>
    </row>
    <row r="868" spans="1:7" ht="13.8" thickBot="1" x14ac:dyDescent="0.3">
      <c r="A868" s="406" t="s">
        <v>87</v>
      </c>
      <c r="B868" s="429"/>
      <c r="C868" s="429"/>
    </row>
    <row r="869" spans="1:7" x14ac:dyDescent="0.25">
      <c r="A869" s="421" t="s">
        <v>217</v>
      </c>
      <c r="B869" s="422"/>
      <c r="C869" s="115" t="s">
        <v>360</v>
      </c>
    </row>
    <row r="870" spans="1:7" x14ac:dyDescent="0.25">
      <c r="A870" s="423" t="s">
        <v>219</v>
      </c>
      <c r="B870" s="424"/>
      <c r="C870" s="116" t="s">
        <v>220</v>
      </c>
    </row>
    <row r="871" spans="1:7" x14ac:dyDescent="0.25">
      <c r="A871" s="400" t="s">
        <v>221</v>
      </c>
      <c r="B871" s="94" t="s">
        <v>222</v>
      </c>
      <c r="C871" s="116" t="s">
        <v>223</v>
      </c>
    </row>
    <row r="872" spans="1:7" x14ac:dyDescent="0.25">
      <c r="A872" s="425"/>
      <c r="B872" s="94" t="s">
        <v>224</v>
      </c>
      <c r="C872" s="116" t="s">
        <v>225</v>
      </c>
    </row>
    <row r="873" spans="1:7" x14ac:dyDescent="0.25">
      <c r="A873" s="425"/>
      <c r="B873" s="94" t="s">
        <v>226</v>
      </c>
      <c r="C873" s="116" t="s">
        <v>225</v>
      </c>
    </row>
    <row r="874" spans="1:7" x14ac:dyDescent="0.25">
      <c r="A874" s="425"/>
      <c r="B874" s="94" t="s">
        <v>227</v>
      </c>
      <c r="C874" s="116" t="s">
        <v>225</v>
      </c>
    </row>
    <row r="875" spans="1:7" ht="22.8" x14ac:dyDescent="0.25">
      <c r="A875" s="425"/>
      <c r="B875" s="94" t="s">
        <v>228</v>
      </c>
      <c r="C875" s="117">
        <v>48</v>
      </c>
    </row>
    <row r="876" spans="1:7" ht="22.8" x14ac:dyDescent="0.25">
      <c r="A876" s="400" t="s">
        <v>229</v>
      </c>
      <c r="B876" s="94" t="s">
        <v>230</v>
      </c>
      <c r="C876" s="116" t="s">
        <v>231</v>
      </c>
    </row>
    <row r="877" spans="1:7" ht="22.8" x14ac:dyDescent="0.25">
      <c r="A877" s="425"/>
      <c r="B877" s="94" t="s">
        <v>232</v>
      </c>
      <c r="C877" s="116" t="s">
        <v>233</v>
      </c>
    </row>
    <row r="878" spans="1:7" ht="102.6" x14ac:dyDescent="0.25">
      <c r="A878" s="423" t="s">
        <v>234</v>
      </c>
      <c r="B878" s="424"/>
      <c r="C878" s="116" t="s">
        <v>361</v>
      </c>
    </row>
    <row r="879" spans="1:7" ht="13.8" thickBot="1" x14ac:dyDescent="0.3">
      <c r="A879" s="401" t="s">
        <v>236</v>
      </c>
      <c r="B879" s="94" t="s">
        <v>237</v>
      </c>
      <c r="C879" s="118" t="s">
        <v>307</v>
      </c>
    </row>
    <row r="880" spans="1:7" x14ac:dyDescent="0.25">
      <c r="A880" s="425"/>
      <c r="B880" s="94" t="s">
        <v>239</v>
      </c>
      <c r="C880" s="118" t="s">
        <v>362</v>
      </c>
    </row>
    <row r="881" spans="1:5" x14ac:dyDescent="0.25">
      <c r="A881" s="425"/>
      <c r="B881" s="94" t="s">
        <v>241</v>
      </c>
      <c r="C881" s="116" t="s">
        <v>242</v>
      </c>
    </row>
    <row r="882" spans="1:5" ht="23.4" thickBot="1" x14ac:dyDescent="0.3">
      <c r="A882" s="426"/>
      <c r="B882" s="98" t="s">
        <v>243</v>
      </c>
      <c r="C882" s="119" t="s">
        <v>244</v>
      </c>
    </row>
    <row r="885" spans="1:5" ht="13.8" x14ac:dyDescent="0.3">
      <c r="A885" t="s">
        <v>309</v>
      </c>
    </row>
    <row r="887" spans="1:5" ht="13.8" thickBot="1" x14ac:dyDescent="0.3">
      <c r="A887" s="374" t="s">
        <v>112</v>
      </c>
      <c r="B887" s="409"/>
      <c r="C887" s="409"/>
      <c r="D887" s="409"/>
    </row>
    <row r="888" spans="1:5" ht="13.8" thickBot="1" x14ac:dyDescent="0.3">
      <c r="A888" s="109" t="s">
        <v>246</v>
      </c>
      <c r="B888" s="82" t="s">
        <v>247</v>
      </c>
      <c r="C888" s="110" t="s">
        <v>248</v>
      </c>
      <c r="D888" s="112" t="s">
        <v>249</v>
      </c>
    </row>
    <row r="889" spans="1:5" ht="25.2" thickBot="1" x14ac:dyDescent="0.3">
      <c r="A889" s="85">
        <v>1</v>
      </c>
      <c r="B889" s="120" t="s">
        <v>363</v>
      </c>
      <c r="C889" s="87" t="s">
        <v>251</v>
      </c>
      <c r="D889" s="88" t="s">
        <v>252</v>
      </c>
    </row>
    <row r="890" spans="1:5" x14ac:dyDescent="0.25">
      <c r="A890" s="387" t="s">
        <v>253</v>
      </c>
      <c r="B890" s="409"/>
      <c r="C890" s="409"/>
      <c r="D890" s="409"/>
    </row>
    <row r="892" spans="1:5" ht="13.8" thickBot="1" x14ac:dyDescent="0.3">
      <c r="A892" s="374" t="s">
        <v>119</v>
      </c>
      <c r="B892" s="409"/>
      <c r="C892" s="409"/>
      <c r="D892" s="409"/>
      <c r="E892" s="409"/>
    </row>
    <row r="893" spans="1:5" ht="24" thickBot="1" x14ac:dyDescent="0.3">
      <c r="A893" s="109" t="s">
        <v>246</v>
      </c>
      <c r="B893" s="82" t="s">
        <v>254</v>
      </c>
      <c r="C893" s="110" t="s">
        <v>255</v>
      </c>
      <c r="D893" s="110" t="s">
        <v>256</v>
      </c>
      <c r="E893" s="112" t="s">
        <v>257</v>
      </c>
    </row>
    <row r="894" spans="1:5" ht="13.8" thickBot="1" x14ac:dyDescent="0.3">
      <c r="A894" s="85">
        <v>1</v>
      </c>
      <c r="B894" s="121" t="s">
        <v>364</v>
      </c>
      <c r="C894" s="89">
        <v>0.93539756090267989</v>
      </c>
      <c r="D894" s="89">
        <v>0.92155418109611131</v>
      </c>
      <c r="E894" s="122">
        <v>0.64177975465333881</v>
      </c>
    </row>
    <row r="895" spans="1:5" x14ac:dyDescent="0.25">
      <c r="A895" s="387" t="s">
        <v>365</v>
      </c>
      <c r="B895" s="409"/>
      <c r="C895" s="409"/>
      <c r="D895" s="409"/>
      <c r="E895" s="409"/>
    </row>
    <row r="897" spans="1:7" ht="14.4" thickBot="1" x14ac:dyDescent="0.3">
      <c r="A897" s="410" t="s">
        <v>124</v>
      </c>
      <c r="B897" s="405"/>
      <c r="C897" s="405"/>
      <c r="D897" s="405"/>
      <c r="E897" s="405"/>
      <c r="F897" s="405"/>
      <c r="G897" s="405"/>
    </row>
    <row r="898" spans="1:7" ht="14.4" thickBot="1" x14ac:dyDescent="0.3">
      <c r="A898" s="411" t="s">
        <v>246</v>
      </c>
      <c r="B898" s="412"/>
      <c r="C898" s="82" t="s">
        <v>260</v>
      </c>
      <c r="D898" s="110" t="s">
        <v>261</v>
      </c>
      <c r="E898" s="110" t="s">
        <v>262</v>
      </c>
      <c r="F898" s="110" t="s">
        <v>263</v>
      </c>
      <c r="G898" s="112" t="s">
        <v>264</v>
      </c>
    </row>
    <row r="899" spans="1:7" ht="13.8" thickBot="1" x14ac:dyDescent="0.3">
      <c r="A899" s="402">
        <v>1</v>
      </c>
      <c r="B899" s="90" t="s">
        <v>265</v>
      </c>
      <c r="C899" s="91">
        <v>250.47745040988477</v>
      </c>
      <c r="D899" s="92">
        <v>9</v>
      </c>
      <c r="E899" s="93">
        <v>27.830827823320529</v>
      </c>
      <c r="F899" s="93">
        <v>67.570027982533531</v>
      </c>
      <c r="G899" s="123" t="s">
        <v>266</v>
      </c>
    </row>
    <row r="900" spans="1:7" x14ac:dyDescent="0.25">
      <c r="A900" s="403"/>
      <c r="B900" s="94" t="s">
        <v>267</v>
      </c>
      <c r="C900" s="95">
        <v>17.299012646281788</v>
      </c>
      <c r="D900" s="96">
        <v>42</v>
      </c>
      <c r="E900" s="97">
        <v>0.41188125348289972</v>
      </c>
      <c r="F900" s="36"/>
      <c r="G900" s="37"/>
    </row>
    <row r="901" spans="1:7" ht="13.8" thickBot="1" x14ac:dyDescent="0.3">
      <c r="A901" s="404"/>
      <c r="B901" s="98" t="s">
        <v>268</v>
      </c>
      <c r="C901" s="99">
        <v>267.77646305616656</v>
      </c>
      <c r="D901" s="100">
        <v>51</v>
      </c>
      <c r="E901" s="111"/>
      <c r="F901" s="111"/>
      <c r="G901" s="113"/>
    </row>
    <row r="902" spans="1:7" ht="13.8" x14ac:dyDescent="0.25">
      <c r="A902" s="387" t="s">
        <v>365</v>
      </c>
      <c r="B902" s="405"/>
      <c r="C902" s="405"/>
      <c r="D902" s="405"/>
      <c r="E902" s="405"/>
      <c r="F902" s="405"/>
      <c r="G902" s="405"/>
    </row>
    <row r="903" spans="1:7" ht="13.8" x14ac:dyDescent="0.25">
      <c r="A903" s="387" t="s">
        <v>366</v>
      </c>
      <c r="B903" s="405"/>
      <c r="C903" s="405"/>
      <c r="D903" s="405"/>
      <c r="E903" s="405"/>
      <c r="F903" s="405"/>
      <c r="G903" s="405"/>
    </row>
    <row r="905" spans="1:7" ht="14.4" thickBot="1" x14ac:dyDescent="0.3">
      <c r="A905" s="410" t="s">
        <v>135</v>
      </c>
      <c r="B905" s="405"/>
      <c r="C905" s="405"/>
      <c r="D905" s="405"/>
      <c r="E905" s="405"/>
      <c r="F905" s="405"/>
      <c r="G905" s="405"/>
    </row>
    <row r="906" spans="1:7" ht="24" thickBot="1" x14ac:dyDescent="0.3">
      <c r="A906" s="411" t="s">
        <v>246</v>
      </c>
      <c r="B906" s="413"/>
      <c r="C906" s="415" t="s">
        <v>270</v>
      </c>
      <c r="D906" s="416"/>
      <c r="E906" s="101" t="s">
        <v>271</v>
      </c>
      <c r="F906" s="417" t="s">
        <v>272</v>
      </c>
      <c r="G906" s="419" t="s">
        <v>264</v>
      </c>
    </row>
    <row r="907" spans="1:7" ht="13.8" thickBot="1" x14ac:dyDescent="0.3">
      <c r="A907" s="404"/>
      <c r="B907" s="414"/>
      <c r="C907" s="102" t="s">
        <v>273</v>
      </c>
      <c r="D907" s="103" t="s">
        <v>274</v>
      </c>
      <c r="E907" s="103" t="s">
        <v>275</v>
      </c>
      <c r="F907" s="418"/>
      <c r="G907" s="420"/>
    </row>
    <row r="908" spans="1:7" ht="13.8" thickBot="1" x14ac:dyDescent="0.3">
      <c r="A908" s="402">
        <v>1</v>
      </c>
      <c r="B908" s="90" t="s">
        <v>276</v>
      </c>
      <c r="C908" s="91">
        <v>130.53732898105179</v>
      </c>
      <c r="D908" s="93">
        <v>117.1682732718125</v>
      </c>
      <c r="E908" s="45"/>
      <c r="F908" s="93">
        <v>1.1141013291048945</v>
      </c>
      <c r="G908" s="104">
        <v>0.27157086860828694</v>
      </c>
    </row>
    <row r="909" spans="1:7" x14ac:dyDescent="0.25">
      <c r="A909" s="403"/>
      <c r="B909" s="94" t="s">
        <v>277</v>
      </c>
      <c r="C909" s="95">
        <v>-12.941469947327251</v>
      </c>
      <c r="D909" s="97">
        <v>9.2625147766245295</v>
      </c>
      <c r="E909" s="97">
        <v>-1.8448918443565383</v>
      </c>
      <c r="F909" s="97">
        <v>-1.3971875089459687</v>
      </c>
      <c r="G909" s="105">
        <v>0.16969546932102603</v>
      </c>
    </row>
    <row r="910" spans="1:7" x14ac:dyDescent="0.25">
      <c r="A910" s="403"/>
      <c r="B910" s="94" t="s">
        <v>278</v>
      </c>
      <c r="C910" s="95">
        <v>-2.2341336403291172</v>
      </c>
      <c r="D910" s="97">
        <v>9.3941744911759866</v>
      </c>
      <c r="E910" s="97">
        <v>-0.11391187116495367</v>
      </c>
      <c r="F910" s="97">
        <v>-0.23782117762743862</v>
      </c>
      <c r="G910" s="105">
        <v>0.81317618990782981</v>
      </c>
    </row>
    <row r="911" spans="1:7" x14ac:dyDescent="0.25">
      <c r="A911" s="403"/>
      <c r="B911" s="94" t="s">
        <v>279</v>
      </c>
      <c r="C911" s="95">
        <v>3.0863406559003064</v>
      </c>
      <c r="D911" s="97">
        <v>7.7939225437693533</v>
      </c>
      <c r="E911" s="97">
        <v>0.53485054601366311</v>
      </c>
      <c r="F911" s="97">
        <v>0.39599324198668107</v>
      </c>
      <c r="G911" s="105">
        <v>0.69411459869764225</v>
      </c>
    </row>
    <row r="912" spans="1:7" x14ac:dyDescent="0.25">
      <c r="A912" s="403"/>
      <c r="B912" s="94" t="s">
        <v>280</v>
      </c>
      <c r="C912" s="95">
        <v>-12.812708457659184</v>
      </c>
      <c r="D912" s="97">
        <v>9.5699339688106093</v>
      </c>
      <c r="E912" s="97">
        <v>-1.4094839632094458</v>
      </c>
      <c r="F912" s="97">
        <v>-1.3388502469731878</v>
      </c>
      <c r="G912" s="105">
        <v>0.18782131522790885</v>
      </c>
    </row>
    <row r="913" spans="1:7" x14ac:dyDescent="0.25">
      <c r="A913" s="403"/>
      <c r="B913" s="94" t="s">
        <v>281</v>
      </c>
      <c r="C913" s="95">
        <v>-10.361724723626866</v>
      </c>
      <c r="D913" s="97">
        <v>9.1134322544262432</v>
      </c>
      <c r="E913" s="97">
        <v>-1.4110676983144659</v>
      </c>
      <c r="F913" s="97">
        <v>-1.1369728148902789</v>
      </c>
      <c r="G913" s="105">
        <v>0.26199501782890128</v>
      </c>
    </row>
    <row r="914" spans="1:7" x14ac:dyDescent="0.25">
      <c r="A914" s="403"/>
      <c r="B914" s="94" t="s">
        <v>282</v>
      </c>
      <c r="C914" s="95">
        <v>-4.0160367314357055</v>
      </c>
      <c r="D914" s="97">
        <v>2.8644915231730512</v>
      </c>
      <c r="E914" s="97">
        <v>-0.17181830130007034</v>
      </c>
      <c r="F914" s="97">
        <v>-1.4020068479682795</v>
      </c>
      <c r="G914" s="105">
        <v>0.16826096389810247</v>
      </c>
    </row>
    <row r="915" spans="1:7" x14ac:dyDescent="0.25">
      <c r="A915" s="403"/>
      <c r="B915" s="94" t="s">
        <v>283</v>
      </c>
      <c r="C915" s="95">
        <v>-7.4515474458584414</v>
      </c>
      <c r="D915" s="97">
        <v>2.3129997066852495</v>
      </c>
      <c r="E915" s="97">
        <v>-0.41136238849982271</v>
      </c>
      <c r="F915" s="97">
        <v>-3.2215946350193119</v>
      </c>
      <c r="G915" s="105">
        <v>2.464000938119592E-3</v>
      </c>
    </row>
    <row r="916" spans="1:7" x14ac:dyDescent="0.25">
      <c r="A916" s="403"/>
      <c r="B916" s="94" t="s">
        <v>284</v>
      </c>
      <c r="C916" s="95">
        <v>-13.560724263952453</v>
      </c>
      <c r="D916" s="97">
        <v>4.2943518090817543</v>
      </c>
      <c r="E916" s="97">
        <v>-0.25308932988577149</v>
      </c>
      <c r="F916" s="97">
        <v>-3.1578046855113375</v>
      </c>
      <c r="G916" s="105">
        <v>2.9416864983144832E-3</v>
      </c>
    </row>
    <row r="917" spans="1:7" ht="13.8" thickBot="1" x14ac:dyDescent="0.3">
      <c r="A917" s="404"/>
      <c r="B917" s="98" t="s">
        <v>367</v>
      </c>
      <c r="C917" s="99">
        <v>224.47955921951797</v>
      </c>
      <c r="D917" s="106">
        <v>71.730176410616423</v>
      </c>
      <c r="E917" s="106">
        <v>1.6639296567844877</v>
      </c>
      <c r="F917" s="106">
        <v>3.1294996116347744</v>
      </c>
      <c r="G917" s="107">
        <v>3.1805843266898763E-3</v>
      </c>
    </row>
    <row r="918" spans="1:7" ht="13.8" x14ac:dyDescent="0.25">
      <c r="A918" s="387" t="s">
        <v>368</v>
      </c>
      <c r="B918" s="405"/>
      <c r="C918" s="405"/>
      <c r="D918" s="405"/>
      <c r="E918" s="405"/>
      <c r="F918" s="405"/>
      <c r="G918" s="405"/>
    </row>
    <row r="922" spans="1:7" ht="13.8" x14ac:dyDescent="0.3">
      <c r="A922" t="s">
        <v>355</v>
      </c>
    </row>
    <row r="924" spans="1:7" ht="13.8" thickBot="1" x14ac:dyDescent="0.3">
      <c r="A924" s="406" t="s">
        <v>112</v>
      </c>
      <c r="B924" s="406"/>
      <c r="C924" s="406"/>
      <c r="D924" s="406"/>
    </row>
    <row r="925" spans="1:7" ht="13.8" thickBot="1" x14ac:dyDescent="0.3">
      <c r="A925" s="109" t="s">
        <v>246</v>
      </c>
      <c r="B925" s="82" t="s">
        <v>247</v>
      </c>
      <c r="C925" s="110" t="s">
        <v>248</v>
      </c>
      <c r="D925" s="112" t="s">
        <v>249</v>
      </c>
    </row>
    <row r="926" spans="1:7" ht="25.2" thickBot="1" x14ac:dyDescent="0.3">
      <c r="A926" s="85">
        <v>1</v>
      </c>
      <c r="B926" s="120" t="s">
        <v>369</v>
      </c>
      <c r="C926" s="87" t="s">
        <v>251</v>
      </c>
      <c r="D926" s="88" t="s">
        <v>252</v>
      </c>
    </row>
    <row r="927" spans="1:7" x14ac:dyDescent="0.25">
      <c r="A927" s="386" t="s">
        <v>253</v>
      </c>
      <c r="B927" s="386"/>
      <c r="C927" s="386"/>
      <c r="D927" s="386"/>
    </row>
    <row r="929" spans="1:7" ht="13.8" thickBot="1" x14ac:dyDescent="0.3">
      <c r="A929" s="406" t="s">
        <v>119</v>
      </c>
      <c r="B929" s="406"/>
      <c r="C929" s="406"/>
      <c r="D929" s="406"/>
      <c r="E929" s="406"/>
    </row>
    <row r="930" spans="1:7" ht="24" thickBot="1" x14ac:dyDescent="0.3">
      <c r="A930" s="109" t="s">
        <v>246</v>
      </c>
      <c r="B930" s="82" t="s">
        <v>254</v>
      </c>
      <c r="C930" s="110" t="s">
        <v>255</v>
      </c>
      <c r="D930" s="110" t="s">
        <v>256</v>
      </c>
      <c r="E930" s="112" t="s">
        <v>257</v>
      </c>
    </row>
    <row r="931" spans="1:7" ht="13.8" thickBot="1" x14ac:dyDescent="0.3">
      <c r="A931" s="85">
        <v>1</v>
      </c>
      <c r="B931" s="121" t="s">
        <v>322</v>
      </c>
      <c r="C931" s="89">
        <v>0.9240442000957183</v>
      </c>
      <c r="D931" s="89">
        <v>0.90776795725908654</v>
      </c>
      <c r="E931" s="122">
        <v>0.14669481145910243</v>
      </c>
    </row>
    <row r="932" spans="1:7" x14ac:dyDescent="0.25">
      <c r="A932" s="386" t="s">
        <v>370</v>
      </c>
      <c r="B932" s="386"/>
      <c r="C932" s="386"/>
      <c r="D932" s="386"/>
      <c r="E932" s="386"/>
    </row>
    <row r="934" spans="1:7" ht="14.4" thickBot="1" x14ac:dyDescent="0.3">
      <c r="A934" s="388" t="s">
        <v>124</v>
      </c>
      <c r="B934" s="388"/>
      <c r="C934" s="388"/>
      <c r="D934" s="388"/>
      <c r="E934" s="388"/>
      <c r="F934" s="388"/>
      <c r="G934" s="388"/>
    </row>
    <row r="935" spans="1:7" ht="13.8" thickBot="1" x14ac:dyDescent="0.3">
      <c r="A935" s="407" t="s">
        <v>246</v>
      </c>
      <c r="B935" s="408"/>
      <c r="C935" s="82" t="s">
        <v>260</v>
      </c>
      <c r="D935" s="110" t="s">
        <v>261</v>
      </c>
      <c r="E935" s="110" t="s">
        <v>262</v>
      </c>
      <c r="F935" s="110" t="s">
        <v>263</v>
      </c>
      <c r="G935" s="112" t="s">
        <v>264</v>
      </c>
    </row>
    <row r="936" spans="1:7" x14ac:dyDescent="0.25">
      <c r="A936" s="399">
        <v>1</v>
      </c>
      <c r="B936" s="90" t="s">
        <v>265</v>
      </c>
      <c r="C936" s="91">
        <v>10.995389051855119</v>
      </c>
      <c r="D936" s="92">
        <v>9</v>
      </c>
      <c r="E936" s="93">
        <v>1.2217098946505689</v>
      </c>
      <c r="F936" s="93">
        <v>56.772573951528784</v>
      </c>
      <c r="G936" s="123" t="s">
        <v>266</v>
      </c>
    </row>
    <row r="937" spans="1:7" x14ac:dyDescent="0.25">
      <c r="A937" s="400"/>
      <c r="B937" s="94" t="s">
        <v>267</v>
      </c>
      <c r="C937" s="95">
        <v>0.90381344377890749</v>
      </c>
      <c r="D937" s="96">
        <v>42</v>
      </c>
      <c r="E937" s="97">
        <v>2.1519367709021606E-2</v>
      </c>
      <c r="F937" s="36"/>
      <c r="G937" s="37"/>
    </row>
    <row r="938" spans="1:7" ht="13.8" thickBot="1" x14ac:dyDescent="0.3">
      <c r="A938" s="401"/>
      <c r="B938" s="98" t="s">
        <v>268</v>
      </c>
      <c r="C938" s="99">
        <v>11.899202495634027</v>
      </c>
      <c r="D938" s="100">
        <v>51</v>
      </c>
      <c r="E938" s="111"/>
      <c r="F938" s="111"/>
      <c r="G938" s="113"/>
    </row>
    <row r="939" spans="1:7" x14ac:dyDescent="0.25">
      <c r="A939" s="386" t="s">
        <v>370</v>
      </c>
      <c r="B939" s="386"/>
      <c r="C939" s="386"/>
      <c r="D939" s="386"/>
      <c r="E939" s="386"/>
      <c r="F939" s="386"/>
      <c r="G939" s="386"/>
    </row>
    <row r="940" spans="1:7" x14ac:dyDescent="0.25">
      <c r="A940" s="387" t="s">
        <v>371</v>
      </c>
      <c r="B940" s="387"/>
      <c r="C940" s="387"/>
      <c r="D940" s="387"/>
      <c r="E940" s="387"/>
      <c r="F940" s="387"/>
      <c r="G940" s="387"/>
    </row>
    <row r="942" spans="1:7" ht="14.4" thickBot="1" x14ac:dyDescent="0.3">
      <c r="A942" s="388" t="s">
        <v>135</v>
      </c>
      <c r="B942" s="388"/>
      <c r="C942" s="388"/>
      <c r="D942" s="388"/>
      <c r="E942" s="388"/>
      <c r="F942" s="388"/>
      <c r="G942" s="388"/>
    </row>
    <row r="943" spans="1:7" ht="23.4" x14ac:dyDescent="0.25">
      <c r="A943" s="389" t="s">
        <v>246</v>
      </c>
      <c r="B943" s="390"/>
      <c r="C943" s="393" t="s">
        <v>270</v>
      </c>
      <c r="D943" s="394"/>
      <c r="E943" s="101" t="s">
        <v>271</v>
      </c>
      <c r="F943" s="395" t="s">
        <v>272</v>
      </c>
      <c r="G943" s="397" t="s">
        <v>264</v>
      </c>
    </row>
    <row r="944" spans="1:7" ht="13.8" thickBot="1" x14ac:dyDescent="0.3">
      <c r="A944" s="391"/>
      <c r="B944" s="392"/>
      <c r="C944" s="102" t="s">
        <v>273</v>
      </c>
      <c r="D944" s="103" t="s">
        <v>274</v>
      </c>
      <c r="E944" s="103" t="s">
        <v>275</v>
      </c>
      <c r="F944" s="396"/>
      <c r="G944" s="398"/>
    </row>
    <row r="945" spans="1:7" x14ac:dyDescent="0.25">
      <c r="A945" s="399">
        <v>1</v>
      </c>
      <c r="B945" s="90" t="s">
        <v>276</v>
      </c>
      <c r="C945" s="91">
        <v>7.1058691209923888</v>
      </c>
      <c r="D945" s="93">
        <v>25.470122482068245</v>
      </c>
      <c r="E945" s="45"/>
      <c r="F945" s="93">
        <v>0.27898841577990607</v>
      </c>
      <c r="G945" s="104">
        <v>0.78162288733387308</v>
      </c>
    </row>
    <row r="946" spans="1:7" x14ac:dyDescent="0.25">
      <c r="A946" s="400"/>
      <c r="B946" s="94" t="s">
        <v>277</v>
      </c>
      <c r="C946" s="95">
        <v>-0.1302228162576167</v>
      </c>
      <c r="D946" s="97">
        <v>1.940170357193427</v>
      </c>
      <c r="E946" s="97">
        <v>-8.8064659250607177E-2</v>
      </c>
      <c r="F946" s="97">
        <v>-6.7119269075934046E-2</v>
      </c>
      <c r="G946" s="105">
        <v>0.94680525825590878</v>
      </c>
    </row>
    <row r="947" spans="1:7" x14ac:dyDescent="0.25">
      <c r="A947" s="400"/>
      <c r="B947" s="94" t="s">
        <v>278</v>
      </c>
      <c r="C947" s="95">
        <v>-2.1327045328753145</v>
      </c>
      <c r="D947" s="97">
        <v>1.9985093491742087</v>
      </c>
      <c r="E947" s="97">
        <v>-0.51584331016669516</v>
      </c>
      <c r="F947" s="97">
        <v>-1.067147638692086</v>
      </c>
      <c r="G947" s="105">
        <v>0.29200102415444301</v>
      </c>
    </row>
    <row r="948" spans="1:7" x14ac:dyDescent="0.25">
      <c r="A948" s="400"/>
      <c r="B948" s="94" t="s">
        <v>279</v>
      </c>
      <c r="C948" s="95">
        <v>-1.0459410538416676</v>
      </c>
      <c r="D948" s="97">
        <v>1.8508953288839751</v>
      </c>
      <c r="E948" s="97">
        <v>-0.85985073374515375</v>
      </c>
      <c r="F948" s="97">
        <v>-0.56510005591312029</v>
      </c>
      <c r="G948" s="105">
        <v>0.57501202318050937</v>
      </c>
    </row>
    <row r="949" spans="1:7" x14ac:dyDescent="0.25">
      <c r="A949" s="400"/>
      <c r="B949" s="94" t="s">
        <v>280</v>
      </c>
      <c r="C949" s="95">
        <v>-0.57681831002772466</v>
      </c>
      <c r="D949" s="97">
        <v>2.0129519296283598</v>
      </c>
      <c r="E949" s="97">
        <v>-0.30101317549368317</v>
      </c>
      <c r="F949" s="97">
        <v>-0.28655344498674612</v>
      </c>
      <c r="G949" s="105">
        <v>0.7758631139880332</v>
      </c>
    </row>
    <row r="950" spans="1:7" x14ac:dyDescent="0.25">
      <c r="A950" s="400"/>
      <c r="B950" s="94" t="s">
        <v>281</v>
      </c>
      <c r="C950" s="95">
        <v>-0.54243168828230259</v>
      </c>
      <c r="D950" s="97">
        <v>1.9792046787962594</v>
      </c>
      <c r="E950" s="97">
        <v>-0.35041938681675522</v>
      </c>
      <c r="F950" s="97">
        <v>-0.27406548402674874</v>
      </c>
      <c r="G950" s="105">
        <v>0.78537775036744617</v>
      </c>
    </row>
    <row r="951" spans="1:7" x14ac:dyDescent="0.25">
      <c r="A951" s="400"/>
      <c r="B951" s="94" t="s">
        <v>282</v>
      </c>
      <c r="C951" s="95">
        <v>-0.99545074390059651</v>
      </c>
      <c r="D951" s="97">
        <v>0.36741504387527935</v>
      </c>
      <c r="E951" s="97">
        <v>-0.20203136263520635</v>
      </c>
      <c r="F951" s="97">
        <v>-2.7093358328531223</v>
      </c>
      <c r="G951" s="105">
        <v>9.7161857260321741E-3</v>
      </c>
    </row>
    <row r="952" spans="1:7" x14ac:dyDescent="0.25">
      <c r="A952" s="400"/>
      <c r="B952" s="94" t="s">
        <v>283</v>
      </c>
      <c r="C952" s="95">
        <v>1.0093429198832837</v>
      </c>
      <c r="D952" s="97">
        <v>0.52783463300237121</v>
      </c>
      <c r="E952" s="97">
        <v>0.26432858048213886</v>
      </c>
      <c r="F952" s="97">
        <v>1.9122332199803749</v>
      </c>
      <c r="G952" s="105">
        <v>6.2682996761203993E-2</v>
      </c>
    </row>
    <row r="953" spans="1:7" x14ac:dyDescent="0.25">
      <c r="A953" s="400"/>
      <c r="B953" s="94" t="s">
        <v>284</v>
      </c>
      <c r="C953" s="95">
        <v>9.2309748310743593</v>
      </c>
      <c r="D953" s="97">
        <v>0.91907347878389001</v>
      </c>
      <c r="E953" s="97">
        <v>0.81727043825483137</v>
      </c>
      <c r="F953" s="97">
        <v>10.043783271048909</v>
      </c>
      <c r="G953" s="105">
        <v>9.8465345762758189E-13</v>
      </c>
    </row>
    <row r="954" spans="1:7" ht="13.8" thickBot="1" x14ac:dyDescent="0.3">
      <c r="A954" s="401"/>
      <c r="B954" s="98" t="s">
        <v>348</v>
      </c>
      <c r="C954" s="99">
        <v>-5.137353801824326E-4</v>
      </c>
      <c r="D954" s="106">
        <v>2.3554813010903623E-4</v>
      </c>
      <c r="E954" s="106">
        <v>-0.2085332812875389</v>
      </c>
      <c r="F954" s="106">
        <v>-2.1810208382661425</v>
      </c>
      <c r="G954" s="107">
        <v>3.4832099101255135E-2</v>
      </c>
    </row>
    <row r="955" spans="1:7" x14ac:dyDescent="0.25">
      <c r="A955" s="386" t="s">
        <v>372</v>
      </c>
      <c r="B955" s="386"/>
      <c r="C955" s="386"/>
      <c r="D955" s="386"/>
      <c r="E955" s="386"/>
      <c r="F955" s="386"/>
      <c r="G955" s="386"/>
    </row>
    <row r="958" spans="1:7" ht="13.8" x14ac:dyDescent="0.3">
      <c r="A958" s="185" t="s">
        <v>425</v>
      </c>
    </row>
    <row r="960" spans="1:7" ht="13.8" thickBot="1" x14ac:dyDescent="0.3">
      <c r="A960" s="374" t="s">
        <v>204</v>
      </c>
      <c r="B960" s="371"/>
      <c r="C960" s="371"/>
      <c r="D960" s="371"/>
    </row>
    <row r="961" spans="1:7" ht="13.8" thickBot="1" x14ac:dyDescent="0.3">
      <c r="A961" s="155" t="s">
        <v>182</v>
      </c>
      <c r="B961" s="156" t="s">
        <v>205</v>
      </c>
      <c r="C961" s="157" t="s">
        <v>206</v>
      </c>
      <c r="D961" s="158" t="s">
        <v>207</v>
      </c>
    </row>
    <row r="962" spans="1:7" ht="13.8" thickBot="1" x14ac:dyDescent="0.3">
      <c r="A962" s="159" t="s">
        <v>187</v>
      </c>
      <c r="B962" s="160" t="s">
        <v>418</v>
      </c>
      <c r="C962" s="161" t="s">
        <v>208</v>
      </c>
      <c r="D962" s="162" t="s">
        <v>209</v>
      </c>
    </row>
    <row r="963" spans="1:7" x14ac:dyDescent="0.25">
      <c r="A963" s="385" t="s">
        <v>419</v>
      </c>
      <c r="B963" s="371"/>
      <c r="C963" s="371"/>
      <c r="D963" s="371"/>
    </row>
    <row r="965" spans="1:7" ht="13.8" thickBot="1" x14ac:dyDescent="0.3">
      <c r="A965" s="374" t="s">
        <v>181</v>
      </c>
      <c r="B965" s="371"/>
      <c r="C965" s="371"/>
      <c r="D965" s="371"/>
      <c r="E965" s="371"/>
    </row>
    <row r="966" spans="1:7" ht="35.4" thickBot="1" x14ac:dyDescent="0.3">
      <c r="A966" s="155" t="s">
        <v>182</v>
      </c>
      <c r="B966" s="156" t="s">
        <v>183</v>
      </c>
      <c r="C966" s="157" t="s">
        <v>184</v>
      </c>
      <c r="D966" s="157" t="s">
        <v>185</v>
      </c>
      <c r="E966" s="158" t="s">
        <v>186</v>
      </c>
    </row>
    <row r="967" spans="1:7" ht="13.8" thickBot="1" x14ac:dyDescent="0.3">
      <c r="A967" s="159" t="s">
        <v>187</v>
      </c>
      <c r="B967" s="163" t="s">
        <v>420</v>
      </c>
      <c r="C967" s="164">
        <v>0.89390098285974062</v>
      </c>
      <c r="D967" s="164">
        <v>0.86964977894196704</v>
      </c>
      <c r="E967" s="165">
        <v>0.15659604254741741</v>
      </c>
    </row>
    <row r="968" spans="1:7" x14ac:dyDescent="0.25">
      <c r="A968" s="385" t="s">
        <v>421</v>
      </c>
      <c r="B968" s="371"/>
      <c r="C968" s="371"/>
      <c r="D968" s="371"/>
      <c r="E968" s="371"/>
    </row>
    <row r="970" spans="1:7" ht="13.8" thickBot="1" x14ac:dyDescent="0.3">
      <c r="A970" s="374" t="s">
        <v>188</v>
      </c>
      <c r="B970" s="371"/>
      <c r="C970" s="371"/>
      <c r="D970" s="371"/>
      <c r="E970" s="371"/>
      <c r="F970" s="371"/>
      <c r="G970" s="371"/>
    </row>
    <row r="971" spans="1:7" ht="13.8" thickBot="1" x14ac:dyDescent="0.3">
      <c r="A971" s="380" t="s">
        <v>182</v>
      </c>
      <c r="B971" s="375"/>
      <c r="C971" s="156" t="s">
        <v>189</v>
      </c>
      <c r="D971" s="157" t="s">
        <v>190</v>
      </c>
      <c r="E971" s="157" t="s">
        <v>191</v>
      </c>
      <c r="F971" s="157" t="s">
        <v>85</v>
      </c>
      <c r="G971" s="158" t="s">
        <v>192</v>
      </c>
    </row>
    <row r="972" spans="1:7" ht="13.8" thickBot="1" x14ac:dyDescent="0.3">
      <c r="A972" s="384" t="s">
        <v>187</v>
      </c>
      <c r="B972" s="166" t="s">
        <v>193</v>
      </c>
      <c r="C972" s="167">
        <v>7.2311548765607485</v>
      </c>
      <c r="D972" s="168">
        <v>8</v>
      </c>
      <c r="E972" s="169">
        <v>0.90389435957009356</v>
      </c>
      <c r="F972" s="169">
        <v>36.860066242097169</v>
      </c>
      <c r="G972" s="170" t="s">
        <v>422</v>
      </c>
    </row>
    <row r="973" spans="1:7" x14ac:dyDescent="0.25">
      <c r="A973" s="369"/>
      <c r="B973" s="171" t="s">
        <v>194</v>
      </c>
      <c r="C973" s="172">
        <v>0.85828121895293974</v>
      </c>
      <c r="D973" s="173">
        <v>35</v>
      </c>
      <c r="E973" s="174">
        <v>2.4522320541512564E-2</v>
      </c>
      <c r="F973" s="74"/>
      <c r="G973" s="75"/>
    </row>
    <row r="974" spans="1:7" ht="13.8" thickBot="1" x14ac:dyDescent="0.3">
      <c r="A974" s="360"/>
      <c r="B974" s="175" t="s">
        <v>195</v>
      </c>
      <c r="C974" s="176">
        <v>8.0894360955136886</v>
      </c>
      <c r="D974" s="177">
        <v>43</v>
      </c>
      <c r="E974" s="76"/>
      <c r="F974" s="76"/>
      <c r="G974" s="77"/>
    </row>
    <row r="975" spans="1:7" x14ac:dyDescent="0.25">
      <c r="A975" s="385" t="s">
        <v>423</v>
      </c>
      <c r="B975" s="371"/>
      <c r="C975" s="371"/>
      <c r="D975" s="371"/>
      <c r="E975" s="371"/>
      <c r="F975" s="371"/>
      <c r="G975" s="371"/>
    </row>
    <row r="977" spans="1:7" ht="13.8" thickBot="1" x14ac:dyDescent="0.3">
      <c r="A977" s="374" t="s">
        <v>196</v>
      </c>
      <c r="B977" s="371"/>
      <c r="C977" s="371"/>
      <c r="D977" s="371"/>
      <c r="E977" s="371"/>
      <c r="F977" s="371"/>
      <c r="G977" s="371"/>
    </row>
    <row r="978" spans="1:7" ht="24" thickBot="1" x14ac:dyDescent="0.3">
      <c r="A978" s="380" t="s">
        <v>182</v>
      </c>
      <c r="B978" s="359"/>
      <c r="C978" s="381" t="s">
        <v>197</v>
      </c>
      <c r="D978" s="363"/>
      <c r="E978" s="178" t="s">
        <v>198</v>
      </c>
      <c r="F978" s="382" t="s">
        <v>199</v>
      </c>
      <c r="G978" s="383" t="s">
        <v>192</v>
      </c>
    </row>
    <row r="979" spans="1:7" ht="24" thickBot="1" x14ac:dyDescent="0.3">
      <c r="A979" s="360"/>
      <c r="B979" s="361"/>
      <c r="C979" s="179" t="s">
        <v>180</v>
      </c>
      <c r="D979" s="180" t="s">
        <v>200</v>
      </c>
      <c r="E979" s="180" t="s">
        <v>201</v>
      </c>
      <c r="F979" s="365"/>
      <c r="G979" s="367"/>
    </row>
    <row r="980" spans="1:7" ht="13.8" thickBot="1" x14ac:dyDescent="0.3">
      <c r="A980" s="384" t="s">
        <v>187</v>
      </c>
      <c r="B980" s="166" t="s">
        <v>202</v>
      </c>
      <c r="C980" s="167">
        <v>64.865395922523305</v>
      </c>
      <c r="D980" s="169">
        <v>32.081542250679981</v>
      </c>
      <c r="E980" s="78"/>
      <c r="F980" s="169">
        <v>2.021891448225138</v>
      </c>
      <c r="G980" s="181">
        <v>5.0884374356417163E-2</v>
      </c>
    </row>
    <row r="981" spans="1:7" x14ac:dyDescent="0.25">
      <c r="A981" s="369"/>
      <c r="B981" s="171" t="s">
        <v>46</v>
      </c>
      <c r="C981" s="172">
        <v>-4.672134414310845</v>
      </c>
      <c r="D981" s="174">
        <v>2.4955817721387015</v>
      </c>
      <c r="E981" s="174">
        <v>-2.8685629697449526</v>
      </c>
      <c r="F981" s="174">
        <v>-1.8721624217934756</v>
      </c>
      <c r="G981" s="182">
        <v>6.955887423109125E-2</v>
      </c>
    </row>
    <row r="982" spans="1:7" x14ac:dyDescent="0.25">
      <c r="A982" s="369"/>
      <c r="B982" s="171" t="s">
        <v>47</v>
      </c>
      <c r="C982" s="172">
        <v>-4.5091686637478023</v>
      </c>
      <c r="D982" s="174">
        <v>2.5176788327737958</v>
      </c>
      <c r="E982" s="174">
        <v>-1.3605081211217642</v>
      </c>
      <c r="F982" s="174">
        <v>-1.7910023332006679</v>
      </c>
      <c r="G982" s="182">
        <v>8.1944904319333142E-2</v>
      </c>
    </row>
    <row r="983" spans="1:7" x14ac:dyDescent="0.25">
      <c r="A983" s="369"/>
      <c r="B983" s="171" t="s">
        <v>48</v>
      </c>
      <c r="C983" s="172">
        <v>-3.1800534217799798</v>
      </c>
      <c r="D983" s="174">
        <v>2.4472159266425884</v>
      </c>
      <c r="E983" s="174">
        <v>-2.4292968670246013</v>
      </c>
      <c r="F983" s="174">
        <v>-1.299457635576438</v>
      </c>
      <c r="G983" s="182">
        <v>0.20228141792231469</v>
      </c>
    </row>
    <row r="984" spans="1:7" x14ac:dyDescent="0.25">
      <c r="A984" s="369"/>
      <c r="B984" s="171" t="s">
        <v>49</v>
      </c>
      <c r="C984" s="172">
        <v>-4.799536918557898</v>
      </c>
      <c r="D984" s="174">
        <v>2.4538812979415057</v>
      </c>
      <c r="E984" s="174">
        <v>-3.6846632945738613</v>
      </c>
      <c r="F984" s="174">
        <v>-1.9558961236568775</v>
      </c>
      <c r="G984" s="182">
        <v>5.849651076393772E-2</v>
      </c>
    </row>
    <row r="985" spans="1:7" x14ac:dyDescent="0.25">
      <c r="A985" s="369"/>
      <c r="B985" s="171" t="s">
        <v>51</v>
      </c>
      <c r="C985" s="172">
        <v>-4.4776642572311944</v>
      </c>
      <c r="D985" s="174">
        <v>2.4221586545023288</v>
      </c>
      <c r="E985" s="174">
        <v>-3.9690147764547405</v>
      </c>
      <c r="F985" s="174">
        <v>-1.8486255014336384</v>
      </c>
      <c r="G985" s="182">
        <v>7.2974355223103957E-2</v>
      </c>
    </row>
    <row r="986" spans="1:7" x14ac:dyDescent="0.25">
      <c r="A986" s="369"/>
      <c r="B986" s="171" t="s">
        <v>52</v>
      </c>
      <c r="C986" s="172">
        <v>-1.0078477715941452</v>
      </c>
      <c r="D986" s="174">
        <v>0.36727272343361089</v>
      </c>
      <c r="E986" s="174">
        <v>-0.22178083140791738</v>
      </c>
      <c r="F986" s="174">
        <v>-2.7441400008468806</v>
      </c>
      <c r="G986" s="182">
        <v>9.5056868502532525E-3</v>
      </c>
    </row>
    <row r="987" spans="1:7" x14ac:dyDescent="0.25">
      <c r="A987" s="369"/>
      <c r="B987" s="171" t="s">
        <v>53</v>
      </c>
      <c r="C987" s="172">
        <v>-0.18585445983218199</v>
      </c>
      <c r="D987" s="174">
        <v>0.63423625792170191</v>
      </c>
      <c r="E987" s="174">
        <v>-3.8277814112135516E-2</v>
      </c>
      <c r="F987" s="174">
        <v>-0.29303663660163404</v>
      </c>
      <c r="G987" s="182">
        <v>0.77122457943669154</v>
      </c>
    </row>
    <row r="988" spans="1:7" ht="13.8" thickBot="1" x14ac:dyDescent="0.3">
      <c r="A988" s="360"/>
      <c r="B988" s="175" t="s">
        <v>54</v>
      </c>
      <c r="C988" s="176">
        <v>0.41196456711037144</v>
      </c>
      <c r="D988" s="183">
        <v>1.0649539888657342</v>
      </c>
      <c r="E988" s="183">
        <v>4.3533672526373177E-2</v>
      </c>
      <c r="F988" s="183">
        <v>0.38683790231082982</v>
      </c>
      <c r="G988" s="184">
        <v>0.70121831644350863</v>
      </c>
    </row>
    <row r="989" spans="1:7" x14ac:dyDescent="0.25">
      <c r="A989" s="385" t="s">
        <v>424</v>
      </c>
      <c r="B989" s="371"/>
      <c r="C989" s="371"/>
      <c r="D989" s="371"/>
      <c r="E989" s="371"/>
      <c r="F989" s="371"/>
      <c r="G989" s="371"/>
    </row>
    <row r="992" spans="1:7" ht="13.8" x14ac:dyDescent="0.3">
      <c r="A992" s="185" t="s">
        <v>426</v>
      </c>
    </row>
    <row r="994" spans="1:7" ht="13.8" thickBot="1" x14ac:dyDescent="0.3">
      <c r="A994" s="374" t="s">
        <v>204</v>
      </c>
      <c r="B994" s="371"/>
      <c r="C994" s="371"/>
      <c r="D994" s="371"/>
    </row>
    <row r="995" spans="1:7" ht="13.8" thickBot="1" x14ac:dyDescent="0.3">
      <c r="A995" s="152" t="s">
        <v>182</v>
      </c>
      <c r="B995" s="19" t="s">
        <v>205</v>
      </c>
      <c r="C995" s="153" t="s">
        <v>206</v>
      </c>
      <c r="D995" s="154" t="s">
        <v>207</v>
      </c>
    </row>
    <row r="996" spans="1:7" ht="13.8" thickBot="1" x14ac:dyDescent="0.3">
      <c r="A996" s="22" t="s">
        <v>187</v>
      </c>
      <c r="B996" s="148" t="s">
        <v>418</v>
      </c>
      <c r="C996" s="24" t="s">
        <v>208</v>
      </c>
      <c r="D996" s="25" t="s">
        <v>209</v>
      </c>
    </row>
    <row r="997" spans="1:7" x14ac:dyDescent="0.25">
      <c r="A997" s="370" t="s">
        <v>427</v>
      </c>
      <c r="B997" s="371"/>
      <c r="C997" s="371"/>
      <c r="D997" s="371"/>
    </row>
    <row r="999" spans="1:7" ht="13.8" thickBot="1" x14ac:dyDescent="0.3">
      <c r="A999" s="374" t="s">
        <v>181</v>
      </c>
      <c r="B999" s="371"/>
      <c r="C999" s="371"/>
      <c r="D999" s="371"/>
      <c r="E999" s="371"/>
    </row>
    <row r="1000" spans="1:7" ht="35.4" thickBot="1" x14ac:dyDescent="0.3">
      <c r="A1000" s="152" t="s">
        <v>182</v>
      </c>
      <c r="B1000" s="19" t="s">
        <v>183</v>
      </c>
      <c r="C1000" s="153" t="s">
        <v>184</v>
      </c>
      <c r="D1000" s="153" t="s">
        <v>185</v>
      </c>
      <c r="E1000" s="154" t="s">
        <v>186</v>
      </c>
    </row>
    <row r="1001" spans="1:7" ht="13.8" thickBot="1" x14ac:dyDescent="0.3">
      <c r="A1001" s="22" t="s">
        <v>187</v>
      </c>
      <c r="B1001" s="149" t="s">
        <v>428</v>
      </c>
      <c r="C1001" s="27">
        <v>0.898854363939394</v>
      </c>
      <c r="D1001" s="27">
        <v>0.87573536141125552</v>
      </c>
      <c r="E1001" s="150">
        <v>47.303207979779522</v>
      </c>
    </row>
    <row r="1002" spans="1:7" x14ac:dyDescent="0.25">
      <c r="A1002" s="370" t="s">
        <v>421</v>
      </c>
      <c r="B1002" s="371"/>
      <c r="C1002" s="371"/>
      <c r="D1002" s="371"/>
      <c r="E1002" s="371"/>
    </row>
    <row r="1004" spans="1:7" ht="13.8" thickBot="1" x14ac:dyDescent="0.3">
      <c r="A1004" s="374" t="s">
        <v>188</v>
      </c>
      <c r="B1004" s="371"/>
      <c r="C1004" s="371"/>
      <c r="D1004" s="371"/>
      <c r="E1004" s="371"/>
      <c r="F1004" s="371"/>
      <c r="G1004" s="371"/>
    </row>
    <row r="1005" spans="1:7" ht="13.8" thickBot="1" x14ac:dyDescent="0.3">
      <c r="A1005" s="358" t="s">
        <v>182</v>
      </c>
      <c r="B1005" s="375"/>
      <c r="C1005" s="19" t="s">
        <v>189</v>
      </c>
      <c r="D1005" s="153" t="s">
        <v>190</v>
      </c>
      <c r="E1005" s="153" t="s">
        <v>191</v>
      </c>
      <c r="F1005" s="153" t="s">
        <v>85</v>
      </c>
      <c r="G1005" s="154" t="s">
        <v>192</v>
      </c>
    </row>
    <row r="1006" spans="1:7" ht="13.8" thickBot="1" x14ac:dyDescent="0.3">
      <c r="A1006" s="368" t="s">
        <v>187</v>
      </c>
      <c r="B1006" s="28" t="s">
        <v>193</v>
      </c>
      <c r="C1006" s="29">
        <v>695971.43438239652</v>
      </c>
      <c r="D1006" s="30">
        <v>8</v>
      </c>
      <c r="E1006" s="31">
        <v>86996.429297799565</v>
      </c>
      <c r="F1006" s="31">
        <v>38.879461293599661</v>
      </c>
      <c r="G1006" s="151" t="s">
        <v>213</v>
      </c>
    </row>
    <row r="1007" spans="1:7" x14ac:dyDescent="0.25">
      <c r="A1007" s="369"/>
      <c r="B1007" s="13" t="s">
        <v>194</v>
      </c>
      <c r="C1007" s="33">
        <v>78315.771981239683</v>
      </c>
      <c r="D1007" s="34">
        <v>35</v>
      </c>
      <c r="E1007" s="35">
        <v>2237.5934851782768</v>
      </c>
      <c r="F1007" s="74"/>
      <c r="G1007" s="75"/>
    </row>
    <row r="1008" spans="1:7" ht="13.8" thickBot="1" x14ac:dyDescent="0.3">
      <c r="A1008" s="360"/>
      <c r="B1008" s="16" t="s">
        <v>195</v>
      </c>
      <c r="C1008" s="38">
        <v>774287.20636363619</v>
      </c>
      <c r="D1008" s="39">
        <v>43</v>
      </c>
      <c r="E1008" s="76"/>
      <c r="F1008" s="76"/>
      <c r="G1008" s="77"/>
    </row>
    <row r="1009" spans="1:7" x14ac:dyDescent="0.25">
      <c r="A1009" s="370" t="s">
        <v>429</v>
      </c>
      <c r="B1009" s="371"/>
      <c r="C1009" s="371"/>
      <c r="D1009" s="371"/>
      <c r="E1009" s="371"/>
      <c r="F1009" s="371"/>
      <c r="G1009" s="371"/>
    </row>
    <row r="1011" spans="1:7" ht="13.8" thickBot="1" x14ac:dyDescent="0.3">
      <c r="A1011" s="374" t="s">
        <v>196</v>
      </c>
      <c r="B1011" s="371"/>
      <c r="C1011" s="371"/>
      <c r="D1011" s="371"/>
      <c r="E1011" s="371"/>
      <c r="F1011" s="371"/>
      <c r="G1011" s="371"/>
    </row>
    <row r="1012" spans="1:7" ht="24" thickBot="1" x14ac:dyDescent="0.3">
      <c r="A1012" s="358" t="s">
        <v>182</v>
      </c>
      <c r="B1012" s="359"/>
      <c r="C1012" s="362" t="s">
        <v>197</v>
      </c>
      <c r="D1012" s="363"/>
      <c r="E1012" s="42" t="s">
        <v>198</v>
      </c>
      <c r="F1012" s="364" t="s">
        <v>199</v>
      </c>
      <c r="G1012" s="366" t="s">
        <v>192</v>
      </c>
    </row>
    <row r="1013" spans="1:7" ht="24" thickBot="1" x14ac:dyDescent="0.3">
      <c r="A1013" s="360"/>
      <c r="B1013" s="361"/>
      <c r="C1013" s="43" t="s">
        <v>180</v>
      </c>
      <c r="D1013" s="44" t="s">
        <v>200</v>
      </c>
      <c r="E1013" s="44" t="s">
        <v>201</v>
      </c>
      <c r="F1013" s="365"/>
      <c r="G1013" s="367"/>
    </row>
    <row r="1014" spans="1:7" ht="13.8" thickBot="1" x14ac:dyDescent="0.3">
      <c r="A1014" s="368" t="s">
        <v>187</v>
      </c>
      <c r="B1014" s="28" t="s">
        <v>202</v>
      </c>
      <c r="C1014" s="29">
        <v>33388.0342558716</v>
      </c>
      <c r="D1014" s="31">
        <v>9690.9209243680616</v>
      </c>
      <c r="E1014" s="78"/>
      <c r="F1014" s="31">
        <v>3.4452901345956253</v>
      </c>
      <c r="G1014" s="46">
        <v>1.4991584366690098E-3</v>
      </c>
    </row>
    <row r="1015" spans="1:7" x14ac:dyDescent="0.25">
      <c r="A1015" s="369"/>
      <c r="B1015" s="13" t="s">
        <v>46</v>
      </c>
      <c r="C1015" s="33">
        <v>-2632.1448765420969</v>
      </c>
      <c r="D1015" s="35">
        <v>753.84423308321072</v>
      </c>
      <c r="E1015" s="35">
        <v>-5.2235641358917597</v>
      </c>
      <c r="F1015" s="35">
        <v>-3.4916296510973717</v>
      </c>
      <c r="G1015" s="47">
        <v>1.3190687605331138E-3</v>
      </c>
    </row>
    <row r="1016" spans="1:7" x14ac:dyDescent="0.25">
      <c r="A1016" s="369"/>
      <c r="B1016" s="13" t="s">
        <v>47</v>
      </c>
      <c r="C1016" s="33">
        <v>-2493.7024536859885</v>
      </c>
      <c r="D1016" s="35">
        <v>760.51912625394436</v>
      </c>
      <c r="E1016" s="35">
        <v>-2.4319652968705148</v>
      </c>
      <c r="F1016" s="35">
        <v>-3.2789477182107296</v>
      </c>
      <c r="G1016" s="47">
        <v>2.360497934647523E-3</v>
      </c>
    </row>
    <row r="1017" spans="1:7" x14ac:dyDescent="0.25">
      <c r="A1017" s="369"/>
      <c r="B1017" s="13" t="s">
        <v>48</v>
      </c>
      <c r="C1017" s="33">
        <v>-2155.1991460446288</v>
      </c>
      <c r="D1017" s="35">
        <v>739.23428757371448</v>
      </c>
      <c r="E1017" s="35">
        <v>-5.3215930844785682</v>
      </c>
      <c r="F1017" s="35">
        <v>-2.9154480281459052</v>
      </c>
      <c r="G1017" s="47">
        <v>6.1583660630720304E-3</v>
      </c>
    </row>
    <row r="1018" spans="1:7" x14ac:dyDescent="0.25">
      <c r="A1018" s="369"/>
      <c r="B1018" s="13" t="s">
        <v>49</v>
      </c>
      <c r="C1018" s="33">
        <v>-2570.0450365267593</v>
      </c>
      <c r="D1018" s="35">
        <v>741.2477065572732</v>
      </c>
      <c r="E1018" s="35">
        <v>-6.3774533100636832</v>
      </c>
      <c r="F1018" s="35">
        <v>-3.4671878425949401</v>
      </c>
      <c r="G1018" s="47">
        <v>1.4112939379648873E-3</v>
      </c>
    </row>
    <row r="1019" spans="1:7" x14ac:dyDescent="0.25">
      <c r="A1019" s="369"/>
      <c r="B1019" s="13" t="s">
        <v>51</v>
      </c>
      <c r="C1019" s="33">
        <v>-2460.3148207674203</v>
      </c>
      <c r="D1019" s="35">
        <v>731.66519875017207</v>
      </c>
      <c r="E1019" s="35">
        <v>-7.049039671834989</v>
      </c>
      <c r="F1019" s="35">
        <v>-3.3626238134191997</v>
      </c>
      <c r="G1019" s="47">
        <v>1.8806161845700085E-3</v>
      </c>
    </row>
    <row r="1020" spans="1:7" x14ac:dyDescent="0.25">
      <c r="A1020" s="369"/>
      <c r="B1020" s="13" t="s">
        <v>52</v>
      </c>
      <c r="C1020" s="33">
        <v>-287.99627859798949</v>
      </c>
      <c r="D1020" s="35">
        <v>110.94263775292741</v>
      </c>
      <c r="E1020" s="35">
        <v>-0.20484436701263992</v>
      </c>
      <c r="F1020" s="35">
        <v>-2.5959025711950878</v>
      </c>
      <c r="G1020" s="47">
        <v>1.3697480927913385E-2</v>
      </c>
    </row>
    <row r="1021" spans="1:7" x14ac:dyDescent="0.25">
      <c r="A1021" s="369"/>
      <c r="B1021" s="13" t="s">
        <v>53</v>
      </c>
      <c r="C1021" s="33">
        <v>6.5281514477010267</v>
      </c>
      <c r="D1021" s="35">
        <v>191.58472416506245</v>
      </c>
      <c r="E1021" s="35">
        <v>4.3458271189995568E-3</v>
      </c>
      <c r="F1021" s="35">
        <v>3.4074488329646824E-2</v>
      </c>
      <c r="G1021" s="47">
        <v>0.97301134210804019</v>
      </c>
    </row>
    <row r="1022" spans="1:7" ht="13.8" thickBot="1" x14ac:dyDescent="0.3">
      <c r="A1022" s="360"/>
      <c r="B1022" s="16" t="s">
        <v>54</v>
      </c>
      <c r="C1022" s="38">
        <v>388.2239967145461</v>
      </c>
      <c r="D1022" s="48">
        <v>321.69229314309018</v>
      </c>
      <c r="E1022" s="48">
        <v>0.13260377892742942</v>
      </c>
      <c r="F1022" s="48">
        <v>1.2068178348987126</v>
      </c>
      <c r="G1022" s="49">
        <v>0.23559584045287452</v>
      </c>
    </row>
    <row r="1023" spans="1:7" x14ac:dyDescent="0.25">
      <c r="A1023" s="370" t="s">
        <v>430</v>
      </c>
      <c r="B1023" s="371"/>
      <c r="C1023" s="371"/>
      <c r="D1023" s="371"/>
      <c r="E1023" s="371"/>
      <c r="F1023" s="371"/>
      <c r="G1023" s="371"/>
    </row>
    <row r="1026" spans="1:7" ht="13.8" thickBot="1" x14ac:dyDescent="0.3">
      <c r="A1026" s="406" t="s">
        <v>181</v>
      </c>
      <c r="B1026" s="406"/>
      <c r="C1026" s="406"/>
      <c r="D1026" s="406"/>
      <c r="E1026" s="406"/>
    </row>
    <row r="1027" spans="1:7" ht="35.4" thickBot="1" x14ac:dyDescent="0.3">
      <c r="A1027" s="186" t="s">
        <v>182</v>
      </c>
      <c r="B1027" s="19" t="s">
        <v>183</v>
      </c>
      <c r="C1027" s="187" t="s">
        <v>184</v>
      </c>
      <c r="D1027" s="187" t="s">
        <v>185</v>
      </c>
      <c r="E1027" s="188" t="s">
        <v>186</v>
      </c>
    </row>
    <row r="1028" spans="1:7" ht="13.8" thickBot="1" x14ac:dyDescent="0.3">
      <c r="A1028" s="22" t="s">
        <v>187</v>
      </c>
      <c r="B1028" s="149" t="s">
        <v>432</v>
      </c>
      <c r="C1028" s="27">
        <v>0.89197962829093924</v>
      </c>
      <c r="D1028" s="27">
        <v>0.87708026667589634</v>
      </c>
      <c r="E1028" s="50">
        <v>30.210889866272058</v>
      </c>
    </row>
    <row r="1029" spans="1:7" x14ac:dyDescent="0.25">
      <c r="A1029" s="432" t="s">
        <v>433</v>
      </c>
      <c r="B1029" s="432"/>
      <c r="C1029" s="432"/>
      <c r="D1029" s="432"/>
      <c r="E1029" s="432"/>
    </row>
    <row r="1031" spans="1:7" ht="13.5" customHeight="1" thickBot="1" x14ac:dyDescent="0.3">
      <c r="A1031" s="406" t="s">
        <v>188</v>
      </c>
      <c r="B1031" s="406"/>
      <c r="C1031" s="406"/>
      <c r="D1031" s="406"/>
      <c r="E1031" s="406"/>
      <c r="F1031" s="406"/>
      <c r="G1031" s="406"/>
    </row>
    <row r="1032" spans="1:7" ht="13.8" thickBot="1" x14ac:dyDescent="0.3">
      <c r="A1032" s="446" t="s">
        <v>182</v>
      </c>
      <c r="B1032" s="447"/>
      <c r="C1032" s="19" t="s">
        <v>189</v>
      </c>
      <c r="D1032" s="187" t="s">
        <v>190</v>
      </c>
      <c r="E1032" s="187" t="s">
        <v>191</v>
      </c>
      <c r="F1032" s="187" t="s">
        <v>85</v>
      </c>
      <c r="G1032" s="188" t="s">
        <v>192</v>
      </c>
    </row>
    <row r="1033" spans="1:7" x14ac:dyDescent="0.25">
      <c r="A1033" s="443" t="s">
        <v>187</v>
      </c>
      <c r="B1033" s="28" t="s">
        <v>193</v>
      </c>
      <c r="C1033" s="29">
        <v>437123.64314528788</v>
      </c>
      <c r="D1033" s="30">
        <v>8</v>
      </c>
      <c r="E1033" s="31">
        <v>54640.455393160984</v>
      </c>
      <c r="F1033" s="31">
        <v>59.866969561324588</v>
      </c>
      <c r="G1033" s="151" t="s">
        <v>213</v>
      </c>
    </row>
    <row r="1034" spans="1:7" x14ac:dyDescent="0.25">
      <c r="A1034" s="444"/>
      <c r="B1034" s="13" t="s">
        <v>194</v>
      </c>
      <c r="C1034" s="33">
        <v>52936.476257697141</v>
      </c>
      <c r="D1034" s="34">
        <v>58</v>
      </c>
      <c r="E1034" s="35">
        <v>912.69786651201969</v>
      </c>
      <c r="F1034" s="74"/>
      <c r="G1034" s="75"/>
    </row>
    <row r="1035" spans="1:7" ht="13.8" thickBot="1" x14ac:dyDescent="0.3">
      <c r="A1035" s="445"/>
      <c r="B1035" s="16" t="s">
        <v>195</v>
      </c>
      <c r="C1035" s="38">
        <v>490060.11940298503</v>
      </c>
      <c r="D1035" s="39">
        <v>66</v>
      </c>
      <c r="E1035" s="76"/>
      <c r="F1035" s="76"/>
      <c r="G1035" s="77"/>
    </row>
    <row r="1036" spans="1:7" x14ac:dyDescent="0.25">
      <c r="A1036" s="432" t="s">
        <v>434</v>
      </c>
      <c r="B1036" s="432"/>
      <c r="C1036" s="432"/>
      <c r="D1036" s="432"/>
      <c r="E1036" s="432"/>
      <c r="F1036" s="432"/>
      <c r="G1036" s="432"/>
    </row>
    <row r="1038" spans="1:7" ht="13.5" customHeight="1" thickBot="1" x14ac:dyDescent="0.3">
      <c r="A1038" s="406" t="s">
        <v>196</v>
      </c>
      <c r="B1038" s="406"/>
      <c r="C1038" s="406"/>
      <c r="D1038" s="406"/>
      <c r="E1038" s="406"/>
      <c r="F1038" s="406"/>
      <c r="G1038" s="406"/>
    </row>
    <row r="1039" spans="1:7" ht="23.4" x14ac:dyDescent="0.25">
      <c r="A1039" s="433" t="s">
        <v>182</v>
      </c>
      <c r="B1039" s="434"/>
      <c r="C1039" s="437" t="s">
        <v>197</v>
      </c>
      <c r="D1039" s="438"/>
      <c r="E1039" s="42" t="s">
        <v>198</v>
      </c>
      <c r="F1039" s="439" t="s">
        <v>199</v>
      </c>
      <c r="G1039" s="441" t="s">
        <v>192</v>
      </c>
    </row>
    <row r="1040" spans="1:7" ht="24" thickBot="1" x14ac:dyDescent="0.3">
      <c r="A1040" s="435"/>
      <c r="B1040" s="436"/>
      <c r="C1040" s="43" t="s">
        <v>180</v>
      </c>
      <c r="D1040" s="44" t="s">
        <v>200</v>
      </c>
      <c r="E1040" s="44" t="s">
        <v>201</v>
      </c>
      <c r="F1040" s="440"/>
      <c r="G1040" s="442"/>
    </row>
    <row r="1041" spans="1:7" x14ac:dyDescent="0.25">
      <c r="A1041" s="443" t="s">
        <v>187</v>
      </c>
      <c r="B1041" s="28" t="s">
        <v>202</v>
      </c>
      <c r="C1041" s="29">
        <v>1138.0086550955737</v>
      </c>
      <c r="D1041" s="31">
        <v>582.5959182005688</v>
      </c>
      <c r="E1041" s="78"/>
      <c r="F1041" s="31">
        <v>1.9533412774508907</v>
      </c>
      <c r="G1041" s="46">
        <v>5.5608780079193065E-2</v>
      </c>
    </row>
    <row r="1042" spans="1:7" x14ac:dyDescent="0.25">
      <c r="A1042" s="444"/>
      <c r="B1042" s="13" t="s">
        <v>398</v>
      </c>
      <c r="C1042" s="33">
        <v>-12.281372507780844</v>
      </c>
      <c r="D1042" s="35">
        <v>6.951921794643761</v>
      </c>
      <c r="E1042" s="35">
        <v>-0.3353307264296449</v>
      </c>
      <c r="F1042" s="35">
        <v>-1.7666154583676787</v>
      </c>
      <c r="G1042" s="47">
        <v>8.2554405961765623E-2</v>
      </c>
    </row>
    <row r="1043" spans="1:7" x14ac:dyDescent="0.25">
      <c r="A1043" s="444"/>
      <c r="B1043" s="13" t="s">
        <v>399</v>
      </c>
      <c r="C1043" s="33">
        <v>15.82020033889436</v>
      </c>
      <c r="D1043" s="35">
        <v>6.9554204188805544</v>
      </c>
      <c r="E1043" s="35">
        <v>0.24503801300693087</v>
      </c>
      <c r="F1043" s="35">
        <v>2.2745138878952993</v>
      </c>
      <c r="G1043" s="47">
        <v>2.6650366297341636E-2</v>
      </c>
    </row>
    <row r="1044" spans="1:7" x14ac:dyDescent="0.25">
      <c r="A1044" s="444"/>
      <c r="B1044" s="13" t="s">
        <v>400</v>
      </c>
      <c r="C1044" s="33">
        <v>7.0131665823186289</v>
      </c>
      <c r="D1044" s="35">
        <v>7.2345668013998816</v>
      </c>
      <c r="E1044" s="35">
        <v>0.17515345016920156</v>
      </c>
      <c r="F1044" s="35">
        <v>0.96939689339264767</v>
      </c>
      <c r="G1044" s="47">
        <v>0.33637245449737896</v>
      </c>
    </row>
    <row r="1045" spans="1:7" x14ac:dyDescent="0.25">
      <c r="A1045" s="444"/>
      <c r="B1045" s="13" t="s">
        <v>68</v>
      </c>
      <c r="C1045" s="33">
        <v>1.7373115478587897</v>
      </c>
      <c r="D1045" s="35">
        <v>6.6679316565705706</v>
      </c>
      <c r="E1045" s="35">
        <v>5.1384725080050993E-2</v>
      </c>
      <c r="F1045" s="35">
        <v>0.26054729372441082</v>
      </c>
      <c r="G1045" s="47">
        <v>0.79536445969817571</v>
      </c>
    </row>
    <row r="1046" spans="1:7" x14ac:dyDescent="0.25">
      <c r="A1046" s="444"/>
      <c r="B1046" s="13" t="s">
        <v>70</v>
      </c>
      <c r="C1046" s="33">
        <v>20.277605034461985</v>
      </c>
      <c r="D1046" s="35">
        <v>9.3053739938622986</v>
      </c>
      <c r="E1046" s="35">
        <v>0.42754560096173178</v>
      </c>
      <c r="F1046" s="35">
        <v>2.1791284313598598</v>
      </c>
      <c r="G1046" s="47">
        <v>3.339737766248687E-2</v>
      </c>
    </row>
    <row r="1047" spans="1:7" x14ac:dyDescent="0.25">
      <c r="A1047" s="444"/>
      <c r="B1047" s="13" t="s">
        <v>71</v>
      </c>
      <c r="C1047" s="33">
        <v>-20.728711630541497</v>
      </c>
      <c r="D1047" s="35">
        <v>9.1383404533858847</v>
      </c>
      <c r="E1047" s="35">
        <v>-0.14193516374594417</v>
      </c>
      <c r="F1047" s="35">
        <v>-2.2683234156439438</v>
      </c>
      <c r="G1047" s="47">
        <v>2.7048483661118696E-2</v>
      </c>
    </row>
    <row r="1048" spans="1:7" x14ac:dyDescent="0.25">
      <c r="A1048" s="444"/>
      <c r="B1048" s="13" t="s">
        <v>431</v>
      </c>
      <c r="C1048" s="33">
        <v>54.740807940065615</v>
      </c>
      <c r="D1048" s="35">
        <v>20.862103068104332</v>
      </c>
      <c r="E1048" s="35">
        <v>0.2835377557898327</v>
      </c>
      <c r="F1048" s="35">
        <v>2.6239352648850529</v>
      </c>
      <c r="G1048" s="47">
        <v>1.109040098975402E-2</v>
      </c>
    </row>
    <row r="1049" spans="1:7" ht="13.8" thickBot="1" x14ac:dyDescent="0.3">
      <c r="A1049" s="445"/>
      <c r="B1049" s="16" t="s">
        <v>401</v>
      </c>
      <c r="C1049" s="38">
        <v>32.594076095793241</v>
      </c>
      <c r="D1049" s="48">
        <v>15.448987476197486</v>
      </c>
      <c r="E1049" s="48">
        <v>0.16671007605360658</v>
      </c>
      <c r="F1049" s="48">
        <v>2.1097872042430925</v>
      </c>
      <c r="G1049" s="49">
        <v>3.920227135443758E-2</v>
      </c>
    </row>
    <row r="1050" spans="1:7" x14ac:dyDescent="0.25">
      <c r="A1050" s="432" t="s">
        <v>203</v>
      </c>
      <c r="B1050" s="432"/>
      <c r="C1050" s="432"/>
      <c r="D1050" s="432"/>
      <c r="E1050" s="432"/>
      <c r="F1050" s="432"/>
      <c r="G1050" s="432"/>
    </row>
    <row r="1053" spans="1:7" x14ac:dyDescent="0.25">
      <c r="A1053" t="s">
        <v>458</v>
      </c>
    </row>
    <row r="1055" spans="1:7" ht="13.8" thickBot="1" x14ac:dyDescent="0.3">
      <c r="A1055" s="374" t="s">
        <v>181</v>
      </c>
      <c r="B1055" s="371"/>
      <c r="C1055" s="371"/>
      <c r="D1055" s="371"/>
      <c r="E1055" s="371"/>
    </row>
    <row r="1056" spans="1:7" ht="35.4" thickBot="1" x14ac:dyDescent="0.3">
      <c r="A1056" s="199" t="s">
        <v>182</v>
      </c>
      <c r="B1056" s="200" t="s">
        <v>183</v>
      </c>
      <c r="C1056" s="201" t="s">
        <v>184</v>
      </c>
      <c r="D1056" s="201" t="s">
        <v>185</v>
      </c>
      <c r="E1056" s="202" t="s">
        <v>186</v>
      </c>
    </row>
    <row r="1057" spans="1:7" ht="13.8" thickBot="1" x14ac:dyDescent="0.3">
      <c r="A1057" s="203" t="s">
        <v>187</v>
      </c>
      <c r="B1057" s="204" t="s">
        <v>459</v>
      </c>
      <c r="C1057" s="205">
        <v>0.96233037797834864</v>
      </c>
      <c r="D1057" s="205">
        <v>0.94977383730446485</v>
      </c>
      <c r="E1057" s="206">
        <v>15.791294413193881</v>
      </c>
    </row>
    <row r="1058" spans="1:7" x14ac:dyDescent="0.25">
      <c r="A1058" s="373" t="s">
        <v>460</v>
      </c>
      <c r="B1058" s="371"/>
      <c r="C1058" s="371"/>
      <c r="D1058" s="371"/>
      <c r="E1058" s="371"/>
    </row>
    <row r="1060" spans="1:7" ht="13.8" thickBot="1" x14ac:dyDescent="0.3">
      <c r="A1060" s="374" t="s">
        <v>188</v>
      </c>
      <c r="B1060" s="371"/>
      <c r="C1060" s="371"/>
      <c r="D1060" s="371"/>
      <c r="E1060" s="371"/>
      <c r="F1060" s="371"/>
      <c r="G1060" s="371"/>
    </row>
    <row r="1061" spans="1:7" ht="13.8" thickBot="1" x14ac:dyDescent="0.3">
      <c r="A1061" s="376" t="s">
        <v>182</v>
      </c>
      <c r="B1061" s="375"/>
      <c r="C1061" s="200" t="s">
        <v>189</v>
      </c>
      <c r="D1061" s="201" t="s">
        <v>190</v>
      </c>
      <c r="E1061" s="201" t="s">
        <v>191</v>
      </c>
      <c r="F1061" s="201" t="s">
        <v>85</v>
      </c>
      <c r="G1061" s="202" t="s">
        <v>192</v>
      </c>
    </row>
    <row r="1062" spans="1:7" ht="13.8" thickBot="1" x14ac:dyDescent="0.3">
      <c r="A1062" s="372" t="s">
        <v>187</v>
      </c>
      <c r="B1062" s="207" t="s">
        <v>193</v>
      </c>
      <c r="C1062" s="208">
        <v>172001.46988473178</v>
      </c>
      <c r="D1062" s="209">
        <v>9</v>
      </c>
      <c r="E1062" s="210">
        <v>19111.274431636863</v>
      </c>
      <c r="F1062" s="210">
        <v>76.639769102957473</v>
      </c>
      <c r="G1062" s="211" t="s">
        <v>461</v>
      </c>
    </row>
    <row r="1063" spans="1:7" x14ac:dyDescent="0.25">
      <c r="A1063" s="369"/>
      <c r="B1063" s="212" t="s">
        <v>194</v>
      </c>
      <c r="C1063" s="213">
        <v>6732.8544395925437</v>
      </c>
      <c r="D1063" s="214">
        <v>27</v>
      </c>
      <c r="E1063" s="215">
        <v>249.3649792441683</v>
      </c>
      <c r="F1063" s="74"/>
      <c r="G1063" s="75"/>
    </row>
    <row r="1064" spans="1:7" ht="13.8" thickBot="1" x14ac:dyDescent="0.3">
      <c r="A1064" s="360"/>
      <c r="B1064" s="216" t="s">
        <v>195</v>
      </c>
      <c r="C1064" s="217">
        <v>178734.32432432432</v>
      </c>
      <c r="D1064" s="218">
        <v>36</v>
      </c>
      <c r="E1064" s="76"/>
      <c r="F1064" s="76"/>
      <c r="G1064" s="77"/>
    </row>
    <row r="1065" spans="1:7" x14ac:dyDescent="0.25">
      <c r="A1065" s="373" t="s">
        <v>462</v>
      </c>
      <c r="B1065" s="371"/>
      <c r="C1065" s="371"/>
      <c r="D1065" s="371"/>
      <c r="E1065" s="371"/>
      <c r="F1065" s="371"/>
      <c r="G1065" s="371"/>
    </row>
    <row r="1067" spans="1:7" ht="13.8" thickBot="1" x14ac:dyDescent="0.3">
      <c r="A1067" s="374" t="s">
        <v>196</v>
      </c>
      <c r="B1067" s="371"/>
      <c r="C1067" s="371"/>
      <c r="D1067" s="371"/>
      <c r="E1067" s="371"/>
      <c r="F1067" s="371"/>
      <c r="G1067" s="371"/>
    </row>
    <row r="1068" spans="1:7" ht="24" thickBot="1" x14ac:dyDescent="0.3">
      <c r="A1068" s="376" t="s">
        <v>182</v>
      </c>
      <c r="B1068" s="359"/>
      <c r="C1068" s="377" t="s">
        <v>197</v>
      </c>
      <c r="D1068" s="363"/>
      <c r="E1068" s="219" t="s">
        <v>198</v>
      </c>
      <c r="F1068" s="378" t="s">
        <v>199</v>
      </c>
      <c r="G1068" s="379" t="s">
        <v>192</v>
      </c>
    </row>
    <row r="1069" spans="1:7" ht="24" thickBot="1" x14ac:dyDescent="0.3">
      <c r="A1069" s="360"/>
      <c r="B1069" s="361"/>
      <c r="C1069" s="220" t="s">
        <v>180</v>
      </c>
      <c r="D1069" s="221" t="s">
        <v>200</v>
      </c>
      <c r="E1069" s="221" t="s">
        <v>201</v>
      </c>
      <c r="F1069" s="365"/>
      <c r="G1069" s="367"/>
    </row>
    <row r="1070" spans="1:7" ht="13.8" thickBot="1" x14ac:dyDescent="0.3">
      <c r="A1070" s="372" t="s">
        <v>187</v>
      </c>
      <c r="B1070" s="207" t="s">
        <v>202</v>
      </c>
      <c r="C1070" s="208">
        <v>182.61312770789391</v>
      </c>
      <c r="D1070" s="210">
        <v>355.68674155896491</v>
      </c>
      <c r="E1070" s="78"/>
      <c r="F1070" s="210">
        <v>0.51340999360140815</v>
      </c>
      <c r="G1070" s="222">
        <v>0.61184044224571776</v>
      </c>
    </row>
    <row r="1071" spans="1:7" x14ac:dyDescent="0.25">
      <c r="A1071" s="369"/>
      <c r="B1071" s="212" t="s">
        <v>457</v>
      </c>
      <c r="C1071" s="213">
        <v>1143.5698012107621</v>
      </c>
      <c r="D1071" s="215">
        <v>413.69554196049882</v>
      </c>
      <c r="E1071" s="215">
        <v>7.2917166313373727</v>
      </c>
      <c r="F1071" s="215">
        <v>2.7642787635356108</v>
      </c>
      <c r="G1071" s="223">
        <v>1.0153484520813182E-2</v>
      </c>
    </row>
    <row r="1072" spans="1:7" x14ac:dyDescent="0.25">
      <c r="A1072" s="369"/>
      <c r="B1072" s="212" t="s">
        <v>46</v>
      </c>
      <c r="C1072" s="213">
        <v>94.974198194496978</v>
      </c>
      <c r="D1072" s="215">
        <v>89.992217251206213</v>
      </c>
      <c r="E1072" s="215">
        <v>0.31405137024369345</v>
      </c>
      <c r="F1072" s="215">
        <v>1.0553601310809351</v>
      </c>
      <c r="G1072" s="223">
        <v>0.30061312715455724</v>
      </c>
    </row>
    <row r="1073" spans="1:7" x14ac:dyDescent="0.25">
      <c r="A1073" s="369"/>
      <c r="B1073" s="212" t="s">
        <v>47</v>
      </c>
      <c r="C1073" s="213">
        <v>333.30050235035418</v>
      </c>
      <c r="D1073" s="215">
        <v>568.53150201037147</v>
      </c>
      <c r="E1073" s="215">
        <v>7.9186150295290053E-2</v>
      </c>
      <c r="F1073" s="215">
        <v>0.58624808154302399</v>
      </c>
      <c r="G1073" s="223">
        <v>0.56257830247256468</v>
      </c>
    </row>
    <row r="1074" spans="1:7" x14ac:dyDescent="0.25">
      <c r="A1074" s="369"/>
      <c r="B1074" s="212" t="s">
        <v>48</v>
      </c>
      <c r="C1074" s="213">
        <v>1804.2332967634384</v>
      </c>
      <c r="D1074" s="215">
        <v>589.06877455183758</v>
      </c>
      <c r="E1074" s="215">
        <v>2.9079457078956406</v>
      </c>
      <c r="F1074" s="215">
        <v>3.0628567914435725</v>
      </c>
      <c r="G1074" s="223">
        <v>4.9224001756777306E-3</v>
      </c>
    </row>
    <row r="1075" spans="1:7" x14ac:dyDescent="0.25">
      <c r="A1075" s="369"/>
      <c r="B1075" s="212" t="s">
        <v>49</v>
      </c>
      <c r="C1075" s="213">
        <v>-2284.436468721889</v>
      </c>
      <c r="D1075" s="215">
        <v>922.59492848810612</v>
      </c>
      <c r="E1075" s="215">
        <v>-3.3858629309401493</v>
      </c>
      <c r="F1075" s="215">
        <v>-2.4760990963450102</v>
      </c>
      <c r="G1075" s="223">
        <v>1.9844498245636888E-2</v>
      </c>
    </row>
    <row r="1076" spans="1:7" x14ac:dyDescent="0.25">
      <c r="A1076" s="369"/>
      <c r="B1076" s="212" t="s">
        <v>51</v>
      </c>
      <c r="C1076" s="213">
        <v>-2071.6829777207045</v>
      </c>
      <c r="D1076" s="215">
        <v>926.30069999662317</v>
      </c>
      <c r="E1076" s="215">
        <v>-2.3146762752048184</v>
      </c>
      <c r="F1076" s="215">
        <v>-2.2365123741440085</v>
      </c>
      <c r="G1076" s="223">
        <v>3.3776662364055195E-2</v>
      </c>
    </row>
    <row r="1077" spans="1:7" x14ac:dyDescent="0.25">
      <c r="A1077" s="369"/>
      <c r="B1077" s="212" t="s">
        <v>52</v>
      </c>
      <c r="C1077" s="213">
        <v>-2914.0115745580706</v>
      </c>
      <c r="D1077" s="215">
        <v>945.60539539983245</v>
      </c>
      <c r="E1077" s="215">
        <v>-4.0696535132991141</v>
      </c>
      <c r="F1077" s="215">
        <v>-3.0816359432106801</v>
      </c>
      <c r="G1077" s="223">
        <v>4.6991243321340085E-3</v>
      </c>
    </row>
    <row r="1078" spans="1:7" x14ac:dyDescent="0.25">
      <c r="A1078" s="369"/>
      <c r="B1078" s="212" t="s">
        <v>53</v>
      </c>
      <c r="C1078" s="213">
        <v>-1180.6937081083624</v>
      </c>
      <c r="D1078" s="215">
        <v>441.16966331232044</v>
      </c>
      <c r="E1078" s="215">
        <v>-0.86390795959197364</v>
      </c>
      <c r="F1078" s="215">
        <v>-2.6762803662510795</v>
      </c>
      <c r="G1078" s="223">
        <v>1.2499358361858148E-2</v>
      </c>
    </row>
    <row r="1079" spans="1:7" ht="13.8" thickBot="1" x14ac:dyDescent="0.3">
      <c r="A1079" s="360"/>
      <c r="B1079" s="216" t="s">
        <v>54</v>
      </c>
      <c r="C1079" s="217">
        <v>-1246.9862032187007</v>
      </c>
      <c r="D1079" s="224">
        <v>474.03480439660461</v>
      </c>
      <c r="E1079" s="224">
        <v>-0.8618395502984737</v>
      </c>
      <c r="F1079" s="224">
        <v>-2.6305794250824688</v>
      </c>
      <c r="G1079" s="225">
        <v>1.3909044272407793E-2</v>
      </c>
    </row>
    <row r="1080" spans="1:7" x14ac:dyDescent="0.25">
      <c r="A1080" s="373" t="s">
        <v>463</v>
      </c>
      <c r="B1080" s="371"/>
      <c r="C1080" s="371"/>
      <c r="D1080" s="371"/>
      <c r="E1080" s="371"/>
      <c r="F1080" s="371"/>
      <c r="G1080" s="371"/>
    </row>
    <row r="1081" spans="1:7" x14ac:dyDescent="0.25">
      <c r="A1081" s="226"/>
      <c r="B1081" s="226"/>
    </row>
    <row r="1083" spans="1:7" ht="13.8" thickBot="1" x14ac:dyDescent="0.3">
      <c r="A1083" s="374" t="s">
        <v>181</v>
      </c>
      <c r="B1083" s="371"/>
      <c r="C1083" s="371"/>
      <c r="D1083" s="371"/>
      <c r="E1083" s="371"/>
    </row>
    <row r="1084" spans="1:7" ht="35.4" thickBot="1" x14ac:dyDescent="0.3">
      <c r="A1084" s="195" t="s">
        <v>182</v>
      </c>
      <c r="B1084" s="19" t="s">
        <v>183</v>
      </c>
      <c r="C1084" s="196" t="s">
        <v>184</v>
      </c>
      <c r="D1084" s="196" t="s">
        <v>185</v>
      </c>
      <c r="E1084" s="197" t="s">
        <v>186</v>
      </c>
    </row>
    <row r="1085" spans="1:7" ht="13.8" thickBot="1" x14ac:dyDescent="0.3">
      <c r="A1085" s="22" t="s">
        <v>187</v>
      </c>
      <c r="B1085" s="149" t="s">
        <v>464</v>
      </c>
      <c r="C1085" s="27">
        <v>0.91537030133637631</v>
      </c>
      <c r="D1085" s="27">
        <v>0.88607540564512199</v>
      </c>
      <c r="E1085" s="150">
        <v>0.18762210722743827</v>
      </c>
    </row>
    <row r="1086" spans="1:7" x14ac:dyDescent="0.25">
      <c r="A1086" s="370" t="s">
        <v>460</v>
      </c>
      <c r="B1086" s="371"/>
      <c r="C1086" s="371"/>
      <c r="D1086" s="371"/>
      <c r="E1086" s="371"/>
    </row>
    <row r="1088" spans="1:7" ht="13.8" thickBot="1" x14ac:dyDescent="0.3">
      <c r="A1088" s="374" t="s">
        <v>188</v>
      </c>
      <c r="B1088" s="371"/>
      <c r="C1088" s="371"/>
      <c r="D1088" s="371"/>
      <c r="E1088" s="371"/>
      <c r="F1088" s="371"/>
      <c r="G1088" s="371"/>
    </row>
    <row r="1089" spans="1:7" ht="13.8" thickBot="1" x14ac:dyDescent="0.3">
      <c r="A1089" s="358" t="s">
        <v>182</v>
      </c>
      <c r="B1089" s="375"/>
      <c r="C1089" s="19" t="s">
        <v>189</v>
      </c>
      <c r="D1089" s="196" t="s">
        <v>190</v>
      </c>
      <c r="E1089" s="196" t="s">
        <v>191</v>
      </c>
      <c r="F1089" s="196" t="s">
        <v>85</v>
      </c>
      <c r="G1089" s="197" t="s">
        <v>192</v>
      </c>
    </row>
    <row r="1090" spans="1:7" ht="13.8" thickBot="1" x14ac:dyDescent="0.3">
      <c r="A1090" s="368" t="s">
        <v>187</v>
      </c>
      <c r="B1090" s="28" t="s">
        <v>193</v>
      </c>
      <c r="C1090" s="29">
        <v>9.8995485522787003</v>
      </c>
      <c r="D1090" s="30">
        <v>9</v>
      </c>
      <c r="E1090" s="31">
        <v>1.0999498391420779</v>
      </c>
      <c r="F1090" s="31">
        <v>31.246750662083766</v>
      </c>
      <c r="G1090" s="151" t="s">
        <v>213</v>
      </c>
    </row>
    <row r="1091" spans="1:7" x14ac:dyDescent="0.25">
      <c r="A1091" s="369"/>
      <c r="B1091" s="13" t="s">
        <v>194</v>
      </c>
      <c r="C1091" s="33">
        <v>0.91525343313207286</v>
      </c>
      <c r="D1091" s="34">
        <v>26</v>
      </c>
      <c r="E1091" s="35">
        <v>3.5202055120464343E-2</v>
      </c>
      <c r="F1091" s="74"/>
      <c r="G1091" s="75"/>
    </row>
    <row r="1092" spans="1:7" ht="13.8" thickBot="1" x14ac:dyDescent="0.3">
      <c r="A1092" s="360"/>
      <c r="B1092" s="16" t="s">
        <v>195</v>
      </c>
      <c r="C1092" s="38">
        <v>10.814801985410773</v>
      </c>
      <c r="D1092" s="39">
        <v>35</v>
      </c>
      <c r="E1092" s="76"/>
      <c r="F1092" s="76"/>
      <c r="G1092" s="77"/>
    </row>
    <row r="1093" spans="1:7" x14ac:dyDescent="0.25">
      <c r="A1093" s="370" t="s">
        <v>465</v>
      </c>
      <c r="B1093" s="371"/>
      <c r="C1093" s="371"/>
      <c r="D1093" s="371"/>
      <c r="E1093" s="371"/>
      <c r="F1093" s="371"/>
      <c r="G1093" s="371"/>
    </row>
    <row r="1095" spans="1:7" ht="13.8" thickBot="1" x14ac:dyDescent="0.3">
      <c r="A1095" s="374" t="s">
        <v>196</v>
      </c>
      <c r="B1095" s="371"/>
      <c r="C1095" s="371"/>
      <c r="D1095" s="371"/>
      <c r="E1095" s="371"/>
      <c r="F1095" s="371"/>
      <c r="G1095" s="371"/>
    </row>
    <row r="1096" spans="1:7" ht="24" thickBot="1" x14ac:dyDescent="0.3">
      <c r="A1096" s="358" t="s">
        <v>182</v>
      </c>
      <c r="B1096" s="359"/>
      <c r="C1096" s="362" t="s">
        <v>197</v>
      </c>
      <c r="D1096" s="363"/>
      <c r="E1096" s="42" t="s">
        <v>198</v>
      </c>
      <c r="F1096" s="364" t="s">
        <v>199</v>
      </c>
      <c r="G1096" s="366" t="s">
        <v>192</v>
      </c>
    </row>
    <row r="1097" spans="1:7" ht="24" thickBot="1" x14ac:dyDescent="0.3">
      <c r="A1097" s="360"/>
      <c r="B1097" s="361"/>
      <c r="C1097" s="43" t="s">
        <v>180</v>
      </c>
      <c r="D1097" s="44" t="s">
        <v>200</v>
      </c>
      <c r="E1097" s="44" t="s">
        <v>201</v>
      </c>
      <c r="F1097" s="365"/>
      <c r="G1097" s="367"/>
    </row>
    <row r="1098" spans="1:7" ht="13.8" thickBot="1" x14ac:dyDescent="0.3">
      <c r="A1098" s="368" t="s">
        <v>187</v>
      </c>
      <c r="B1098" s="28" t="s">
        <v>202</v>
      </c>
      <c r="C1098" s="29">
        <v>4.6211221055068297</v>
      </c>
      <c r="D1098" s="31">
        <v>4.3220692814825261</v>
      </c>
      <c r="E1098" s="78"/>
      <c r="F1098" s="31">
        <v>1.0691920477317578</v>
      </c>
      <c r="G1098" s="46">
        <v>0.29480955267656289</v>
      </c>
    </row>
    <row r="1099" spans="1:7" x14ac:dyDescent="0.25">
      <c r="A1099" s="369"/>
      <c r="B1099" s="13" t="s">
        <v>457</v>
      </c>
      <c r="C1099" s="33">
        <v>5.5023392999992753</v>
      </c>
      <c r="D1099" s="35">
        <v>5.0117800968289545</v>
      </c>
      <c r="E1099" s="35">
        <v>4.5064469352179994</v>
      </c>
      <c r="F1099" s="35">
        <v>1.0978812305593189</v>
      </c>
      <c r="G1099" s="47">
        <v>0.28232011324352357</v>
      </c>
    </row>
    <row r="1100" spans="1:7" x14ac:dyDescent="0.25">
      <c r="A1100" s="369"/>
      <c r="B1100" s="13" t="s">
        <v>46</v>
      </c>
      <c r="C1100" s="33">
        <v>-0.75926553324524504</v>
      </c>
      <c r="D1100" s="35">
        <v>1.0939518311619285</v>
      </c>
      <c r="E1100" s="35">
        <v>-0.32271764206118503</v>
      </c>
      <c r="F1100" s="35">
        <v>-0.69405755501940136</v>
      </c>
      <c r="G1100" s="47">
        <v>0.49380133452166897</v>
      </c>
    </row>
    <row r="1101" spans="1:7" x14ac:dyDescent="0.25">
      <c r="A1101" s="369"/>
      <c r="B1101" s="13" t="s">
        <v>47</v>
      </c>
      <c r="C1101" s="33">
        <v>-4.3032761404140292</v>
      </c>
      <c r="D1101" s="35">
        <v>6.7612969365331157</v>
      </c>
      <c r="E1101" s="35">
        <v>-0.13131248997867837</v>
      </c>
      <c r="F1101" s="35">
        <v>-0.63645720352293134</v>
      </c>
      <c r="G1101" s="47">
        <v>0.53004232821170749</v>
      </c>
    </row>
    <row r="1102" spans="1:7" x14ac:dyDescent="0.25">
      <c r="A1102" s="369"/>
      <c r="B1102" s="13" t="s">
        <v>48</v>
      </c>
      <c r="C1102" s="33">
        <v>10.140790223585483</v>
      </c>
      <c r="D1102" s="35">
        <v>7.13415730900289</v>
      </c>
      <c r="E1102" s="35">
        <v>2.1010766285957043</v>
      </c>
      <c r="F1102" s="35">
        <v>1.4214419144905031</v>
      </c>
      <c r="G1102" s="47">
        <v>0.16707291632137361</v>
      </c>
    </row>
    <row r="1103" spans="1:7" x14ac:dyDescent="0.25">
      <c r="A1103" s="369"/>
      <c r="B1103" s="13" t="s">
        <v>49</v>
      </c>
      <c r="C1103" s="33">
        <v>-12.149664141110064</v>
      </c>
      <c r="D1103" s="35">
        <v>11.135319586717513</v>
      </c>
      <c r="E1103" s="35">
        <v>-2.3087174024670616</v>
      </c>
      <c r="F1103" s="35">
        <v>-1.0910925408555392</v>
      </c>
      <c r="G1103" s="47">
        <v>0.285240656903262</v>
      </c>
    </row>
    <row r="1104" spans="1:7" x14ac:dyDescent="0.25">
      <c r="A1104" s="369"/>
      <c r="B1104" s="13" t="s">
        <v>51</v>
      </c>
      <c r="C1104" s="33">
        <v>-10.097584736654717</v>
      </c>
      <c r="D1104" s="35">
        <v>11.211592946464629</v>
      </c>
      <c r="E1104" s="35">
        <v>-1.4502529257949428</v>
      </c>
      <c r="F1104" s="35">
        <v>-0.90063782951010596</v>
      </c>
      <c r="G1104" s="47">
        <v>0.37604796797782747</v>
      </c>
    </row>
    <row r="1105" spans="1:7" x14ac:dyDescent="0.25">
      <c r="A1105" s="369"/>
      <c r="B1105" s="13" t="s">
        <v>52</v>
      </c>
      <c r="C1105" s="33">
        <v>-14.482544732071275</v>
      </c>
      <c r="D1105" s="35">
        <v>11.458767674804021</v>
      </c>
      <c r="E1105" s="35">
        <v>-2.6001837147202074</v>
      </c>
      <c r="F1105" s="35">
        <v>-1.263883267649806</v>
      </c>
      <c r="G1105" s="47">
        <v>0.21748651105352321</v>
      </c>
    </row>
    <row r="1106" spans="1:7" x14ac:dyDescent="0.25">
      <c r="A1106" s="369"/>
      <c r="B1106" s="13" t="s">
        <v>53</v>
      </c>
      <c r="C1106" s="33">
        <v>-5.3844869620085802</v>
      </c>
      <c r="D1106" s="35">
        <v>5.3445913865494541</v>
      </c>
      <c r="E1106" s="35">
        <v>-0.50639372434853169</v>
      </c>
      <c r="F1106" s="35">
        <v>-1.0074646633528486</v>
      </c>
      <c r="G1106" s="47">
        <v>0.32299615704143619</v>
      </c>
    </row>
    <row r="1107" spans="1:7" ht="13.8" thickBot="1" x14ac:dyDescent="0.3">
      <c r="A1107" s="360"/>
      <c r="B1107" s="16" t="s">
        <v>54</v>
      </c>
      <c r="C1107" s="38">
        <v>-5.3218335032391701</v>
      </c>
      <c r="D1107" s="48">
        <v>5.7255329623207878</v>
      </c>
      <c r="E1107" s="48">
        <v>-0.47146924786343125</v>
      </c>
      <c r="F1107" s="48">
        <v>-0.92949137456052966</v>
      </c>
      <c r="G1107" s="49">
        <v>0.36118451926191542</v>
      </c>
    </row>
    <row r="1108" spans="1:7" x14ac:dyDescent="0.25">
      <c r="A1108" s="370" t="s">
        <v>466</v>
      </c>
      <c r="B1108" s="371"/>
      <c r="C1108" s="371"/>
      <c r="D1108" s="371"/>
      <c r="E1108" s="371"/>
      <c r="F1108" s="371"/>
      <c r="G1108" s="371"/>
    </row>
    <row r="1109" spans="1:7" x14ac:dyDescent="0.25">
      <c r="A1109" s="226"/>
      <c r="B1109" s="226"/>
    </row>
    <row r="1111" spans="1:7" x14ac:dyDescent="0.25">
      <c r="A1111" s="58" t="s">
        <v>483</v>
      </c>
    </row>
    <row r="1112" spans="1:7" ht="13.8" thickBot="1" x14ac:dyDescent="0.3"/>
    <row r="1113" spans="1:7" x14ac:dyDescent="0.25">
      <c r="A1113" s="257" t="s">
        <v>484</v>
      </c>
      <c r="B1113" s="257"/>
    </row>
    <row r="1114" spans="1:7" x14ac:dyDescent="0.25">
      <c r="A1114" s="258" t="s">
        <v>485</v>
      </c>
      <c r="B1114" s="258">
        <v>0.98761927122063353</v>
      </c>
    </row>
    <row r="1115" spans="1:7" x14ac:dyDescent="0.25">
      <c r="A1115" s="258" t="s">
        <v>486</v>
      </c>
      <c r="B1115" s="258">
        <v>0.97539182488637532</v>
      </c>
      <c r="C1115">
        <f>B1115^2</f>
        <v>0.95138921205517346</v>
      </c>
    </row>
    <row r="1116" spans="1:7" x14ac:dyDescent="0.25">
      <c r="A1116" s="258" t="s">
        <v>487</v>
      </c>
      <c r="B1116" s="258">
        <v>0.89396025315153382</v>
      </c>
    </row>
    <row r="1117" spans="1:7" x14ac:dyDescent="0.25">
      <c r="A1117" s="258" t="s">
        <v>488</v>
      </c>
      <c r="B1117" s="258">
        <v>0.43501228810457676</v>
      </c>
    </row>
    <row r="1118" spans="1:7" ht="13.8" thickBot="1" x14ac:dyDescent="0.3">
      <c r="A1118" s="259" t="s">
        <v>489</v>
      </c>
      <c r="B1118" s="259">
        <v>25</v>
      </c>
    </row>
    <row r="1120" spans="1:7" ht="13.8" thickBot="1" x14ac:dyDescent="0.3">
      <c r="A1120" t="s">
        <v>490</v>
      </c>
    </row>
    <row r="1121" spans="1:9" x14ac:dyDescent="0.25">
      <c r="A1121" s="260"/>
      <c r="B1121" s="260" t="s">
        <v>190</v>
      </c>
      <c r="C1121" s="260" t="s">
        <v>491</v>
      </c>
      <c r="D1121" s="260" t="s">
        <v>492</v>
      </c>
      <c r="E1121" s="260" t="s">
        <v>85</v>
      </c>
      <c r="F1121" s="260" t="s">
        <v>493</v>
      </c>
    </row>
    <row r="1122" spans="1:9" x14ac:dyDescent="0.25">
      <c r="A1122" s="258" t="s">
        <v>494</v>
      </c>
      <c r="B1122" s="258">
        <v>10</v>
      </c>
      <c r="C1122" s="258">
        <v>112.51074791164535</v>
      </c>
      <c r="D1122" s="258">
        <v>11.251074791164536</v>
      </c>
      <c r="E1122" s="258">
        <v>59.455352970058527</v>
      </c>
      <c r="F1122" s="258">
        <v>1.0375536512891406E-9</v>
      </c>
    </row>
    <row r="1123" spans="1:9" x14ac:dyDescent="0.25">
      <c r="A1123" s="258" t="s">
        <v>495</v>
      </c>
      <c r="B1123" s="258">
        <v>15</v>
      </c>
      <c r="C1123" s="258">
        <v>2.8385353620296891</v>
      </c>
      <c r="D1123" s="258">
        <v>0.18923569080197927</v>
      </c>
      <c r="E1123" s="258"/>
      <c r="F1123" s="258"/>
    </row>
    <row r="1124" spans="1:9" ht="13.8" thickBot="1" x14ac:dyDescent="0.3">
      <c r="A1124" s="259" t="s">
        <v>83</v>
      </c>
      <c r="B1124" s="259">
        <v>25</v>
      </c>
      <c r="C1124" s="259">
        <v>115.34928327367504</v>
      </c>
      <c r="D1124" s="259"/>
      <c r="E1124" s="259"/>
      <c r="F1124" s="259"/>
    </row>
    <row r="1125" spans="1:9" ht="13.8" thickBot="1" x14ac:dyDescent="0.3"/>
    <row r="1126" spans="1:9" x14ac:dyDescent="0.25">
      <c r="A1126" s="260"/>
      <c r="B1126" s="260" t="s">
        <v>496</v>
      </c>
      <c r="C1126" s="260" t="s">
        <v>488</v>
      </c>
      <c r="D1126" s="260" t="s">
        <v>497</v>
      </c>
      <c r="E1126" s="260" t="s">
        <v>498</v>
      </c>
      <c r="F1126" s="260" t="s">
        <v>499</v>
      </c>
      <c r="G1126" s="260" t="s">
        <v>500</v>
      </c>
      <c r="H1126" s="260" t="s">
        <v>501</v>
      </c>
      <c r="I1126" s="260" t="s">
        <v>502</v>
      </c>
    </row>
    <row r="1127" spans="1:9" x14ac:dyDescent="0.25">
      <c r="A1127" s="258" t="s">
        <v>503</v>
      </c>
      <c r="B1127" s="258">
        <v>0</v>
      </c>
      <c r="C1127" s="258" t="e">
        <v>#N/A</v>
      </c>
      <c r="D1127" s="258" t="e">
        <v>#N/A</v>
      </c>
      <c r="E1127" s="258" t="e">
        <v>#N/A</v>
      </c>
      <c r="F1127" s="258" t="e">
        <v>#N/A</v>
      </c>
      <c r="G1127" s="258" t="e">
        <v>#N/A</v>
      </c>
      <c r="H1127" s="258" t="e">
        <v>#N/A</v>
      </c>
      <c r="I1127" s="258" t="e">
        <v>#N/A</v>
      </c>
    </row>
    <row r="1128" spans="1:9" x14ac:dyDescent="0.25">
      <c r="A1128" s="258" t="s">
        <v>504</v>
      </c>
      <c r="B1128" s="258">
        <v>-10.321602323058292</v>
      </c>
      <c r="C1128" s="258">
        <v>29.388718570427013</v>
      </c>
      <c r="D1128" s="258">
        <v>-0.35120967585992713</v>
      </c>
      <c r="E1128" s="258">
        <v>0.73031538448108768</v>
      </c>
      <c r="F1128" s="258">
        <v>-72.962172874106187</v>
      </c>
      <c r="G1128" s="258">
        <v>52.3189682279896</v>
      </c>
      <c r="H1128" s="258">
        <v>-72.962172874106187</v>
      </c>
      <c r="I1128" s="258">
        <v>52.3189682279896</v>
      </c>
    </row>
    <row r="1129" spans="1:9" x14ac:dyDescent="0.25">
      <c r="A1129" s="258" t="s">
        <v>505</v>
      </c>
      <c r="B1129" s="258">
        <v>4.4704548431641502</v>
      </c>
      <c r="C1129" s="258">
        <v>17.87227812451151</v>
      </c>
      <c r="D1129" s="258">
        <v>0.25013346435298595</v>
      </c>
      <c r="E1129" s="258">
        <v>0.80587757536480964</v>
      </c>
      <c r="F1129" s="258">
        <v>-33.623404066797391</v>
      </c>
      <c r="G1129" s="258">
        <v>42.564313753125688</v>
      </c>
      <c r="H1129" s="258">
        <v>-33.623404066797391</v>
      </c>
      <c r="I1129" s="258">
        <v>42.564313753125688</v>
      </c>
    </row>
    <row r="1130" spans="1:9" x14ac:dyDescent="0.25">
      <c r="A1130" s="258" t="s">
        <v>47</v>
      </c>
      <c r="B1130" s="258">
        <v>7.5512255017137226</v>
      </c>
      <c r="C1130" s="258">
        <v>47.098033092028523</v>
      </c>
      <c r="D1130" s="258">
        <v>0.16032995447938969</v>
      </c>
      <c r="E1130" s="258">
        <v>0.87476036913720112</v>
      </c>
      <c r="F1130" s="258">
        <v>-92.83585526354112</v>
      </c>
      <c r="G1130" s="258">
        <v>107.93830626696855</v>
      </c>
      <c r="H1130" s="258">
        <v>-92.83585526354112</v>
      </c>
      <c r="I1130" s="258">
        <v>107.93830626696855</v>
      </c>
    </row>
    <row r="1131" spans="1:9" x14ac:dyDescent="0.25">
      <c r="A1131" s="258" t="s">
        <v>506</v>
      </c>
      <c r="B1131" s="258">
        <v>5.4631853490512121</v>
      </c>
      <c r="C1131" s="258">
        <v>17.753469645558805</v>
      </c>
      <c r="D1131" s="258">
        <v>0.30772493817386726</v>
      </c>
      <c r="E1131" s="258">
        <v>0.76252314583936953</v>
      </c>
      <c r="F1131" s="258">
        <v>-32.377439283612219</v>
      </c>
      <c r="G1131" s="258">
        <v>43.30380998171465</v>
      </c>
      <c r="H1131" s="258">
        <v>-32.377439283612219</v>
      </c>
      <c r="I1131" s="258">
        <v>43.30380998171465</v>
      </c>
    </row>
    <row r="1132" spans="1:9" x14ac:dyDescent="0.25">
      <c r="A1132" s="258" t="s">
        <v>51</v>
      </c>
      <c r="B1132" s="258">
        <v>-4.7388444935807348</v>
      </c>
      <c r="C1132" s="258">
        <v>11.37626433302086</v>
      </c>
      <c r="D1132" s="258">
        <v>-0.41655541352232095</v>
      </c>
      <c r="E1132" s="258">
        <v>0.68290316789424221</v>
      </c>
      <c r="F1132" s="258">
        <v>-28.986777823924946</v>
      </c>
      <c r="G1132" s="258">
        <v>19.509088836763475</v>
      </c>
      <c r="H1132" s="258">
        <v>-28.986777823924946</v>
      </c>
      <c r="I1132" s="258">
        <v>19.509088836763475</v>
      </c>
    </row>
    <row r="1133" spans="1:9" x14ac:dyDescent="0.25">
      <c r="A1133" s="258" t="s">
        <v>507</v>
      </c>
      <c r="B1133" s="258">
        <v>-7.2032857155613872</v>
      </c>
      <c r="C1133" s="258">
        <v>11.530697455719784</v>
      </c>
      <c r="D1133" s="258">
        <v>-0.62470511807490092</v>
      </c>
      <c r="E1133" s="258">
        <v>0.54155126143287946</v>
      </c>
      <c r="F1133" s="258">
        <v>-31.780385453575207</v>
      </c>
      <c r="G1133" s="258">
        <v>17.373814022452429</v>
      </c>
      <c r="H1133" s="258">
        <v>-31.780385453575207</v>
      </c>
      <c r="I1133" s="258">
        <v>17.373814022452429</v>
      </c>
    </row>
    <row r="1134" spans="1:9" x14ac:dyDescent="0.25">
      <c r="A1134" s="258" t="s">
        <v>50</v>
      </c>
      <c r="B1134" s="258">
        <v>-17.561011066621546</v>
      </c>
      <c r="C1134" s="258">
        <v>24.056130784125994</v>
      </c>
      <c r="D1134" s="258">
        <v>-0.73000147963152884</v>
      </c>
      <c r="E1134" s="258">
        <v>0.47663612974831959</v>
      </c>
      <c r="F1134" s="258">
        <v>-68.835439856606882</v>
      </c>
      <c r="G1134" s="258">
        <v>33.71341772336379</v>
      </c>
      <c r="H1134" s="258">
        <v>-68.835439856606882</v>
      </c>
      <c r="I1134" s="258">
        <v>33.71341772336379</v>
      </c>
    </row>
    <row r="1135" spans="1:9" x14ac:dyDescent="0.25">
      <c r="A1135" s="258" t="s">
        <v>52</v>
      </c>
      <c r="B1135" s="258">
        <v>13.762022684517033</v>
      </c>
      <c r="C1135" s="258">
        <v>28.639088592541409</v>
      </c>
      <c r="D1135" s="258">
        <v>0.48053284377566158</v>
      </c>
      <c r="E1135" s="258">
        <v>0.63778166919090951</v>
      </c>
      <c r="F1135" s="258">
        <v>-47.280749398237816</v>
      </c>
      <c r="G1135" s="258">
        <v>74.804794767271886</v>
      </c>
      <c r="H1135" s="258">
        <v>-47.280749398237816</v>
      </c>
      <c r="I1135" s="258">
        <v>74.804794767271886</v>
      </c>
    </row>
    <row r="1136" spans="1:9" x14ac:dyDescent="0.25">
      <c r="A1136" s="258" t="s">
        <v>53</v>
      </c>
      <c r="B1136" s="258">
        <v>13.756027087743599</v>
      </c>
      <c r="C1136" s="258">
        <v>30.022233361764989</v>
      </c>
      <c r="D1136" s="258">
        <v>0.45819466266832354</v>
      </c>
      <c r="E1136" s="258">
        <v>0.65338049040901758</v>
      </c>
      <c r="F1136" s="258">
        <v>-50.234848271145481</v>
      </c>
      <c r="G1136" s="258">
        <v>77.746902446632674</v>
      </c>
      <c r="H1136" s="258">
        <v>-50.234848271145481</v>
      </c>
      <c r="I1136" s="258">
        <v>77.746902446632674</v>
      </c>
    </row>
    <row r="1137" spans="1:9" ht="13.8" thickBot="1" x14ac:dyDescent="0.3">
      <c r="A1137" s="259" t="s">
        <v>54</v>
      </c>
      <c r="B1137" s="259">
        <v>27.594487159930505</v>
      </c>
      <c r="C1137" s="259">
        <v>29.455719702280991</v>
      </c>
      <c r="D1137" s="259">
        <v>0.93681252533760517</v>
      </c>
      <c r="E1137" s="259">
        <v>0.36369425890551288</v>
      </c>
      <c r="F1137" s="259">
        <v>-35.188892922497317</v>
      </c>
      <c r="G1137" s="259">
        <v>90.37786724235832</v>
      </c>
      <c r="H1137" s="259">
        <v>-35.188892922497317</v>
      </c>
      <c r="I1137" s="259">
        <v>90.37786724235832</v>
      </c>
    </row>
    <row r="1139" spans="1:9" x14ac:dyDescent="0.25">
      <c r="A1139" s="58" t="s">
        <v>508</v>
      </c>
    </row>
    <row r="1140" spans="1:9" ht="13.8" thickBot="1" x14ac:dyDescent="0.3"/>
    <row r="1141" spans="1:9" x14ac:dyDescent="0.25">
      <c r="A1141" s="257" t="s">
        <v>484</v>
      </c>
      <c r="B1141" s="257"/>
    </row>
    <row r="1142" spans="1:9" x14ac:dyDescent="0.25">
      <c r="A1142" s="258" t="s">
        <v>485</v>
      </c>
      <c r="B1142" s="258">
        <v>0.99694632753289492</v>
      </c>
    </row>
    <row r="1143" spans="1:9" x14ac:dyDescent="0.25">
      <c r="A1143" s="258" t="s">
        <v>486</v>
      </c>
      <c r="B1143" s="258">
        <v>0.99390197998132623</v>
      </c>
      <c r="D1143">
        <f>B1143^2</f>
        <v>0.98784114581080062</v>
      </c>
    </row>
    <row r="1144" spans="1:9" x14ac:dyDescent="0.25">
      <c r="A1144" s="258" t="s">
        <v>487</v>
      </c>
      <c r="B1144" s="258">
        <v>0.96614192260848242</v>
      </c>
    </row>
    <row r="1145" spans="1:9" x14ac:dyDescent="0.25">
      <c r="A1145" s="258" t="s">
        <v>488</v>
      </c>
      <c r="B1145" s="258">
        <v>0.15343835117907595</v>
      </c>
    </row>
    <row r="1146" spans="1:9" ht="13.8" thickBot="1" x14ac:dyDescent="0.3">
      <c r="A1146" s="259" t="s">
        <v>489</v>
      </c>
      <c r="B1146" s="259">
        <v>48</v>
      </c>
    </row>
    <row r="1148" spans="1:9" ht="13.8" thickBot="1" x14ac:dyDescent="0.3">
      <c r="A1148" t="s">
        <v>490</v>
      </c>
    </row>
    <row r="1149" spans="1:9" x14ac:dyDescent="0.25">
      <c r="A1149" s="260"/>
      <c r="B1149" s="260" t="s">
        <v>190</v>
      </c>
      <c r="C1149" s="260" t="s">
        <v>491</v>
      </c>
      <c r="D1149" s="260" t="s">
        <v>492</v>
      </c>
      <c r="E1149" s="260" t="s">
        <v>85</v>
      </c>
      <c r="F1149" s="260" t="s">
        <v>493</v>
      </c>
    </row>
    <row r="1150" spans="1:9" x14ac:dyDescent="0.25">
      <c r="A1150" s="258" t="s">
        <v>494</v>
      </c>
      <c r="B1150" s="258">
        <v>10</v>
      </c>
      <c r="C1150" s="258">
        <v>145.81632638081763</v>
      </c>
      <c r="D1150" s="258">
        <v>14.581632638081762</v>
      </c>
      <c r="E1150" s="258">
        <v>619.35308712718904</v>
      </c>
      <c r="F1150" s="258">
        <v>5.1215567895690692E-38</v>
      </c>
    </row>
    <row r="1151" spans="1:9" x14ac:dyDescent="0.25">
      <c r="A1151" s="258" t="s">
        <v>495</v>
      </c>
      <c r="B1151" s="258">
        <v>38</v>
      </c>
      <c r="C1151" s="258">
        <v>0.89464644927703052</v>
      </c>
      <c r="D1151" s="258">
        <v>2.3543327612553434E-2</v>
      </c>
      <c r="E1151" s="258"/>
      <c r="F1151" s="258"/>
    </row>
    <row r="1152" spans="1:9" ht="13.8" thickBot="1" x14ac:dyDescent="0.3">
      <c r="A1152" s="259" t="s">
        <v>83</v>
      </c>
      <c r="B1152" s="259">
        <v>48</v>
      </c>
      <c r="C1152" s="259">
        <v>146.71097283009465</v>
      </c>
      <c r="D1152" s="259"/>
      <c r="E1152" s="259"/>
      <c r="F1152" s="259"/>
    </row>
    <row r="1153" spans="1:9" ht="13.8" thickBot="1" x14ac:dyDescent="0.3"/>
    <row r="1154" spans="1:9" x14ac:dyDescent="0.25">
      <c r="A1154" s="260"/>
      <c r="B1154" s="260" t="s">
        <v>496</v>
      </c>
      <c r="C1154" s="260" t="s">
        <v>488</v>
      </c>
      <c r="D1154" s="260" t="s">
        <v>497</v>
      </c>
      <c r="E1154" s="260" t="s">
        <v>498</v>
      </c>
      <c r="F1154" s="260" t="s">
        <v>499</v>
      </c>
      <c r="G1154" s="260" t="s">
        <v>500</v>
      </c>
      <c r="H1154" s="260" t="s">
        <v>501</v>
      </c>
      <c r="I1154" s="260" t="s">
        <v>502</v>
      </c>
    </row>
    <row r="1155" spans="1:9" x14ac:dyDescent="0.25">
      <c r="A1155" s="258" t="s">
        <v>503</v>
      </c>
      <c r="B1155" s="258">
        <v>0</v>
      </c>
      <c r="C1155" s="258" t="e">
        <v>#N/A</v>
      </c>
      <c r="D1155" s="258" t="e">
        <v>#N/A</v>
      </c>
      <c r="E1155" s="258" t="e">
        <v>#N/A</v>
      </c>
      <c r="F1155" s="258" t="e">
        <v>#N/A</v>
      </c>
      <c r="G1155" s="258" t="e">
        <v>#N/A</v>
      </c>
      <c r="H1155" s="258" t="e">
        <v>#N/A</v>
      </c>
      <c r="I1155" s="258" t="e">
        <v>#N/A</v>
      </c>
    </row>
    <row r="1156" spans="1:9" x14ac:dyDescent="0.25">
      <c r="A1156" s="258" t="s">
        <v>504</v>
      </c>
      <c r="B1156" s="258">
        <v>-1.3748456022300279</v>
      </c>
      <c r="C1156" s="258">
        <v>0.79766414288785892</v>
      </c>
      <c r="D1156" s="258">
        <v>-1.7235895765008873</v>
      </c>
      <c r="E1156" s="258">
        <v>9.2910657577385578E-2</v>
      </c>
      <c r="F1156" s="258">
        <v>-2.9896322241371021</v>
      </c>
      <c r="G1156" s="258">
        <v>0.23994101967704595</v>
      </c>
      <c r="H1156" s="258">
        <v>-2.9896322241371021</v>
      </c>
      <c r="I1156" s="258">
        <v>0.23994101967704595</v>
      </c>
    </row>
    <row r="1157" spans="1:9" x14ac:dyDescent="0.25">
      <c r="A1157" s="258" t="s">
        <v>505</v>
      </c>
      <c r="B1157" s="258">
        <v>1.7103210931239008</v>
      </c>
      <c r="C1157" s="258">
        <v>0.48839943852763323</v>
      </c>
      <c r="D1157" s="258">
        <v>3.5018899658852338</v>
      </c>
      <c r="E1157" s="258">
        <v>1.1986166453901881E-3</v>
      </c>
      <c r="F1157" s="258">
        <v>0.72160812850938905</v>
      </c>
      <c r="G1157" s="258">
        <v>2.6990340577384124</v>
      </c>
      <c r="H1157" s="258">
        <v>0.72160812850938905</v>
      </c>
      <c r="I1157" s="258">
        <v>2.6990340577384124</v>
      </c>
    </row>
    <row r="1158" spans="1:9" x14ac:dyDescent="0.25">
      <c r="A1158" s="258" t="s">
        <v>47</v>
      </c>
      <c r="B1158" s="258">
        <v>0.85944576818503038</v>
      </c>
      <c r="C1158" s="258">
        <v>1.2826828889887085</v>
      </c>
      <c r="D1158" s="258">
        <v>0.67003760287364067</v>
      </c>
      <c r="E1158" s="258">
        <v>0.50688542200910414</v>
      </c>
      <c r="F1158" s="258">
        <v>-1.7372099643759289</v>
      </c>
      <c r="G1158" s="258">
        <v>3.4561015007459894</v>
      </c>
      <c r="H1158" s="258">
        <v>-1.7372099643759289</v>
      </c>
      <c r="I1158" s="258">
        <v>3.4561015007459894</v>
      </c>
    </row>
    <row r="1159" spans="1:9" x14ac:dyDescent="0.25">
      <c r="A1159" s="258" t="s">
        <v>506</v>
      </c>
      <c r="B1159" s="258">
        <v>1.1888156877205711</v>
      </c>
      <c r="C1159" s="258">
        <v>0.52228270807185462</v>
      </c>
      <c r="D1159" s="258">
        <v>2.2761919346504884</v>
      </c>
      <c r="E1159" s="258">
        <v>2.8555876219154591E-2</v>
      </c>
      <c r="F1159" s="258">
        <v>0.13150963056915166</v>
      </c>
      <c r="G1159" s="258">
        <v>2.2461217448719903</v>
      </c>
      <c r="H1159" s="258">
        <v>0.13150963056915166</v>
      </c>
      <c r="I1159" s="258">
        <v>2.2461217448719903</v>
      </c>
    </row>
    <row r="1160" spans="1:9" x14ac:dyDescent="0.25">
      <c r="A1160" s="258" t="s">
        <v>51</v>
      </c>
      <c r="B1160" s="258">
        <v>-0.67598009736954479</v>
      </c>
      <c r="C1160" s="258">
        <v>0.39437681566214</v>
      </c>
      <c r="D1160" s="258">
        <v>-1.7140462383281994</v>
      </c>
      <c r="E1160" s="258">
        <v>9.4667451844506811E-2</v>
      </c>
      <c r="F1160" s="258">
        <v>-1.4743542145963064</v>
      </c>
      <c r="G1160" s="258">
        <v>0.12239401985721687</v>
      </c>
      <c r="H1160" s="258">
        <v>-1.4743542145963064</v>
      </c>
      <c r="I1160" s="258">
        <v>0.12239401985721687</v>
      </c>
    </row>
    <row r="1161" spans="1:9" x14ac:dyDescent="0.25">
      <c r="A1161" s="258" t="s">
        <v>507</v>
      </c>
      <c r="B1161" s="258">
        <v>-0.39008684956575623</v>
      </c>
      <c r="C1161" s="258">
        <v>0.38688753768215522</v>
      </c>
      <c r="D1161" s="258">
        <v>-1.0082693588497786</v>
      </c>
      <c r="E1161" s="258">
        <v>0.31970261057301341</v>
      </c>
      <c r="F1161" s="258">
        <v>-1.1732997162867109</v>
      </c>
      <c r="G1161" s="258">
        <v>0.39312601715519846</v>
      </c>
      <c r="H1161" s="258">
        <v>-1.1732997162867109</v>
      </c>
      <c r="I1161" s="258">
        <v>0.39312601715519846</v>
      </c>
    </row>
    <row r="1162" spans="1:9" x14ac:dyDescent="0.25">
      <c r="A1162" s="258" t="s">
        <v>50</v>
      </c>
      <c r="B1162" s="258">
        <v>-6.4020810392572249</v>
      </c>
      <c r="C1162" s="258">
        <v>2.4681408754517715</v>
      </c>
      <c r="D1162" s="258">
        <v>-2.593888016252468</v>
      </c>
      <c r="E1162" s="258">
        <v>1.3404916728598709E-2</v>
      </c>
      <c r="F1162" s="258">
        <v>-11.398570980791234</v>
      </c>
      <c r="G1162" s="258">
        <v>-1.4055910977232147</v>
      </c>
      <c r="H1162" s="258">
        <v>-11.398570980791234</v>
      </c>
      <c r="I1162" s="258">
        <v>-1.4055910977232147</v>
      </c>
    </row>
    <row r="1163" spans="1:9" x14ac:dyDescent="0.25">
      <c r="A1163" s="258" t="s">
        <v>52</v>
      </c>
      <c r="B1163" s="258">
        <v>2.5489904600029738</v>
      </c>
      <c r="C1163" s="258">
        <v>1.0176244599020019</v>
      </c>
      <c r="D1163" s="258">
        <v>2.5048439384490067</v>
      </c>
      <c r="E1163" s="258">
        <v>1.6657395677542031E-2</v>
      </c>
      <c r="F1163" s="258">
        <v>0.48891745982276769</v>
      </c>
      <c r="G1163" s="258">
        <v>4.6090634601831795</v>
      </c>
      <c r="H1163" s="258">
        <v>0.48891745982276769</v>
      </c>
      <c r="I1163" s="258">
        <v>4.6090634601831795</v>
      </c>
    </row>
    <row r="1164" spans="1:9" x14ac:dyDescent="0.25">
      <c r="A1164" s="258" t="s">
        <v>53</v>
      </c>
      <c r="B1164" s="258">
        <v>1.370948012091459</v>
      </c>
      <c r="C1164" s="258">
        <v>0.9640975089526479</v>
      </c>
      <c r="D1164" s="258">
        <v>1.4220014047964871</v>
      </c>
      <c r="E1164" s="258">
        <v>0.16318238375902949</v>
      </c>
      <c r="F1164" s="258">
        <v>-0.58076534189534357</v>
      </c>
      <c r="G1164" s="258">
        <v>3.3226613660782616</v>
      </c>
      <c r="H1164" s="258">
        <v>-0.58076534189534357</v>
      </c>
      <c r="I1164" s="258">
        <v>3.3226613660782616</v>
      </c>
    </row>
    <row r="1165" spans="1:9" ht="13.8" thickBot="1" x14ac:dyDescent="0.3">
      <c r="A1165" s="259" t="s">
        <v>54</v>
      </c>
      <c r="B1165" s="259">
        <v>1.2572099938862475</v>
      </c>
      <c r="C1165" s="259">
        <v>0.70496825904888849</v>
      </c>
      <c r="D1165" s="259">
        <v>1.7833568784819034</v>
      </c>
      <c r="E1165" s="259">
        <v>8.2517214643988646E-2</v>
      </c>
      <c r="F1165" s="259">
        <v>-0.16992362335258826</v>
      </c>
      <c r="G1165" s="259">
        <v>2.6843436111250831</v>
      </c>
      <c r="H1165" s="259">
        <v>-0.16992362335258826</v>
      </c>
      <c r="I1165" s="259">
        <v>2.6843436111250831</v>
      </c>
    </row>
  </sheetData>
  <mergeCells count="485">
    <mergeCell ref="A1041:A1049"/>
    <mergeCell ref="A1050:G1050"/>
    <mergeCell ref="A1026:E1026"/>
    <mergeCell ref="A1029:E1029"/>
    <mergeCell ref="A1031:G1031"/>
    <mergeCell ref="A1032:B1032"/>
    <mergeCell ref="A1033:A1035"/>
    <mergeCell ref="A1036:G1036"/>
    <mergeCell ref="A1038:G1038"/>
    <mergeCell ref="A1039:B1040"/>
    <mergeCell ref="C1039:D1039"/>
    <mergeCell ref="F1039:F1040"/>
    <mergeCell ref="G1039:G1040"/>
    <mergeCell ref="A139:A148"/>
    <mergeCell ref="A134:G134"/>
    <mergeCell ref="A136:G136"/>
    <mergeCell ref="A137:B138"/>
    <mergeCell ref="C137:D137"/>
    <mergeCell ref="F137:F138"/>
    <mergeCell ref="G137:G138"/>
    <mergeCell ref="F102:F103"/>
    <mergeCell ref="G102:G103"/>
    <mergeCell ref="A128:G128"/>
    <mergeCell ref="A129:B129"/>
    <mergeCell ref="A130:A132"/>
    <mergeCell ref="A133:G133"/>
    <mergeCell ref="A118:D118"/>
    <mergeCell ref="A121:D121"/>
    <mergeCell ref="A123:E123"/>
    <mergeCell ref="A126:E126"/>
    <mergeCell ref="A7:C7"/>
    <mergeCell ref="A8:B8"/>
    <mergeCell ref="A9:B9"/>
    <mergeCell ref="A10:A14"/>
    <mergeCell ref="A15:A16"/>
    <mergeCell ref="A45:B46"/>
    <mergeCell ref="C45:D45"/>
    <mergeCell ref="F45:F46"/>
    <mergeCell ref="G45:G46"/>
    <mergeCell ref="A38:A40"/>
    <mergeCell ref="A41:G41"/>
    <mergeCell ref="A42:G42"/>
    <mergeCell ref="A44:G44"/>
    <mergeCell ref="A17:B17"/>
    <mergeCell ref="A18:A21"/>
    <mergeCell ref="A26:D26"/>
    <mergeCell ref="A29:D29"/>
    <mergeCell ref="A31:E31"/>
    <mergeCell ref="A34:E34"/>
    <mergeCell ref="A36:G36"/>
    <mergeCell ref="A37:B37"/>
    <mergeCell ref="A149:G149"/>
    <mergeCell ref="A66:B66"/>
    <mergeCell ref="A67:A71"/>
    <mergeCell ref="A72:A73"/>
    <mergeCell ref="A74:B74"/>
    <mergeCell ref="A47:A55"/>
    <mergeCell ref="A56:G56"/>
    <mergeCell ref="A64:C64"/>
    <mergeCell ref="A65:B65"/>
    <mergeCell ref="A91:E91"/>
    <mergeCell ref="A93:G93"/>
    <mergeCell ref="A94:B94"/>
    <mergeCell ref="A95:A97"/>
    <mergeCell ref="A75:A78"/>
    <mergeCell ref="A83:D83"/>
    <mergeCell ref="A86:D86"/>
    <mergeCell ref="A88:E88"/>
    <mergeCell ref="A104:A112"/>
    <mergeCell ref="A113:G113"/>
    <mergeCell ref="A98:G98"/>
    <mergeCell ref="A99:G99"/>
    <mergeCell ref="A101:G101"/>
    <mergeCell ref="A102:B103"/>
    <mergeCell ref="C102:D102"/>
    <mergeCell ref="A243:G243"/>
    <mergeCell ref="A228:G228"/>
    <mergeCell ref="A229:G229"/>
    <mergeCell ref="A231:G231"/>
    <mergeCell ref="A232:B233"/>
    <mergeCell ref="C232:D232"/>
    <mergeCell ref="F232:F233"/>
    <mergeCell ref="G232:G233"/>
    <mergeCell ref="A234:A242"/>
    <mergeCell ref="A176:A184"/>
    <mergeCell ref="A185:G185"/>
    <mergeCell ref="A196:B196"/>
    <mergeCell ref="A197:A201"/>
    <mergeCell ref="A202:A203"/>
    <mergeCell ref="A225:A227"/>
    <mergeCell ref="A221:E221"/>
    <mergeCell ref="A223:G223"/>
    <mergeCell ref="A224:B224"/>
    <mergeCell ref="A194:C194"/>
    <mergeCell ref="A195:B195"/>
    <mergeCell ref="A204:B204"/>
    <mergeCell ref="A205:A208"/>
    <mergeCell ref="A213:D213"/>
    <mergeCell ref="A216:D216"/>
    <mergeCell ref="A218:E218"/>
    <mergeCell ref="A174:B175"/>
    <mergeCell ref="C174:D174"/>
    <mergeCell ref="F174:F175"/>
    <mergeCell ref="G174:G175"/>
    <mergeCell ref="A155:D155"/>
    <mergeCell ref="A158:D158"/>
    <mergeCell ref="A160:E160"/>
    <mergeCell ref="A163:E163"/>
    <mergeCell ref="A165:G165"/>
    <mergeCell ref="A166:B166"/>
    <mergeCell ref="A167:A169"/>
    <mergeCell ref="A170:G170"/>
    <mergeCell ref="A171:G171"/>
    <mergeCell ref="A173:G173"/>
    <mergeCell ref="A337:G337"/>
    <mergeCell ref="A249:D249"/>
    <mergeCell ref="A252:D252"/>
    <mergeCell ref="A261:A263"/>
    <mergeCell ref="A264:G264"/>
    <mergeCell ref="A265:G265"/>
    <mergeCell ref="A267:G267"/>
    <mergeCell ref="A254:E254"/>
    <mergeCell ref="A257:E257"/>
    <mergeCell ref="A259:G259"/>
    <mergeCell ref="A260:B260"/>
    <mergeCell ref="A270:A278"/>
    <mergeCell ref="A279:G279"/>
    <mergeCell ref="A268:B269"/>
    <mergeCell ref="C268:D268"/>
    <mergeCell ref="F268:F269"/>
    <mergeCell ref="A299:A302"/>
    <mergeCell ref="A307:D307"/>
    <mergeCell ref="A310:D310"/>
    <mergeCell ref="A312:E312"/>
    <mergeCell ref="G268:G269"/>
    <mergeCell ref="A290:B290"/>
    <mergeCell ref="A291:A295"/>
    <mergeCell ref="A296:A297"/>
    <mergeCell ref="A298:B298"/>
    <mergeCell ref="A288:C288"/>
    <mergeCell ref="A289:B289"/>
    <mergeCell ref="A328:A336"/>
    <mergeCell ref="A322:G322"/>
    <mergeCell ref="A323:G323"/>
    <mergeCell ref="A325:G325"/>
    <mergeCell ref="A326:B327"/>
    <mergeCell ref="C326:D326"/>
    <mergeCell ref="F326:F327"/>
    <mergeCell ref="G326:G327"/>
    <mergeCell ref="A315:E315"/>
    <mergeCell ref="A317:G317"/>
    <mergeCell ref="A318:B318"/>
    <mergeCell ref="A319:A321"/>
    <mergeCell ref="A340:D340"/>
    <mergeCell ref="A358:B359"/>
    <mergeCell ref="C358:D358"/>
    <mergeCell ref="F358:F359"/>
    <mergeCell ref="G358:G359"/>
    <mergeCell ref="A360:A369"/>
    <mergeCell ref="A370:G370"/>
    <mergeCell ref="A343:D343"/>
    <mergeCell ref="A345:E345"/>
    <mergeCell ref="A355:G355"/>
    <mergeCell ref="A357:G357"/>
    <mergeCell ref="A348:E348"/>
    <mergeCell ref="A350:G350"/>
    <mergeCell ref="A351:B351"/>
    <mergeCell ref="A352:A354"/>
    <mergeCell ref="A375:D375"/>
    <mergeCell ref="A378:D378"/>
    <mergeCell ref="A380:E380"/>
    <mergeCell ref="A383:E383"/>
    <mergeCell ref="A393:G393"/>
    <mergeCell ref="A391:G391"/>
    <mergeCell ref="A394:B395"/>
    <mergeCell ref="C394:D394"/>
    <mergeCell ref="F394:F395"/>
    <mergeCell ref="G394:G395"/>
    <mergeCell ref="A408:G408"/>
    <mergeCell ref="A415:D415"/>
    <mergeCell ref="A418:D418"/>
    <mergeCell ref="A420:E420"/>
    <mergeCell ref="A423:E423"/>
    <mergeCell ref="A385:G385"/>
    <mergeCell ref="A386:B386"/>
    <mergeCell ref="A387:A389"/>
    <mergeCell ref="A390:G390"/>
    <mergeCell ref="A444:G444"/>
    <mergeCell ref="A433:B434"/>
    <mergeCell ref="C433:D433"/>
    <mergeCell ref="F433:F434"/>
    <mergeCell ref="G433:G434"/>
    <mergeCell ref="A435:A443"/>
    <mergeCell ref="A425:G425"/>
    <mergeCell ref="A426:B426"/>
    <mergeCell ref="A427:A429"/>
    <mergeCell ref="A430:G430"/>
    <mergeCell ref="A432:G432"/>
    <mergeCell ref="A450:C450"/>
    <mergeCell ref="A451:B451"/>
    <mergeCell ref="A452:B452"/>
    <mergeCell ref="A453:A457"/>
    <mergeCell ref="A458:A459"/>
    <mergeCell ref="A460:B460"/>
    <mergeCell ref="A461:A464"/>
    <mergeCell ref="A469:D469"/>
    <mergeCell ref="A472:D472"/>
    <mergeCell ref="A474:E474"/>
    <mergeCell ref="A477:E477"/>
    <mergeCell ref="A479:G479"/>
    <mergeCell ref="A480:B480"/>
    <mergeCell ref="A481:A483"/>
    <mergeCell ref="A484:G484"/>
    <mergeCell ref="A485:G485"/>
    <mergeCell ref="A487:G487"/>
    <mergeCell ref="A488:B489"/>
    <mergeCell ref="C488:D488"/>
    <mergeCell ref="F488:F489"/>
    <mergeCell ref="G488:G489"/>
    <mergeCell ref="A490:A499"/>
    <mergeCell ref="A500:G500"/>
    <mergeCell ref="A504:G504"/>
    <mergeCell ref="A505:B506"/>
    <mergeCell ref="C505:C506"/>
    <mergeCell ref="D505:D506"/>
    <mergeCell ref="E505:E506"/>
    <mergeCell ref="F505:F506"/>
    <mergeCell ref="A508:A512"/>
    <mergeCell ref="A513:A514"/>
    <mergeCell ref="A515:B515"/>
    <mergeCell ref="A516:A519"/>
    <mergeCell ref="A524:D524"/>
    <mergeCell ref="A527:D527"/>
    <mergeCell ref="A529:E529"/>
    <mergeCell ref="A532:E532"/>
    <mergeCell ref="A534:G534"/>
    <mergeCell ref="A535:B535"/>
    <mergeCell ref="A536:A538"/>
    <mergeCell ref="A539:G539"/>
    <mergeCell ref="A540:G540"/>
    <mergeCell ref="A542:G542"/>
    <mergeCell ref="A543:B544"/>
    <mergeCell ref="C543:D543"/>
    <mergeCell ref="F543:F544"/>
    <mergeCell ref="G543:G544"/>
    <mergeCell ref="A545:A554"/>
    <mergeCell ref="A555:G555"/>
    <mergeCell ref="A565:C565"/>
    <mergeCell ref="A566:B566"/>
    <mergeCell ref="A567:B567"/>
    <mergeCell ref="A568:A572"/>
    <mergeCell ref="A573:A574"/>
    <mergeCell ref="A575:B575"/>
    <mergeCell ref="A576:A579"/>
    <mergeCell ref="A584:D584"/>
    <mergeCell ref="A587:D587"/>
    <mergeCell ref="A589:E589"/>
    <mergeCell ref="A592:E592"/>
    <mergeCell ref="A594:G594"/>
    <mergeCell ref="A595:B595"/>
    <mergeCell ref="A596:A598"/>
    <mergeCell ref="A599:G599"/>
    <mergeCell ref="A600:G600"/>
    <mergeCell ref="A602:G602"/>
    <mergeCell ref="A603:B604"/>
    <mergeCell ref="C603:D603"/>
    <mergeCell ref="F603:F604"/>
    <mergeCell ref="G603:G604"/>
    <mergeCell ref="A605:A614"/>
    <mergeCell ref="A615:G615"/>
    <mergeCell ref="A619:G619"/>
    <mergeCell ref="A620:B621"/>
    <mergeCell ref="C620:C621"/>
    <mergeCell ref="D620:D621"/>
    <mergeCell ref="E620:E621"/>
    <mergeCell ref="F620:F621"/>
    <mergeCell ref="A623:G623"/>
    <mergeCell ref="A624:G624"/>
    <mergeCell ref="A633:C633"/>
    <mergeCell ref="A634:B634"/>
    <mergeCell ref="A635:B635"/>
    <mergeCell ref="A636:A640"/>
    <mergeCell ref="A641:A642"/>
    <mergeCell ref="A643:B643"/>
    <mergeCell ref="A644:A647"/>
    <mergeCell ref="A652:D652"/>
    <mergeCell ref="A655:D655"/>
    <mergeCell ref="A657:E657"/>
    <mergeCell ref="A660:E660"/>
    <mergeCell ref="A662:G662"/>
    <mergeCell ref="A663:B663"/>
    <mergeCell ref="A664:A666"/>
    <mergeCell ref="A667:G667"/>
    <mergeCell ref="A668:G668"/>
    <mergeCell ref="A670:G670"/>
    <mergeCell ref="A671:B672"/>
    <mergeCell ref="C671:D671"/>
    <mergeCell ref="F671:F672"/>
    <mergeCell ref="G671:G672"/>
    <mergeCell ref="A673:A681"/>
    <mergeCell ref="A682:G682"/>
    <mergeCell ref="A687:G687"/>
    <mergeCell ref="A688:B689"/>
    <mergeCell ref="C688:C689"/>
    <mergeCell ref="D688:D689"/>
    <mergeCell ref="E688:E689"/>
    <mergeCell ref="F688:F689"/>
    <mergeCell ref="A691:G691"/>
    <mergeCell ref="A692:G692"/>
    <mergeCell ref="A693:G693"/>
    <mergeCell ref="A701:C701"/>
    <mergeCell ref="A702:B702"/>
    <mergeCell ref="A703:B703"/>
    <mergeCell ref="A704:A708"/>
    <mergeCell ref="A709:A710"/>
    <mergeCell ref="A711:B711"/>
    <mergeCell ref="A712:A715"/>
    <mergeCell ref="A720:D720"/>
    <mergeCell ref="A723:D723"/>
    <mergeCell ref="A725:E725"/>
    <mergeCell ref="A728:E728"/>
    <mergeCell ref="A730:G730"/>
    <mergeCell ref="A731:B731"/>
    <mergeCell ref="A732:A734"/>
    <mergeCell ref="A735:G735"/>
    <mergeCell ref="A736:G736"/>
    <mergeCell ref="A738:G738"/>
    <mergeCell ref="A739:B740"/>
    <mergeCell ref="C739:D739"/>
    <mergeCell ref="F739:F740"/>
    <mergeCell ref="G739:G740"/>
    <mergeCell ref="A741:A749"/>
    <mergeCell ref="A750:G750"/>
    <mergeCell ref="A752:G752"/>
    <mergeCell ref="A762:C762"/>
    <mergeCell ref="A763:B763"/>
    <mergeCell ref="A764:B764"/>
    <mergeCell ref="A765:A769"/>
    <mergeCell ref="A770:A771"/>
    <mergeCell ref="A772:B772"/>
    <mergeCell ref="A773:A776"/>
    <mergeCell ref="A781:D781"/>
    <mergeCell ref="A784:D784"/>
    <mergeCell ref="A786:E786"/>
    <mergeCell ref="A789:E789"/>
    <mergeCell ref="A791:G791"/>
    <mergeCell ref="A792:B792"/>
    <mergeCell ref="A793:A795"/>
    <mergeCell ref="A796:G796"/>
    <mergeCell ref="A797:G797"/>
    <mergeCell ref="A799:G799"/>
    <mergeCell ref="A800:B801"/>
    <mergeCell ref="C800:D800"/>
    <mergeCell ref="F800:F801"/>
    <mergeCell ref="G800:G801"/>
    <mergeCell ref="A802:A813"/>
    <mergeCell ref="A814:G814"/>
    <mergeCell ref="A816:G816"/>
    <mergeCell ref="A817:B818"/>
    <mergeCell ref="C817:C818"/>
    <mergeCell ref="D817:D818"/>
    <mergeCell ref="E817:E818"/>
    <mergeCell ref="F817:F818"/>
    <mergeCell ref="A819:A820"/>
    <mergeCell ref="A821:G821"/>
    <mergeCell ref="A822:G822"/>
    <mergeCell ref="A826:D826"/>
    <mergeCell ref="A829:D829"/>
    <mergeCell ref="A831:E831"/>
    <mergeCell ref="A834:E834"/>
    <mergeCell ref="A836:G836"/>
    <mergeCell ref="A837:B837"/>
    <mergeCell ref="A838:A840"/>
    <mergeCell ref="A841:G841"/>
    <mergeCell ref="A842:G842"/>
    <mergeCell ref="A844:G844"/>
    <mergeCell ref="A845:B846"/>
    <mergeCell ref="C845:D845"/>
    <mergeCell ref="F845:F846"/>
    <mergeCell ref="G845:G846"/>
    <mergeCell ref="A847:A856"/>
    <mergeCell ref="A857:G857"/>
    <mergeCell ref="A861:G861"/>
    <mergeCell ref="A862:B863"/>
    <mergeCell ref="C862:C863"/>
    <mergeCell ref="D862:D863"/>
    <mergeCell ref="E862:E863"/>
    <mergeCell ref="F862:F863"/>
    <mergeCell ref="A865:G865"/>
    <mergeCell ref="A866:G866"/>
    <mergeCell ref="A868:C868"/>
    <mergeCell ref="A869:B869"/>
    <mergeCell ref="A870:B870"/>
    <mergeCell ref="A871:A875"/>
    <mergeCell ref="A876:A877"/>
    <mergeCell ref="A878:B878"/>
    <mergeCell ref="A879:A882"/>
    <mergeCell ref="A887:D887"/>
    <mergeCell ref="A890:D890"/>
    <mergeCell ref="A892:E892"/>
    <mergeCell ref="A895:E895"/>
    <mergeCell ref="A897:G897"/>
    <mergeCell ref="A898:B898"/>
    <mergeCell ref="A899:A901"/>
    <mergeCell ref="A902:G902"/>
    <mergeCell ref="A903:G903"/>
    <mergeCell ref="A905:G905"/>
    <mergeCell ref="A906:B907"/>
    <mergeCell ref="C906:D906"/>
    <mergeCell ref="F906:F907"/>
    <mergeCell ref="G906:G907"/>
    <mergeCell ref="A908:A917"/>
    <mergeCell ref="A918:G918"/>
    <mergeCell ref="A924:D924"/>
    <mergeCell ref="A927:D927"/>
    <mergeCell ref="A929:E929"/>
    <mergeCell ref="A932:E932"/>
    <mergeCell ref="A934:G934"/>
    <mergeCell ref="A935:B935"/>
    <mergeCell ref="A936:A938"/>
    <mergeCell ref="A939:G939"/>
    <mergeCell ref="A940:G940"/>
    <mergeCell ref="A942:G942"/>
    <mergeCell ref="A943:B944"/>
    <mergeCell ref="C943:D943"/>
    <mergeCell ref="F943:F944"/>
    <mergeCell ref="G943:G944"/>
    <mergeCell ref="A945:A954"/>
    <mergeCell ref="A955:G955"/>
    <mergeCell ref="A960:D960"/>
    <mergeCell ref="A963:D963"/>
    <mergeCell ref="A965:E965"/>
    <mergeCell ref="A968:E968"/>
    <mergeCell ref="A970:G970"/>
    <mergeCell ref="A971:B971"/>
    <mergeCell ref="A972:A974"/>
    <mergeCell ref="A975:G975"/>
    <mergeCell ref="A977:G977"/>
    <mergeCell ref="A978:B979"/>
    <mergeCell ref="C978:D978"/>
    <mergeCell ref="F978:F979"/>
    <mergeCell ref="G978:G979"/>
    <mergeCell ref="A980:A988"/>
    <mergeCell ref="A989:G989"/>
    <mergeCell ref="A994:D994"/>
    <mergeCell ref="A997:D997"/>
    <mergeCell ref="A999:E999"/>
    <mergeCell ref="A1014:A1022"/>
    <mergeCell ref="A1023:G1023"/>
    <mergeCell ref="A1002:E1002"/>
    <mergeCell ref="A1004:G1004"/>
    <mergeCell ref="A1005:B1005"/>
    <mergeCell ref="A1006:A1008"/>
    <mergeCell ref="A1009:G1009"/>
    <mergeCell ref="A1011:G1011"/>
    <mergeCell ref="A1012:B1013"/>
    <mergeCell ref="C1012:D1012"/>
    <mergeCell ref="F1012:F1013"/>
    <mergeCell ref="G1012:G1013"/>
    <mergeCell ref="A1055:E1055"/>
    <mergeCell ref="A1058:E1058"/>
    <mergeCell ref="A1060:G1060"/>
    <mergeCell ref="A1061:B1061"/>
    <mergeCell ref="A1062:A1064"/>
    <mergeCell ref="A1065:G1065"/>
    <mergeCell ref="A1067:G1067"/>
    <mergeCell ref="A1068:B1069"/>
    <mergeCell ref="C1068:D1068"/>
    <mergeCell ref="F1068:F1069"/>
    <mergeCell ref="G1068:G1069"/>
    <mergeCell ref="A1096:B1097"/>
    <mergeCell ref="C1096:D1096"/>
    <mergeCell ref="F1096:F1097"/>
    <mergeCell ref="G1096:G1097"/>
    <mergeCell ref="A1098:A1107"/>
    <mergeCell ref="A1108:G1108"/>
    <mergeCell ref="A1070:A1079"/>
    <mergeCell ref="A1080:G1080"/>
    <mergeCell ref="A1083:E1083"/>
    <mergeCell ref="A1086:E1086"/>
    <mergeCell ref="A1088:G1088"/>
    <mergeCell ref="A1089:B1089"/>
    <mergeCell ref="A1090:A1092"/>
    <mergeCell ref="A1093:G1093"/>
    <mergeCell ref="A1095:G1095"/>
  </mergeCells>
  <phoneticPr fontId="2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X116"/>
  <sheetViews>
    <sheetView topLeftCell="A34" workbookViewId="0">
      <selection activeCell="AA68" sqref="AA68"/>
    </sheetView>
  </sheetViews>
  <sheetFormatPr defaultRowHeight="13.2" x14ac:dyDescent="0.25"/>
  <sheetData>
    <row r="1" spans="1:24" ht="63.6" x14ac:dyDescent="1.1000000000000001">
      <c r="A1" s="3" t="s">
        <v>56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24" ht="13.8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24" x14ac:dyDescent="0.25">
      <c r="A3" s="5"/>
      <c r="B3" s="6" t="s">
        <v>57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7"/>
      <c r="P3" s="4"/>
    </row>
    <row r="4" spans="1:24" ht="63.6" x14ac:dyDescent="1.1000000000000001">
      <c r="A4" s="8" t="s">
        <v>58</v>
      </c>
      <c r="B4" s="9">
        <v>1000</v>
      </c>
      <c r="C4" s="9">
        <v>950</v>
      </c>
      <c r="D4" s="4">
        <v>930</v>
      </c>
      <c r="E4" s="9">
        <v>900</v>
      </c>
      <c r="F4" s="9">
        <v>850</v>
      </c>
      <c r="G4" s="9">
        <v>800</v>
      </c>
      <c r="H4" s="9">
        <v>750</v>
      </c>
      <c r="I4" s="9">
        <v>650</v>
      </c>
      <c r="J4" s="9">
        <v>550</v>
      </c>
      <c r="K4" s="9"/>
      <c r="L4" s="9"/>
      <c r="M4" s="9"/>
      <c r="N4" s="9"/>
      <c r="O4" s="10"/>
      <c r="P4" s="4"/>
      <c r="T4" s="3" t="s">
        <v>60</v>
      </c>
      <c r="U4" s="4"/>
      <c r="V4" s="4"/>
      <c r="W4" s="4"/>
      <c r="X4" s="4"/>
    </row>
    <row r="5" spans="1:24" ht="13.8" thickBot="1" x14ac:dyDescent="0.3">
      <c r="A5" s="8" t="s">
        <v>45</v>
      </c>
      <c r="B5" s="9">
        <v>2200</v>
      </c>
      <c r="C5" s="9">
        <v>1000</v>
      </c>
      <c r="D5" s="4">
        <v>750</v>
      </c>
      <c r="E5" s="9">
        <v>525</v>
      </c>
      <c r="F5" s="9">
        <v>326.01</v>
      </c>
      <c r="G5" s="9">
        <v>224.06</v>
      </c>
      <c r="H5" s="9">
        <v>154</v>
      </c>
      <c r="I5" s="9">
        <v>72.739999999999995</v>
      </c>
      <c r="J5" s="9">
        <v>34.36</v>
      </c>
      <c r="K5" s="9"/>
      <c r="L5" s="9"/>
      <c r="M5" s="9"/>
      <c r="N5" s="9"/>
      <c r="O5" s="10"/>
      <c r="P5" s="4"/>
      <c r="T5" s="4"/>
      <c r="U5" s="4"/>
      <c r="V5" s="4"/>
      <c r="W5" s="4"/>
      <c r="X5" s="4"/>
    </row>
    <row r="6" spans="1:24" x14ac:dyDescent="0.25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0"/>
      <c r="P6" s="4"/>
      <c r="T6" s="59"/>
      <c r="U6" s="60" t="s">
        <v>61</v>
      </c>
      <c r="V6" s="60" t="s">
        <v>62</v>
      </c>
      <c r="W6" s="61" t="s">
        <v>63</v>
      </c>
      <c r="X6" s="62" t="s">
        <v>63</v>
      </c>
    </row>
    <row r="7" spans="1:24" ht="14.4" x14ac:dyDescent="0.3">
      <c r="A7" s="8"/>
      <c r="B7" s="9" t="s">
        <v>59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0"/>
      <c r="P7" s="4"/>
      <c r="T7" s="63" t="s">
        <v>64</v>
      </c>
      <c r="U7" s="198">
        <v>60.084000000000003</v>
      </c>
      <c r="V7" s="64">
        <v>15.999000000000001</v>
      </c>
      <c r="W7" s="65">
        <f>V7*2/U7</f>
        <v>0.53255442380667062</v>
      </c>
      <c r="X7" s="66">
        <v>0.53255442380667095</v>
      </c>
    </row>
    <row r="8" spans="1:24" ht="14.4" x14ac:dyDescent="0.3">
      <c r="A8" s="8" t="s">
        <v>58</v>
      </c>
      <c r="B8" s="4">
        <v>1130</v>
      </c>
      <c r="C8" s="9">
        <v>1120</v>
      </c>
      <c r="D8" s="9">
        <v>1095</v>
      </c>
      <c r="E8" s="9">
        <v>1070</v>
      </c>
      <c r="F8" s="9">
        <v>1050</v>
      </c>
      <c r="G8" s="9">
        <v>1025</v>
      </c>
      <c r="H8" s="9">
        <v>1000</v>
      </c>
      <c r="I8" s="9">
        <v>975</v>
      </c>
      <c r="J8" s="9">
        <v>950</v>
      </c>
      <c r="K8" s="9">
        <v>900</v>
      </c>
      <c r="L8" s="9">
        <v>850</v>
      </c>
      <c r="M8" s="9">
        <v>800</v>
      </c>
      <c r="N8" s="9">
        <v>750</v>
      </c>
      <c r="O8" s="9">
        <v>650</v>
      </c>
      <c r="P8" s="10">
        <v>550</v>
      </c>
      <c r="T8" s="63" t="s">
        <v>65</v>
      </c>
      <c r="U8" s="198">
        <v>79.897999999999996</v>
      </c>
      <c r="V8" s="64">
        <v>15.999000000000001</v>
      </c>
      <c r="W8" s="65">
        <f>V8*2/U8</f>
        <v>0.4004856191644347</v>
      </c>
      <c r="X8" s="66">
        <v>0.40048561916443498</v>
      </c>
    </row>
    <row r="9" spans="1:24" ht="14.4" x14ac:dyDescent="0.3">
      <c r="A9" s="8" t="s">
        <v>45</v>
      </c>
      <c r="B9" s="4">
        <v>1500</v>
      </c>
      <c r="C9" s="9">
        <v>1300</v>
      </c>
      <c r="D9" s="9">
        <v>950</v>
      </c>
      <c r="E9" s="9">
        <v>710</v>
      </c>
      <c r="F9" s="9">
        <v>546.41</v>
      </c>
      <c r="G9" s="9">
        <v>410</v>
      </c>
      <c r="H9" s="9">
        <v>328.28</v>
      </c>
      <c r="I9" s="9">
        <v>261.58999999999997</v>
      </c>
      <c r="J9" s="9">
        <v>211.55</v>
      </c>
      <c r="K9" s="9">
        <v>133.66</v>
      </c>
      <c r="L9" s="9">
        <v>91.3</v>
      </c>
      <c r="M9" s="9">
        <v>66.62</v>
      </c>
      <c r="N9" s="9">
        <v>51.35</v>
      </c>
      <c r="O9" s="9">
        <v>34.65</v>
      </c>
      <c r="P9" s="10">
        <v>34.36</v>
      </c>
      <c r="T9" s="63" t="s">
        <v>66</v>
      </c>
      <c r="U9" s="198">
        <v>101.961</v>
      </c>
      <c r="V9" s="64">
        <v>15.999000000000001</v>
      </c>
      <c r="W9" s="65">
        <f>V9*3/U9</f>
        <v>0.47073881189866712</v>
      </c>
      <c r="X9" s="66">
        <v>0.47073881189866701</v>
      </c>
    </row>
    <row r="10" spans="1:24" x14ac:dyDescent="0.25">
      <c r="T10" s="63" t="s">
        <v>67</v>
      </c>
      <c r="U10">
        <v>151.99020000000002</v>
      </c>
      <c r="V10" s="64">
        <v>15.999000000000001</v>
      </c>
      <c r="W10" s="65">
        <f>V10*3/U10</f>
        <v>0.31579009699309557</v>
      </c>
      <c r="X10" s="66">
        <v>0.31579009699309557</v>
      </c>
    </row>
    <row r="11" spans="1:24" x14ac:dyDescent="0.25">
      <c r="B11" s="9" t="s">
        <v>1</v>
      </c>
      <c r="T11" s="63" t="s">
        <v>68</v>
      </c>
      <c r="U11" s="198">
        <v>71.846000000000004</v>
      </c>
      <c r="V11" s="64">
        <v>15.999000000000001</v>
      </c>
      <c r="W11" s="65">
        <f t="shared" ref="W11:W16" si="0">V11/U11</f>
        <v>0.22268463101634051</v>
      </c>
      <c r="X11" s="66">
        <v>0.22268463101634101</v>
      </c>
    </row>
    <row r="12" spans="1:24" x14ac:dyDescent="0.25">
      <c r="A12" s="8" t="s">
        <v>58</v>
      </c>
      <c r="B12">
        <f>B8+24</f>
        <v>1154</v>
      </c>
      <c r="C12">
        <f t="shared" ref="C12:P12" si="1">C8+24</f>
        <v>1144</v>
      </c>
      <c r="D12">
        <f t="shared" si="1"/>
        <v>1119</v>
      </c>
      <c r="E12">
        <f t="shared" si="1"/>
        <v>1094</v>
      </c>
      <c r="F12">
        <f t="shared" si="1"/>
        <v>1074</v>
      </c>
      <c r="G12">
        <f t="shared" si="1"/>
        <v>1049</v>
      </c>
      <c r="H12">
        <f t="shared" si="1"/>
        <v>1024</v>
      </c>
      <c r="I12">
        <f t="shared" si="1"/>
        <v>999</v>
      </c>
      <c r="J12">
        <f t="shared" si="1"/>
        <v>974</v>
      </c>
      <c r="K12">
        <f t="shared" si="1"/>
        <v>924</v>
      </c>
      <c r="L12">
        <f t="shared" si="1"/>
        <v>874</v>
      </c>
      <c r="M12">
        <f t="shared" si="1"/>
        <v>824</v>
      </c>
      <c r="N12">
        <f t="shared" si="1"/>
        <v>774</v>
      </c>
      <c r="O12">
        <f t="shared" si="1"/>
        <v>674</v>
      </c>
      <c r="P12">
        <f t="shared" si="1"/>
        <v>574</v>
      </c>
      <c r="T12" s="63" t="s">
        <v>69</v>
      </c>
      <c r="U12" s="198">
        <v>70.936999999999998</v>
      </c>
      <c r="V12" s="64">
        <v>15.999000000000001</v>
      </c>
      <c r="W12" s="65">
        <f t="shared" si="0"/>
        <v>0.22553815357288864</v>
      </c>
      <c r="X12" s="66">
        <v>0.22553815357288901</v>
      </c>
    </row>
    <row r="13" spans="1:24" x14ac:dyDescent="0.25">
      <c r="A13" s="8" t="s">
        <v>45</v>
      </c>
      <c r="B13">
        <f>B9</f>
        <v>1500</v>
      </c>
      <c r="C13">
        <f t="shared" ref="C13:P13" si="2">C9</f>
        <v>1300</v>
      </c>
      <c r="D13">
        <f t="shared" si="2"/>
        <v>950</v>
      </c>
      <c r="E13">
        <f t="shared" si="2"/>
        <v>710</v>
      </c>
      <c r="F13">
        <f t="shared" si="2"/>
        <v>546.41</v>
      </c>
      <c r="G13">
        <f t="shared" si="2"/>
        <v>410</v>
      </c>
      <c r="H13">
        <f t="shared" si="2"/>
        <v>328.28</v>
      </c>
      <c r="I13">
        <f t="shared" si="2"/>
        <v>261.58999999999997</v>
      </c>
      <c r="J13">
        <f t="shared" si="2"/>
        <v>211.55</v>
      </c>
      <c r="K13">
        <f t="shared" si="2"/>
        <v>133.66</v>
      </c>
      <c r="L13">
        <f t="shared" si="2"/>
        <v>91.3</v>
      </c>
      <c r="M13">
        <f t="shared" si="2"/>
        <v>66.62</v>
      </c>
      <c r="N13">
        <f t="shared" si="2"/>
        <v>51.35</v>
      </c>
      <c r="O13">
        <f t="shared" si="2"/>
        <v>34.65</v>
      </c>
      <c r="P13">
        <f t="shared" si="2"/>
        <v>34.36</v>
      </c>
      <c r="T13" s="63" t="s">
        <v>70</v>
      </c>
      <c r="U13" s="198">
        <v>40.304000000000002</v>
      </c>
      <c r="V13" s="64">
        <v>15.999000000000001</v>
      </c>
      <c r="W13" s="65">
        <f t="shared" si="0"/>
        <v>0.39695811830091304</v>
      </c>
      <c r="X13" s="66">
        <v>0.39695811830091299</v>
      </c>
    </row>
    <row r="14" spans="1:24" ht="13.8" thickBot="1" x14ac:dyDescent="0.3">
      <c r="T14" s="63" t="s">
        <v>71</v>
      </c>
      <c r="U14" s="198">
        <v>56.079000000000001</v>
      </c>
      <c r="V14" s="64">
        <v>15.999000000000001</v>
      </c>
      <c r="W14" s="65">
        <f t="shared" si="0"/>
        <v>0.28529396030599691</v>
      </c>
      <c r="X14" s="66">
        <v>0.28529396030599702</v>
      </c>
    </row>
    <row r="15" spans="1:24" ht="14.4" x14ac:dyDescent="0.3">
      <c r="B15" s="6" t="s">
        <v>2</v>
      </c>
      <c r="T15" s="63" t="s">
        <v>72</v>
      </c>
      <c r="U15" s="198">
        <v>61.978999999999999</v>
      </c>
      <c r="V15" s="64">
        <v>15.999000000000001</v>
      </c>
      <c r="W15" s="65">
        <f t="shared" si="0"/>
        <v>0.25813582019716358</v>
      </c>
      <c r="X15" s="66">
        <v>0.25813582019716402</v>
      </c>
    </row>
    <row r="16" spans="1:24" ht="14.4" x14ac:dyDescent="0.3">
      <c r="A16" s="8" t="s">
        <v>58</v>
      </c>
      <c r="B16">
        <f>B4-24</f>
        <v>976</v>
      </c>
      <c r="C16">
        <f t="shared" ref="C16:J16" si="3">C4-24</f>
        <v>926</v>
      </c>
      <c r="D16">
        <f t="shared" si="3"/>
        <v>906</v>
      </c>
      <c r="E16">
        <f t="shared" si="3"/>
        <v>876</v>
      </c>
      <c r="F16">
        <f t="shared" si="3"/>
        <v>826</v>
      </c>
      <c r="G16">
        <f t="shared" si="3"/>
        <v>776</v>
      </c>
      <c r="H16">
        <f t="shared" si="3"/>
        <v>726</v>
      </c>
      <c r="I16">
        <f t="shared" si="3"/>
        <v>626</v>
      </c>
      <c r="J16">
        <f t="shared" si="3"/>
        <v>526</v>
      </c>
      <c r="T16" s="63" t="s">
        <v>73</v>
      </c>
      <c r="U16" s="198">
        <v>94.194999999999993</v>
      </c>
      <c r="V16" s="64">
        <v>15.999000000000001</v>
      </c>
      <c r="W16" s="65">
        <f t="shared" si="0"/>
        <v>0.16984977971229898</v>
      </c>
      <c r="X16" s="66">
        <v>0.169849779712299</v>
      </c>
    </row>
    <row r="17" spans="1:24" x14ac:dyDescent="0.25">
      <c r="A17" s="8" t="s">
        <v>45</v>
      </c>
      <c r="B17">
        <f>B5</f>
        <v>2200</v>
      </c>
      <c r="C17">
        <f t="shared" ref="C17:J17" si="4">C5</f>
        <v>1000</v>
      </c>
      <c r="D17">
        <f t="shared" si="4"/>
        <v>750</v>
      </c>
      <c r="E17">
        <f t="shared" si="4"/>
        <v>525</v>
      </c>
      <c r="F17">
        <f t="shared" si="4"/>
        <v>326.01</v>
      </c>
      <c r="G17">
        <f t="shared" si="4"/>
        <v>224.06</v>
      </c>
      <c r="H17">
        <f t="shared" si="4"/>
        <v>154</v>
      </c>
      <c r="I17">
        <f t="shared" si="4"/>
        <v>72.739999999999995</v>
      </c>
      <c r="J17">
        <f t="shared" si="4"/>
        <v>34.36</v>
      </c>
      <c r="T17" s="63" t="s">
        <v>85</v>
      </c>
      <c r="U17" s="198">
        <v>18.998000000000001</v>
      </c>
      <c r="V17" s="64">
        <v>15.999000000000001</v>
      </c>
      <c r="W17" s="65">
        <f>V17/U17/2</f>
        <v>0.4210706390146331</v>
      </c>
      <c r="X17" s="66">
        <v>0.42107063901463299</v>
      </c>
    </row>
    <row r="18" spans="1:24" x14ac:dyDescent="0.25">
      <c r="T18" s="63" t="s">
        <v>74</v>
      </c>
      <c r="U18" s="198">
        <v>35.453000000000003</v>
      </c>
      <c r="V18" s="64">
        <v>15.999000000000001</v>
      </c>
      <c r="W18" s="65">
        <f>V18/U18/2</f>
        <v>0.2256367585253716</v>
      </c>
      <c r="X18" s="66">
        <v>0.22563675852537199</v>
      </c>
    </row>
    <row r="19" spans="1:24" x14ac:dyDescent="0.25">
      <c r="A19" t="s">
        <v>469</v>
      </c>
      <c r="B19" s="189">
        <v>200</v>
      </c>
      <c r="T19" s="63" t="s">
        <v>15</v>
      </c>
      <c r="U19" s="198">
        <f>V19+1.008*2</f>
        <v>18.015000000000001</v>
      </c>
      <c r="V19" s="64">
        <v>15.999000000000001</v>
      </c>
      <c r="W19" s="65">
        <f>V19/U19</f>
        <v>0.88809325562031638</v>
      </c>
      <c r="X19" s="66">
        <f>W19/V19</f>
        <v>5.5509297807382736E-2</v>
      </c>
    </row>
    <row r="20" spans="1:24" ht="14.4" x14ac:dyDescent="0.3">
      <c r="A20" s="58" t="s">
        <v>405</v>
      </c>
      <c r="T20" s="63" t="s">
        <v>75</v>
      </c>
      <c r="U20" s="64">
        <v>159.691</v>
      </c>
      <c r="V20" s="64">
        <v>15.999000000000001</v>
      </c>
      <c r="W20" s="65">
        <f>V20*3/U20</f>
        <v>0.30056170980205521</v>
      </c>
      <c r="X20" s="66">
        <v>0.30056170980205521</v>
      </c>
    </row>
    <row r="21" spans="1:24" x14ac:dyDescent="0.25">
      <c r="A21" s="58" t="s">
        <v>43</v>
      </c>
      <c r="B21">
        <f>-25018.7/(B12+273.15) + 12.981 + 0.046*($B$19*10- 1)/(B12+273.15) + -0.5117*LN(B12+273.15)</f>
        <v>-8.201800520568181</v>
      </c>
      <c r="C21">
        <f t="shared" ref="C21:P21" si="5">-25018.7/(C12+273.15) + 12.981 + 0.046*($B$19*10- 1)/(C12+273.15) + -0.5117*LN(C12+273.15)</f>
        <v>-8.3214505075574134</v>
      </c>
      <c r="D21">
        <f t="shared" si="5"/>
        <v>-8.6282096441995471</v>
      </c>
      <c r="E21">
        <f t="shared" si="5"/>
        <v>-8.9463557499270898</v>
      </c>
      <c r="F21">
        <f t="shared" si="5"/>
        <v>-9.2094993571098662</v>
      </c>
      <c r="G21">
        <f t="shared" si="5"/>
        <v>-9.5497859450722995</v>
      </c>
      <c r="H21">
        <f t="shared" si="5"/>
        <v>-9.9033757223547632</v>
      </c>
      <c r="I21">
        <f t="shared" si="5"/>
        <v>-10.271056647897264</v>
      </c>
      <c r="J21">
        <f t="shared" si="5"/>
        <v>-10.653680008380617</v>
      </c>
      <c r="K21">
        <f t="shared" si="5"/>
        <v>-11.467515549675642</v>
      </c>
      <c r="L21">
        <f t="shared" si="5"/>
        <v>-12.353226996091148</v>
      </c>
      <c r="M21">
        <f t="shared" si="5"/>
        <v>-13.320683557529978</v>
      </c>
      <c r="N21">
        <f t="shared" si="5"/>
        <v>-14.381643471455877</v>
      </c>
      <c r="O21">
        <f t="shared" si="5"/>
        <v>-16.843547088947457</v>
      </c>
      <c r="P21">
        <f t="shared" si="5"/>
        <v>-19.893060136849414</v>
      </c>
      <c r="T21" s="4" t="s">
        <v>76</v>
      </c>
      <c r="U21" s="4">
        <f>U23+V20*2</f>
        <v>44.008700000000005</v>
      </c>
      <c r="V21" s="4"/>
      <c r="W21" s="4"/>
      <c r="X21" s="4"/>
    </row>
    <row r="22" spans="1:24" x14ac:dyDescent="0.25">
      <c r="A22" s="58" t="s">
        <v>413</v>
      </c>
      <c r="B22">
        <f>-25632/(B12+273.15) + 14.62+ 0.019*($B$19*10- 1)/(B12+273.15)</f>
        <v>-3.3136572890025588</v>
      </c>
      <c r="C22">
        <f t="shared" ref="C22:P22" si="6">-25632/(C12+273.15) + 14.62+ 0.019*($B$19*10- 1)/(C12+273.15)</f>
        <v>-3.4402046360653427</v>
      </c>
      <c r="D22">
        <f t="shared" si="6"/>
        <v>-3.7645268110476611</v>
      </c>
      <c r="E22">
        <f t="shared" si="6"/>
        <v>-4.1007102366236339</v>
      </c>
      <c r="F22">
        <f t="shared" si="6"/>
        <v>-4.3786408343540071</v>
      </c>
      <c r="G22">
        <f t="shared" si="6"/>
        <v>-4.7378784555458893</v>
      </c>
      <c r="H22">
        <f t="shared" si="6"/>
        <v>-5.1109632656207848</v>
      </c>
      <c r="I22">
        <f t="shared" si="6"/>
        <v>-5.4987116299178558</v>
      </c>
      <c r="J22">
        <f t="shared" si="6"/>
        <v>-5.9020053722487251</v>
      </c>
      <c r="K22">
        <f t="shared" si="6"/>
        <v>-6.759124587562126</v>
      </c>
      <c r="L22">
        <f t="shared" si="6"/>
        <v>-7.6909610774528163</v>
      </c>
      <c r="M22">
        <f t="shared" si="6"/>
        <v>-8.7077300277992951</v>
      </c>
      <c r="N22">
        <f t="shared" si="6"/>
        <v>-9.8215976698658256</v>
      </c>
      <c r="O22">
        <f t="shared" si="6"/>
        <v>-12.402139048725124</v>
      </c>
      <c r="P22">
        <f t="shared" si="6"/>
        <v>-15.591909343091546</v>
      </c>
      <c r="T22" s="67"/>
      <c r="U22" s="68" t="s">
        <v>77</v>
      </c>
      <c r="V22" s="68"/>
      <c r="W22" s="65"/>
      <c r="X22" s="66"/>
    </row>
    <row r="23" spans="1:24" x14ac:dyDescent="0.25">
      <c r="A23" s="58" t="s">
        <v>42</v>
      </c>
      <c r="B23">
        <f>-30686/(B12+273.15) + 82.76+ 0.094*($B19*10- 1)/(B12+273.15) + -10.62*LN(B12+273.15)+0.004843*(B12+273.15)</f>
        <v>-8.8359182361319544</v>
      </c>
      <c r="C23">
        <f t="shared" ref="C23:P23" si="7">-30686/(C12+273.15) + 82.76+ 0.094*($B19*10- 1)/(C12+273.15) + -10.62*LN(C12+273.15)+0.004843*(C12+273.15)</f>
        <v>-8.9604673703719353</v>
      </c>
      <c r="D23">
        <f t="shared" si="7"/>
        <v>-9.2789879340169605</v>
      </c>
      <c r="E23">
        <f t="shared" si="7"/>
        <v>-9.6082171541118448</v>
      </c>
      <c r="F23">
        <f t="shared" si="7"/>
        <v>-9.8797548162693722</v>
      </c>
      <c r="G23">
        <f t="shared" si="7"/>
        <v>-10.229966653663332</v>
      </c>
      <c r="H23">
        <f t="shared" si="7"/>
        <v>-10.592881241904538</v>
      </c>
      <c r="I23">
        <f t="shared" si="7"/>
        <v>-10.969323545811346</v>
      </c>
      <c r="J23">
        <f t="shared" si="7"/>
        <v>-11.360187728543615</v>
      </c>
      <c r="K23">
        <f t="shared" si="7"/>
        <v>-12.189148889299613</v>
      </c>
      <c r="L23">
        <f t="shared" si="7"/>
        <v>-13.088602348613366</v>
      </c>
      <c r="M23">
        <f t="shared" si="7"/>
        <v>-14.06906751443676</v>
      </c>
      <c r="N23">
        <f t="shared" si="7"/>
        <v>-15.143157243227545</v>
      </c>
      <c r="O23">
        <f t="shared" si="7"/>
        <v>-17.636527351938213</v>
      </c>
      <c r="P23">
        <f t="shared" si="7"/>
        <v>-20.736813733671614</v>
      </c>
      <c r="T23" s="4" t="s">
        <v>84</v>
      </c>
      <c r="U23" s="69">
        <v>12.0107</v>
      </c>
      <c r="V23" s="4"/>
      <c r="W23" s="4"/>
      <c r="X23" s="4"/>
    </row>
    <row r="24" spans="1:24" x14ac:dyDescent="0.25">
      <c r="A24" t="s">
        <v>414</v>
      </c>
      <c r="B24">
        <f>-21803/(B12+273.15) + 4.325 + 0.171*($B$19*10- 1)/(B12+273.15)</f>
        <v>-10.712782293381913</v>
      </c>
      <c r="C24">
        <f t="shared" ref="C24:P24" si="8">-21803/(C12+273.15) + 4.325 + 0.171*($B$19*10- 1)/(C12+273.15)</f>
        <v>-10.818895141657549</v>
      </c>
      <c r="D24">
        <f t="shared" si="8"/>
        <v>-11.090846711920411</v>
      </c>
      <c r="E24">
        <f t="shared" si="8"/>
        <v>-11.37274421241268</v>
      </c>
      <c r="F24">
        <f t="shared" si="8"/>
        <v>-11.605795382845264</v>
      </c>
      <c r="G24">
        <f t="shared" si="8"/>
        <v>-11.907024354271451</v>
      </c>
      <c r="H24">
        <f t="shared" si="8"/>
        <v>-12.219864510657981</v>
      </c>
      <c r="I24">
        <f t="shared" si="8"/>
        <v>-12.54500039303541</v>
      </c>
      <c r="J24">
        <f t="shared" si="8"/>
        <v>-12.883171430862367</v>
      </c>
      <c r="K24">
        <f t="shared" si="8"/>
        <v>-13.601885519776133</v>
      </c>
      <c r="L24">
        <f t="shared" si="8"/>
        <v>-14.383251754347731</v>
      </c>
      <c r="M24">
        <f t="shared" si="8"/>
        <v>-15.235835801850248</v>
      </c>
      <c r="N24">
        <f t="shared" si="8"/>
        <v>-16.169839325789045</v>
      </c>
      <c r="O24">
        <f t="shared" si="8"/>
        <v>-18.333682362878108</v>
      </c>
      <c r="P24">
        <f t="shared" si="8"/>
        <v>-21.00837779614</v>
      </c>
      <c r="T24" s="63" t="s">
        <v>46</v>
      </c>
      <c r="U24" s="64">
        <v>28.085999999999999</v>
      </c>
      <c r="V24" s="64"/>
      <c r="W24" s="65"/>
      <c r="X24" s="66"/>
    </row>
    <row r="25" spans="1:24" x14ac:dyDescent="0.25">
      <c r="A25" s="58"/>
      <c r="T25" s="63" t="s">
        <v>47</v>
      </c>
      <c r="U25" s="64">
        <v>47.9</v>
      </c>
      <c r="V25" s="64"/>
      <c r="W25" s="65"/>
      <c r="X25" s="66"/>
    </row>
    <row r="26" spans="1:24" x14ac:dyDescent="0.25">
      <c r="A26" s="58"/>
      <c r="T26" s="63" t="s">
        <v>48</v>
      </c>
      <c r="U26" s="64">
        <v>26.981999999999999</v>
      </c>
      <c r="V26" s="64"/>
      <c r="W26" s="65"/>
      <c r="X26" s="66"/>
    </row>
    <row r="27" spans="1:24" x14ac:dyDescent="0.25">
      <c r="T27" s="63" t="s">
        <v>78</v>
      </c>
      <c r="U27" s="65">
        <v>51.996000000000002</v>
      </c>
      <c r="V27" s="64"/>
      <c r="W27" s="65"/>
      <c r="X27" s="66"/>
    </row>
    <row r="28" spans="1:24" x14ac:dyDescent="0.25">
      <c r="A28" t="s">
        <v>468</v>
      </c>
      <c r="B28">
        <f>B21+3</f>
        <v>-5.201800520568181</v>
      </c>
      <c r="C28">
        <f t="shared" ref="C28:P28" si="9">C21+3</f>
        <v>-5.3214505075574134</v>
      </c>
      <c r="D28">
        <f t="shared" si="9"/>
        <v>-5.6282096441995471</v>
      </c>
      <c r="E28">
        <f t="shared" si="9"/>
        <v>-5.9463557499270898</v>
      </c>
      <c r="F28">
        <f t="shared" si="9"/>
        <v>-6.2094993571098662</v>
      </c>
      <c r="G28">
        <f t="shared" si="9"/>
        <v>-6.5497859450722995</v>
      </c>
      <c r="H28">
        <f t="shared" si="9"/>
        <v>-6.9033757223547632</v>
      </c>
      <c r="I28">
        <f t="shared" si="9"/>
        <v>-7.2710566478972645</v>
      </c>
      <c r="J28">
        <f t="shared" si="9"/>
        <v>-7.6536800083806167</v>
      </c>
      <c r="K28">
        <f t="shared" si="9"/>
        <v>-8.4675155496756425</v>
      </c>
      <c r="L28">
        <f t="shared" si="9"/>
        <v>-9.3532269960911485</v>
      </c>
      <c r="M28">
        <f t="shared" si="9"/>
        <v>-10.320683557529978</v>
      </c>
      <c r="N28">
        <f t="shared" si="9"/>
        <v>-11.381643471455877</v>
      </c>
      <c r="O28">
        <f t="shared" si="9"/>
        <v>-13.843547088947457</v>
      </c>
      <c r="P28">
        <f t="shared" si="9"/>
        <v>-16.893060136849414</v>
      </c>
      <c r="T28" s="63" t="s">
        <v>49</v>
      </c>
      <c r="U28" s="64">
        <v>55.847000000000001</v>
      </c>
      <c r="V28" s="64"/>
      <c r="W28" s="65"/>
      <c r="X28" s="66"/>
    </row>
    <row r="29" spans="1:24" x14ac:dyDescent="0.25">
      <c r="T29" s="63" t="s">
        <v>51</v>
      </c>
      <c r="U29" s="64">
        <v>24.305</v>
      </c>
      <c r="V29" s="64"/>
      <c r="W29" s="65"/>
      <c r="X29" s="66"/>
    </row>
    <row r="30" spans="1:24" x14ac:dyDescent="0.25">
      <c r="T30" s="63" t="s">
        <v>52</v>
      </c>
      <c r="U30" s="64">
        <v>40.08</v>
      </c>
      <c r="V30" s="64"/>
      <c r="W30" s="65"/>
      <c r="X30" s="66"/>
    </row>
    <row r="31" spans="1:24" x14ac:dyDescent="0.25">
      <c r="T31" s="63" t="s">
        <v>50</v>
      </c>
      <c r="U31" s="64">
        <v>54.938000000000002</v>
      </c>
      <c r="V31" s="64"/>
      <c r="W31" s="65"/>
      <c r="X31" s="66"/>
    </row>
    <row r="32" spans="1:24" x14ac:dyDescent="0.25">
      <c r="T32" s="63" t="s">
        <v>53</v>
      </c>
      <c r="U32" s="64">
        <v>22.99</v>
      </c>
      <c r="V32" s="64"/>
      <c r="W32" s="65"/>
      <c r="X32" s="66"/>
    </row>
    <row r="33" spans="1:24" ht="13.8" thickBot="1" x14ac:dyDescent="0.3">
      <c r="T33" s="70" t="s">
        <v>54</v>
      </c>
      <c r="U33" s="71">
        <v>39.097999999999999</v>
      </c>
      <c r="V33" s="71"/>
      <c r="W33" s="72"/>
      <c r="X33" s="73"/>
    </row>
    <row r="34" spans="1:24" x14ac:dyDescent="0.25">
      <c r="T34" s="4"/>
      <c r="U34" s="4"/>
      <c r="V34" s="4"/>
      <c r="W34" s="4"/>
      <c r="X34" s="4"/>
    </row>
    <row r="37" spans="1:24" ht="63.6" x14ac:dyDescent="1.1000000000000001">
      <c r="A37" s="3" t="s">
        <v>390</v>
      </c>
    </row>
    <row r="39" spans="1:24" x14ac:dyDescent="0.25">
      <c r="A39" t="s">
        <v>15</v>
      </c>
      <c r="B39" t="s">
        <v>58</v>
      </c>
      <c r="C39" t="s">
        <v>15</v>
      </c>
      <c r="D39" t="s">
        <v>58</v>
      </c>
      <c r="F39" s="58" t="s">
        <v>389</v>
      </c>
      <c r="G39" s="58" t="s">
        <v>442</v>
      </c>
      <c r="K39" s="58" t="s">
        <v>15</v>
      </c>
      <c r="L39" s="58" t="s">
        <v>58</v>
      </c>
    </row>
    <row r="40" spans="1:24" ht="13.8" x14ac:dyDescent="0.3">
      <c r="A40">
        <v>2.84</v>
      </c>
      <c r="B40">
        <v>1040</v>
      </c>
      <c r="C40">
        <f>A40-A40*0.2</f>
        <v>2.2719999999999998</v>
      </c>
      <c r="D40">
        <f>B40+24</f>
        <v>1064</v>
      </c>
      <c r="F40" s="58" t="s">
        <v>388</v>
      </c>
      <c r="G40" s="194" t="s">
        <v>440</v>
      </c>
      <c r="J40" s="193" t="s">
        <v>441</v>
      </c>
      <c r="K40">
        <v>3.5</v>
      </c>
      <c r="L40" s="143">
        <f xml:space="preserve"> -23.009*K40 + 907</f>
        <v>826.46849999999995</v>
      </c>
    </row>
    <row r="41" spans="1:24" x14ac:dyDescent="0.25">
      <c r="A41">
        <v>4.5999999999999996</v>
      </c>
      <c r="B41">
        <v>800</v>
      </c>
      <c r="C41">
        <f>A40-A40*0.2</f>
        <v>2.2719999999999998</v>
      </c>
      <c r="D41">
        <f>B40-24</f>
        <v>1016</v>
      </c>
      <c r="K41">
        <v>5.9</v>
      </c>
      <c r="L41" s="143">
        <f xml:space="preserve"> -23.009*K41 + 907</f>
        <v>771.24689999999998</v>
      </c>
    </row>
    <row r="42" spans="1:24" x14ac:dyDescent="0.25">
      <c r="A42">
        <v>7</v>
      </c>
      <c r="B42">
        <v>850</v>
      </c>
      <c r="C42">
        <f>A41-A41*0.2</f>
        <v>3.6799999999999997</v>
      </c>
      <c r="D42">
        <f>B41-24</f>
        <v>776</v>
      </c>
      <c r="L42" s="1"/>
    </row>
    <row r="43" spans="1:24" ht="13.8" x14ac:dyDescent="0.3">
      <c r="A43">
        <v>12.2</v>
      </c>
      <c r="B43">
        <v>1025</v>
      </c>
      <c r="C43">
        <f>A41+A41*0.2</f>
        <v>5.52</v>
      </c>
      <c r="D43">
        <f>B41-24</f>
        <v>776</v>
      </c>
      <c r="F43" s="58" t="s">
        <v>391</v>
      </c>
      <c r="G43" s="194" t="s">
        <v>443</v>
      </c>
      <c r="J43" s="193" t="s">
        <v>444</v>
      </c>
      <c r="K43">
        <v>3.2</v>
      </c>
      <c r="L43" s="1">
        <f xml:space="preserve"> -166.6*LN(K43) + 1099.7</f>
        <v>905.9190750863736</v>
      </c>
    </row>
    <row r="44" spans="1:24" x14ac:dyDescent="0.25">
      <c r="A44">
        <v>4.29</v>
      </c>
      <c r="B44">
        <v>1130</v>
      </c>
      <c r="C44">
        <f>A42+A42*0.2</f>
        <v>8.4</v>
      </c>
      <c r="D44">
        <f>B42-24</f>
        <v>826</v>
      </c>
      <c r="K44">
        <v>4</v>
      </c>
      <c r="L44" s="1">
        <f t="shared" ref="L44:L50" si="10" xml:space="preserve"> -166.6*LN(K44) + 1099.7</f>
        <v>868.74335943742631</v>
      </c>
    </row>
    <row r="45" spans="1:24" x14ac:dyDescent="0.25">
      <c r="A45">
        <v>2.84</v>
      </c>
      <c r="B45">
        <v>1040</v>
      </c>
      <c r="C45">
        <f>A43+A43*0.2</f>
        <v>14.639999999999999</v>
      </c>
      <c r="D45">
        <f>B43-24</f>
        <v>1001</v>
      </c>
      <c r="K45">
        <v>4.5</v>
      </c>
      <c r="L45" s="1">
        <f t="shared" si="10"/>
        <v>849.12070569707271</v>
      </c>
    </row>
    <row r="46" spans="1:24" x14ac:dyDescent="0.25">
      <c r="C46">
        <f>A43+A43*0.2</f>
        <v>14.639999999999999</v>
      </c>
      <c r="D46">
        <f>B43+24</f>
        <v>1049</v>
      </c>
      <c r="K46">
        <v>5</v>
      </c>
      <c r="L46" s="1">
        <f t="shared" si="10"/>
        <v>831.56764378847902</v>
      </c>
    </row>
    <row r="47" spans="1:24" x14ac:dyDescent="0.25">
      <c r="C47">
        <f>A44+A44*0.2</f>
        <v>5.1479999999999997</v>
      </c>
      <c r="D47">
        <f>B44+24</f>
        <v>1154</v>
      </c>
      <c r="K47">
        <v>5.5</v>
      </c>
      <c r="L47" s="1">
        <f t="shared" si="10"/>
        <v>815.68896783307832</v>
      </c>
    </row>
    <row r="48" spans="1:24" x14ac:dyDescent="0.25">
      <c r="C48">
        <f>A44-A44*0.2</f>
        <v>3.4319999999999999</v>
      </c>
      <c r="D48">
        <f>B44+24</f>
        <v>1154</v>
      </c>
      <c r="K48">
        <v>6</v>
      </c>
      <c r="L48" s="1">
        <f t="shared" si="10"/>
        <v>801.19287242660607</v>
      </c>
    </row>
    <row r="49" spans="3:12" x14ac:dyDescent="0.25">
      <c r="C49">
        <f>A45-A45*0.2</f>
        <v>2.2719999999999998</v>
      </c>
      <c r="D49">
        <f>B45+24</f>
        <v>1064</v>
      </c>
      <c r="K49">
        <v>6.5</v>
      </c>
      <c r="L49" s="1">
        <f t="shared" si="10"/>
        <v>787.85775732819502</v>
      </c>
    </row>
    <row r="50" spans="3:12" x14ac:dyDescent="0.25">
      <c r="K50">
        <v>6.8</v>
      </c>
      <c r="L50" s="1">
        <f t="shared" si="10"/>
        <v>780.34069281046868</v>
      </c>
    </row>
    <row r="51" spans="3:12" x14ac:dyDescent="0.25">
      <c r="L51" s="1"/>
    </row>
    <row r="52" spans="3:12" ht="13.8" x14ac:dyDescent="0.3">
      <c r="F52" s="58" t="s">
        <v>392</v>
      </c>
      <c r="G52" s="194" t="s">
        <v>445</v>
      </c>
      <c r="J52" s="193" t="s">
        <v>446</v>
      </c>
      <c r="K52">
        <v>2.9</v>
      </c>
      <c r="L52" s="1">
        <f xml:space="preserve"> -139*LN(K52) + 1125.3</f>
        <v>977.30520755805242</v>
      </c>
    </row>
    <row r="53" spans="3:12" x14ac:dyDescent="0.25">
      <c r="K53">
        <v>3.5</v>
      </c>
      <c r="L53" s="1">
        <f t="shared" ref="L53:L63" si="11" xml:space="preserve"> -139*LN(K53) + 1125.3</f>
        <v>951.16594737914374</v>
      </c>
    </row>
    <row r="54" spans="3:12" x14ac:dyDescent="0.25">
      <c r="K54">
        <v>4</v>
      </c>
      <c r="L54" s="1">
        <f t="shared" si="11"/>
        <v>932.60508380433521</v>
      </c>
    </row>
    <row r="55" spans="3:12" x14ac:dyDescent="0.25">
      <c r="K55">
        <v>4.5</v>
      </c>
      <c r="L55" s="1">
        <f t="shared" si="11"/>
        <v>916.2332418480978</v>
      </c>
    </row>
    <row r="56" spans="3:12" x14ac:dyDescent="0.25">
      <c r="K56">
        <v>5</v>
      </c>
      <c r="L56" s="1">
        <f t="shared" si="11"/>
        <v>901.58813017166005</v>
      </c>
    </row>
    <row r="57" spans="3:12" x14ac:dyDescent="0.25">
      <c r="K57">
        <v>5.5</v>
      </c>
      <c r="L57" s="1">
        <f t="shared" si="11"/>
        <v>888.34001517885883</v>
      </c>
    </row>
    <row r="58" spans="3:12" x14ac:dyDescent="0.25">
      <c r="K58">
        <v>6</v>
      </c>
      <c r="L58" s="1">
        <f t="shared" si="11"/>
        <v>876.24543377730038</v>
      </c>
    </row>
    <row r="59" spans="3:12" x14ac:dyDescent="0.25">
      <c r="K59">
        <v>6.5</v>
      </c>
      <c r="L59" s="1">
        <f t="shared" si="11"/>
        <v>865.11949741067883</v>
      </c>
    </row>
    <row r="60" spans="3:12" x14ac:dyDescent="0.25">
      <c r="K60">
        <v>7</v>
      </c>
      <c r="L60" s="1">
        <f t="shared" si="11"/>
        <v>854.81848928131149</v>
      </c>
    </row>
    <row r="61" spans="3:12" x14ac:dyDescent="0.25">
      <c r="K61">
        <v>7.5</v>
      </c>
      <c r="L61" s="1">
        <f t="shared" si="11"/>
        <v>845.22848014462511</v>
      </c>
    </row>
    <row r="62" spans="3:12" x14ac:dyDescent="0.25">
      <c r="K62">
        <v>8</v>
      </c>
      <c r="L62" s="1">
        <f t="shared" si="11"/>
        <v>836.25762570650272</v>
      </c>
    </row>
    <row r="63" spans="3:12" x14ac:dyDescent="0.25">
      <c r="K63">
        <v>8.9</v>
      </c>
      <c r="L63" s="1">
        <f t="shared" si="11"/>
        <v>821.43887253340495</v>
      </c>
    </row>
    <row r="64" spans="3:12" x14ac:dyDescent="0.25">
      <c r="L64" s="1"/>
    </row>
    <row r="65" spans="6:12" ht="13.8" x14ac:dyDescent="0.3">
      <c r="F65" s="58" t="s">
        <v>393</v>
      </c>
      <c r="G65" s="194" t="s">
        <v>447</v>
      </c>
      <c r="J65" s="194" t="s">
        <v>448</v>
      </c>
      <c r="K65">
        <v>2.8</v>
      </c>
      <c r="L65" s="1">
        <f xml:space="preserve"> -127.1*LN(K65) + 1166.6</f>
        <v>1035.7353720762746</v>
      </c>
    </row>
    <row r="66" spans="6:12" x14ac:dyDescent="0.25">
      <c r="K66">
        <v>3.2</v>
      </c>
      <c r="L66" s="1">
        <f t="shared" ref="L66:L80" si="12" xml:space="preserve"> -127.1*LN(K66) + 1166.6</f>
        <v>1018.7635320736979</v>
      </c>
    </row>
    <row r="67" spans="6:12" x14ac:dyDescent="0.25">
      <c r="K67">
        <v>3.7</v>
      </c>
      <c r="L67" s="1">
        <f t="shared" si="12"/>
        <v>1000.3108986224622</v>
      </c>
    </row>
    <row r="68" spans="6:12" x14ac:dyDescent="0.25">
      <c r="K68">
        <v>4.2</v>
      </c>
      <c r="L68" s="1">
        <f t="shared" si="12"/>
        <v>984.20075683572702</v>
      </c>
    </row>
    <row r="69" spans="6:12" x14ac:dyDescent="0.25">
      <c r="K69">
        <v>4.7</v>
      </c>
      <c r="L69" s="1">
        <f t="shared" si="12"/>
        <v>969.90480514219462</v>
      </c>
    </row>
    <row r="70" spans="6:12" x14ac:dyDescent="0.25">
      <c r="K70">
        <v>5.2</v>
      </c>
      <c r="L70" s="1">
        <f t="shared" si="12"/>
        <v>957.05548868784376</v>
      </c>
    </row>
    <row r="71" spans="6:12" x14ac:dyDescent="0.25">
      <c r="K71">
        <v>5.7</v>
      </c>
      <c r="L71" s="1">
        <f t="shared" si="12"/>
        <v>945.38674917777178</v>
      </c>
    </row>
    <row r="72" spans="6:12" x14ac:dyDescent="0.25">
      <c r="K72">
        <v>6.2</v>
      </c>
      <c r="L72" s="1">
        <f t="shared" si="12"/>
        <v>934.69978498031196</v>
      </c>
    </row>
    <row r="73" spans="6:12" x14ac:dyDescent="0.25">
      <c r="K73">
        <v>6.7</v>
      </c>
      <c r="L73" s="1">
        <f t="shared" si="12"/>
        <v>924.84213339495136</v>
      </c>
    </row>
    <row r="74" spans="6:12" x14ac:dyDescent="0.25">
      <c r="K74">
        <v>7.2</v>
      </c>
      <c r="L74" s="1">
        <f t="shared" si="12"/>
        <v>915.69430159260253</v>
      </c>
    </row>
    <row r="75" spans="6:12" x14ac:dyDescent="0.25">
      <c r="K75">
        <v>7.7</v>
      </c>
      <c r="L75" s="1">
        <f t="shared" si="12"/>
        <v>907.16089620193998</v>
      </c>
    </row>
    <row r="76" spans="6:12" x14ac:dyDescent="0.25">
      <c r="K76">
        <v>8.1999999999999993</v>
      </c>
      <c r="L76" s="1">
        <f t="shared" si="12"/>
        <v>899.16454899225653</v>
      </c>
    </row>
    <row r="77" spans="6:12" x14ac:dyDescent="0.25">
      <c r="K77">
        <v>8.6999999999999993</v>
      </c>
      <c r="L77" s="1">
        <f t="shared" si="12"/>
        <v>891.64164343854554</v>
      </c>
    </row>
    <row r="78" spans="6:12" x14ac:dyDescent="0.25">
      <c r="K78">
        <v>9.1999999999999993</v>
      </c>
      <c r="L78" s="1">
        <f t="shared" si="12"/>
        <v>884.53923717661019</v>
      </c>
    </row>
    <row r="79" spans="6:12" x14ac:dyDescent="0.25">
      <c r="K79">
        <v>9.6999999999999993</v>
      </c>
      <c r="L79" s="1">
        <f t="shared" si="12"/>
        <v>877.81279995176328</v>
      </c>
    </row>
    <row r="80" spans="6:12" x14ac:dyDescent="0.25">
      <c r="K80">
        <v>10.6</v>
      </c>
      <c r="L80" s="1">
        <f t="shared" si="12"/>
        <v>866.53545645789939</v>
      </c>
    </row>
    <row r="81" spans="6:12" x14ac:dyDescent="0.25">
      <c r="L81" s="1"/>
    </row>
    <row r="82" spans="6:12" ht="15.6" x14ac:dyDescent="0.3">
      <c r="F82" s="58" t="s">
        <v>394</v>
      </c>
      <c r="G82" s="194" t="s">
        <v>449</v>
      </c>
      <c r="J82" s="194" t="s">
        <v>450</v>
      </c>
      <c r="K82">
        <v>2.9</v>
      </c>
      <c r="L82" s="1">
        <f xml:space="preserve"> 1.4856*K82^2 - 42.934*K82 + 1192.6</f>
        <v>1080.585296</v>
      </c>
    </row>
    <row r="83" spans="6:12" x14ac:dyDescent="0.25">
      <c r="K83">
        <v>3.2</v>
      </c>
      <c r="L83" s="1">
        <f t="shared" ref="L83:L99" si="13" xml:space="preserve"> 1.4856*K83^2 - 42.934*K83 + 1192.6</f>
        <v>1070.4237439999999</v>
      </c>
    </row>
    <row r="84" spans="6:12" x14ac:dyDescent="0.25">
      <c r="K84">
        <v>3.8</v>
      </c>
      <c r="L84" s="1">
        <f t="shared" si="13"/>
        <v>1050.9028639999999</v>
      </c>
    </row>
    <row r="85" spans="6:12" x14ac:dyDescent="0.25">
      <c r="K85">
        <v>4.3</v>
      </c>
      <c r="L85" s="1">
        <f t="shared" si="13"/>
        <v>1035.452544</v>
      </c>
    </row>
    <row r="86" spans="6:12" x14ac:dyDescent="0.25">
      <c r="K86">
        <v>4.8</v>
      </c>
      <c r="L86" s="1">
        <f t="shared" si="13"/>
        <v>1020.7450239999999</v>
      </c>
    </row>
    <row r="87" spans="6:12" x14ac:dyDescent="0.25">
      <c r="K87">
        <v>5.3</v>
      </c>
      <c r="L87" s="1">
        <f t="shared" si="13"/>
        <v>1006.7803039999999</v>
      </c>
    </row>
    <row r="88" spans="6:12" x14ac:dyDescent="0.25">
      <c r="K88">
        <v>5.8</v>
      </c>
      <c r="L88" s="1">
        <f t="shared" si="13"/>
        <v>993.55838399999993</v>
      </c>
    </row>
    <row r="89" spans="6:12" x14ac:dyDescent="0.25">
      <c r="K89">
        <v>6.3</v>
      </c>
      <c r="L89" s="1">
        <f t="shared" si="13"/>
        <v>981.07926399999997</v>
      </c>
    </row>
    <row r="90" spans="6:12" x14ac:dyDescent="0.25">
      <c r="K90">
        <v>6.8</v>
      </c>
      <c r="L90" s="1">
        <f t="shared" si="13"/>
        <v>969.34294399999999</v>
      </c>
    </row>
    <row r="91" spans="6:12" x14ac:dyDescent="0.25">
      <c r="K91">
        <v>7.3</v>
      </c>
      <c r="L91" s="1">
        <f t="shared" si="13"/>
        <v>958.349424</v>
      </c>
    </row>
    <row r="92" spans="6:12" x14ac:dyDescent="0.25">
      <c r="K92">
        <v>7.8</v>
      </c>
      <c r="L92" s="1">
        <f t="shared" si="13"/>
        <v>948.09870399999988</v>
      </c>
    </row>
    <row r="93" spans="6:12" x14ac:dyDescent="0.25">
      <c r="K93">
        <v>8.3000000000000007</v>
      </c>
      <c r="L93" s="1">
        <f t="shared" si="13"/>
        <v>938.59078399999999</v>
      </c>
    </row>
    <row r="94" spans="6:12" x14ac:dyDescent="0.25">
      <c r="K94">
        <v>8.8000000000000007</v>
      </c>
      <c r="L94" s="1">
        <f t="shared" si="13"/>
        <v>929.82566399999996</v>
      </c>
    </row>
    <row r="95" spans="6:12" x14ac:dyDescent="0.25">
      <c r="K95">
        <v>9.3000000000000007</v>
      </c>
      <c r="L95" s="1">
        <f t="shared" si="13"/>
        <v>921.80334399999992</v>
      </c>
    </row>
    <row r="96" spans="6:12" x14ac:dyDescent="0.25">
      <c r="K96">
        <v>9.8000000000000007</v>
      </c>
      <c r="L96" s="1">
        <f t="shared" si="13"/>
        <v>914.52382399999999</v>
      </c>
    </row>
    <row r="97" spans="6:12" x14ac:dyDescent="0.25">
      <c r="K97">
        <v>10.3</v>
      </c>
      <c r="L97" s="1">
        <f t="shared" si="13"/>
        <v>907.98710399999993</v>
      </c>
    </row>
    <row r="98" spans="6:12" x14ac:dyDescent="0.25">
      <c r="K98">
        <v>10.8</v>
      </c>
      <c r="L98" s="1">
        <f t="shared" si="13"/>
        <v>902.19318399999997</v>
      </c>
    </row>
    <row r="99" spans="6:12" x14ac:dyDescent="0.25">
      <c r="K99">
        <v>11.5</v>
      </c>
      <c r="L99" s="1">
        <f t="shared" si="13"/>
        <v>895.32959999999991</v>
      </c>
    </row>
    <row r="100" spans="6:12" x14ac:dyDescent="0.25">
      <c r="L100" s="1"/>
    </row>
    <row r="101" spans="6:12" ht="13.8" x14ac:dyDescent="0.3">
      <c r="F101" s="58" t="s">
        <v>395</v>
      </c>
      <c r="G101" s="194" t="s">
        <v>451</v>
      </c>
      <c r="J101" s="194" t="s">
        <v>452</v>
      </c>
      <c r="K101">
        <v>3</v>
      </c>
      <c r="L101" s="143">
        <f xml:space="preserve"> -13.529*K101 + 1119.1</f>
        <v>1078.5129999999999</v>
      </c>
    </row>
    <row r="102" spans="6:12" x14ac:dyDescent="0.25">
      <c r="K102">
        <v>13.5</v>
      </c>
      <c r="L102" s="143">
        <f xml:space="preserve"> -13.529*K102 + 1119.1</f>
        <v>936.45849999999996</v>
      </c>
    </row>
    <row r="103" spans="6:12" x14ac:dyDescent="0.25">
      <c r="L103" s="1"/>
    </row>
    <row r="104" spans="6:12" ht="13.8" x14ac:dyDescent="0.3">
      <c r="F104" s="58" t="s">
        <v>396</v>
      </c>
      <c r="G104" s="194" t="s">
        <v>453</v>
      </c>
      <c r="J104" s="194" t="s">
        <v>454</v>
      </c>
      <c r="K104">
        <v>3.4</v>
      </c>
      <c r="L104" s="1">
        <f xml:space="preserve"> -10.75*K104 + 1130.8</f>
        <v>1094.25</v>
      </c>
    </row>
    <row r="105" spans="6:12" x14ac:dyDescent="0.25">
      <c r="K105">
        <v>14</v>
      </c>
      <c r="L105" s="1">
        <f xml:space="preserve"> -10.75*K105 + 1130.8</f>
        <v>980.3</v>
      </c>
    </row>
    <row r="106" spans="6:12" x14ac:dyDescent="0.25">
      <c r="L106" s="1"/>
    </row>
    <row r="107" spans="6:12" ht="13.8" x14ac:dyDescent="0.3">
      <c r="F107" s="58" t="s">
        <v>397</v>
      </c>
      <c r="G107" s="194" t="s">
        <v>455</v>
      </c>
      <c r="J107" s="194" t="s">
        <v>456</v>
      </c>
      <c r="K107">
        <v>3.8</v>
      </c>
      <c r="L107" s="1">
        <f xml:space="preserve"> -8.6728*K107 + 1153.8</f>
        <v>1120.8433599999998</v>
      </c>
    </row>
    <row r="108" spans="6:12" x14ac:dyDescent="0.25">
      <c r="K108">
        <v>15.5</v>
      </c>
      <c r="L108" s="1">
        <f xml:space="preserve"> -8.6728*K108 + 1153.8</f>
        <v>1019.3715999999999</v>
      </c>
    </row>
    <row r="110" spans="6:12" x14ac:dyDescent="0.25">
      <c r="L110" s="1"/>
    </row>
    <row r="111" spans="6:12" x14ac:dyDescent="0.25">
      <c r="L111" s="1"/>
    </row>
    <row r="112" spans="6:12" x14ac:dyDescent="0.25">
      <c r="L112" s="1"/>
    </row>
    <row r="113" spans="12:12" x14ac:dyDescent="0.25">
      <c r="L113" s="1"/>
    </row>
    <row r="114" spans="12:12" x14ac:dyDescent="0.25">
      <c r="L114" s="1"/>
    </row>
    <row r="115" spans="12:12" x14ac:dyDescent="0.25">
      <c r="L115" s="1"/>
    </row>
    <row r="116" spans="12:12" x14ac:dyDescent="0.25">
      <c r="L116" s="1"/>
    </row>
  </sheetData>
  <phoneticPr fontId="2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Amp (T-P-fO2 calculation)</vt:lpstr>
      <vt:lpstr>eq. coef.</vt:lpstr>
      <vt:lpstr>stab.data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HP</cp:lastModifiedBy>
  <cp:lastPrinted>2017-01-11T10:14:13Z</cp:lastPrinted>
  <dcterms:created xsi:type="dcterms:W3CDTF">2010-06-27T15:40:23Z</dcterms:created>
  <dcterms:modified xsi:type="dcterms:W3CDTF">2026-08-29T13:23:15Z</dcterms:modified>
</cp:coreProperties>
</file>