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hesis\kazemi data\"/>
    </mc:Choice>
  </mc:AlternateContent>
  <xr:revisionPtr revIDLastSave="0" documentId="13_ncr:1_{81EC92EA-C934-4CB7-9429-7E7798B8341A}" xr6:coauthVersionLast="47" xr6:coauthVersionMax="47" xr10:uidLastSave="{00000000-0000-0000-0000-000000000000}"/>
  <bookViews>
    <workbookView xWindow="-120" yWindow="-120" windowWidth="20730" windowHeight="11160" activeTab="4" xr2:uid="{4D8ECE7A-96A1-42AF-A4E8-C795AA53D78D}"/>
  </bookViews>
  <sheets>
    <sheet name="mesophyl" sheetId="1" r:id="rId1"/>
    <sheet name="psycrotroph" sheetId="2" r:id="rId2"/>
    <sheet name="LAB" sheetId="3" r:id="rId3"/>
    <sheet name="entroactereriacea" sheetId="4" r:id="rId4"/>
    <sheet name="mold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9" i="4" l="1"/>
  <c r="P51" i="3"/>
  <c r="L29" i="3"/>
  <c r="L30" i="3"/>
  <c r="L28" i="3"/>
  <c r="L24" i="3"/>
  <c r="L25" i="3"/>
  <c r="L23" i="3"/>
  <c r="L19" i="3"/>
  <c r="L20" i="3"/>
  <c r="L18" i="3"/>
  <c r="L14" i="3"/>
  <c r="L15" i="3"/>
  <c r="L13" i="3"/>
  <c r="L9" i="3"/>
  <c r="L10" i="3"/>
  <c r="L8" i="3"/>
  <c r="L4" i="3"/>
  <c r="L5" i="3"/>
  <c r="L3" i="3"/>
  <c r="Q29" i="3"/>
  <c r="Q30" i="3"/>
  <c r="Q28" i="3"/>
  <c r="Q24" i="3"/>
  <c r="Q25" i="3"/>
  <c r="Q23" i="3"/>
  <c r="Q19" i="3"/>
  <c r="Q20" i="3"/>
  <c r="Q18" i="3"/>
  <c r="Q14" i="3"/>
  <c r="Q15" i="3"/>
  <c r="Q13" i="3"/>
  <c r="Q9" i="3"/>
  <c r="Q10" i="3"/>
  <c r="Q8" i="3"/>
  <c r="Q4" i="3"/>
  <c r="Q5" i="3"/>
  <c r="Q3" i="3"/>
  <c r="W29" i="3"/>
  <c r="W30" i="3"/>
  <c r="W28" i="3"/>
  <c r="W19" i="3"/>
  <c r="W20" i="3"/>
  <c r="W18" i="3"/>
  <c r="W24" i="3"/>
  <c r="W25" i="3"/>
  <c r="W23" i="3"/>
  <c r="W14" i="3"/>
  <c r="W15" i="3"/>
  <c r="W13" i="3"/>
  <c r="W9" i="3"/>
  <c r="W10" i="3"/>
  <c r="W8" i="3"/>
  <c r="W4" i="3"/>
  <c r="W5" i="3"/>
  <c r="W3" i="3"/>
  <c r="Q17" i="1"/>
  <c r="Q19" i="1"/>
  <c r="V24" i="1" l="1"/>
  <c r="W24" i="1" s="1"/>
  <c r="R18" i="5"/>
  <c r="S18" i="5" s="1"/>
  <c r="R19" i="5"/>
  <c r="S19" i="5" s="1"/>
  <c r="R17" i="5"/>
  <c r="S17" i="5" s="1"/>
  <c r="X18" i="5"/>
  <c r="Y18" i="5" s="1"/>
  <c r="X19" i="5"/>
  <c r="Y19" i="5" s="1"/>
  <c r="X17" i="5"/>
  <c r="Y17" i="5" s="1"/>
  <c r="Y29" i="5"/>
  <c r="X29" i="5"/>
  <c r="R29" i="5"/>
  <c r="S29" i="5" s="1"/>
  <c r="M29" i="5"/>
  <c r="N29" i="5" s="1"/>
  <c r="H29" i="5"/>
  <c r="I29" i="5" s="1"/>
  <c r="X28" i="5"/>
  <c r="Y28" i="5" s="1"/>
  <c r="R28" i="5"/>
  <c r="S28" i="5" s="1"/>
  <c r="M28" i="5"/>
  <c r="N28" i="5" s="1"/>
  <c r="H28" i="5"/>
  <c r="I28" i="5" s="1"/>
  <c r="X27" i="5"/>
  <c r="Y27" i="5" s="1"/>
  <c r="R27" i="5"/>
  <c r="S27" i="5" s="1"/>
  <c r="M27" i="5"/>
  <c r="N27" i="5" s="1"/>
  <c r="H27" i="5"/>
  <c r="I27" i="5" s="1"/>
  <c r="X24" i="5"/>
  <c r="Y24" i="5" s="1"/>
  <c r="R24" i="5"/>
  <c r="S24" i="5" s="1"/>
  <c r="M24" i="5"/>
  <c r="N24" i="5" s="1"/>
  <c r="H24" i="5"/>
  <c r="I24" i="5" s="1"/>
  <c r="X23" i="5"/>
  <c r="Y23" i="5" s="1"/>
  <c r="R23" i="5"/>
  <c r="S23" i="5" s="1"/>
  <c r="M23" i="5"/>
  <c r="N23" i="5" s="1"/>
  <c r="H23" i="5"/>
  <c r="I23" i="5" s="1"/>
  <c r="X22" i="5"/>
  <c r="Y22" i="5" s="1"/>
  <c r="R22" i="5"/>
  <c r="S22" i="5" s="1"/>
  <c r="M22" i="5"/>
  <c r="N22" i="5" s="1"/>
  <c r="H22" i="5"/>
  <c r="I22" i="5" s="1"/>
  <c r="M19" i="5"/>
  <c r="N19" i="5" s="1"/>
  <c r="H19" i="5"/>
  <c r="I19" i="5" s="1"/>
  <c r="M18" i="5"/>
  <c r="N18" i="5" s="1"/>
  <c r="H18" i="5"/>
  <c r="I18" i="5" s="1"/>
  <c r="M17" i="5"/>
  <c r="N17" i="5" s="1"/>
  <c r="H17" i="5"/>
  <c r="I17" i="5" s="1"/>
  <c r="X14" i="5"/>
  <c r="Y14" i="5" s="1"/>
  <c r="R14" i="5"/>
  <c r="S14" i="5" s="1"/>
  <c r="M14" i="5"/>
  <c r="N14" i="5" s="1"/>
  <c r="H14" i="5"/>
  <c r="I14" i="5" s="1"/>
  <c r="X13" i="5"/>
  <c r="Y13" i="5" s="1"/>
  <c r="R13" i="5"/>
  <c r="S13" i="5" s="1"/>
  <c r="M13" i="5"/>
  <c r="N13" i="5" s="1"/>
  <c r="H13" i="5"/>
  <c r="I13" i="5" s="1"/>
  <c r="X12" i="5"/>
  <c r="Y12" i="5" s="1"/>
  <c r="R12" i="5"/>
  <c r="S12" i="5" s="1"/>
  <c r="M12" i="5"/>
  <c r="N12" i="5" s="1"/>
  <c r="H12" i="5"/>
  <c r="I12" i="5" s="1"/>
  <c r="X9" i="5"/>
  <c r="Y9" i="5" s="1"/>
  <c r="R9" i="5"/>
  <c r="S9" i="5" s="1"/>
  <c r="M9" i="5"/>
  <c r="N9" i="5" s="1"/>
  <c r="H9" i="5"/>
  <c r="I9" i="5" s="1"/>
  <c r="X8" i="5"/>
  <c r="Y8" i="5" s="1"/>
  <c r="R8" i="5"/>
  <c r="S8" i="5" s="1"/>
  <c r="M8" i="5"/>
  <c r="N8" i="5" s="1"/>
  <c r="H8" i="5"/>
  <c r="I8" i="5" s="1"/>
  <c r="X7" i="5"/>
  <c r="Y7" i="5" s="1"/>
  <c r="R7" i="5"/>
  <c r="S7" i="5" s="1"/>
  <c r="M7" i="5"/>
  <c r="N7" i="5" s="1"/>
  <c r="H7" i="5"/>
  <c r="I7" i="5" s="1"/>
  <c r="X5" i="5"/>
  <c r="Y5" i="5" s="1"/>
  <c r="R5" i="5"/>
  <c r="S5" i="5" s="1"/>
  <c r="M5" i="5"/>
  <c r="N5" i="5" s="1"/>
  <c r="H5" i="5"/>
  <c r="I5" i="5" s="1"/>
  <c r="X4" i="5"/>
  <c r="Y4" i="5" s="1"/>
  <c r="R4" i="5"/>
  <c r="S4" i="5" s="1"/>
  <c r="M4" i="5"/>
  <c r="N4" i="5" s="1"/>
  <c r="H4" i="5"/>
  <c r="I4" i="5" s="1"/>
  <c r="X3" i="5"/>
  <c r="Y3" i="5" s="1"/>
  <c r="R3" i="5"/>
  <c r="S3" i="5" s="1"/>
  <c r="M3" i="5"/>
  <c r="N3" i="5" s="1"/>
  <c r="H3" i="5"/>
  <c r="I3" i="5" s="1"/>
  <c r="Y29" i="4"/>
  <c r="X29" i="4"/>
  <c r="R29" i="4"/>
  <c r="S29" i="4" s="1"/>
  <c r="M29" i="4"/>
  <c r="N29" i="4" s="1"/>
  <c r="H29" i="4"/>
  <c r="I29" i="4" s="1"/>
  <c r="D29" i="4"/>
  <c r="X28" i="4"/>
  <c r="Y28" i="4" s="1"/>
  <c r="R28" i="4"/>
  <c r="S28" i="4" s="1"/>
  <c r="M28" i="4"/>
  <c r="N28" i="4" s="1"/>
  <c r="H28" i="4"/>
  <c r="I28" i="4" s="1"/>
  <c r="D28" i="4"/>
  <c r="X27" i="4"/>
  <c r="Y27" i="4" s="1"/>
  <c r="Z27" i="4" s="1"/>
  <c r="R27" i="4"/>
  <c r="S27" i="4" s="1"/>
  <c r="M27" i="4"/>
  <c r="N27" i="4" s="1"/>
  <c r="H27" i="4"/>
  <c r="I27" i="4" s="1"/>
  <c r="J27" i="4" s="1"/>
  <c r="D27" i="4"/>
  <c r="F27" i="4" s="1"/>
  <c r="X24" i="4"/>
  <c r="Y24" i="4" s="1"/>
  <c r="R24" i="4"/>
  <c r="S24" i="4" s="1"/>
  <c r="M24" i="4"/>
  <c r="N24" i="4" s="1"/>
  <c r="H24" i="4"/>
  <c r="I24" i="4" s="1"/>
  <c r="D24" i="4"/>
  <c r="X23" i="4"/>
  <c r="Y23" i="4" s="1"/>
  <c r="R23" i="4"/>
  <c r="S23" i="4" s="1"/>
  <c r="M23" i="4"/>
  <c r="N23" i="4" s="1"/>
  <c r="H23" i="4"/>
  <c r="I23" i="4" s="1"/>
  <c r="D23" i="4"/>
  <c r="X22" i="4"/>
  <c r="Y22" i="4" s="1"/>
  <c r="R22" i="4"/>
  <c r="S22" i="4" s="1"/>
  <c r="M22" i="4"/>
  <c r="N22" i="4" s="1"/>
  <c r="H22" i="4"/>
  <c r="I22" i="4" s="1"/>
  <c r="D22" i="4"/>
  <c r="F22" i="4" s="1"/>
  <c r="X19" i="4"/>
  <c r="Y19" i="4" s="1"/>
  <c r="R19" i="4"/>
  <c r="S19" i="4" s="1"/>
  <c r="M19" i="4"/>
  <c r="N19" i="4" s="1"/>
  <c r="I19" i="4"/>
  <c r="H19" i="4"/>
  <c r="D19" i="4"/>
  <c r="X18" i="4"/>
  <c r="Y18" i="4" s="1"/>
  <c r="R18" i="4"/>
  <c r="S18" i="4" s="1"/>
  <c r="M18" i="4"/>
  <c r="N18" i="4" s="1"/>
  <c r="H18" i="4"/>
  <c r="I18" i="4" s="1"/>
  <c r="D18" i="4"/>
  <c r="F17" i="4" s="1"/>
  <c r="X17" i="4"/>
  <c r="Y17" i="4" s="1"/>
  <c r="R17" i="4"/>
  <c r="S17" i="4" s="1"/>
  <c r="M17" i="4"/>
  <c r="N17" i="4" s="1"/>
  <c r="H17" i="4"/>
  <c r="I17" i="4" s="1"/>
  <c r="D17" i="4"/>
  <c r="X14" i="4"/>
  <c r="Y14" i="4" s="1"/>
  <c r="R14" i="4"/>
  <c r="S14" i="4" s="1"/>
  <c r="M14" i="4"/>
  <c r="N14" i="4" s="1"/>
  <c r="H14" i="4"/>
  <c r="I14" i="4" s="1"/>
  <c r="D14" i="4"/>
  <c r="X13" i="4"/>
  <c r="Y13" i="4" s="1"/>
  <c r="R13" i="4"/>
  <c r="S13" i="4" s="1"/>
  <c r="M13" i="4"/>
  <c r="N13" i="4" s="1"/>
  <c r="H13" i="4"/>
  <c r="I13" i="4" s="1"/>
  <c r="D13" i="4"/>
  <c r="X12" i="4"/>
  <c r="Y12" i="4" s="1"/>
  <c r="R12" i="4"/>
  <c r="S12" i="4" s="1"/>
  <c r="M12" i="4"/>
  <c r="N12" i="4" s="1"/>
  <c r="H12" i="4"/>
  <c r="I12" i="4" s="1"/>
  <c r="D12" i="4"/>
  <c r="X9" i="4"/>
  <c r="Y9" i="4" s="1"/>
  <c r="R9" i="4"/>
  <c r="S9" i="4" s="1"/>
  <c r="M9" i="4"/>
  <c r="N9" i="4" s="1"/>
  <c r="H9" i="4"/>
  <c r="I9" i="4" s="1"/>
  <c r="D9" i="4"/>
  <c r="X8" i="4"/>
  <c r="Y8" i="4" s="1"/>
  <c r="R8" i="4"/>
  <c r="S8" i="4" s="1"/>
  <c r="M8" i="4"/>
  <c r="N8" i="4" s="1"/>
  <c r="H8" i="4"/>
  <c r="I8" i="4" s="1"/>
  <c r="D8" i="4"/>
  <c r="X7" i="4"/>
  <c r="Y7" i="4" s="1"/>
  <c r="Z7" i="4" s="1"/>
  <c r="R7" i="4"/>
  <c r="S7" i="4" s="1"/>
  <c r="M7" i="4"/>
  <c r="N7" i="4" s="1"/>
  <c r="H7" i="4"/>
  <c r="I7" i="4" s="1"/>
  <c r="D7" i="4"/>
  <c r="E7" i="4" s="1"/>
  <c r="X5" i="4"/>
  <c r="Y5" i="4" s="1"/>
  <c r="R5" i="4"/>
  <c r="S5" i="4" s="1"/>
  <c r="M5" i="4"/>
  <c r="N5" i="4" s="1"/>
  <c r="H5" i="4"/>
  <c r="I5" i="4" s="1"/>
  <c r="D5" i="4"/>
  <c r="X4" i="4"/>
  <c r="Y4" i="4" s="1"/>
  <c r="R4" i="4"/>
  <c r="S4" i="4" s="1"/>
  <c r="M4" i="4"/>
  <c r="N4" i="4" s="1"/>
  <c r="H4" i="4"/>
  <c r="I4" i="4" s="1"/>
  <c r="D4" i="4"/>
  <c r="X3" i="4"/>
  <c r="Y3" i="4" s="1"/>
  <c r="R3" i="4"/>
  <c r="S3" i="4" s="1"/>
  <c r="M3" i="4"/>
  <c r="N3" i="4" s="1"/>
  <c r="H3" i="4"/>
  <c r="I3" i="4" s="1"/>
  <c r="D3" i="4"/>
  <c r="E3" i="4" s="1"/>
  <c r="X30" i="3"/>
  <c r="R30" i="3"/>
  <c r="M30" i="3"/>
  <c r="H30" i="3"/>
  <c r="C30" i="3"/>
  <c r="X29" i="3"/>
  <c r="R29" i="3"/>
  <c r="M29" i="3"/>
  <c r="H29" i="3"/>
  <c r="C29" i="3"/>
  <c r="X28" i="3"/>
  <c r="R28" i="3"/>
  <c r="M28" i="3"/>
  <c r="H28" i="3"/>
  <c r="J28" i="3" s="1"/>
  <c r="C28" i="3"/>
  <c r="X25" i="3"/>
  <c r="R25" i="3"/>
  <c r="M25" i="3"/>
  <c r="H25" i="3"/>
  <c r="C25" i="3"/>
  <c r="X24" i="3"/>
  <c r="R24" i="3"/>
  <c r="M24" i="3"/>
  <c r="H24" i="3"/>
  <c r="C24" i="3"/>
  <c r="X23" i="3"/>
  <c r="R23" i="3"/>
  <c r="M23" i="3"/>
  <c r="H23" i="3"/>
  <c r="C23" i="3"/>
  <c r="X20" i="3"/>
  <c r="R20" i="3"/>
  <c r="M20" i="3"/>
  <c r="H20" i="3"/>
  <c r="C20" i="3"/>
  <c r="X19" i="3"/>
  <c r="R19" i="3"/>
  <c r="M19" i="3"/>
  <c r="H19" i="3"/>
  <c r="C19" i="3"/>
  <c r="X18" i="3"/>
  <c r="R18" i="3"/>
  <c r="M18" i="3"/>
  <c r="H18" i="3"/>
  <c r="C18" i="3"/>
  <c r="X15" i="3"/>
  <c r="R15" i="3"/>
  <c r="M15" i="3"/>
  <c r="H15" i="3"/>
  <c r="C15" i="3"/>
  <c r="X14" i="3"/>
  <c r="R14" i="3"/>
  <c r="M14" i="3"/>
  <c r="H14" i="3"/>
  <c r="C14" i="3"/>
  <c r="X13" i="3"/>
  <c r="R13" i="3"/>
  <c r="M13" i="3"/>
  <c r="H13" i="3"/>
  <c r="C13" i="3"/>
  <c r="X10" i="3"/>
  <c r="R10" i="3"/>
  <c r="M10" i="3"/>
  <c r="H10" i="3"/>
  <c r="C10" i="3"/>
  <c r="X9" i="3"/>
  <c r="R9" i="3"/>
  <c r="M9" i="3"/>
  <c r="H9" i="3"/>
  <c r="C9" i="3"/>
  <c r="X8" i="3"/>
  <c r="R8" i="3"/>
  <c r="M8" i="3"/>
  <c r="H8" i="3"/>
  <c r="C8" i="3"/>
  <c r="X5" i="3"/>
  <c r="R5" i="3"/>
  <c r="M5" i="3"/>
  <c r="H5" i="3"/>
  <c r="C5" i="3"/>
  <c r="X4" i="3"/>
  <c r="R4" i="3"/>
  <c r="M4" i="3"/>
  <c r="H4" i="3"/>
  <c r="C4" i="3"/>
  <c r="X3" i="3"/>
  <c r="R3" i="3"/>
  <c r="M3" i="3"/>
  <c r="H3" i="3"/>
  <c r="C3" i="3"/>
  <c r="W30" i="2"/>
  <c r="X30" i="2" s="1"/>
  <c r="Q30" i="2"/>
  <c r="R30" i="2" s="1"/>
  <c r="L30" i="2"/>
  <c r="M30" i="2" s="1"/>
  <c r="H30" i="2"/>
  <c r="C30" i="2"/>
  <c r="W29" i="2"/>
  <c r="X29" i="2" s="1"/>
  <c r="Q29" i="2"/>
  <c r="R29" i="2" s="1"/>
  <c r="L29" i="2"/>
  <c r="M29" i="2" s="1"/>
  <c r="H29" i="2"/>
  <c r="C29" i="2"/>
  <c r="W28" i="2"/>
  <c r="X28" i="2" s="1"/>
  <c r="Q28" i="2"/>
  <c r="R28" i="2" s="1"/>
  <c r="L28" i="2"/>
  <c r="M28" i="2" s="1"/>
  <c r="H28" i="2"/>
  <c r="C28" i="2"/>
  <c r="E28" i="2" s="1"/>
  <c r="W25" i="2"/>
  <c r="X25" i="2" s="1"/>
  <c r="Q25" i="2"/>
  <c r="R25" i="2" s="1"/>
  <c r="L25" i="2"/>
  <c r="M25" i="2" s="1"/>
  <c r="H25" i="2"/>
  <c r="C25" i="2"/>
  <c r="W24" i="2"/>
  <c r="X24" i="2" s="1"/>
  <c r="Q24" i="2"/>
  <c r="R24" i="2" s="1"/>
  <c r="L24" i="2"/>
  <c r="M24" i="2" s="1"/>
  <c r="H24" i="2"/>
  <c r="C24" i="2"/>
  <c r="W23" i="2"/>
  <c r="X23" i="2" s="1"/>
  <c r="Q23" i="2"/>
  <c r="R23" i="2" s="1"/>
  <c r="S23" i="2" s="1"/>
  <c r="L23" i="2"/>
  <c r="M23" i="2" s="1"/>
  <c r="H23" i="2"/>
  <c r="C23" i="2"/>
  <c r="X20" i="2"/>
  <c r="W20" i="2"/>
  <c r="Q20" i="2"/>
  <c r="R20" i="2" s="1"/>
  <c r="L20" i="2"/>
  <c r="M20" i="2" s="1"/>
  <c r="H20" i="2"/>
  <c r="C20" i="2"/>
  <c r="W19" i="2"/>
  <c r="X19" i="2" s="1"/>
  <c r="Q19" i="2"/>
  <c r="R19" i="2" s="1"/>
  <c r="L19" i="2"/>
  <c r="M19" i="2" s="1"/>
  <c r="H19" i="2"/>
  <c r="C19" i="2"/>
  <c r="W18" i="2"/>
  <c r="X18" i="2" s="1"/>
  <c r="Q18" i="2"/>
  <c r="R18" i="2" s="1"/>
  <c r="T18" i="2" s="1"/>
  <c r="L18" i="2"/>
  <c r="M18" i="2" s="1"/>
  <c r="H18" i="2"/>
  <c r="C18" i="2"/>
  <c r="E18" i="2" s="1"/>
  <c r="W15" i="2"/>
  <c r="X15" i="2" s="1"/>
  <c r="Q15" i="2"/>
  <c r="R15" i="2" s="1"/>
  <c r="L15" i="2"/>
  <c r="M15" i="2" s="1"/>
  <c r="H15" i="2"/>
  <c r="C15" i="2"/>
  <c r="W14" i="2"/>
  <c r="X14" i="2" s="1"/>
  <c r="Q14" i="2"/>
  <c r="R14" i="2" s="1"/>
  <c r="L14" i="2"/>
  <c r="M14" i="2" s="1"/>
  <c r="H14" i="2"/>
  <c r="C14" i="2"/>
  <c r="W13" i="2"/>
  <c r="X13" i="2" s="1"/>
  <c r="Q13" i="2"/>
  <c r="R13" i="2" s="1"/>
  <c r="S13" i="2" s="1"/>
  <c r="L13" i="2"/>
  <c r="M13" i="2" s="1"/>
  <c r="H13" i="2"/>
  <c r="C13" i="2"/>
  <c r="W10" i="2"/>
  <c r="X10" i="2" s="1"/>
  <c r="Q10" i="2"/>
  <c r="R10" i="2" s="1"/>
  <c r="L10" i="2"/>
  <c r="M10" i="2" s="1"/>
  <c r="H10" i="2"/>
  <c r="C10" i="2"/>
  <c r="W9" i="2"/>
  <c r="X9" i="2" s="1"/>
  <c r="Q9" i="2"/>
  <c r="R9" i="2" s="1"/>
  <c r="L9" i="2"/>
  <c r="M9" i="2" s="1"/>
  <c r="H9" i="2"/>
  <c r="C9" i="2"/>
  <c r="W8" i="2"/>
  <c r="X8" i="2" s="1"/>
  <c r="Q8" i="2"/>
  <c r="R8" i="2" s="1"/>
  <c r="L8" i="2"/>
  <c r="M8" i="2" s="1"/>
  <c r="H8" i="2"/>
  <c r="I8" i="2" s="1"/>
  <c r="C8" i="2"/>
  <c r="W5" i="2"/>
  <c r="X5" i="2" s="1"/>
  <c r="Q5" i="2"/>
  <c r="R5" i="2" s="1"/>
  <c r="L5" i="2"/>
  <c r="M5" i="2" s="1"/>
  <c r="H5" i="2"/>
  <c r="C5" i="2"/>
  <c r="W4" i="2"/>
  <c r="X4" i="2" s="1"/>
  <c r="Q4" i="2"/>
  <c r="R4" i="2" s="1"/>
  <c r="L4" i="2"/>
  <c r="M4" i="2" s="1"/>
  <c r="H4" i="2"/>
  <c r="C4" i="2"/>
  <c r="W3" i="2"/>
  <c r="X3" i="2" s="1"/>
  <c r="Q3" i="2"/>
  <c r="R3" i="2" s="1"/>
  <c r="L3" i="2"/>
  <c r="M3" i="2" s="1"/>
  <c r="H3" i="2"/>
  <c r="C3" i="2"/>
  <c r="V29" i="1"/>
  <c r="W29" i="1" s="1"/>
  <c r="Q29" i="1"/>
  <c r="R29" i="1" s="1"/>
  <c r="L29" i="1"/>
  <c r="M29" i="1" s="1"/>
  <c r="H29" i="1"/>
  <c r="C29" i="1"/>
  <c r="V28" i="1"/>
  <c r="W28" i="1" s="1"/>
  <c r="Q28" i="1"/>
  <c r="R28" i="1" s="1"/>
  <c r="L28" i="1"/>
  <c r="M28" i="1" s="1"/>
  <c r="H28" i="1"/>
  <c r="C28" i="1"/>
  <c r="V27" i="1"/>
  <c r="W27" i="1" s="1"/>
  <c r="Q27" i="1"/>
  <c r="R27" i="1" s="1"/>
  <c r="L27" i="1"/>
  <c r="M27" i="1" s="1"/>
  <c r="H27" i="1"/>
  <c r="I27" i="1" s="1"/>
  <c r="C27" i="1"/>
  <c r="Q24" i="1"/>
  <c r="R24" i="1" s="1"/>
  <c r="L24" i="1"/>
  <c r="M24" i="1" s="1"/>
  <c r="H24" i="1"/>
  <c r="C24" i="1"/>
  <c r="V23" i="1"/>
  <c r="W23" i="1" s="1"/>
  <c r="Q23" i="1"/>
  <c r="R23" i="1" s="1"/>
  <c r="M23" i="1"/>
  <c r="L23" i="1"/>
  <c r="H23" i="1"/>
  <c r="C23" i="1"/>
  <c r="V22" i="1"/>
  <c r="W22" i="1" s="1"/>
  <c r="Q22" i="1"/>
  <c r="R22" i="1" s="1"/>
  <c r="L22" i="1"/>
  <c r="M22" i="1" s="1"/>
  <c r="H22" i="1"/>
  <c r="C22" i="1"/>
  <c r="V19" i="1"/>
  <c r="W19" i="1" s="1"/>
  <c r="R19" i="1"/>
  <c r="L19" i="1"/>
  <c r="M19" i="1" s="1"/>
  <c r="H19" i="1"/>
  <c r="C19" i="1"/>
  <c r="V18" i="1"/>
  <c r="W18" i="1" s="1"/>
  <c r="Q18" i="1"/>
  <c r="R18" i="1" s="1"/>
  <c r="L18" i="1"/>
  <c r="M18" i="1" s="1"/>
  <c r="H18" i="1"/>
  <c r="C18" i="1"/>
  <c r="V17" i="1"/>
  <c r="W17" i="1" s="1"/>
  <c r="R17" i="1"/>
  <c r="L17" i="1"/>
  <c r="M17" i="1" s="1"/>
  <c r="H17" i="1"/>
  <c r="C17" i="1"/>
  <c r="V14" i="1"/>
  <c r="W14" i="1" s="1"/>
  <c r="Q14" i="1"/>
  <c r="R14" i="1" s="1"/>
  <c r="M14" i="1"/>
  <c r="H14" i="1"/>
  <c r="C14" i="1"/>
  <c r="V13" i="1"/>
  <c r="W13" i="1" s="1"/>
  <c r="Q13" i="1"/>
  <c r="R13" i="1" s="1"/>
  <c r="L13" i="1"/>
  <c r="M13" i="1" s="1"/>
  <c r="H13" i="1"/>
  <c r="J12" i="1" s="1"/>
  <c r="C13" i="1"/>
  <c r="V12" i="1"/>
  <c r="W12" i="1" s="1"/>
  <c r="Q12" i="1"/>
  <c r="R12" i="1" s="1"/>
  <c r="L12" i="1"/>
  <c r="M12" i="1" s="1"/>
  <c r="H12" i="1"/>
  <c r="C12" i="1"/>
  <c r="V9" i="1"/>
  <c r="W9" i="1" s="1"/>
  <c r="Q9" i="1"/>
  <c r="R9" i="1" s="1"/>
  <c r="M9" i="1"/>
  <c r="H9" i="1"/>
  <c r="C9" i="1"/>
  <c r="W8" i="1"/>
  <c r="V8" i="1"/>
  <c r="Q8" i="1"/>
  <c r="R8" i="1" s="1"/>
  <c r="L8" i="1"/>
  <c r="M8" i="1" s="1"/>
  <c r="H8" i="1"/>
  <c r="C8" i="1"/>
  <c r="V7" i="1"/>
  <c r="W7" i="1" s="1"/>
  <c r="Q7" i="1"/>
  <c r="R7" i="1" s="1"/>
  <c r="L7" i="1"/>
  <c r="M7" i="1" s="1"/>
  <c r="H7" i="1"/>
  <c r="C7" i="1"/>
  <c r="V5" i="1"/>
  <c r="W5" i="1" s="1"/>
  <c r="Q5" i="1"/>
  <c r="R5" i="1" s="1"/>
  <c r="L5" i="1"/>
  <c r="M5" i="1" s="1"/>
  <c r="H5" i="1"/>
  <c r="C5" i="1"/>
  <c r="V4" i="1"/>
  <c r="W4" i="1" s="1"/>
  <c r="Q4" i="1"/>
  <c r="R4" i="1" s="1"/>
  <c r="L4" i="1"/>
  <c r="M4" i="1" s="1"/>
  <c r="H4" i="1"/>
  <c r="C4" i="1"/>
  <c r="V3" i="1"/>
  <c r="W3" i="1" s="1"/>
  <c r="Q3" i="1"/>
  <c r="R3" i="1" s="1"/>
  <c r="M3" i="1"/>
  <c r="H3" i="1"/>
  <c r="C3" i="1"/>
  <c r="Z18" i="3" l="1"/>
  <c r="Z3" i="5"/>
  <c r="O3" i="5"/>
  <c r="O7" i="5"/>
  <c r="Z7" i="5"/>
  <c r="AA7" i="5"/>
  <c r="Z12" i="5"/>
  <c r="AA12" i="5"/>
  <c r="Z22" i="5"/>
  <c r="AA22" i="5"/>
  <c r="Z27" i="5"/>
  <c r="AA27" i="5"/>
  <c r="P3" i="5"/>
  <c r="AA3" i="5"/>
  <c r="P7" i="5"/>
  <c r="J12" i="5"/>
  <c r="K12" i="5"/>
  <c r="J17" i="5"/>
  <c r="K17" i="5"/>
  <c r="J22" i="5"/>
  <c r="K22" i="5"/>
  <c r="J27" i="5"/>
  <c r="K27" i="5"/>
  <c r="J3" i="5"/>
  <c r="T3" i="5"/>
  <c r="J7" i="5"/>
  <c r="T7" i="5"/>
  <c r="O12" i="5"/>
  <c r="P12" i="5"/>
  <c r="O17" i="5"/>
  <c r="P17" i="5"/>
  <c r="O22" i="5"/>
  <c r="P22" i="5"/>
  <c r="O27" i="5"/>
  <c r="P27" i="5"/>
  <c r="K3" i="5"/>
  <c r="U3" i="5"/>
  <c r="K7" i="5"/>
  <c r="U7" i="5"/>
  <c r="T12" i="5"/>
  <c r="U12" i="5"/>
  <c r="T22" i="5"/>
  <c r="U22" i="5"/>
  <c r="T27" i="5"/>
  <c r="U27" i="5"/>
  <c r="F3" i="4"/>
  <c r="F12" i="4"/>
  <c r="O27" i="4"/>
  <c r="E22" i="4"/>
  <c r="E17" i="4"/>
  <c r="P12" i="4"/>
  <c r="O12" i="4"/>
  <c r="K22" i="4"/>
  <c r="J22" i="4"/>
  <c r="K3" i="4"/>
  <c r="J3" i="4"/>
  <c r="U12" i="4"/>
  <c r="T12" i="4"/>
  <c r="P22" i="4"/>
  <c r="O22" i="4"/>
  <c r="P3" i="4"/>
  <c r="O3" i="4"/>
  <c r="AA12" i="4"/>
  <c r="Z12" i="4"/>
  <c r="O17" i="4"/>
  <c r="P17" i="4"/>
  <c r="T22" i="4"/>
  <c r="U22" i="4"/>
  <c r="U27" i="4"/>
  <c r="AA3" i="4"/>
  <c r="Z3" i="4"/>
  <c r="Z17" i="4"/>
  <c r="AA17" i="4"/>
  <c r="O7" i="4"/>
  <c r="J17" i="4"/>
  <c r="K17" i="4"/>
  <c r="U3" i="4"/>
  <c r="T3" i="4"/>
  <c r="J7" i="4"/>
  <c r="T7" i="4"/>
  <c r="K12" i="4"/>
  <c r="J12" i="4"/>
  <c r="T17" i="4"/>
  <c r="U17" i="4"/>
  <c r="AA22" i="4"/>
  <c r="Z22" i="4"/>
  <c r="E27" i="4"/>
  <c r="T27" i="4"/>
  <c r="F7" i="4"/>
  <c r="K7" i="4"/>
  <c r="P7" i="4"/>
  <c r="U7" i="4"/>
  <c r="AA7" i="4"/>
  <c r="E12" i="4"/>
  <c r="K27" i="4"/>
  <c r="P27" i="4"/>
  <c r="AA27" i="4"/>
  <c r="E3" i="3"/>
  <c r="E13" i="3"/>
  <c r="I23" i="3"/>
  <c r="O18" i="3"/>
  <c r="I3" i="3"/>
  <c r="J8" i="3"/>
  <c r="D13" i="3"/>
  <c r="E18" i="3"/>
  <c r="E23" i="3"/>
  <c r="T18" i="3"/>
  <c r="T8" i="3"/>
  <c r="T28" i="3"/>
  <c r="J3" i="3"/>
  <c r="J23" i="3"/>
  <c r="D3" i="3"/>
  <c r="I13" i="3"/>
  <c r="J18" i="3"/>
  <c r="D23" i="3"/>
  <c r="E8" i="3"/>
  <c r="J13" i="3"/>
  <c r="E28" i="3"/>
  <c r="Y3" i="3"/>
  <c r="Z3" i="3"/>
  <c r="N13" i="3"/>
  <c r="O13" i="3"/>
  <c r="Y23" i="3"/>
  <c r="Z23" i="3"/>
  <c r="S13" i="3"/>
  <c r="T13" i="3"/>
  <c r="N3" i="3"/>
  <c r="O3" i="3"/>
  <c r="O8" i="3"/>
  <c r="Z8" i="3"/>
  <c r="Y13" i="3"/>
  <c r="Z13" i="3"/>
  <c r="N23" i="3"/>
  <c r="O23" i="3"/>
  <c r="O28" i="3"/>
  <c r="Z28" i="3"/>
  <c r="S3" i="3"/>
  <c r="T3" i="3"/>
  <c r="S23" i="3"/>
  <c r="T23" i="3"/>
  <c r="I8" i="3"/>
  <c r="N8" i="3"/>
  <c r="S8" i="3"/>
  <c r="Y8" i="3"/>
  <c r="I18" i="3"/>
  <c r="N18" i="3"/>
  <c r="S18" i="3"/>
  <c r="Y18" i="3"/>
  <c r="I28" i="3"/>
  <c r="N28" i="3"/>
  <c r="S28" i="3"/>
  <c r="Y28" i="3"/>
  <c r="D8" i="3"/>
  <c r="D18" i="3"/>
  <c r="D28" i="3"/>
  <c r="N3" i="2"/>
  <c r="Z18" i="2"/>
  <c r="E3" i="2"/>
  <c r="D13" i="2"/>
  <c r="Y13" i="2"/>
  <c r="O18" i="2"/>
  <c r="T28" i="2"/>
  <c r="D3" i="2"/>
  <c r="J8" i="2"/>
  <c r="E13" i="2"/>
  <c r="J18" i="2"/>
  <c r="I13" i="2"/>
  <c r="I23" i="2"/>
  <c r="J28" i="2"/>
  <c r="Y3" i="2"/>
  <c r="E23" i="2"/>
  <c r="I3" i="2"/>
  <c r="E8" i="2"/>
  <c r="S3" i="2"/>
  <c r="N8" i="2"/>
  <c r="O8" i="2"/>
  <c r="Z28" i="2"/>
  <c r="S8" i="2"/>
  <c r="T8" i="2"/>
  <c r="N13" i="2"/>
  <c r="N23" i="2"/>
  <c r="O23" i="2"/>
  <c r="T23" i="2"/>
  <c r="O28" i="2"/>
  <c r="Y23" i="2"/>
  <c r="Y8" i="2"/>
  <c r="D23" i="2"/>
  <c r="Z8" i="2"/>
  <c r="D18" i="2"/>
  <c r="J23" i="2"/>
  <c r="Z23" i="2"/>
  <c r="D8" i="2"/>
  <c r="D28" i="2"/>
  <c r="O3" i="2"/>
  <c r="Z3" i="2"/>
  <c r="J13" i="2"/>
  <c r="T13" i="2"/>
  <c r="J3" i="2"/>
  <c r="T3" i="2"/>
  <c r="O13" i="2"/>
  <c r="Z13" i="2"/>
  <c r="I18" i="2"/>
  <c r="N18" i="2"/>
  <c r="S18" i="2"/>
  <c r="Y18" i="2"/>
  <c r="I28" i="2"/>
  <c r="N28" i="2"/>
  <c r="S28" i="2"/>
  <c r="Y28" i="2"/>
  <c r="D3" i="1"/>
  <c r="J22" i="1"/>
  <c r="E3" i="1"/>
  <c r="J7" i="1"/>
  <c r="I12" i="1"/>
  <c r="J27" i="1"/>
  <c r="T3" i="1"/>
  <c r="I7" i="1"/>
  <c r="D7" i="1"/>
  <c r="D17" i="1"/>
  <c r="D22" i="1"/>
  <c r="E27" i="1"/>
  <c r="N27" i="1"/>
  <c r="O27" i="1"/>
  <c r="S27" i="1"/>
  <c r="T27" i="1"/>
  <c r="X27" i="1"/>
  <c r="J17" i="1"/>
  <c r="D27" i="1"/>
  <c r="Y27" i="1"/>
  <c r="I3" i="1"/>
  <c r="E7" i="1"/>
  <c r="E12" i="1"/>
  <c r="E22" i="1"/>
  <c r="I22" i="1"/>
  <c r="Y12" i="1"/>
  <c r="X12" i="1"/>
  <c r="O7" i="1"/>
  <c r="N7" i="1"/>
  <c r="O12" i="1"/>
  <c r="N12" i="1"/>
  <c r="Y3" i="1"/>
  <c r="S7" i="1"/>
  <c r="T7" i="1"/>
  <c r="Y7" i="1"/>
  <c r="X7" i="1"/>
  <c r="S12" i="1"/>
  <c r="T12" i="1"/>
  <c r="X17" i="1"/>
  <c r="Y17" i="1"/>
  <c r="O22" i="1"/>
  <c r="N22" i="1"/>
  <c r="S22" i="1"/>
  <c r="T22" i="1"/>
  <c r="O3" i="1"/>
  <c r="O17" i="1"/>
  <c r="Y22" i="1"/>
  <c r="X22" i="1"/>
  <c r="S3" i="1"/>
  <c r="D12" i="1"/>
  <c r="I17" i="1"/>
  <c r="N17" i="1"/>
  <c r="J3" i="1"/>
  <c r="E17" i="1"/>
  <c r="N3" i="1"/>
  <c r="X3" i="1"/>
  <c r="S17" i="1"/>
  <c r="T17" i="1"/>
  <c r="U17" i="5"/>
  <c r="T17" i="5"/>
  <c r="AA17" i="5"/>
  <c r="Z17" i="5"/>
</calcChain>
</file>

<file path=xl/sharedStrings.xml><?xml version="1.0" encoding="utf-8"?>
<sst xmlns="http://schemas.openxmlformats.org/spreadsheetml/2006/main" count="185" uniqueCount="25">
  <si>
    <t>log</t>
  </si>
  <si>
    <t>mean</t>
  </si>
  <si>
    <t>std</t>
  </si>
  <si>
    <t>control</t>
  </si>
  <si>
    <t>starch film</t>
  </si>
  <si>
    <t>zein film</t>
  </si>
  <si>
    <t>zein +10% CE</t>
  </si>
  <si>
    <t>bilayer film</t>
  </si>
  <si>
    <t>bilayer +10% CE</t>
  </si>
  <si>
    <t>day 3</t>
  </si>
  <si>
    <t>day 6</t>
  </si>
  <si>
    <t>day 9</t>
  </si>
  <si>
    <t>day 12</t>
  </si>
  <si>
    <t>maen</t>
  </si>
  <si>
    <t>ND</t>
  </si>
  <si>
    <t>day 0</t>
  </si>
  <si>
    <t>day</t>
  </si>
  <si>
    <t>log CFU/g</t>
  </si>
  <si>
    <t>SPSs</t>
  </si>
  <si>
    <t>AS</t>
  </si>
  <si>
    <t>Z</t>
  </si>
  <si>
    <t>ZCEO</t>
  </si>
  <si>
    <t>AS/Z</t>
  </si>
  <si>
    <t>AS/ZCEO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</si>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</sst>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0"/>
    <numFmt numFmtId="166" formatCode="#,##0.00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indexed="60"/>
      <name val="Arial Bold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0" fillId="2" borderId="0" xfId="0" applyFill="1"/>
    <xf numFmtId="3" fontId="0" fillId="0" borderId="0" xfId="0" applyNumberFormat="1"/>
    <xf numFmtId="4" fontId="0" fillId="0" borderId="0" xfId="0" applyNumberFormat="1"/>
    <xf numFmtId="4" fontId="0" fillId="3" borderId="0" xfId="0" applyNumberFormat="1" applyFill="1"/>
    <xf numFmtId="4" fontId="0" fillId="4" borderId="0" xfId="0" applyNumberFormat="1" applyFill="1"/>
    <xf numFmtId="0" fontId="0" fillId="5" borderId="0" xfId="0" applyFill="1"/>
    <xf numFmtId="0" fontId="0" fillId="6" borderId="0" xfId="0" applyFill="1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0" fontId="2" fillId="0" borderId="0" xfId="1"/>
    <xf numFmtId="0" fontId="2" fillId="0" borderId="0" xfId="2"/>
    <xf numFmtId="0" fontId="2" fillId="0" borderId="0" xfId="3"/>
    <xf numFmtId="0" fontId="2" fillId="0" borderId="0" xfId="4"/>
    <xf numFmtId="0" fontId="2" fillId="0" borderId="0" xfId="5"/>
    <xf numFmtId="0" fontId="3" fillId="0" borderId="0" xfId="1" applyFont="1" applyAlignment="1">
      <alignment horizontal="center" vertical="center" wrapText="1"/>
    </xf>
  </cellXfs>
  <cellStyles count="6">
    <cellStyle name="Normal" xfId="0" builtinId="0"/>
    <cellStyle name="Normal_entroactereriacea" xfId="4" xr:uid="{913B3877-144F-4B4F-8800-02ECF1EF81C3}"/>
    <cellStyle name="Normal_LAB" xfId="3" xr:uid="{6EBE0423-2C5B-4375-871F-EE3C23BA1AC1}"/>
    <cellStyle name="Normal_mesophyl" xfId="1" xr:uid="{70F6BBCF-A6FA-426E-BE8C-919D51DE6E7C}"/>
    <cellStyle name="Normal_mold" xfId="5" xr:uid="{0A5198B6-48D8-4716-8C03-204D9EDB2CCB}"/>
    <cellStyle name="Normal_psycrotroph" xfId="2" xr:uid="{0E9274DF-4756-4064-BF3A-4881848048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TMC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mesophyl!$H$33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gradFill>
                <a:gsLst>
                  <a:gs pos="0">
                    <a:schemeClr val="accent1">
                      <a:lumMod val="5000"/>
                      <a:lumOff val="95000"/>
                    </a:schemeClr>
                  </a:gs>
                  <a:gs pos="74000">
                    <a:schemeClr val="accent1">
                      <a:lumMod val="45000"/>
                      <a:lumOff val="55000"/>
                    </a:schemeClr>
                  </a:gs>
                  <a:gs pos="83000">
                    <a:schemeClr val="accent1">
                      <a:lumMod val="45000"/>
                      <a:lumOff val="55000"/>
                    </a:schemeClr>
                  </a:gs>
                  <a:gs pos="100000">
                    <a:schemeClr val="accent1">
                      <a:lumMod val="30000"/>
                      <a:lumOff val="70000"/>
                    </a:schemeClr>
                  </a:gs>
                </a:gsLst>
                <a:lin ang="5400000" scaled="1"/>
              </a:gra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D30C-49C6-AFCB-FAC07FBA31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D30C-49C6-AFCB-FAC07FBA31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D30C-49C6-AFCB-FAC07FBA31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D30C-49C6-AFCB-FAC07FBA31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D30C-49C6-AFCB-FAC07FBA3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mesophyl!$I$40:$M$40</c:f>
                <c:numCache>
                  <c:formatCode>General</c:formatCode>
                  <c:ptCount val="5"/>
                  <c:pt idx="0">
                    <c:v>0.11121908276973033</c:v>
                  </c:pt>
                  <c:pt idx="1">
                    <c:v>4.2797580113603732E-2</c:v>
                  </c:pt>
                  <c:pt idx="2">
                    <c:v>1.6182391115642299E-2</c:v>
                  </c:pt>
                  <c:pt idx="3">
                    <c:v>4.1006498962133098E-2</c:v>
                  </c:pt>
                  <c:pt idx="4">
                    <c:v>7.1556894198502127E-2</c:v>
                  </c:pt>
                </c:numCache>
              </c:numRef>
            </c:plus>
            <c:minus>
              <c:numRef>
                <c:f>mesophyl!$I$40:$M$40</c:f>
                <c:numCache>
                  <c:formatCode>General</c:formatCode>
                  <c:ptCount val="5"/>
                  <c:pt idx="0">
                    <c:v>0.11121908276973033</c:v>
                  </c:pt>
                  <c:pt idx="1">
                    <c:v>4.2797580113603732E-2</c:v>
                  </c:pt>
                  <c:pt idx="2">
                    <c:v>1.6182391115642299E-2</c:v>
                  </c:pt>
                  <c:pt idx="3">
                    <c:v>4.1006498962133098E-2</c:v>
                  </c:pt>
                  <c:pt idx="4">
                    <c:v>7.1556894198502127E-2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mesophyl!$I$32:$M$32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 formatCode="#,##0.00">
                  <c:v>9</c:v>
                </c:pt>
                <c:pt idx="4">
                  <c:v>12</c:v>
                </c:pt>
              </c:numCache>
            </c:numRef>
          </c:cat>
          <c:val>
            <c:numRef>
              <c:f>mesophyl!$I$33:$M$33</c:f>
              <c:numCache>
                <c:formatCode>0.00</c:formatCode>
                <c:ptCount val="5"/>
                <c:pt idx="0">
                  <c:v>2.893747079125196</c:v>
                </c:pt>
                <c:pt idx="1">
                  <c:v>3.9088547387207484</c:v>
                </c:pt>
                <c:pt idx="2">
                  <c:v>6.4864641625864108</c:v>
                </c:pt>
                <c:pt idx="3" formatCode="#,##0.00">
                  <c:v>7.8740940135031003</c:v>
                </c:pt>
                <c:pt idx="4" formatCode="General">
                  <c:v>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1C-43F9-82F1-46E8420F37EA}"/>
            </c:ext>
          </c:extLst>
        </c:ser>
        <c:ser>
          <c:idx val="1"/>
          <c:order val="1"/>
          <c:tx>
            <c:strRef>
              <c:f>mesophyl!$H$34</c:f>
              <c:strCache>
                <c:ptCount val="1"/>
                <c:pt idx="0">
                  <c:v>starch film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ABCe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30C-49C6-AFCB-FAC07FBA31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D30C-49C6-AFCB-FAC07FBA31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D30C-49C6-AFCB-FAC07FBA31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D30C-49C6-AFCB-FAC07FBA31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D30C-49C6-AFCB-FAC07FBA3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mesophyl!$I$41:$M$41</c:f>
                <c:numCache>
                  <c:formatCode>General</c:formatCode>
                  <c:ptCount val="5"/>
                  <c:pt idx="0">
                    <c:v>0.1</c:v>
                  </c:pt>
                  <c:pt idx="1">
                    <c:v>0.15</c:v>
                  </c:pt>
                  <c:pt idx="2">
                    <c:v>7.0000000000000007E-2</c:v>
                  </c:pt>
                  <c:pt idx="3">
                    <c:v>0.15</c:v>
                  </c:pt>
                  <c:pt idx="4">
                    <c:v>0.06</c:v>
                  </c:pt>
                </c:numCache>
              </c:numRef>
            </c:plus>
            <c:minus>
              <c:numRef>
                <c:f>mesophyl!$I$41:$M$41</c:f>
                <c:numCache>
                  <c:formatCode>General</c:formatCode>
                  <c:ptCount val="5"/>
                  <c:pt idx="0">
                    <c:v>0.1</c:v>
                  </c:pt>
                  <c:pt idx="1">
                    <c:v>0.15</c:v>
                  </c:pt>
                  <c:pt idx="2">
                    <c:v>7.0000000000000007E-2</c:v>
                  </c:pt>
                  <c:pt idx="3">
                    <c:v>0.15</c:v>
                  </c:pt>
                  <c:pt idx="4">
                    <c:v>0.06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mesophyl!$I$32:$M$32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 formatCode="#,##0.00">
                  <c:v>9</c:v>
                </c:pt>
                <c:pt idx="4">
                  <c:v>12</c:v>
                </c:pt>
              </c:numCache>
            </c:numRef>
          </c:cat>
          <c:val>
            <c:numRef>
              <c:f>mesophyl!$I$34:$M$34</c:f>
              <c:numCache>
                <c:formatCode>0.00</c:formatCode>
                <c:ptCount val="5"/>
                <c:pt idx="0">
                  <c:v>2.6607570776798561</c:v>
                </c:pt>
                <c:pt idx="1">
                  <c:v>3.4600704139038689</c:v>
                </c:pt>
                <c:pt idx="2">
                  <c:v>5.1208274915837251</c:v>
                </c:pt>
                <c:pt idx="3" formatCode="#,##0.00">
                  <c:v>7.3367666522132708</c:v>
                </c:pt>
                <c:pt idx="4" formatCode="General">
                  <c:v>8.1199999999999992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1C-43F9-82F1-46E8420F37EA}"/>
            </c:ext>
          </c:extLst>
        </c:ser>
        <c:ser>
          <c:idx val="2"/>
          <c:order val="2"/>
          <c:tx>
            <c:strRef>
              <c:f>mesophyl!$H$35</c:f>
              <c:strCache>
                <c:ptCount val="1"/>
                <c:pt idx="0">
                  <c:v>zein film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D30C-49C6-AFCB-FAC07FBA31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D30C-49C6-AFCB-FAC07FBA31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D30C-49C6-AFCB-FAC07FBA31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D30C-49C6-AFCB-FAC07FBA31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D30C-49C6-AFCB-FAC07FBA3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mesophyl!$I$42:$M$42</c:f>
                <c:numCache>
                  <c:formatCode>General</c:formatCode>
                  <c:ptCount val="5"/>
                  <c:pt idx="0">
                    <c:v>7.0000000000000007E-2</c:v>
                  </c:pt>
                  <c:pt idx="1">
                    <c:v>0.08</c:v>
                  </c:pt>
                  <c:pt idx="2">
                    <c:v>7.0000000000000007E-2</c:v>
                  </c:pt>
                  <c:pt idx="3">
                    <c:v>0.09</c:v>
                  </c:pt>
                  <c:pt idx="4">
                    <c:v>0.02</c:v>
                  </c:pt>
                </c:numCache>
              </c:numRef>
            </c:plus>
            <c:minus>
              <c:numRef>
                <c:f>mesophyl!$I$42:$M$42</c:f>
                <c:numCache>
                  <c:formatCode>General</c:formatCode>
                  <c:ptCount val="5"/>
                  <c:pt idx="0">
                    <c:v>7.0000000000000007E-2</c:v>
                  </c:pt>
                  <c:pt idx="1">
                    <c:v>0.08</c:v>
                  </c:pt>
                  <c:pt idx="2">
                    <c:v>7.0000000000000007E-2</c:v>
                  </c:pt>
                  <c:pt idx="3">
                    <c:v>0.09</c:v>
                  </c:pt>
                  <c:pt idx="4">
                    <c:v>0.02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mesophyl!$I$32:$M$32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 formatCode="#,##0.00">
                  <c:v>9</c:v>
                </c:pt>
                <c:pt idx="4">
                  <c:v>12</c:v>
                </c:pt>
              </c:numCache>
            </c:numRef>
          </c:cat>
          <c:val>
            <c:numRef>
              <c:f>mesophyl!$I$35:$M$35</c:f>
              <c:numCache>
                <c:formatCode>0.00</c:formatCode>
                <c:ptCount val="5"/>
                <c:pt idx="0">
                  <c:v>2.8197974959197438</c:v>
                </c:pt>
                <c:pt idx="1">
                  <c:v>3.6930604153492084</c:v>
                </c:pt>
                <c:pt idx="2">
                  <c:v>5.4222339889613629</c:v>
                </c:pt>
                <c:pt idx="3" formatCode="#,##0.00">
                  <c:v>7.5955838073818533</c:v>
                </c:pt>
                <c:pt idx="4" formatCode="General">
                  <c:v>8.1999999999999993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1C-43F9-82F1-46E8420F37EA}"/>
            </c:ext>
          </c:extLst>
        </c:ser>
        <c:ser>
          <c:idx val="3"/>
          <c:order val="3"/>
          <c:tx>
            <c:strRef>
              <c:f>mesophyl!$H$36</c:f>
              <c:strCache>
                <c:ptCount val="1"/>
                <c:pt idx="0">
                  <c:v>zein +10% 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BCe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D30C-49C6-AFCB-FAC07FBA31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D30C-49C6-AFCB-FAC07FBA31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Dc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D30C-49C6-AFCB-FAC07FBA31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D30C-49C6-AFCB-FAC07FBA31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D30C-49C6-AFCB-FAC07FBA3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mesophyl!$I$43:$M$43</c:f>
                <c:numCache>
                  <c:formatCode>General</c:formatCode>
                  <c:ptCount val="5"/>
                  <c:pt idx="0">
                    <c:v>0.15</c:v>
                  </c:pt>
                  <c:pt idx="1">
                    <c:v>0.151</c:v>
                  </c:pt>
                  <c:pt idx="2">
                    <c:v>0.156</c:v>
                  </c:pt>
                  <c:pt idx="3">
                    <c:v>0.06</c:v>
                  </c:pt>
                  <c:pt idx="4">
                    <c:v>0.22950000000000001</c:v>
                  </c:pt>
                </c:numCache>
              </c:numRef>
            </c:plus>
            <c:minus>
              <c:numRef>
                <c:f>mesophyl!$I$43:$M$43</c:f>
                <c:numCache>
                  <c:formatCode>General</c:formatCode>
                  <c:ptCount val="5"/>
                  <c:pt idx="0">
                    <c:v>0.15</c:v>
                  </c:pt>
                  <c:pt idx="1">
                    <c:v>0.151</c:v>
                  </c:pt>
                  <c:pt idx="2">
                    <c:v>0.156</c:v>
                  </c:pt>
                  <c:pt idx="3">
                    <c:v>0.06</c:v>
                  </c:pt>
                  <c:pt idx="4">
                    <c:v>0.22950000000000001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mesophyl!$I$32:$M$32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 formatCode="#,##0.00">
                  <c:v>9</c:v>
                </c:pt>
                <c:pt idx="4">
                  <c:v>12</c:v>
                </c:pt>
              </c:numCache>
            </c:numRef>
          </c:cat>
          <c:val>
            <c:numRef>
              <c:f>mesophyl!$I$36:$M$36</c:f>
              <c:numCache>
                <c:formatCode>0.00</c:formatCode>
                <c:ptCount val="5"/>
                <c:pt idx="0">
                  <c:v>2.4604137457918598</c:v>
                </c:pt>
                <c:pt idx="1">
                  <c:v>3.1590404182398877</c:v>
                </c:pt>
                <c:pt idx="2">
                  <c:v>4.5524441654770902</c:v>
                </c:pt>
                <c:pt idx="3" formatCode="#,##0.00">
                  <c:v>6.36</c:v>
                </c:pt>
                <c:pt idx="4" formatCode="General">
                  <c:v>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1C-43F9-82F1-46E8420F37EA}"/>
            </c:ext>
          </c:extLst>
        </c:ser>
        <c:ser>
          <c:idx val="4"/>
          <c:order val="4"/>
          <c:tx>
            <c:strRef>
              <c:f>mesophyl!$H$37</c:f>
              <c:strCache>
                <c:ptCount val="1"/>
                <c:pt idx="0">
                  <c:v>bilayer film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D30C-49C6-AFCB-FAC07FBA31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D30C-49C6-AFCB-FAC07FBA31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D30C-49C6-AFCB-FAC07FBA31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CDb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D30C-49C6-AFCB-FAC07FBA31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D30C-49C6-AFCB-FAC07FBA3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mesophyl!$I$44:$M$44</c:f>
                <c:numCache>
                  <c:formatCode>General</c:formatCode>
                  <c:ptCount val="5"/>
                  <c:pt idx="0">
                    <c:v>0.1512</c:v>
                  </c:pt>
                  <c:pt idx="1">
                    <c:v>8.7999999999999995E-2</c:v>
                  </c:pt>
                  <c:pt idx="2">
                    <c:v>6.3E-2</c:v>
                  </c:pt>
                  <c:pt idx="3">
                    <c:v>0.1512</c:v>
                  </c:pt>
                  <c:pt idx="4">
                    <c:v>2.5999999999999999E-2</c:v>
                  </c:pt>
                </c:numCache>
              </c:numRef>
            </c:plus>
            <c:minus>
              <c:numRef>
                <c:f>mesophyl!$I$44:$M$44</c:f>
                <c:numCache>
                  <c:formatCode>General</c:formatCode>
                  <c:ptCount val="5"/>
                  <c:pt idx="0">
                    <c:v>0.1512</c:v>
                  </c:pt>
                  <c:pt idx="1">
                    <c:v>8.7999999999999995E-2</c:v>
                  </c:pt>
                  <c:pt idx="2">
                    <c:v>6.3E-2</c:v>
                  </c:pt>
                  <c:pt idx="3">
                    <c:v>0.1512</c:v>
                  </c:pt>
                  <c:pt idx="4">
                    <c:v>2.5999999999999999E-2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mesophyl!$I$32:$M$32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 formatCode="#,##0.00">
                  <c:v>9</c:v>
                </c:pt>
                <c:pt idx="4">
                  <c:v>12</c:v>
                </c:pt>
              </c:numCache>
            </c:numRef>
          </c:cat>
          <c:val>
            <c:numRef>
              <c:f>mesophyl!$I$37:$M$37</c:f>
              <c:numCache>
                <c:formatCode>0.00</c:formatCode>
                <c:ptCount val="5"/>
                <c:pt idx="0">
                  <c:v>2.7611004095678502</c:v>
                </c:pt>
                <c:pt idx="1">
                  <c:v>3.3861208306984167</c:v>
                </c:pt>
                <c:pt idx="2">
                  <c:v>5.0111412518289837</c:v>
                </c:pt>
                <c:pt idx="3" formatCode="#,##0.00">
                  <c:v>7.06</c:v>
                </c:pt>
                <c:pt idx="4" formatCode="General">
                  <c:v>8.06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1C-43F9-82F1-46E8420F37EA}"/>
            </c:ext>
          </c:extLst>
        </c:ser>
        <c:ser>
          <c:idx val="5"/>
          <c:order val="5"/>
          <c:tx>
            <c:strRef>
              <c:f>mesophyl!$H$38</c:f>
              <c:strCache>
                <c:ptCount val="1"/>
                <c:pt idx="0">
                  <c:v>bilayer +10% CE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D30C-49C6-AFCB-FAC07FBA31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Dd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D30C-49C6-AFCB-FAC07FBA31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Ec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D30C-49C6-AFCB-FAC07FBA31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Eb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D30C-49C6-AFCB-FAC07FBA31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D30C-49C6-AFCB-FAC07FBA3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mesophyl!$I$45:$M$45</c:f>
                <c:numCache>
                  <c:formatCode>General</c:formatCode>
                  <c:ptCount val="5"/>
                  <c:pt idx="0">
                    <c:v>0.10100000000000001</c:v>
                  </c:pt>
                  <c:pt idx="1">
                    <c:v>0.24</c:v>
                  </c:pt>
                  <c:pt idx="2">
                    <c:v>0.13</c:v>
                  </c:pt>
                  <c:pt idx="3">
                    <c:v>0.12</c:v>
                  </c:pt>
                  <c:pt idx="4">
                    <c:v>9.9440000000000001E-2</c:v>
                  </c:pt>
                </c:numCache>
              </c:numRef>
            </c:plus>
            <c:minus>
              <c:numRef>
                <c:f>mesophyl!$I$45:$M$45</c:f>
                <c:numCache>
                  <c:formatCode>General</c:formatCode>
                  <c:ptCount val="5"/>
                  <c:pt idx="0">
                    <c:v>0.10100000000000001</c:v>
                  </c:pt>
                  <c:pt idx="1">
                    <c:v>0.24</c:v>
                  </c:pt>
                  <c:pt idx="2">
                    <c:v>0.13</c:v>
                  </c:pt>
                  <c:pt idx="3">
                    <c:v>0.12</c:v>
                  </c:pt>
                  <c:pt idx="4">
                    <c:v>9.9440000000000001E-2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mesophyl!$I$32:$M$32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 formatCode="#,##0.00">
                  <c:v>9</c:v>
                </c:pt>
                <c:pt idx="4">
                  <c:v>12</c:v>
                </c:pt>
              </c:numCache>
            </c:numRef>
          </c:cat>
          <c:val>
            <c:numRef>
              <c:f>mesophyl!$I$38:$M$38</c:f>
              <c:numCache>
                <c:formatCode>0.00</c:formatCode>
                <c:ptCount val="5"/>
                <c:pt idx="0">
                  <c:v>2.3597270820158749</c:v>
                </c:pt>
                <c:pt idx="1">
                  <c:v>2.5604137457918625</c:v>
                </c:pt>
                <c:pt idx="2">
                  <c:v>3.4832108834900253</c:v>
                </c:pt>
                <c:pt idx="3" formatCode="#,##0.00">
                  <c:v>5.33</c:v>
                </c:pt>
                <c:pt idx="4" formatCode="General">
                  <c:v>6.73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1C-43F9-82F1-46E8420F37E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55482352"/>
        <c:axId val="1655480432"/>
      </c:barChart>
      <c:catAx>
        <c:axId val="1655482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day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5480432"/>
        <c:crosses val="autoZero"/>
        <c:auto val="1"/>
        <c:lblAlgn val="ctr"/>
        <c:lblOffset val="100"/>
        <c:noMultiLvlLbl val="0"/>
      </c:catAx>
      <c:valAx>
        <c:axId val="165548043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log CFU/g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5482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76174632671685"/>
          <c:y val="0.89607665128530645"/>
          <c:w val="0.66476492920885821"/>
          <c:h val="8.7460295306560618E-2"/>
        </c:manualLayout>
      </c:layout>
      <c:overlay val="0"/>
      <c:spPr>
        <a:noFill/>
        <a:ln w="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ln>
                <a:noFill/>
              </a:ln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psycrotroph!$B$34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DB2-4D44-BD54-243F46A1DF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DB2-4D44-BD54-243F46A1DF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7DB2-4D44-BD54-243F46A1DF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7DB2-4D44-BD54-243F46A1DF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7DB2-4D44-BD54-243F46A1DF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psycrotroph!$C$41:$G$41</c:f>
                <c:numCache>
                  <c:formatCode>General</c:formatCode>
                  <c:ptCount val="5"/>
                  <c:pt idx="0">
                    <c:v>0.1112190827697301</c:v>
                  </c:pt>
                  <c:pt idx="1">
                    <c:v>6.8858817548029486E-2</c:v>
                  </c:pt>
                  <c:pt idx="2">
                    <c:v>4.568326156589566E-2</c:v>
                  </c:pt>
                  <c:pt idx="3">
                    <c:v>7.4349811911849764E-2</c:v>
                  </c:pt>
                  <c:pt idx="4">
                    <c:v>4.3593301195736844E-2</c:v>
                  </c:pt>
                </c:numCache>
              </c:numRef>
            </c:plus>
            <c:minus>
              <c:numRef>
                <c:f>psycrotroph!$C$41:$G$41</c:f>
                <c:numCache>
                  <c:formatCode>General</c:formatCode>
                  <c:ptCount val="5"/>
                  <c:pt idx="0">
                    <c:v>0.1112190827697301</c:v>
                  </c:pt>
                  <c:pt idx="1">
                    <c:v>6.8858817548029486E-2</c:v>
                  </c:pt>
                  <c:pt idx="2">
                    <c:v>4.568326156589566E-2</c:v>
                  </c:pt>
                  <c:pt idx="3">
                    <c:v>7.4349811911849764E-2</c:v>
                  </c:pt>
                  <c:pt idx="4">
                    <c:v>4.3593301195736844E-2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psycrotroph!$C$33:$G$33</c:f>
              <c:numCache>
                <c:formatCode>#,##0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psycrotroph!$C$34:$G$34</c:f>
              <c:numCache>
                <c:formatCode>0.00</c:formatCode>
                <c:ptCount val="5"/>
                <c:pt idx="0">
                  <c:v>3.2916870877972335</c:v>
                </c:pt>
                <c:pt idx="1">
                  <c:v>4.6091230910179419</c:v>
                </c:pt>
                <c:pt idx="2">
                  <c:v>7.1361930418028896</c:v>
                </c:pt>
                <c:pt idx="3">
                  <c:v>8.6830726742233946</c:v>
                </c:pt>
                <c:pt idx="4">
                  <c:v>9.6006050561938121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E1-40BB-B1BE-40F43629A8B1}"/>
            </c:ext>
          </c:extLst>
        </c:ser>
        <c:ser>
          <c:idx val="1"/>
          <c:order val="1"/>
          <c:tx>
            <c:strRef>
              <c:f>psycrotroph!$B$35</c:f>
              <c:strCache>
                <c:ptCount val="1"/>
                <c:pt idx="0">
                  <c:v>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DB2-4D44-BD54-243F46A1DF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7DB2-4D44-BD54-243F46A1DF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7DB2-4D44-BD54-243F46A1DF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7DB2-4D44-BD54-243F46A1DF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7DB2-4D44-BD54-243F46A1DF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psycrotroph!$C$42:$G$42</c:f>
                <c:numCache>
                  <c:formatCode>General</c:formatCode>
                  <c:ptCount val="5"/>
                  <c:pt idx="0">
                    <c:v>0.06</c:v>
                  </c:pt>
                  <c:pt idx="1">
                    <c:v>0.04</c:v>
                  </c:pt>
                  <c:pt idx="2">
                    <c:v>0.08</c:v>
                  </c:pt>
                  <c:pt idx="3">
                    <c:v>0.1</c:v>
                  </c:pt>
                  <c:pt idx="4">
                    <c:v>0.05</c:v>
                  </c:pt>
                </c:numCache>
              </c:numRef>
            </c:plus>
            <c:minus>
              <c:numRef>
                <c:f>psycrotroph!$C$42:$G$42</c:f>
                <c:numCache>
                  <c:formatCode>General</c:formatCode>
                  <c:ptCount val="5"/>
                  <c:pt idx="0">
                    <c:v>0.06</c:v>
                  </c:pt>
                  <c:pt idx="1">
                    <c:v>0.04</c:v>
                  </c:pt>
                  <c:pt idx="2">
                    <c:v>0.08</c:v>
                  </c:pt>
                  <c:pt idx="3">
                    <c:v>0.1</c:v>
                  </c:pt>
                  <c:pt idx="4">
                    <c:v>0.05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psycrotroph!$C$33:$G$33</c:f>
              <c:numCache>
                <c:formatCode>#,##0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psycrotroph!$C$35:$G$35</c:f>
              <c:numCache>
                <c:formatCode>0.00</c:formatCode>
                <c:ptCount val="5"/>
                <c:pt idx="0">
                  <c:v>3.2358567253659789</c:v>
                </c:pt>
                <c:pt idx="1">
                  <c:v>4.5128579112689522</c:v>
                </c:pt>
                <c:pt idx="2">
                  <c:v>6.9455257582802163</c:v>
                </c:pt>
                <c:pt idx="3">
                  <c:v>8.3608805927190435</c:v>
                </c:pt>
                <c:pt idx="4">
                  <c:v>9.4015180200450814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E1-40BB-B1BE-40F43629A8B1}"/>
            </c:ext>
          </c:extLst>
        </c:ser>
        <c:ser>
          <c:idx val="2"/>
          <c:order val="2"/>
          <c:tx>
            <c:strRef>
              <c:f>psycrotroph!$B$36</c:f>
              <c:strCache>
                <c:ptCount val="1"/>
                <c:pt idx="0">
                  <c:v>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7DB2-4D44-BD54-243F46A1DF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7DB2-4D44-BD54-243F46A1DF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7DB2-4D44-BD54-243F46A1DF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7DB2-4D44-BD54-243F46A1DF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7DB2-4D44-BD54-243F46A1DF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psycrotroph!$C$43:$G$43</c:f>
                <c:numCache>
                  <c:formatCode>General</c:formatCode>
                  <c:ptCount val="5"/>
                  <c:pt idx="0">
                    <c:v>0.04</c:v>
                  </c:pt>
                  <c:pt idx="1">
                    <c:v>0.05</c:v>
                  </c:pt>
                  <c:pt idx="2">
                    <c:v>0.02</c:v>
                  </c:pt>
                  <c:pt idx="3">
                    <c:v>0.11</c:v>
                  </c:pt>
                  <c:pt idx="4">
                    <c:v>0.05</c:v>
                  </c:pt>
                </c:numCache>
              </c:numRef>
            </c:plus>
            <c:minus>
              <c:numRef>
                <c:f>psycrotroph!$C$43:$G$43</c:f>
                <c:numCache>
                  <c:formatCode>General</c:formatCode>
                  <c:ptCount val="5"/>
                  <c:pt idx="0">
                    <c:v>0.04</c:v>
                  </c:pt>
                  <c:pt idx="1">
                    <c:v>0.05</c:v>
                  </c:pt>
                  <c:pt idx="2">
                    <c:v>0.02</c:v>
                  </c:pt>
                  <c:pt idx="3">
                    <c:v>0.11</c:v>
                  </c:pt>
                  <c:pt idx="4">
                    <c:v>0.05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psycrotroph!$C$33:$G$33</c:f>
              <c:numCache>
                <c:formatCode>#,##0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psycrotroph!$C$36:$G$36</c:f>
              <c:numCache>
                <c:formatCode>0.00</c:formatCode>
                <c:ptCount val="5"/>
                <c:pt idx="0">
                  <c:v>3.2995750605298313</c:v>
                </c:pt>
                <c:pt idx="1">
                  <c:v>4.5743099771690501</c:v>
                </c:pt>
                <c:pt idx="2">
                  <c:v>7.0836164016408034</c:v>
                </c:pt>
                <c:pt idx="3">
                  <c:v>8.4486277376439052</c:v>
                </c:pt>
                <c:pt idx="4">
                  <c:v>9.5294612561262433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E1-40BB-B1BE-40F43629A8B1}"/>
            </c:ext>
          </c:extLst>
        </c:ser>
        <c:ser>
          <c:idx val="3"/>
          <c:order val="3"/>
          <c:tx>
            <c:strRef>
              <c:f>psycrotroph!$B$37</c:f>
              <c:strCache>
                <c:ptCount val="1"/>
                <c:pt idx="0">
                  <c:v>ZCEO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7DB2-4D44-BD54-243F46A1DF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7DB2-4D44-BD54-243F46A1DF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Dc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7DB2-4D44-BD54-243F46A1DF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7DB2-4D44-BD54-243F46A1DF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7DB2-4D44-BD54-243F46A1DF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psycrotroph!$C$44:$G$44</c:f>
                <c:numCache>
                  <c:formatCode>General</c:formatCode>
                  <c:ptCount val="5"/>
                  <c:pt idx="0">
                    <c:v>0.05</c:v>
                  </c:pt>
                  <c:pt idx="1">
                    <c:v>0.03</c:v>
                  </c:pt>
                  <c:pt idx="2">
                    <c:v>0.1</c:v>
                  </c:pt>
                  <c:pt idx="3">
                    <c:v>0.15</c:v>
                  </c:pt>
                  <c:pt idx="4">
                    <c:v>0.17</c:v>
                  </c:pt>
                </c:numCache>
              </c:numRef>
            </c:plus>
            <c:minus>
              <c:numRef>
                <c:f>psycrotroph!$C$44:$G$44</c:f>
                <c:numCache>
                  <c:formatCode>General</c:formatCode>
                  <c:ptCount val="5"/>
                  <c:pt idx="0">
                    <c:v>0.05</c:v>
                  </c:pt>
                  <c:pt idx="1">
                    <c:v>0.03</c:v>
                  </c:pt>
                  <c:pt idx="2">
                    <c:v>0.1</c:v>
                  </c:pt>
                  <c:pt idx="3">
                    <c:v>0.15</c:v>
                  </c:pt>
                  <c:pt idx="4">
                    <c:v>0.17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psycrotroph!$C$33:$G$33</c:f>
              <c:numCache>
                <c:formatCode>#,##0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psycrotroph!$C$37:$G$37</c:f>
              <c:numCache>
                <c:formatCode>0.00</c:formatCode>
                <c:ptCount val="5"/>
                <c:pt idx="0">
                  <c:v>3.1647181980061476</c:v>
                </c:pt>
                <c:pt idx="1">
                  <c:v>4.4084364272419547</c:v>
                </c:pt>
                <c:pt idx="2">
                  <c:v>6.0944337429011837</c:v>
                </c:pt>
                <c:pt idx="3">
                  <c:v>7.5604137457918625</c:v>
                </c:pt>
                <c:pt idx="4">
                  <c:v>8.4013733275519744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E1-40BB-B1BE-40F43629A8B1}"/>
            </c:ext>
          </c:extLst>
        </c:ser>
        <c:ser>
          <c:idx val="4"/>
          <c:order val="4"/>
          <c:tx>
            <c:strRef>
              <c:f>psycrotroph!$B$38</c:f>
              <c:strCache>
                <c:ptCount val="1"/>
                <c:pt idx="0">
                  <c:v>AS/Z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7DB2-4D44-BD54-243F46A1DF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7DB2-4D44-BD54-243F46A1DF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7DB2-4D44-BD54-243F46A1DF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7DB2-4D44-BD54-243F46A1DF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7DB2-4D44-BD54-243F46A1DF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psycrotroph!$C$45:$G$45</c:f>
                <c:numCache>
                  <c:formatCode>General</c:formatCode>
                  <c:ptCount val="5"/>
                  <c:pt idx="0">
                    <c:v>0.01</c:v>
                  </c:pt>
                  <c:pt idx="1">
                    <c:v>0.02</c:v>
                  </c:pt>
                  <c:pt idx="2">
                    <c:v>0.04</c:v>
                  </c:pt>
                  <c:pt idx="3">
                    <c:v>0.15</c:v>
                  </c:pt>
                  <c:pt idx="4">
                    <c:v>0.13</c:v>
                  </c:pt>
                </c:numCache>
              </c:numRef>
            </c:plus>
            <c:minus>
              <c:numRef>
                <c:f>psycrotroph!$C$45:$G$45</c:f>
                <c:numCache>
                  <c:formatCode>General</c:formatCode>
                  <c:ptCount val="5"/>
                  <c:pt idx="0">
                    <c:v>0.01</c:v>
                  </c:pt>
                  <c:pt idx="1">
                    <c:v>0.02</c:v>
                  </c:pt>
                  <c:pt idx="2">
                    <c:v>0.04</c:v>
                  </c:pt>
                  <c:pt idx="3">
                    <c:v>0.15</c:v>
                  </c:pt>
                  <c:pt idx="4">
                    <c:v>0.13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psycrotroph!$C$33:$G$33</c:f>
              <c:numCache>
                <c:formatCode>#,##0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psycrotroph!$C$38:$G$38</c:f>
              <c:numCache>
                <c:formatCode>0.00</c:formatCode>
                <c:ptCount val="5"/>
                <c:pt idx="0">
                  <c:v>3.2387234492866184</c:v>
                </c:pt>
                <c:pt idx="1">
                  <c:v>4.5396281616651502</c:v>
                </c:pt>
                <c:pt idx="2">
                  <c:v>6.6286647015948574</c:v>
                </c:pt>
                <c:pt idx="3">
                  <c:v>8.1490526771140726</c:v>
                </c:pt>
                <c:pt idx="4">
                  <c:v>9.1338001802605149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E1-40BB-B1BE-40F43629A8B1}"/>
            </c:ext>
          </c:extLst>
        </c:ser>
        <c:ser>
          <c:idx val="5"/>
          <c:order val="5"/>
          <c:tx>
            <c:strRef>
              <c:f>psycrotroph!$B$39</c:f>
              <c:strCache>
                <c:ptCount val="1"/>
                <c:pt idx="0">
                  <c:v>AS/ZCEO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DB2-4D44-BD54-243F46A1DF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7DB2-4D44-BD54-243F46A1DF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Ec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7DB2-4D44-BD54-243F46A1DF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7DB2-4D44-BD54-243F46A1DF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7DB2-4D44-BD54-243F46A1DF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psycrotroph!$C$46:$G$46</c:f>
                <c:numCache>
                  <c:formatCode>General</c:formatCode>
                  <c:ptCount val="5"/>
                  <c:pt idx="0">
                    <c:v>0.02</c:v>
                  </c:pt>
                  <c:pt idx="1">
                    <c:v>0.13</c:v>
                  </c:pt>
                  <c:pt idx="2">
                    <c:v>0.09</c:v>
                  </c:pt>
                  <c:pt idx="3">
                    <c:v>0.2</c:v>
                  </c:pt>
                  <c:pt idx="4">
                    <c:v>0.09</c:v>
                  </c:pt>
                </c:numCache>
              </c:numRef>
            </c:plus>
            <c:minus>
              <c:numRef>
                <c:f>psycrotroph!$C$46:$G$46</c:f>
                <c:numCache>
                  <c:formatCode>General</c:formatCode>
                  <c:ptCount val="5"/>
                  <c:pt idx="0">
                    <c:v>0.02</c:v>
                  </c:pt>
                  <c:pt idx="1">
                    <c:v>0.13</c:v>
                  </c:pt>
                  <c:pt idx="2">
                    <c:v>0.09</c:v>
                  </c:pt>
                  <c:pt idx="3">
                    <c:v>0.2</c:v>
                  </c:pt>
                  <c:pt idx="4">
                    <c:v>0.09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psycrotroph!$C$33:$G$33</c:f>
              <c:numCache>
                <c:formatCode>#,##0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psycrotroph!$C$39:$G$39</c:f>
              <c:numCache>
                <c:formatCode>0.00</c:formatCode>
                <c:ptCount val="5"/>
                <c:pt idx="0">
                  <c:v>3.1561157768040524</c:v>
                </c:pt>
                <c:pt idx="1">
                  <c:v>3.8104545880529961</c:v>
                </c:pt>
                <c:pt idx="2">
                  <c:v>4.5806463592430662</c:v>
                </c:pt>
                <c:pt idx="3">
                  <c:v>6.36419343356377</c:v>
                </c:pt>
                <c:pt idx="4">
                  <c:v>7.2798679098236123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E1-40BB-B1BE-40F43629A8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43533759"/>
        <c:axId val="1843530399"/>
      </c:barChart>
      <c:catAx>
        <c:axId val="184353375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3530399"/>
        <c:crosses val="autoZero"/>
        <c:auto val="1"/>
        <c:lblAlgn val="ctr"/>
        <c:lblOffset val="100"/>
        <c:noMultiLvlLbl val="0"/>
      </c:catAx>
      <c:valAx>
        <c:axId val="18435303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 CFU/g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3533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6655001458151"/>
          <c:y val="4.4310357944387438E-2"/>
          <c:w val="0.79482968795567221"/>
          <c:h val="6.01602805354303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821236590635357E-2"/>
          <c:y val="0.10180610452349584"/>
          <c:w val="0.90399914236304757"/>
          <c:h val="0.706814377945839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LAB!$K$43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C98-4172-A502-5DF16DC5AF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BC98-4172-A502-5DF16DC5AF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BC98-4172-A502-5DF16DC5AF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BC98-4172-A502-5DF16DC5AF2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BC98-4172-A502-5DF16DC5AF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LAB!$M$34:$Q$34</c:f>
                <c:numCache>
                  <c:formatCode>General</c:formatCode>
                  <c:ptCount val="5"/>
                  <c:pt idx="0">
                    <c:v>4.3593301195736699E-2</c:v>
                  </c:pt>
                  <c:pt idx="1">
                    <c:v>6.0585771772386644E-2</c:v>
                  </c:pt>
                  <c:pt idx="2">
                    <c:v>3.8895973608647209E-2</c:v>
                  </c:pt>
                  <c:pt idx="3">
                    <c:v>3.4276680561893237E-2</c:v>
                  </c:pt>
                  <c:pt idx="4">
                    <c:v>3.5063793408484326E-2</c:v>
                  </c:pt>
                </c:numCache>
              </c:numRef>
            </c:plus>
            <c:minus>
              <c:numRef>
                <c:f>LAB!$M$34:$Q$34</c:f>
                <c:numCache>
                  <c:formatCode>General</c:formatCode>
                  <c:ptCount val="5"/>
                  <c:pt idx="0">
                    <c:v>4.3593301195736699E-2</c:v>
                  </c:pt>
                  <c:pt idx="1">
                    <c:v>6.0585771772386644E-2</c:v>
                  </c:pt>
                  <c:pt idx="2">
                    <c:v>3.8895973608647209E-2</c:v>
                  </c:pt>
                  <c:pt idx="3">
                    <c:v>3.4276680561893237E-2</c:v>
                  </c:pt>
                  <c:pt idx="4">
                    <c:v>3.5063793408484326E-2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LAB!$L$42:$P$42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LAB!$L$43:$P$43</c:f>
              <c:numCache>
                <c:formatCode>0.00</c:formatCode>
                <c:ptCount val="5"/>
                <c:pt idx="0">
                  <c:v>1.9985450648658503</c:v>
                </c:pt>
                <c:pt idx="1">
                  <c:v>2.2214916758114702</c:v>
                </c:pt>
                <c:pt idx="2">
                  <c:v>4.2145828951531756</c:v>
                </c:pt>
                <c:pt idx="3">
                  <c:v>5.323384053442032</c:v>
                </c:pt>
                <c:pt idx="4">
                  <c:v>6.1152238847862552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1-4C53-BFDE-51CDE30937C7}"/>
            </c:ext>
          </c:extLst>
        </c:ser>
        <c:ser>
          <c:idx val="1"/>
          <c:order val="1"/>
          <c:tx>
            <c:strRef>
              <c:f>LAB!$K$44</c:f>
              <c:strCache>
                <c:ptCount val="1"/>
                <c:pt idx="0">
                  <c:v>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BC98-4172-A502-5DF16DC5AF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BC98-4172-A502-5DF16DC5AF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BC98-4172-A502-5DF16DC5AF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BC98-4172-A502-5DF16DC5AF2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BC98-4172-A502-5DF16DC5AF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LAB!$M$35:$Q$35</c:f>
                <c:numCache>
                  <c:formatCode>General</c:formatCode>
                  <c:ptCount val="5"/>
                  <c:pt idx="0">
                    <c:v>6.3014588803121926E-2</c:v>
                  </c:pt>
                  <c:pt idx="1">
                    <c:v>2.8446942491235531E-2</c:v>
                  </c:pt>
                  <c:pt idx="2">
                    <c:v>1.540434407342979E-2</c:v>
                  </c:pt>
                  <c:pt idx="3">
                    <c:v>4.3593301195737295E-2</c:v>
                  </c:pt>
                  <c:pt idx="4">
                    <c:v>1.6117463384550421E-2</c:v>
                  </c:pt>
                </c:numCache>
              </c:numRef>
            </c:plus>
            <c:minus>
              <c:numRef>
                <c:f>LAB!$M$35:$Q$35</c:f>
                <c:numCache>
                  <c:formatCode>General</c:formatCode>
                  <c:ptCount val="5"/>
                  <c:pt idx="0">
                    <c:v>6.3014588803121926E-2</c:v>
                  </c:pt>
                  <c:pt idx="1">
                    <c:v>2.8446942491235531E-2</c:v>
                  </c:pt>
                  <c:pt idx="2">
                    <c:v>1.540434407342979E-2</c:v>
                  </c:pt>
                  <c:pt idx="3">
                    <c:v>4.3593301195737295E-2</c:v>
                  </c:pt>
                  <c:pt idx="4">
                    <c:v>1.6117463384550421E-2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LAB!$L$42:$P$42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LAB!$L$44:$P$44</c:f>
              <c:numCache>
                <c:formatCode>0.00</c:formatCode>
                <c:ptCount val="5"/>
                <c:pt idx="0">
                  <c:v>1.9178610196309691</c:v>
                </c:pt>
                <c:pt idx="1">
                  <c:v>2.1646869670901401</c:v>
                </c:pt>
                <c:pt idx="2">
                  <c:v>4.0041384582541442</c:v>
                </c:pt>
                <c:pt idx="3">
                  <c:v>5.0006050561938125</c:v>
                </c:pt>
                <c:pt idx="4">
                  <c:v>6.0464248099573634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61-4C53-BFDE-51CDE30937C7}"/>
            </c:ext>
          </c:extLst>
        </c:ser>
        <c:ser>
          <c:idx val="2"/>
          <c:order val="2"/>
          <c:tx>
            <c:strRef>
              <c:f>LAB!$K$45</c:f>
              <c:strCache>
                <c:ptCount val="1"/>
                <c:pt idx="0">
                  <c:v>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BC98-4172-A502-5DF16DC5AF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BC98-4172-A502-5DF16DC5AF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BC98-4172-A502-5DF16DC5AF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BC98-4172-A502-5DF16DC5AF2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BC98-4172-A502-5DF16DC5AF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LAB!$M$36:$Q$36</c:f>
                <c:numCache>
                  <c:formatCode>General</c:formatCode>
                  <c:ptCount val="5"/>
                  <c:pt idx="0">
                    <c:v>6.3014588803121926E-2</c:v>
                  </c:pt>
                  <c:pt idx="1">
                    <c:v>9.8783154252111163E-2</c:v>
                  </c:pt>
                  <c:pt idx="2">
                    <c:v>6.9844049711016987E-2</c:v>
                  </c:pt>
                  <c:pt idx="3">
                    <c:v>6.3643518919557815E-2</c:v>
                  </c:pt>
                  <c:pt idx="4">
                    <c:v>1.1849648220192924E-2</c:v>
                  </c:pt>
                </c:numCache>
              </c:numRef>
            </c:plus>
            <c:minus>
              <c:numRef>
                <c:f>LAB!$M$36:$Q$36</c:f>
                <c:numCache>
                  <c:formatCode>General</c:formatCode>
                  <c:ptCount val="5"/>
                  <c:pt idx="0">
                    <c:v>6.3014588803121926E-2</c:v>
                  </c:pt>
                  <c:pt idx="1">
                    <c:v>9.8783154252111163E-2</c:v>
                  </c:pt>
                  <c:pt idx="2">
                    <c:v>6.9844049711016987E-2</c:v>
                  </c:pt>
                  <c:pt idx="3">
                    <c:v>6.3643518919557815E-2</c:v>
                  </c:pt>
                  <c:pt idx="4">
                    <c:v>1.1849648220192924E-2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LAB!$L$42:$P$42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LAB!$L$45:$P$45</c:f>
              <c:numCache>
                <c:formatCode>0.00</c:formatCode>
                <c:ptCount val="5"/>
                <c:pt idx="0">
                  <c:v>1.9178610196309691</c:v>
                </c:pt>
                <c:pt idx="1">
                  <c:v>2.0870240410202898</c:v>
                </c:pt>
                <c:pt idx="2">
                  <c:v>3.924070550649339</c:v>
                </c:pt>
                <c:pt idx="3">
                  <c:v>4.9325650619751702</c:v>
                </c:pt>
                <c:pt idx="4">
                  <c:v>6.0742214855725631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61-4C53-BFDE-51CDE30937C7}"/>
            </c:ext>
          </c:extLst>
        </c:ser>
        <c:ser>
          <c:idx val="3"/>
          <c:order val="3"/>
          <c:tx>
            <c:strRef>
              <c:f>LAB!$K$46</c:f>
              <c:strCache>
                <c:ptCount val="1"/>
                <c:pt idx="0">
                  <c:v>ZCEO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C98-4172-A502-5DF16DC5AF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BC98-4172-A502-5DF16DC5AF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BC98-4172-A502-5DF16DC5AF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BC98-4172-A502-5DF16DC5AF2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BC98-4172-A502-5DF16DC5AF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LAB!$M$37:$Q$37</c:f>
                <c:numCache>
                  <c:formatCode>General</c:formatCode>
                  <c:ptCount val="5"/>
                  <c:pt idx="0">
                    <c:v>7.2133413213013697E-2</c:v>
                  </c:pt>
                  <c:pt idx="1">
                    <c:v>4.848002873411162E-2</c:v>
                  </c:pt>
                  <c:pt idx="2">
                    <c:v>9.4211107376122968E-2</c:v>
                  </c:pt>
                  <c:pt idx="3">
                    <c:v>0.13494165818607165</c:v>
                  </c:pt>
                  <c:pt idx="4">
                    <c:v>0.12544308594560863</c:v>
                  </c:pt>
                </c:numCache>
              </c:numRef>
            </c:plus>
            <c:minus>
              <c:numRef>
                <c:f>LAB!$M$37:$Q$37</c:f>
                <c:numCache>
                  <c:formatCode>General</c:formatCode>
                  <c:ptCount val="5"/>
                  <c:pt idx="0">
                    <c:v>7.2133413213013697E-2</c:v>
                  </c:pt>
                  <c:pt idx="1">
                    <c:v>4.848002873411162E-2</c:v>
                  </c:pt>
                  <c:pt idx="2">
                    <c:v>9.4211107376122968E-2</c:v>
                  </c:pt>
                  <c:pt idx="3">
                    <c:v>0.13494165818607165</c:v>
                  </c:pt>
                  <c:pt idx="4">
                    <c:v>0.12544308594560863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LAB!$L$42:$P$42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LAB!$L$46:$P$46</c:f>
              <c:numCache>
                <c:formatCode>0.00</c:formatCode>
                <c:ptCount val="5"/>
                <c:pt idx="0">
                  <c:v>1.8197974959197436</c:v>
                </c:pt>
                <c:pt idx="1">
                  <c:v>1.9514141698131084</c:v>
                </c:pt>
                <c:pt idx="2">
                  <c:v>3.6399714935531442</c:v>
                </c:pt>
                <c:pt idx="3">
                  <c:v>4.3863471307736983</c:v>
                </c:pt>
                <c:pt idx="4">
                  <c:v>5.183531735829777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61-4C53-BFDE-51CDE30937C7}"/>
            </c:ext>
          </c:extLst>
        </c:ser>
        <c:ser>
          <c:idx val="4"/>
          <c:order val="4"/>
          <c:tx>
            <c:strRef>
              <c:f>LAB!$K$47</c:f>
              <c:strCache>
                <c:ptCount val="1"/>
                <c:pt idx="0">
                  <c:v>AS/Z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ABe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BC98-4172-A502-5DF16DC5AF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BC98-4172-A502-5DF16DC5AF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BC98-4172-A502-5DF16DC5AF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BC98-4172-A502-5DF16DC5AF2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BC98-4172-A502-5DF16DC5AF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LAB!$M$38:$Q$38</c:f>
                <c:numCache>
                  <c:formatCode>General</c:formatCode>
                  <c:ptCount val="5"/>
                  <c:pt idx="0">
                    <c:v>0.11121908276973021</c:v>
                  </c:pt>
                  <c:pt idx="1">
                    <c:v>6.016562312153468E-2</c:v>
                  </c:pt>
                  <c:pt idx="2">
                    <c:v>3.5811262032191649E-2</c:v>
                  </c:pt>
                  <c:pt idx="3">
                    <c:v>5.3402111765473992E-2</c:v>
                  </c:pt>
                  <c:pt idx="4">
                    <c:v>6.1447473055805071E-2</c:v>
                  </c:pt>
                </c:numCache>
              </c:numRef>
            </c:plus>
            <c:minus>
              <c:numRef>
                <c:f>LAB!$M$38:$Q$38</c:f>
                <c:numCache>
                  <c:formatCode>General</c:formatCode>
                  <c:ptCount val="5"/>
                  <c:pt idx="0">
                    <c:v>0.11121908276973021</c:v>
                  </c:pt>
                  <c:pt idx="1">
                    <c:v>6.016562312153468E-2</c:v>
                  </c:pt>
                  <c:pt idx="2">
                    <c:v>3.5811262032191649E-2</c:v>
                  </c:pt>
                  <c:pt idx="3">
                    <c:v>5.3402111765473992E-2</c:v>
                  </c:pt>
                  <c:pt idx="4">
                    <c:v>6.1447473055805071E-2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LAB!$L$42:$P$42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LAB!$L$47:$P$47</c:f>
              <c:numCache>
                <c:formatCode>0.00</c:formatCode>
                <c:ptCount val="5"/>
                <c:pt idx="0">
                  <c:v>1.8937470791251958</c:v>
                </c:pt>
                <c:pt idx="1">
                  <c:v>2.1624767741238022</c:v>
                </c:pt>
                <c:pt idx="2">
                  <c:v>3.8603653080353508</c:v>
                </c:pt>
                <c:pt idx="3">
                  <c:v>4.7060101122616267</c:v>
                </c:pt>
                <c:pt idx="4">
                  <c:v>5.7017685875976918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61-4C53-BFDE-51CDE30937C7}"/>
            </c:ext>
          </c:extLst>
        </c:ser>
        <c:ser>
          <c:idx val="5"/>
          <c:order val="5"/>
          <c:tx>
            <c:strRef>
              <c:f>LAB!$K$48</c:f>
              <c:strCache>
                <c:ptCount val="1"/>
                <c:pt idx="0">
                  <c:v>AS/ZCEO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Be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BC98-4172-A502-5DF16DC5AF2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BC98-4172-A502-5DF16DC5AF2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Dc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BC98-4172-A502-5DF16DC5AF2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Eb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BC98-4172-A502-5DF16DC5AF2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BC98-4172-A502-5DF16DC5AF2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LAB!$M$39:$Q$39</c:f>
                <c:numCache>
                  <c:formatCode>General</c:formatCode>
                  <c:ptCount val="5"/>
                  <c:pt idx="0">
                    <c:v>8.8194247604073045E-2</c:v>
                  </c:pt>
                  <c:pt idx="1">
                    <c:v>4.2022218076546519E-2</c:v>
                  </c:pt>
                  <c:pt idx="2">
                    <c:v>0.12553717727357519</c:v>
                  </c:pt>
                  <c:pt idx="3">
                    <c:v>0.1179116712833531</c:v>
                  </c:pt>
                  <c:pt idx="4">
                    <c:v>6.2644674428849995E-2</c:v>
                  </c:pt>
                </c:numCache>
              </c:numRef>
            </c:plus>
            <c:minus>
              <c:numRef>
                <c:f>LAB!$M$39:$Q$39</c:f>
                <c:numCache>
                  <c:formatCode>General</c:formatCode>
                  <c:ptCount val="5"/>
                  <c:pt idx="0">
                    <c:v>8.8194247604073045E-2</c:v>
                  </c:pt>
                  <c:pt idx="1">
                    <c:v>4.2022218076546519E-2</c:v>
                  </c:pt>
                  <c:pt idx="2">
                    <c:v>0.12553717727357519</c:v>
                  </c:pt>
                  <c:pt idx="3">
                    <c:v>0.1179116712833531</c:v>
                  </c:pt>
                  <c:pt idx="4">
                    <c:v>6.2644674428849995E-2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LAB!$L$42:$P$42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LAB!$L$48:$P$48</c:f>
              <c:numCache>
                <c:formatCode>0.00</c:formatCode>
                <c:ptCount val="5"/>
                <c:pt idx="0">
                  <c:v>1.6930604153492084</c:v>
                </c:pt>
                <c:pt idx="1">
                  <c:v>1.8629252184242817</c:v>
                </c:pt>
                <c:pt idx="2">
                  <c:v>3.042799756239269</c:v>
                </c:pt>
                <c:pt idx="3">
                  <c:v>3.645039878027291</c:v>
                </c:pt>
                <c:pt idx="4">
                  <c:v>4.2358567253659798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61-4C53-BFDE-51CDE30937C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04284479"/>
        <c:axId val="1904283999"/>
      </c:barChart>
      <c:catAx>
        <c:axId val="19042844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4283999"/>
        <c:crosses val="autoZero"/>
        <c:auto val="1"/>
        <c:lblAlgn val="ctr"/>
        <c:lblOffset val="100"/>
        <c:noMultiLvlLbl val="0"/>
      </c:catAx>
      <c:valAx>
        <c:axId val="19042839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 CFU/g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4284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932254254810186"/>
          <c:y val="5.6117923500669166E-2"/>
          <c:w val="0.68537060389132154"/>
          <c:h val="4.63194941541398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>
              <a:lumMod val="95000"/>
              <a:lumOff val="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entroactereriacea!$D$32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23AE-4A05-B734-29CBFCB942D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23AE-4A05-B734-29CBFCB942D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23AE-4A05-B734-29CBFCB942D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23AE-4A05-B734-29CBFCB942D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23AE-4A05-B734-29CBFCB942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entroactereriacea!$R$38:$V$38</c:f>
                <c:numCache>
                  <c:formatCode>General</c:formatCode>
                  <c:ptCount val="5"/>
                  <c:pt idx="0">
                    <c:v>6.9114403463699597E-2</c:v>
                  </c:pt>
                  <c:pt idx="1">
                    <c:v>3.9978907431259994E-2</c:v>
                  </c:pt>
                  <c:pt idx="2">
                    <c:v>4.3174560687932274E-2</c:v>
                  </c:pt>
                  <c:pt idx="3">
                    <c:v>5.81070155120057E-2</c:v>
                  </c:pt>
                  <c:pt idx="4">
                    <c:v>4.8967846411649668E-2</c:v>
                  </c:pt>
                </c:numCache>
              </c:numRef>
            </c:plus>
            <c:minus>
              <c:numRef>
                <c:f>entroactereriacea!$R$38:$V$38</c:f>
                <c:numCache>
                  <c:formatCode>General</c:formatCode>
                  <c:ptCount val="5"/>
                  <c:pt idx="0">
                    <c:v>6.9114403463699597E-2</c:v>
                  </c:pt>
                  <c:pt idx="1">
                    <c:v>3.9978907431259994E-2</c:v>
                  </c:pt>
                  <c:pt idx="2">
                    <c:v>4.3174560687932274E-2</c:v>
                  </c:pt>
                  <c:pt idx="3">
                    <c:v>5.81070155120057E-2</c:v>
                  </c:pt>
                  <c:pt idx="4">
                    <c:v>4.8967846411649668E-2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entroactereriacea!$E$31:$I$31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entroactereriacea!$E$32:$I$32</c:f>
              <c:numCache>
                <c:formatCode>0.00</c:formatCode>
                <c:ptCount val="5"/>
                <c:pt idx="0">
                  <c:v>2.6231261386871125</c:v>
                </c:pt>
                <c:pt idx="1">
                  <c:v>3.7417697605752878</c:v>
                </c:pt>
                <c:pt idx="2">
                  <c:v>4.9245954816603978</c:v>
                </c:pt>
                <c:pt idx="3">
                  <c:v>6.4234042849654145</c:v>
                </c:pt>
                <c:pt idx="4">
                  <c:v>7.6545959424485188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9-4B2F-A860-9CC813ABC31C}"/>
            </c:ext>
          </c:extLst>
        </c:ser>
        <c:ser>
          <c:idx val="1"/>
          <c:order val="1"/>
          <c:tx>
            <c:strRef>
              <c:f>entroactereriacea!$D$33</c:f>
              <c:strCache>
                <c:ptCount val="1"/>
                <c:pt idx="0">
                  <c:v>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23AE-4A05-B734-29CBFCB942D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23AE-4A05-B734-29CBFCB942D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23AE-4A05-B734-29CBFCB942D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23AE-4A05-B734-29CBFCB942D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23AE-4A05-B734-29CBFCB942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entroactereriacea!$R$39:$V$39</c:f>
                <c:numCache>
                  <c:formatCode>General</c:formatCode>
                  <c:ptCount val="5"/>
                  <c:pt idx="0">
                    <c:v>4.8057193200065192E-2</c:v>
                  </c:pt>
                  <c:pt idx="1">
                    <c:v>6.4508002801036718E-2</c:v>
                  </c:pt>
                  <c:pt idx="2">
                    <c:v>6.6834667241752355E-2</c:v>
                  </c:pt>
                  <c:pt idx="3">
                    <c:v>5.3064964541201146E-2</c:v>
                  </c:pt>
                  <c:pt idx="4">
                    <c:v>5.9015015396875863E-2</c:v>
                  </c:pt>
                </c:numCache>
              </c:numRef>
            </c:plus>
            <c:minus>
              <c:numRef>
                <c:f>entroactereriacea!$R$39:$V$39</c:f>
                <c:numCache>
                  <c:formatCode>General</c:formatCode>
                  <c:ptCount val="5"/>
                  <c:pt idx="0">
                    <c:v>4.8057193200065192E-2</c:v>
                  </c:pt>
                  <c:pt idx="1">
                    <c:v>6.4508002801036718E-2</c:v>
                  </c:pt>
                  <c:pt idx="2">
                    <c:v>6.6834667241752355E-2</c:v>
                  </c:pt>
                  <c:pt idx="3">
                    <c:v>5.3064964541201146E-2</c:v>
                  </c:pt>
                  <c:pt idx="4">
                    <c:v>5.9015015396875863E-2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entroactereriacea!$E$31:$I$31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entroactereriacea!$E$33:$I$33</c:f>
              <c:numCache>
                <c:formatCode>0.00</c:formatCode>
                <c:ptCount val="5"/>
                <c:pt idx="0">
                  <c:v>2.5464490048393595</c:v>
                </c:pt>
                <c:pt idx="1">
                  <c:v>3.5239921816011144</c:v>
                </c:pt>
                <c:pt idx="2">
                  <c:v>4.7674436428947997</c:v>
                </c:pt>
                <c:pt idx="3">
                  <c:v>6.2196549475548117</c:v>
                </c:pt>
                <c:pt idx="4">
                  <c:v>7.4122630331364308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79-4B2F-A860-9CC813ABC31C}"/>
            </c:ext>
          </c:extLst>
        </c:ser>
        <c:ser>
          <c:idx val="2"/>
          <c:order val="2"/>
          <c:tx>
            <c:strRef>
              <c:f>entroactereriacea!$D$34</c:f>
              <c:strCache>
                <c:ptCount val="1"/>
                <c:pt idx="0">
                  <c:v>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3AE-4A05-B734-29CBFCB942D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23AE-4A05-B734-29CBFCB942D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23AE-4A05-B734-29CBFCB942D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23AE-4A05-B734-29CBFCB942D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23AE-4A05-B734-29CBFCB942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entroactereriacea!$R$40:$V$40</c:f>
                <c:numCache>
                  <c:formatCode>General</c:formatCode>
                  <c:ptCount val="5"/>
                  <c:pt idx="0">
                    <c:v>3.4216484768142368E-2</c:v>
                  </c:pt>
                  <c:pt idx="1">
                    <c:v>8.1115760259146699E-2</c:v>
                  </c:pt>
                  <c:pt idx="2">
                    <c:v>3.28521902616426E-2</c:v>
                  </c:pt>
                  <c:pt idx="3">
                    <c:v>6.1099079780332619E-2</c:v>
                  </c:pt>
                  <c:pt idx="4">
                    <c:v>6.6005056959618252E-2</c:v>
                  </c:pt>
                </c:numCache>
              </c:numRef>
            </c:plus>
            <c:minus>
              <c:numRef>
                <c:f>entroactereriacea!$R$40:$V$40</c:f>
                <c:numCache>
                  <c:formatCode>General</c:formatCode>
                  <c:ptCount val="5"/>
                  <c:pt idx="0">
                    <c:v>3.4216484768142368E-2</c:v>
                  </c:pt>
                  <c:pt idx="1">
                    <c:v>8.1115760259146699E-2</c:v>
                  </c:pt>
                  <c:pt idx="2">
                    <c:v>3.28521902616426E-2</c:v>
                  </c:pt>
                  <c:pt idx="3">
                    <c:v>6.1099079780332619E-2</c:v>
                  </c:pt>
                  <c:pt idx="4">
                    <c:v>6.6005056959618252E-2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entroactereriacea!$E$31:$I$31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entroactereriacea!$E$34:$I$34</c:f>
              <c:numCache>
                <c:formatCode>0.00</c:formatCode>
                <c:ptCount val="5"/>
                <c:pt idx="0">
                  <c:v>2.5938705941643838</c:v>
                </c:pt>
                <c:pt idx="1">
                  <c:v>3.5511094367327822</c:v>
                </c:pt>
                <c:pt idx="2">
                  <c:v>4.8230923219207602</c:v>
                </c:pt>
                <c:pt idx="3">
                  <c:v>6.1828374187803448</c:v>
                </c:pt>
                <c:pt idx="4">
                  <c:v>7.5686782202381169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79-4B2F-A860-9CC813ABC31C}"/>
            </c:ext>
          </c:extLst>
        </c:ser>
        <c:ser>
          <c:idx val="3"/>
          <c:order val="3"/>
          <c:tx>
            <c:strRef>
              <c:f>entroactereriacea!$D$35</c:f>
              <c:strCache>
                <c:ptCount val="1"/>
                <c:pt idx="0">
                  <c:v>ZCEO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23AE-4A05-B734-29CBFCB942D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Dd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23AE-4A05-B734-29CBFCB942D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23AE-4A05-B734-29CBFCB942D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23AE-4A05-B734-29CBFCB942D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23AE-4A05-B734-29CBFCB942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entroactereriacea!$R$41:$V$41</c:f>
                <c:numCache>
                  <c:formatCode>General</c:formatCode>
                  <c:ptCount val="5"/>
                  <c:pt idx="0">
                    <c:v>3.3784215451004192E-2</c:v>
                  </c:pt>
                  <c:pt idx="1">
                    <c:v>7.3149328065585995E-2</c:v>
                  </c:pt>
                  <c:pt idx="2">
                    <c:v>0.1055412871982314</c:v>
                  </c:pt>
                  <c:pt idx="3">
                    <c:v>7.8261563302076134E-2</c:v>
                  </c:pt>
                  <c:pt idx="4">
                    <c:v>5.9731190943614246E-2</c:v>
                  </c:pt>
                </c:numCache>
              </c:numRef>
            </c:plus>
            <c:minus>
              <c:numRef>
                <c:f>entroactereriacea!$R$41:$V$41</c:f>
                <c:numCache>
                  <c:formatCode>General</c:formatCode>
                  <c:ptCount val="5"/>
                  <c:pt idx="0">
                    <c:v>3.3784215451004192E-2</c:v>
                  </c:pt>
                  <c:pt idx="1">
                    <c:v>7.3149328065585995E-2</c:v>
                  </c:pt>
                  <c:pt idx="2">
                    <c:v>0.1055412871982314</c:v>
                  </c:pt>
                  <c:pt idx="3">
                    <c:v>7.8261563302076134E-2</c:v>
                  </c:pt>
                  <c:pt idx="4">
                    <c:v>5.9731190943614246E-2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entroactereriacea!$E$31:$I$31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entroactereriacea!$E$35:$I$35</c:f>
              <c:numCache>
                <c:formatCode>0.00</c:formatCode>
                <c:ptCount val="5"/>
                <c:pt idx="0">
                  <c:v>2.5132344129826087</c:v>
                </c:pt>
                <c:pt idx="1">
                  <c:v>3.2511943529643026</c:v>
                </c:pt>
                <c:pt idx="2">
                  <c:v>4.3067077754302412</c:v>
                </c:pt>
                <c:pt idx="3">
                  <c:v>5.9160626756687336</c:v>
                </c:pt>
                <c:pt idx="4">
                  <c:v>7.2683642927808911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79-4B2F-A860-9CC813ABC31C}"/>
            </c:ext>
          </c:extLst>
        </c:ser>
        <c:ser>
          <c:idx val="4"/>
          <c:order val="4"/>
          <c:tx>
            <c:strRef>
              <c:f>entroactereriacea!$D$36</c:f>
              <c:strCache>
                <c:ptCount val="1"/>
                <c:pt idx="0">
                  <c:v>AS/Z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23AE-4A05-B734-29CBFCB942D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CDd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23AE-4A05-B734-29CBFCB942D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23AE-4A05-B734-29CBFCB942D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23AE-4A05-B734-29CBFCB942D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23AE-4A05-B734-29CBFCB942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entroactereriacea!$R$42:$V$42</c:f>
                <c:numCache>
                  <c:formatCode>General</c:formatCode>
                  <c:ptCount val="5"/>
                  <c:pt idx="0">
                    <c:v>5.460795978241962E-2</c:v>
                  </c:pt>
                  <c:pt idx="1">
                    <c:v>3.9604291527464301E-2</c:v>
                  </c:pt>
                  <c:pt idx="2">
                    <c:v>3.8639866405105694E-2</c:v>
                  </c:pt>
                  <c:pt idx="3">
                    <c:v>6.7416204069669708E-2</c:v>
                  </c:pt>
                  <c:pt idx="4">
                    <c:v>3.9750398528224956E-2</c:v>
                  </c:pt>
                </c:numCache>
              </c:numRef>
            </c:plus>
            <c:minus>
              <c:numRef>
                <c:f>entroactereriacea!$R$42:$V$42</c:f>
                <c:numCache>
                  <c:formatCode>General</c:formatCode>
                  <c:ptCount val="5"/>
                  <c:pt idx="0">
                    <c:v>5.460795978241962E-2</c:v>
                  </c:pt>
                  <c:pt idx="1">
                    <c:v>3.9604291527464301E-2</c:v>
                  </c:pt>
                  <c:pt idx="2">
                    <c:v>3.8639866405105694E-2</c:v>
                  </c:pt>
                  <c:pt idx="3">
                    <c:v>6.7416204069669708E-2</c:v>
                  </c:pt>
                  <c:pt idx="4">
                    <c:v>3.9750398528224956E-2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entroactereriacea!$E$31:$I$31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entroactereriacea!$E$36:$I$36</c:f>
              <c:numCache>
                <c:formatCode>0.00</c:formatCode>
                <c:ptCount val="5"/>
                <c:pt idx="0">
                  <c:v>2.5619437582086881</c:v>
                </c:pt>
                <c:pt idx="1">
                  <c:v>3.3412213060659313</c:v>
                </c:pt>
                <c:pt idx="2">
                  <c:v>4.7339373668658835</c:v>
                </c:pt>
                <c:pt idx="3">
                  <c:v>6.1104757655069148</c:v>
                </c:pt>
                <c:pt idx="4">
                  <c:v>7.4354750091835626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79-4B2F-A860-9CC813ABC31C}"/>
            </c:ext>
          </c:extLst>
        </c:ser>
        <c:ser>
          <c:idx val="5"/>
          <c:order val="5"/>
          <c:tx>
            <c:strRef>
              <c:f>entroactereriacea!$D$37</c:f>
              <c:strCache>
                <c:ptCount val="1"/>
                <c:pt idx="0">
                  <c:v>AS/ZCEO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Ae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23AE-4A05-B734-29CBFCB942D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Ed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23AE-4A05-B734-29CBFCB942D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23AE-4A05-B734-29CBFCB942D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23AE-4A05-B734-29CBFCB942D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Da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23AE-4A05-B734-29CBFCB942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entroactereriacea!$R$43:$V$43</c:f>
                <c:numCache>
                  <c:formatCode>General</c:formatCode>
                  <c:ptCount val="5"/>
                  <c:pt idx="0">
                    <c:v>5.9090918868944839E-2</c:v>
                  </c:pt>
                  <c:pt idx="1">
                    <c:v>0.10518351902341801</c:v>
                  </c:pt>
                  <c:pt idx="2">
                    <c:v>0.13947000000000001</c:v>
                  </c:pt>
                  <c:pt idx="3">
                    <c:v>5.83296951928262E-2</c:v>
                  </c:pt>
                  <c:pt idx="4">
                    <c:v>0.12128754379785263</c:v>
                  </c:pt>
                </c:numCache>
              </c:numRef>
            </c:plus>
            <c:minus>
              <c:numRef>
                <c:f>entroactereriacea!$R$43:$V$43</c:f>
                <c:numCache>
                  <c:formatCode>General</c:formatCode>
                  <c:ptCount val="5"/>
                  <c:pt idx="0">
                    <c:v>5.9090918868944839E-2</c:v>
                  </c:pt>
                  <c:pt idx="1">
                    <c:v>0.10518351902341801</c:v>
                  </c:pt>
                  <c:pt idx="2">
                    <c:v>0.13947000000000001</c:v>
                  </c:pt>
                  <c:pt idx="3">
                    <c:v>5.83296951928262E-2</c:v>
                  </c:pt>
                  <c:pt idx="4">
                    <c:v>0.12128754379785263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entroactereriacea!$E$31:$I$31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entroactereriacea!$E$37:$I$37</c:f>
              <c:numCache>
                <c:formatCode>0.00</c:formatCode>
                <c:ptCount val="5"/>
                <c:pt idx="0">
                  <c:v>2.4979819161290502</c:v>
                </c:pt>
                <c:pt idx="1">
                  <c:v>2.81571934378074</c:v>
                </c:pt>
                <c:pt idx="2">
                  <c:v>3.7001235150391878</c:v>
                </c:pt>
                <c:pt idx="3">
                  <c:v>4.5017166594399685</c:v>
                </c:pt>
                <c:pt idx="4">
                  <c:v>5.8004668469271818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79-4B2F-A860-9CC813ABC31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44559007"/>
        <c:axId val="1844559487"/>
      </c:barChart>
      <c:catAx>
        <c:axId val="18445590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559487"/>
        <c:crosses val="autoZero"/>
        <c:auto val="1"/>
        <c:lblAlgn val="ctr"/>
        <c:lblOffset val="100"/>
        <c:noMultiLvlLbl val="0"/>
      </c:catAx>
      <c:valAx>
        <c:axId val="1844559487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 CFU/g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44559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264732726582527"/>
          <c:y val="3.1414366188416171E-2"/>
          <c:w val="0.60076619082656524"/>
          <c:h val="4.63194941541398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>
              <a:lumMod val="95000"/>
              <a:lumOff val="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mold!$D$33</c:f>
              <c:strCache>
                <c:ptCount val="1"/>
                <c:pt idx="0">
                  <c:v>Control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8F-43CF-9C14-4898FA2F0C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18F-43CF-9C14-4898FA2F0CF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318F-43CF-9C14-4898FA2F0CF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318F-43CF-9C14-4898FA2F0CF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318F-43CF-9C14-4898FA2F0C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mold!$L$32:$P$32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5.1656198029489314E-2</c:v>
                  </c:pt>
                  <c:pt idx="2">
                    <c:v>5.3676931367550938E-2</c:v>
                  </c:pt>
                  <c:pt idx="3">
                    <c:v>1.8352051540420043E-2</c:v>
                  </c:pt>
                  <c:pt idx="4">
                    <c:v>9.1350410297765736E-2</c:v>
                  </c:pt>
                </c:numCache>
              </c:numRef>
            </c:plus>
            <c:minus>
              <c:numRef>
                <c:f>mold!$L$32:$P$32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5.1656198029489314E-2</c:v>
                  </c:pt>
                  <c:pt idx="2">
                    <c:v>5.3676931367550938E-2</c:v>
                  </c:pt>
                  <c:pt idx="3">
                    <c:v>1.8352051540420043E-2</c:v>
                  </c:pt>
                  <c:pt idx="4">
                    <c:v>9.1350410297765736E-2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mold!$E$32:$I$32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mold!$E$33:$I$33</c:f>
              <c:numCache>
                <c:formatCode>0.00</c:formatCode>
                <c:ptCount val="5"/>
                <c:pt idx="0">
                  <c:v>0</c:v>
                </c:pt>
                <c:pt idx="1">
                  <c:v>3.5777163655629458</c:v>
                </c:pt>
                <c:pt idx="2">
                  <c:v>4.7662115943748118</c:v>
                </c:pt>
                <c:pt idx="3">
                  <c:v>6.7921314806790889</c:v>
                </c:pt>
                <c:pt idx="4">
                  <c:v>7.6169841332644976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98-4E7C-80E6-728CF57CA674}"/>
            </c:ext>
          </c:extLst>
        </c:ser>
        <c:ser>
          <c:idx val="1"/>
          <c:order val="1"/>
          <c:tx>
            <c:strRef>
              <c:f>mold!$D$34</c:f>
              <c:strCache>
                <c:ptCount val="1"/>
                <c:pt idx="0">
                  <c:v>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18F-43CF-9C14-4898FA2F0C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318F-43CF-9C14-4898FA2F0CF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BCc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318F-43CF-9C14-4898FA2F0CF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318F-43CF-9C14-4898FA2F0CF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9-318F-43CF-9C14-4898FA2F0C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mold!$L$33:$P$33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8.5354454883206615E-2</c:v>
                  </c:pt>
                  <c:pt idx="2">
                    <c:v>8.5963473420839598E-2</c:v>
                  </c:pt>
                  <c:pt idx="3">
                    <c:v>8.1226037637474172E-2</c:v>
                  </c:pt>
                  <c:pt idx="4">
                    <c:v>6.9554405280300879E-2</c:v>
                  </c:pt>
                </c:numCache>
              </c:numRef>
            </c:plus>
            <c:minus>
              <c:numRef>
                <c:f>mold!$L$33:$P$33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8.5354454883206615E-2</c:v>
                  </c:pt>
                  <c:pt idx="2">
                    <c:v>8.5963473420839598E-2</c:v>
                  </c:pt>
                  <c:pt idx="3">
                    <c:v>8.1226037637474172E-2</c:v>
                  </c:pt>
                  <c:pt idx="4">
                    <c:v>6.9554405280300879E-2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mold!$E$32:$I$32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mold!$E$34:$I$34</c:f>
              <c:numCache>
                <c:formatCode>0.00</c:formatCode>
                <c:ptCount val="5"/>
                <c:pt idx="0">
                  <c:v>0</c:v>
                </c:pt>
                <c:pt idx="1">
                  <c:v>3.5173125651216126</c:v>
                </c:pt>
                <c:pt idx="2">
                  <c:v>4.4761799102126636</c:v>
                </c:pt>
                <c:pt idx="3">
                  <c:v>6.387122667411659</c:v>
                </c:pt>
                <c:pt idx="4">
                  <c:v>7.501354294226231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98-4E7C-80E6-728CF57CA674}"/>
            </c:ext>
          </c:extLst>
        </c:ser>
        <c:ser>
          <c:idx val="2"/>
          <c:order val="2"/>
          <c:tx>
            <c:strRef>
              <c:f>mold!$D$35</c:f>
              <c:strCache>
                <c:ptCount val="1"/>
                <c:pt idx="0">
                  <c:v>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18F-43CF-9C14-4898FA2F0C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ABd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318F-43CF-9C14-4898FA2F0CF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ABc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318F-43CF-9C14-4898FA2F0CF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ABb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318F-43CF-9C14-4898FA2F0CF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A-318F-43CF-9C14-4898FA2F0C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mold!$L$34:$P$34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8.2474978946867755E-2</c:v>
                  </c:pt>
                  <c:pt idx="2">
                    <c:v>6.9927784178439673E-2</c:v>
                  </c:pt>
                  <c:pt idx="3">
                    <c:v>6.2739935488624055E-2</c:v>
                  </c:pt>
                  <c:pt idx="4">
                    <c:v>0.11242201970437525</c:v>
                  </c:pt>
                </c:numCache>
              </c:numRef>
            </c:plus>
            <c:minus>
              <c:numRef>
                <c:f>mold!$L$34:$P$34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8.2474978946867755E-2</c:v>
                  </c:pt>
                  <c:pt idx="2">
                    <c:v>6.9927784178439673E-2</c:v>
                  </c:pt>
                  <c:pt idx="3">
                    <c:v>6.2739935488624055E-2</c:v>
                  </c:pt>
                  <c:pt idx="4">
                    <c:v>0.11242201970437525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mold!$E$32:$I$32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mold!$E$35:$I$35</c:f>
              <c:numCache>
                <c:formatCode>0.00</c:formatCode>
                <c:ptCount val="5"/>
                <c:pt idx="0">
                  <c:v>0</c:v>
                </c:pt>
                <c:pt idx="1">
                  <c:v>3.4315768968281106</c:v>
                </c:pt>
                <c:pt idx="2">
                  <c:v>4.6652117315325166</c:v>
                </c:pt>
                <c:pt idx="3">
                  <c:v>6.5843437411301915</c:v>
                </c:pt>
                <c:pt idx="4">
                  <c:v>7.558958810657713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98-4E7C-80E6-728CF57CA674}"/>
            </c:ext>
          </c:extLst>
        </c:ser>
        <c:ser>
          <c:idx val="3"/>
          <c:order val="3"/>
          <c:tx>
            <c:strRef>
              <c:f>mold!$D$36</c:f>
              <c:strCache>
                <c:ptCount val="1"/>
                <c:pt idx="0">
                  <c:v>ZCEO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8F-43CF-9C14-4898FA2F0C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Cd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A-318F-43CF-9C14-4898FA2F0CF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Dc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318F-43CF-9C14-4898FA2F0CF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Cb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318F-43CF-9C14-4898FA2F0CF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Ba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C-318F-43CF-9C14-4898FA2F0C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mold!$L$35:$P$35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0.1055412871982314</c:v>
                  </c:pt>
                  <c:pt idx="2">
                    <c:v>0.11333076621435224</c:v>
                  </c:pt>
                  <c:pt idx="3">
                    <c:v>0.10084831013832353</c:v>
                  </c:pt>
                  <c:pt idx="4">
                    <c:v>0.10291122788629352</c:v>
                  </c:pt>
                </c:numCache>
              </c:numRef>
            </c:plus>
            <c:minus>
              <c:numRef>
                <c:f>mold!$L$35:$P$35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0.1055412871982314</c:v>
                  </c:pt>
                  <c:pt idx="2">
                    <c:v>0.11333076621435224</c:v>
                  </c:pt>
                  <c:pt idx="3">
                    <c:v>0.10084831013832353</c:v>
                  </c:pt>
                  <c:pt idx="4">
                    <c:v>0.10291122788629352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mold!$E$32:$I$32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mold!$E$36:$I$36</c:f>
              <c:numCache>
                <c:formatCode>0.00</c:formatCode>
                <c:ptCount val="5"/>
                <c:pt idx="0">
                  <c:v>0</c:v>
                </c:pt>
                <c:pt idx="1">
                  <c:v>3.0056777797662604</c:v>
                </c:pt>
                <c:pt idx="2">
                  <c:v>3.9105295883955797</c:v>
                </c:pt>
                <c:pt idx="3">
                  <c:v>5.230890233052123</c:v>
                </c:pt>
                <c:pt idx="4">
                  <c:v>6.1619071421605272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98-4E7C-80E6-728CF57CA674}"/>
            </c:ext>
          </c:extLst>
        </c:ser>
        <c:ser>
          <c:idx val="4"/>
          <c:order val="4"/>
          <c:tx>
            <c:strRef>
              <c:f>mold!$D$37</c:f>
              <c:strCache>
                <c:ptCount val="1"/>
                <c:pt idx="0">
                  <c:v>AS/Z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18F-43CF-9C14-4898FA2F0C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Bd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318F-43CF-9C14-4898FA2F0CF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Cc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318F-43CF-9C14-4898FA2F0CF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Bb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318F-43CF-9C14-4898FA2F0CF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Aa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B-318F-43CF-9C14-4898FA2F0C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mold!$L$36:$P$36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3.4216484768142368E-2</c:v>
                  </c:pt>
                  <c:pt idx="2">
                    <c:v>2.8184464269814958E-2</c:v>
                  </c:pt>
                  <c:pt idx="3">
                    <c:v>7.2837760247092417E-2</c:v>
                  </c:pt>
                  <c:pt idx="4">
                    <c:v>8.2474978946867714E-2</c:v>
                  </c:pt>
                </c:numCache>
              </c:numRef>
            </c:plus>
            <c:minus>
              <c:numRef>
                <c:f>mold!$L$36:$P$36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3.4216484768142368E-2</c:v>
                  </c:pt>
                  <c:pt idx="2">
                    <c:v>2.8184464269814958E-2</c:v>
                  </c:pt>
                  <c:pt idx="3">
                    <c:v>7.2837760247092417E-2</c:v>
                  </c:pt>
                  <c:pt idx="4">
                    <c:v>8.2474978946867714E-2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mold!$E$32:$I$32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mold!$E$37:$I$37</c:f>
              <c:numCache>
                <c:formatCode>0.00</c:formatCode>
                <c:ptCount val="5"/>
                <c:pt idx="0">
                  <c:v>0</c:v>
                </c:pt>
                <c:pt idx="1">
                  <c:v>3.2928405985004026</c:v>
                </c:pt>
                <c:pt idx="2">
                  <c:v>4.3673635085039457</c:v>
                </c:pt>
                <c:pt idx="3">
                  <c:v>6.3937572571864871</c:v>
                </c:pt>
                <c:pt idx="4">
                  <c:v>7.4315768968281111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98-4E7C-80E6-728CF57CA674}"/>
            </c:ext>
          </c:extLst>
        </c:ser>
        <c:ser>
          <c:idx val="5"/>
          <c:order val="5"/>
          <c:tx>
            <c:strRef>
              <c:f>mold!$D$38</c:f>
              <c:strCache>
                <c:ptCount val="1"/>
                <c:pt idx="0">
                  <c:v>AS/ZCEO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8F-43CF-9C14-4898FA2F0CF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Dd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B-318F-43CF-9C14-4898FA2F0CF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Ec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318F-43CF-9C14-4898FA2F0CF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Db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318F-43CF-9C14-4898FA2F0CF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Ca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D-318F-43CF-9C14-4898FA2F0C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cust"/>
            <c:noEndCap val="0"/>
            <c:plus>
              <c:numRef>
                <c:f>mold!$L$37:$P$37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9.2073513844854377E-2</c:v>
                  </c:pt>
                  <c:pt idx="2">
                    <c:v>0.12396562118946726</c:v>
                  </c:pt>
                  <c:pt idx="3">
                    <c:v>0.11424715458710652</c:v>
                  </c:pt>
                  <c:pt idx="4">
                    <c:v>7.0723633736921018E-2</c:v>
                  </c:pt>
                </c:numCache>
              </c:numRef>
            </c:plus>
            <c:minus>
              <c:numRef>
                <c:f>mold!$L$37:$P$37</c:f>
                <c:numCache>
                  <c:formatCode>General</c:formatCode>
                  <c:ptCount val="5"/>
                  <c:pt idx="0">
                    <c:v>0</c:v>
                  </c:pt>
                  <c:pt idx="1">
                    <c:v>9.2073513844854377E-2</c:v>
                  </c:pt>
                  <c:pt idx="2">
                    <c:v>0.12396562118946726</c:v>
                  </c:pt>
                  <c:pt idx="3">
                    <c:v>0.11424715458710652</c:v>
                  </c:pt>
                  <c:pt idx="4">
                    <c:v>7.0723633736921018E-2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mold!$E$32:$I$32</c:f>
              <c:numCache>
                <c:formatCode>General</c:formatCode>
                <c:ptCount val="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</c:numCache>
            </c:numRef>
          </c:cat>
          <c:val>
            <c:numRef>
              <c:f>mold!$E$38:$I$38</c:f>
              <c:numCache>
                <c:formatCode>0.00</c:formatCode>
                <c:ptCount val="5"/>
                <c:pt idx="0">
                  <c:v>0</c:v>
                </c:pt>
                <c:pt idx="1">
                  <c:v>2.3597270820158749</c:v>
                </c:pt>
                <c:pt idx="2">
                  <c:v>3.2353733699009015</c:v>
                </c:pt>
                <c:pt idx="3">
                  <c:v>4.2289383181691056</c:v>
                </c:pt>
                <c:pt idx="4">
                  <c:v>5.6212039932973816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98-4E7C-80E6-728CF57CA67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62338831"/>
        <c:axId val="1162340271"/>
      </c:barChart>
      <c:catAx>
        <c:axId val="116233883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>
                    <a:solidFill>
                      <a:schemeClr val="tx1"/>
                    </a:solidFill>
                  </a:rPr>
                  <a:t>Time (day)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2340271"/>
        <c:crosses val="autoZero"/>
        <c:auto val="1"/>
        <c:lblAlgn val="ctr"/>
        <c:lblOffset val="100"/>
        <c:noMultiLvlLbl val="0"/>
      </c:catAx>
      <c:valAx>
        <c:axId val="116234027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 CFU/g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62338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474373166264949"/>
          <c:y val="3.6904045591139051E-2"/>
          <c:w val="0.60039158471074083"/>
          <c:h val="4.63194941541398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95000"/>
                  <a:lumOff val="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="1">
          <a:solidFill>
            <a:schemeClr val="tx1">
              <a:lumMod val="95000"/>
              <a:lumOff val="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151189</xdr:colOff>
      <xdr:row>29</xdr:row>
      <xdr:rowOff>133045</xdr:rowOff>
    </xdr:from>
    <xdr:to>
      <xdr:col>28</xdr:col>
      <xdr:colOff>98271</xdr:colOff>
      <xdr:row>53</xdr:row>
      <xdr:rowOff>208641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E457BE-313B-A574-A96D-189FC93693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748392</xdr:colOff>
      <xdr:row>27</xdr:row>
      <xdr:rowOff>54428</xdr:rowOff>
    </xdr:from>
    <xdr:to>
      <xdr:col>17</xdr:col>
      <xdr:colOff>473225</xdr:colOff>
      <xdr:row>51</xdr:row>
      <xdr:rowOff>109292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FEFFCA-D237-12E5-BBD0-5FEAB0D6B7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247649</xdr:colOff>
      <xdr:row>35</xdr:row>
      <xdr:rowOff>40140</xdr:rowOff>
    </xdr:from>
    <xdr:to>
      <xdr:col>27</xdr:col>
      <xdr:colOff>370113</xdr:colOff>
      <xdr:row>59</xdr:row>
      <xdr:rowOff>95004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3C797C0-2D04-EFCE-2F3D-BC0EFC2F83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35547</xdr:colOff>
      <xdr:row>33</xdr:row>
      <xdr:rowOff>64124</xdr:rowOff>
    </xdr:from>
    <xdr:to>
      <xdr:col>23</xdr:col>
      <xdr:colOff>158011</xdr:colOff>
      <xdr:row>57</xdr:row>
      <xdr:rowOff>118988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2CD4BB9-21DA-EB10-7651-B980617040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118023</xdr:colOff>
      <xdr:row>36</xdr:row>
      <xdr:rowOff>21523</xdr:rowOff>
    </xdr:from>
    <xdr:to>
      <xdr:col>20</xdr:col>
      <xdr:colOff>240486</xdr:colOff>
      <xdr:row>60</xdr:row>
      <xdr:rowOff>76387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89A435-666F-0C15-8FEE-AD9762E680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71B9-F594-4699-93E3-97B3BD12BB4A}">
  <dimension ref="A1:AE70"/>
  <sheetViews>
    <sheetView topLeftCell="P28" zoomScale="90" zoomScaleNormal="90" workbookViewId="0">
      <selection activeCell="X58" sqref="X58"/>
    </sheetView>
  </sheetViews>
  <sheetFormatPr defaultRowHeight="15" x14ac:dyDescent="0.25"/>
  <cols>
    <col min="1" max="1" width="14.85546875" bestFit="1" customWidth="1"/>
    <col min="2" max="2" width="14.85546875" customWidth="1"/>
    <col min="8" max="8" width="16.28515625" bestFit="1" customWidth="1"/>
    <col min="12" max="12" width="16.85546875" style="2" bestFit="1" customWidth="1"/>
    <col min="16" max="16" width="10" bestFit="1" customWidth="1"/>
    <col min="17" max="17" width="11.140625" style="2" bestFit="1" customWidth="1"/>
    <col min="22" max="22" width="12.7109375" style="2" bestFit="1" customWidth="1"/>
  </cols>
  <sheetData>
    <row r="1" spans="1:25" x14ac:dyDescent="0.25">
      <c r="B1" s="1" t="s">
        <v>15</v>
      </c>
      <c r="G1" t="s">
        <v>9</v>
      </c>
      <c r="L1" s="2" t="s">
        <v>10</v>
      </c>
      <c r="Q1" s="2" t="s">
        <v>11</v>
      </c>
      <c r="V1" s="2" t="s">
        <v>12</v>
      </c>
    </row>
    <row r="2" spans="1:25" x14ac:dyDescent="0.25">
      <c r="A2" t="s">
        <v>3</v>
      </c>
      <c r="C2" t="s">
        <v>0</v>
      </c>
      <c r="D2" t="s">
        <v>1</v>
      </c>
      <c r="E2" t="s">
        <v>2</v>
      </c>
      <c r="H2" t="s">
        <v>0</v>
      </c>
      <c r="I2" t="s">
        <v>1</v>
      </c>
      <c r="J2" t="s">
        <v>2</v>
      </c>
      <c r="M2" t="s">
        <v>0</v>
      </c>
      <c r="N2" t="s">
        <v>1</v>
      </c>
      <c r="O2" t="s">
        <v>2</v>
      </c>
      <c r="R2" t="s">
        <v>0</v>
      </c>
      <c r="S2" t="s">
        <v>1</v>
      </c>
      <c r="T2" t="s">
        <v>2</v>
      </c>
      <c r="W2" t="s">
        <v>0</v>
      </c>
      <c r="X2" t="s">
        <v>1</v>
      </c>
      <c r="Y2" t="s">
        <v>2</v>
      </c>
    </row>
    <row r="3" spans="1:25" x14ac:dyDescent="0.25">
      <c r="B3">
        <v>1000</v>
      </c>
      <c r="C3">
        <f>LOG10(B3)</f>
        <v>3</v>
      </c>
      <c r="D3">
        <f>AVERAGE(C3:C5)</f>
        <v>2.893747079125196</v>
      </c>
      <c r="E3">
        <f>STDEV(C3:C5)</f>
        <v>0.11121908276973033</v>
      </c>
      <c r="G3">
        <v>8000</v>
      </c>
      <c r="H3">
        <f>LOG(G3)</f>
        <v>3.9030899869919438</v>
      </c>
      <c r="I3">
        <f>AVERAGE(H3:H5)</f>
        <v>3.9088547387207484</v>
      </c>
      <c r="J3">
        <f>STDEV(H3:H5)</f>
        <v>4.2797580113603732E-2</v>
      </c>
      <c r="L3" s="2">
        <v>3000000</v>
      </c>
      <c r="M3">
        <f>LOG(L3)</f>
        <v>6.4771212547196626</v>
      </c>
      <c r="N3">
        <f>AVERAGE(M3:M5)</f>
        <v>6.4864641625864108</v>
      </c>
      <c r="O3">
        <f>STDEV(M3:M5)</f>
        <v>1.6182391115642299E-2</v>
      </c>
      <c r="Q3" s="2">
        <f>(40*10^5)/0.05</f>
        <v>80000000</v>
      </c>
      <c r="R3">
        <f>LOG(Q3)</f>
        <v>7.9030899869919438</v>
      </c>
      <c r="S3">
        <f>AVERAGE(R3:R4)</f>
        <v>7.8740940135031003</v>
      </c>
      <c r="T3">
        <f>STDEV(R3:R4)</f>
        <v>4.100649896213307E-2</v>
      </c>
      <c r="V3" s="2">
        <f>(13*10^6)/0.05</f>
        <v>260000000</v>
      </c>
      <c r="W3">
        <f>LOG(V3)</f>
        <v>8.4149733479708182</v>
      </c>
      <c r="X3">
        <f>AVERAGE(W3:W5)</f>
        <v>8.4921419423526707</v>
      </c>
      <c r="Y3">
        <f>STDEV(W3:W5)</f>
        <v>7.1556894198502127E-2</v>
      </c>
    </row>
    <row r="4" spans="1:25" x14ac:dyDescent="0.25">
      <c r="B4">
        <v>600</v>
      </c>
      <c r="C4">
        <f t="shared" ref="C4:C29" si="0">LOG10(B4)</f>
        <v>2.7781512503836434</v>
      </c>
      <c r="G4">
        <v>7400</v>
      </c>
      <c r="H4">
        <f>LOG(G4)</f>
        <v>3.8692317197309762</v>
      </c>
      <c r="L4" s="2">
        <f>(16*10^4)/0.05</f>
        <v>3200000</v>
      </c>
      <c r="M4">
        <f t="shared" ref="M4:M29" si="1">LOG(L4)</f>
        <v>6.5051499783199063</v>
      </c>
      <c r="Q4" s="2">
        <f>(35*10^5)/0.05</f>
        <v>70000000</v>
      </c>
      <c r="R4">
        <f t="shared" ref="R4:R29" si="2">LOG(Q4)</f>
        <v>7.8450980400142569</v>
      </c>
      <c r="V4" s="2">
        <f>(16*10^6)/0.05</f>
        <v>320000000</v>
      </c>
      <c r="W4">
        <f t="shared" ref="W4:W29" si="3">LOG(V4)</f>
        <v>8.5051499783199063</v>
      </c>
    </row>
    <row r="5" spans="1:25" x14ac:dyDescent="0.25">
      <c r="B5">
        <v>800</v>
      </c>
      <c r="C5">
        <f t="shared" si="0"/>
        <v>2.9030899869919438</v>
      </c>
      <c r="G5">
        <v>9000</v>
      </c>
      <c r="H5">
        <f>LOG(G5)</f>
        <v>3.9542425094393248</v>
      </c>
      <c r="L5" s="2">
        <f>(15*10^4)/0.05</f>
        <v>3000000</v>
      </c>
      <c r="M5">
        <f t="shared" si="1"/>
        <v>6.4771212547196626</v>
      </c>
      <c r="Q5" s="2">
        <f>(37*10^5)/0.05</f>
        <v>74000000</v>
      </c>
      <c r="R5">
        <f t="shared" si="2"/>
        <v>7.8692317197309762</v>
      </c>
      <c r="V5" s="2">
        <f>(18*10^6)/0.05</f>
        <v>360000000</v>
      </c>
      <c r="W5">
        <f t="shared" si="3"/>
        <v>8.5563025007672877</v>
      </c>
    </row>
    <row r="7" spans="1:25" x14ac:dyDescent="0.25">
      <c r="A7" t="s">
        <v>4</v>
      </c>
      <c r="B7">
        <v>600</v>
      </c>
      <c r="C7">
        <f t="shared" si="0"/>
        <v>2.7781512503836434</v>
      </c>
      <c r="D7">
        <f>AVERAGE(C7:C9)</f>
        <v>2.6607570776798561</v>
      </c>
      <c r="E7">
        <f>STDEV(C7:C9)</f>
        <v>0.10166633581773749</v>
      </c>
      <c r="G7">
        <v>2000</v>
      </c>
      <c r="H7">
        <f t="shared" ref="H7:H29" si="4">LOG(G7)</f>
        <v>3.3010299956639813</v>
      </c>
      <c r="I7">
        <f>AVERAGE(H7:H9)</f>
        <v>3.4600704139038689</v>
      </c>
      <c r="J7">
        <f>STDEV(H7:H9)</f>
        <v>0.15123760429125521</v>
      </c>
      <c r="L7" s="2">
        <f>(8*10^3)/0.05</f>
        <v>160000</v>
      </c>
      <c r="M7">
        <f t="shared" si="1"/>
        <v>5.204119982655925</v>
      </c>
      <c r="N7">
        <f>AVERAGE(M7:M9)</f>
        <v>5.1208274915837251</v>
      </c>
      <c r="O7">
        <f>STDEV(M7:M9)</f>
        <v>7.2133413213013697E-2</v>
      </c>
      <c r="Q7" s="2">
        <f>(10*10^5)/0.05</f>
        <v>20000000</v>
      </c>
      <c r="R7">
        <f t="shared" si="2"/>
        <v>7.3010299956639813</v>
      </c>
      <c r="S7">
        <f>AVERAGE(R7:R9)</f>
        <v>7.3367666522132708</v>
      </c>
      <c r="T7">
        <f>STDEV(R7:R9)</f>
        <v>0.153663906101451</v>
      </c>
      <c r="V7" s="2">
        <f>(59*10^5)/0.05</f>
        <v>118000000</v>
      </c>
      <c r="W7">
        <f t="shared" si="3"/>
        <v>8.0718820073061259</v>
      </c>
      <c r="X7">
        <f>AVERAGE(W7:W9)</f>
        <v>8.1285268456221456</v>
      </c>
      <c r="Y7">
        <f>STDEV(W7:W9)</f>
        <v>6.1011294911788354E-2</v>
      </c>
    </row>
    <row r="8" spans="1:25" x14ac:dyDescent="0.25">
      <c r="B8">
        <v>400</v>
      </c>
      <c r="C8">
        <f t="shared" si="0"/>
        <v>2.6020599913279625</v>
      </c>
      <c r="G8">
        <v>3000</v>
      </c>
      <c r="H8">
        <f t="shared" si="4"/>
        <v>3.4771212547196626</v>
      </c>
      <c r="L8" s="2">
        <f>(6*10^3)/0.05</f>
        <v>120000</v>
      </c>
      <c r="M8">
        <f t="shared" si="1"/>
        <v>5.0791812460476251</v>
      </c>
      <c r="Q8" s="2">
        <f>(8*10^5)/0.05</f>
        <v>16000000</v>
      </c>
      <c r="R8">
        <f t="shared" si="2"/>
        <v>7.204119982655925</v>
      </c>
      <c r="V8" s="2">
        <f>(78*10^5)/0.05</f>
        <v>156000000</v>
      </c>
      <c r="W8">
        <f t="shared" si="3"/>
        <v>8.1931245983544621</v>
      </c>
    </row>
    <row r="9" spans="1:25" x14ac:dyDescent="0.25">
      <c r="B9">
        <v>400</v>
      </c>
      <c r="C9">
        <f t="shared" si="0"/>
        <v>2.6020599913279625</v>
      </c>
      <c r="G9">
        <v>4000</v>
      </c>
      <c r="H9">
        <f t="shared" si="4"/>
        <v>3.6020599913279625</v>
      </c>
      <c r="L9" s="2">
        <v>120000</v>
      </c>
      <c r="M9">
        <f t="shared" si="1"/>
        <v>5.0791812460476251</v>
      </c>
      <c r="Q9" s="2">
        <f>(16*10^5)/0.05</f>
        <v>32000000</v>
      </c>
      <c r="R9">
        <f t="shared" si="2"/>
        <v>7.5051499783199063</v>
      </c>
      <c r="V9" s="2">
        <f>(66*10^5)/0.05</f>
        <v>132000000</v>
      </c>
      <c r="W9">
        <f t="shared" si="3"/>
        <v>8.1205739312058505</v>
      </c>
    </row>
    <row r="12" spans="1:25" x14ac:dyDescent="0.25">
      <c r="A12" t="s">
        <v>5</v>
      </c>
      <c r="B12">
        <v>600</v>
      </c>
      <c r="C12">
        <f t="shared" si="0"/>
        <v>2.7781512503836434</v>
      </c>
      <c r="D12">
        <f>AVERAGE(C12:C14)</f>
        <v>2.8197974959197438</v>
      </c>
      <c r="E12">
        <f>STDEV(C12:C14)</f>
        <v>7.2133413213013961E-2</v>
      </c>
      <c r="G12">
        <v>4000</v>
      </c>
      <c r="H12">
        <f t="shared" si="4"/>
        <v>3.6020599913279625</v>
      </c>
      <c r="I12">
        <f>AVERAGE(H12:H14)</f>
        <v>3.6930604153492084</v>
      </c>
      <c r="J12">
        <f>STDEV(H12:H14)</f>
        <v>8.8194247604072823E-2</v>
      </c>
      <c r="L12" s="2">
        <f>(11*10^3)/0.05</f>
        <v>220000</v>
      </c>
      <c r="M12">
        <f t="shared" si="1"/>
        <v>5.3424226808222066</v>
      </c>
      <c r="N12">
        <f>AVERAGE(M12:M14)</f>
        <v>5.4222339889613629</v>
      </c>
      <c r="O12">
        <f>STDEV(M12:M14)</f>
        <v>7.0723633736921018E-2</v>
      </c>
      <c r="Q12" s="2">
        <f>(18*10^5)/0.05</f>
        <v>36000000</v>
      </c>
      <c r="R12">
        <f t="shared" si="2"/>
        <v>7.5563025007672868</v>
      </c>
      <c r="S12">
        <f>AVERAGE(R12:R14)</f>
        <v>7.5955838073818533</v>
      </c>
      <c r="T12">
        <f>STDEV(R12:R14)</f>
        <v>9.0391270970832549E-2</v>
      </c>
      <c r="V12" s="2">
        <f>(81*10^5)/0.05</f>
        <v>162000000</v>
      </c>
      <c r="W12">
        <f t="shared" si="3"/>
        <v>8.2095150145426317</v>
      </c>
      <c r="X12">
        <f>AVERAGE(W12:W14)</f>
        <v>8.2053517316588636</v>
      </c>
      <c r="Y12">
        <f>STDEV(W12:W14)</f>
        <v>2.741693922690806E-2</v>
      </c>
    </row>
    <row r="13" spans="1:25" x14ac:dyDescent="0.25">
      <c r="B13">
        <v>600</v>
      </c>
      <c r="C13">
        <f t="shared" si="0"/>
        <v>2.7781512503836434</v>
      </c>
      <c r="G13">
        <v>5000</v>
      </c>
      <c r="H13">
        <f t="shared" si="4"/>
        <v>3.6989700043360187</v>
      </c>
      <c r="L13" s="2">
        <f>(15*10^3)/0.05</f>
        <v>300000</v>
      </c>
      <c r="M13">
        <f t="shared" si="1"/>
        <v>5.4771212547196626</v>
      </c>
      <c r="Q13" s="2">
        <f>(17*10^5)/0.05</f>
        <v>34000000</v>
      </c>
      <c r="R13">
        <f t="shared" si="2"/>
        <v>7.5314789170422554</v>
      </c>
      <c r="V13" s="2">
        <f>(85*10^5)/0.05</f>
        <v>170000000</v>
      </c>
      <c r="W13">
        <f t="shared" si="3"/>
        <v>8.2304489213782741</v>
      </c>
    </row>
    <row r="14" spans="1:25" x14ac:dyDescent="0.25">
      <c r="B14">
        <v>800</v>
      </c>
      <c r="C14">
        <f t="shared" si="0"/>
        <v>2.9030899869919438</v>
      </c>
      <c r="G14">
        <v>6000</v>
      </c>
      <c r="H14">
        <f t="shared" si="4"/>
        <v>3.7781512503836434</v>
      </c>
      <c r="L14" s="2">
        <v>280000</v>
      </c>
      <c r="M14">
        <f t="shared" si="1"/>
        <v>5.4471580313422194</v>
      </c>
      <c r="Q14" s="2">
        <f>(25*10^5)/0.05</f>
        <v>50000000</v>
      </c>
      <c r="R14">
        <f t="shared" si="2"/>
        <v>7.6989700043360187</v>
      </c>
      <c r="V14" s="2">
        <f>(75*10^5)/0.05</f>
        <v>150000000</v>
      </c>
      <c r="W14">
        <f t="shared" si="3"/>
        <v>8.1760912590556813</v>
      </c>
    </row>
    <row r="17" spans="1:31" x14ac:dyDescent="0.25">
      <c r="A17" t="s">
        <v>6</v>
      </c>
      <c r="B17">
        <v>200</v>
      </c>
      <c r="C17" s="10">
        <f t="shared" si="0"/>
        <v>2.3010299956639813</v>
      </c>
      <c r="D17">
        <f>AVERAGE(C17:C19)</f>
        <v>2.4600704139038689</v>
      </c>
      <c r="E17">
        <f>STDEV(C17:C19)</f>
        <v>0.15123760429125521</v>
      </c>
      <c r="G17">
        <v>2000</v>
      </c>
      <c r="H17">
        <f t="shared" si="4"/>
        <v>3.3010299956639813</v>
      </c>
      <c r="I17">
        <f>AVERAGE(H17:H19)</f>
        <v>3.1590404182398877</v>
      </c>
      <c r="J17">
        <f>STDEV(H17:H19)</f>
        <v>0.15123760429125521</v>
      </c>
      <c r="L17" s="2">
        <f>(3*10^3)/0.05</f>
        <v>60000</v>
      </c>
      <c r="M17">
        <f t="shared" si="1"/>
        <v>4.7781512503836439</v>
      </c>
      <c r="N17">
        <f>AVERAGE(M17:M19)</f>
        <v>4.5868074944744039</v>
      </c>
      <c r="O17">
        <f>STDEV(M17:M19)</f>
        <v>0.19940797782605432</v>
      </c>
      <c r="Q17" s="2">
        <f>(1.5*10^5)/0.05</f>
        <v>3000000</v>
      </c>
      <c r="R17">
        <f t="shared" si="2"/>
        <v>6.4771212547196626</v>
      </c>
      <c r="S17">
        <f>AVERAGE(R17:R19)</f>
        <v>6.536886721029961</v>
      </c>
      <c r="T17">
        <f>STDEV(R17:R19)</f>
        <v>6.2644674428849995E-2</v>
      </c>
      <c r="V17" s="2">
        <f>(22*10^5)/0.05</f>
        <v>44000000</v>
      </c>
      <c r="W17">
        <f t="shared" si="3"/>
        <v>7.6434526764861879</v>
      </c>
      <c r="X17">
        <f>AVERAGE(W17:W19)</f>
        <v>7.4000630849109319</v>
      </c>
      <c r="Y17">
        <f>STDEV(W17:W19)</f>
        <v>0.22952592583194126</v>
      </c>
    </row>
    <row r="18" spans="1:31" x14ac:dyDescent="0.25">
      <c r="B18">
        <v>300</v>
      </c>
      <c r="C18">
        <f t="shared" si="0"/>
        <v>2.4771212547196626</v>
      </c>
      <c r="G18">
        <v>1000</v>
      </c>
      <c r="H18">
        <f t="shared" si="4"/>
        <v>3</v>
      </c>
      <c r="L18" s="2">
        <f>(2*10^3)/0.05</f>
        <v>40000</v>
      </c>
      <c r="M18">
        <f t="shared" si="1"/>
        <v>4.6020599913279625</v>
      </c>
      <c r="Q18" s="2">
        <f>(2*10^5)/0.05</f>
        <v>4000000</v>
      </c>
      <c r="R18">
        <f t="shared" si="2"/>
        <v>6.6020599913279625</v>
      </c>
      <c r="V18" s="2">
        <f>(77*10^4)/0.05</f>
        <v>15400000</v>
      </c>
      <c r="W18">
        <f t="shared" si="3"/>
        <v>7.1875207208364627</v>
      </c>
    </row>
    <row r="19" spans="1:31" x14ac:dyDescent="0.25">
      <c r="B19">
        <v>400</v>
      </c>
      <c r="C19">
        <f t="shared" si="0"/>
        <v>2.6020599913279625</v>
      </c>
      <c r="G19">
        <v>1500</v>
      </c>
      <c r="H19">
        <f t="shared" si="4"/>
        <v>3.1760912590556813</v>
      </c>
      <c r="L19" s="2">
        <f>(12*10^2)/0.05</f>
        <v>24000</v>
      </c>
      <c r="M19">
        <f t="shared" si="1"/>
        <v>4.3802112417116064</v>
      </c>
      <c r="Q19" s="2">
        <f>(1.7*10^5)/0.05</f>
        <v>3400000</v>
      </c>
      <c r="R19">
        <f t="shared" si="2"/>
        <v>6.5314789170422554</v>
      </c>
      <c r="V19" s="2">
        <f>(117*10^4)/0.05</f>
        <v>23400000</v>
      </c>
      <c r="W19">
        <f t="shared" si="3"/>
        <v>7.3692158574101425</v>
      </c>
    </row>
    <row r="22" spans="1:31" x14ac:dyDescent="0.25">
      <c r="A22" t="s">
        <v>7</v>
      </c>
      <c r="B22">
        <v>400</v>
      </c>
      <c r="C22">
        <f t="shared" si="0"/>
        <v>2.6020599913279625</v>
      </c>
      <c r="D22">
        <f>AVERAGE(C22:C24)</f>
        <v>2.7611004095678502</v>
      </c>
      <c r="E22">
        <f>STDEV(C22:C24)</f>
        <v>0.15123760429125518</v>
      </c>
      <c r="G22">
        <v>2000</v>
      </c>
      <c r="H22">
        <f t="shared" si="4"/>
        <v>3.3010299956639813</v>
      </c>
      <c r="I22">
        <f>AVERAGE(H22:H24)</f>
        <v>3.3861208306984167</v>
      </c>
      <c r="J22">
        <f>STDEV(H22:H24)</f>
        <v>8.8194247604073045E-2</v>
      </c>
      <c r="L22" s="2">
        <f>(6*10^3)/0.05</f>
        <v>120000</v>
      </c>
      <c r="M22">
        <f t="shared" si="1"/>
        <v>5.0791812460476251</v>
      </c>
      <c r="N22">
        <f>AVERAGE(M22:M24)</f>
        <v>5.0111412518289837</v>
      </c>
      <c r="O22">
        <f>STDEV(M22:M24)</f>
        <v>6.3210106751667133E-2</v>
      </c>
      <c r="Q22" s="2">
        <f>(6*10^5)/0.05</f>
        <v>12000000</v>
      </c>
      <c r="R22">
        <f t="shared" si="2"/>
        <v>7.0791812460476251</v>
      </c>
      <c r="S22">
        <f>AVERAGE(R22:R24)</f>
        <v>7.062130405231831</v>
      </c>
      <c r="T22">
        <f>STDEV(R22:R24)</f>
        <v>0.15123760429125521</v>
      </c>
      <c r="U22">
        <v>60</v>
      </c>
      <c r="V22" s="2">
        <f>(U22*10^5)/0.05</f>
        <v>120000000</v>
      </c>
      <c r="W22">
        <f t="shared" si="3"/>
        <v>8.0791812460476251</v>
      </c>
      <c r="X22">
        <f>AVERAGE(W22:W23)</f>
        <v>8.0602869656029252</v>
      </c>
      <c r="Y22">
        <f>STDEV(W22:W23)</f>
        <v>2.6720547656175313E-2</v>
      </c>
    </row>
    <row r="23" spans="1:31" x14ac:dyDescent="0.25">
      <c r="B23">
        <v>600</v>
      </c>
      <c r="C23">
        <f t="shared" si="0"/>
        <v>2.7781512503836434</v>
      </c>
      <c r="G23">
        <v>3000</v>
      </c>
      <c r="H23">
        <f t="shared" si="4"/>
        <v>3.4771212547196626</v>
      </c>
      <c r="L23" s="2">
        <f>(45*10^2)/0.05</f>
        <v>90000</v>
      </c>
      <c r="M23">
        <f t="shared" si="1"/>
        <v>4.9542425094393252</v>
      </c>
      <c r="Q23" s="2">
        <f>(4*10^5)/0.05</f>
        <v>8000000</v>
      </c>
      <c r="R23">
        <f t="shared" si="2"/>
        <v>6.9030899869919438</v>
      </c>
      <c r="U23">
        <v>55</v>
      </c>
      <c r="V23" s="2">
        <f>(U23*10^5)/0.05</f>
        <v>110000000</v>
      </c>
      <c r="W23">
        <f t="shared" si="3"/>
        <v>8.0413926851582254</v>
      </c>
    </row>
    <row r="24" spans="1:31" x14ac:dyDescent="0.25">
      <c r="B24">
        <v>800</v>
      </c>
      <c r="C24">
        <f t="shared" si="0"/>
        <v>2.9030899869919438</v>
      </c>
      <c r="G24">
        <v>2400</v>
      </c>
      <c r="H24">
        <f t="shared" si="4"/>
        <v>3.3802112417116059</v>
      </c>
      <c r="L24" s="2">
        <f>(5*10^3)/0.05</f>
        <v>100000</v>
      </c>
      <c r="M24">
        <f t="shared" si="1"/>
        <v>5</v>
      </c>
      <c r="Q24" s="2">
        <f>(8*10^5)/0.05</f>
        <v>16000000</v>
      </c>
      <c r="R24">
        <f t="shared" si="2"/>
        <v>7.204119982655925</v>
      </c>
      <c r="U24">
        <v>57</v>
      </c>
      <c r="V24" s="2">
        <f>(U24*10^5)/0.05</f>
        <v>114000000</v>
      </c>
      <c r="W24">
        <f t="shared" si="3"/>
        <v>8.0569048513364727</v>
      </c>
    </row>
    <row r="27" spans="1:31" x14ac:dyDescent="0.25">
      <c r="A27" t="s">
        <v>8</v>
      </c>
      <c r="B27">
        <v>200</v>
      </c>
      <c r="C27">
        <f t="shared" si="0"/>
        <v>2.3010299956639813</v>
      </c>
      <c r="D27">
        <f>AVERAGE(C27:C29)</f>
        <v>2.3597270820158749</v>
      </c>
      <c r="E27">
        <f>STDEV(C27:C29)</f>
        <v>0.10166633581773775</v>
      </c>
      <c r="G27">
        <v>400</v>
      </c>
      <c r="H27">
        <f t="shared" si="4"/>
        <v>2.6020599913279625</v>
      </c>
      <c r="I27">
        <f>AVERAGE(H27:H29)</f>
        <v>2.5604137457918625</v>
      </c>
      <c r="J27">
        <f>STDEV(H27:H29)</f>
        <v>0.2412715902292602</v>
      </c>
      <c r="L27" s="2">
        <f>(16*10^1)/0.05</f>
        <v>3200</v>
      </c>
      <c r="M27">
        <f t="shared" si="1"/>
        <v>3.5051499783199058</v>
      </c>
      <c r="N27">
        <f>AVERAGE(M27:M29)</f>
        <v>3.4832108834900253</v>
      </c>
      <c r="O27">
        <f>STDEV(M27:M29)</f>
        <v>0.13120166219652674</v>
      </c>
      <c r="Q27" s="2">
        <f>(14*10^3)/0.05</f>
        <v>280000</v>
      </c>
      <c r="R27">
        <f t="shared" si="2"/>
        <v>5.4471580313422194</v>
      </c>
      <c r="S27">
        <f>AVERAGE(R27:R29)</f>
        <v>5.331233564940117</v>
      </c>
      <c r="T27">
        <f>STDEV(R27:R29)</f>
        <v>0.12190476000951532</v>
      </c>
      <c r="V27" s="2">
        <f>(33*10^4)/0.05</f>
        <v>6600000</v>
      </c>
      <c r="W27">
        <f t="shared" si="3"/>
        <v>6.8195439355418683</v>
      </c>
      <c r="X27">
        <f>AVERAGE(W27:W29)</f>
        <v>6.7303270843153236</v>
      </c>
      <c r="Y27">
        <f>STDEV(W27:W29)</f>
        <v>9.9358728269861335E-2</v>
      </c>
    </row>
    <row r="28" spans="1:31" x14ac:dyDescent="0.25">
      <c r="B28">
        <v>300</v>
      </c>
      <c r="C28">
        <f t="shared" si="0"/>
        <v>2.4771212547196626</v>
      </c>
      <c r="G28">
        <v>200</v>
      </c>
      <c r="H28">
        <f t="shared" si="4"/>
        <v>2.3010299956639813</v>
      </c>
      <c r="L28" s="2">
        <f>(2*10^2)/0.05</f>
        <v>4000</v>
      </c>
      <c r="M28">
        <f t="shared" si="1"/>
        <v>3.6020599913279625</v>
      </c>
      <c r="Q28" s="2">
        <f>(11*10^3)/0.05</f>
        <v>220000</v>
      </c>
      <c r="R28">
        <f t="shared" si="2"/>
        <v>5.3424226808222066</v>
      </c>
      <c r="V28" s="2">
        <f>(28*10^4)/0.05</f>
        <v>5600000</v>
      </c>
      <c r="W28">
        <f t="shared" si="3"/>
        <v>6.7481880270062007</v>
      </c>
    </row>
    <row r="29" spans="1:31" x14ac:dyDescent="0.25">
      <c r="B29">
        <v>200</v>
      </c>
      <c r="C29">
        <f t="shared" si="0"/>
        <v>2.3010299956639813</v>
      </c>
      <c r="G29">
        <v>600</v>
      </c>
      <c r="H29">
        <f t="shared" si="4"/>
        <v>2.7781512503836434</v>
      </c>
      <c r="L29" s="2">
        <f>(11*10^1)/0.05</f>
        <v>2200</v>
      </c>
      <c r="M29">
        <f t="shared" si="1"/>
        <v>3.3424226808222062</v>
      </c>
      <c r="Q29" s="2">
        <f>(8*10^3)/0.05</f>
        <v>160000</v>
      </c>
      <c r="R29">
        <f t="shared" si="2"/>
        <v>5.204119982655925</v>
      </c>
      <c r="V29" s="2">
        <f>(21*10^4)/0.05</f>
        <v>4200000</v>
      </c>
      <c r="W29">
        <f t="shared" si="3"/>
        <v>6.6232492903979008</v>
      </c>
    </row>
    <row r="31" spans="1:31" x14ac:dyDescent="0.25">
      <c r="AE31" s="15"/>
    </row>
    <row r="32" spans="1:31" x14ac:dyDescent="0.25">
      <c r="H32" t="s">
        <v>16</v>
      </c>
      <c r="I32">
        <v>0</v>
      </c>
      <c r="J32">
        <v>3</v>
      </c>
      <c r="K32">
        <v>6</v>
      </c>
      <c r="L32" s="3">
        <v>9</v>
      </c>
      <c r="M32">
        <v>12</v>
      </c>
      <c r="AE32" s="15"/>
    </row>
    <row r="33" spans="8:31" x14ac:dyDescent="0.25">
      <c r="H33" t="s">
        <v>3</v>
      </c>
      <c r="I33" s="14">
        <v>2.893747079125196</v>
      </c>
      <c r="J33" s="14">
        <v>3.9088547387207484</v>
      </c>
      <c r="K33" s="14">
        <v>6.4864641625864108</v>
      </c>
      <c r="L33" s="3">
        <v>7.8740940135031003</v>
      </c>
      <c r="M33">
        <v>8.49</v>
      </c>
      <c r="AE33" s="15"/>
    </row>
    <row r="34" spans="8:31" x14ac:dyDescent="0.25">
      <c r="H34" t="s">
        <v>4</v>
      </c>
      <c r="I34" s="14">
        <v>2.6607570776798561</v>
      </c>
      <c r="J34" s="14">
        <v>3.4600704139038689</v>
      </c>
      <c r="K34" s="14">
        <v>5.1208274915837251</v>
      </c>
      <c r="L34" s="3">
        <v>7.3367666522132708</v>
      </c>
      <c r="M34">
        <v>8.1199999999999992</v>
      </c>
      <c r="U34" t="s">
        <v>17</v>
      </c>
      <c r="AE34" s="15"/>
    </row>
    <row r="35" spans="8:31" x14ac:dyDescent="0.25">
      <c r="H35" t="s">
        <v>5</v>
      </c>
      <c r="I35" s="14">
        <v>2.8197974959197438</v>
      </c>
      <c r="J35" s="14">
        <v>3.6930604153492084</v>
      </c>
      <c r="K35" s="14">
        <v>5.4222339889613629</v>
      </c>
      <c r="L35" s="3">
        <v>7.5955838073818533</v>
      </c>
      <c r="M35">
        <v>8.1999999999999993</v>
      </c>
      <c r="AE35" s="15"/>
    </row>
    <row r="36" spans="8:31" x14ac:dyDescent="0.25">
      <c r="H36" t="s">
        <v>6</v>
      </c>
      <c r="I36" s="14">
        <v>2.4604137457918598</v>
      </c>
      <c r="J36" s="14">
        <v>3.1590404182398877</v>
      </c>
      <c r="K36" s="14">
        <v>4.5524441654770902</v>
      </c>
      <c r="L36" s="3">
        <v>6.36</v>
      </c>
      <c r="M36">
        <v>7.4</v>
      </c>
      <c r="AE36" s="15"/>
    </row>
    <row r="37" spans="8:31" x14ac:dyDescent="0.25">
      <c r="H37" t="s">
        <v>7</v>
      </c>
      <c r="I37" s="14">
        <v>2.7611004095678502</v>
      </c>
      <c r="J37" s="14">
        <v>3.3861208306984167</v>
      </c>
      <c r="K37" s="14">
        <v>5.0111412518289837</v>
      </c>
      <c r="L37" s="3">
        <v>7.06</v>
      </c>
      <c r="M37">
        <v>8.06</v>
      </c>
      <c r="AE37" s="15"/>
    </row>
    <row r="38" spans="8:31" x14ac:dyDescent="0.25">
      <c r="H38" t="s">
        <v>8</v>
      </c>
      <c r="I38" s="14">
        <v>2.3597270820158749</v>
      </c>
      <c r="J38" s="14">
        <v>2.5604137457918625</v>
      </c>
      <c r="K38" s="14">
        <v>3.4832108834900253</v>
      </c>
      <c r="L38" s="3">
        <v>5.33</v>
      </c>
      <c r="M38">
        <v>6.73</v>
      </c>
      <c r="AE38" s="15"/>
    </row>
    <row r="39" spans="8:31" x14ac:dyDescent="0.25">
      <c r="AE39" s="15"/>
    </row>
    <row r="40" spans="8:31" x14ac:dyDescent="0.25">
      <c r="H40">
        <v>1</v>
      </c>
      <c r="I40">
        <v>0.11121908276973033</v>
      </c>
      <c r="J40">
        <v>4.2797580113603732E-2</v>
      </c>
      <c r="K40">
        <v>1.6182391115642299E-2</v>
      </c>
      <c r="L40" s="13">
        <v>4.1006498962133098E-2</v>
      </c>
      <c r="M40">
        <v>7.1556894198502127E-2</v>
      </c>
      <c r="AE40" s="15"/>
    </row>
    <row r="41" spans="8:31" x14ac:dyDescent="0.25">
      <c r="H41">
        <v>2</v>
      </c>
      <c r="I41">
        <v>0.1</v>
      </c>
      <c r="J41">
        <v>0.15</v>
      </c>
      <c r="K41">
        <v>7.0000000000000007E-2</v>
      </c>
      <c r="L41" s="13">
        <v>0.15</v>
      </c>
      <c r="M41">
        <v>0.06</v>
      </c>
      <c r="AE41" s="15"/>
    </row>
    <row r="42" spans="8:31" x14ac:dyDescent="0.25">
      <c r="H42">
        <v>3</v>
      </c>
      <c r="I42">
        <v>7.0000000000000007E-2</v>
      </c>
      <c r="J42">
        <v>0.08</v>
      </c>
      <c r="K42">
        <v>7.0000000000000007E-2</v>
      </c>
      <c r="L42" s="13">
        <v>0.09</v>
      </c>
      <c r="M42">
        <v>0.02</v>
      </c>
      <c r="AE42" s="15"/>
    </row>
    <row r="43" spans="8:31" x14ac:dyDescent="0.25">
      <c r="H43">
        <v>4</v>
      </c>
      <c r="I43">
        <v>0.15</v>
      </c>
      <c r="J43">
        <v>0.151</v>
      </c>
      <c r="K43">
        <v>0.156</v>
      </c>
      <c r="L43" s="13">
        <v>0.06</v>
      </c>
      <c r="M43">
        <v>0.22950000000000001</v>
      </c>
      <c r="AE43" s="15"/>
    </row>
    <row r="44" spans="8:31" x14ac:dyDescent="0.25">
      <c r="H44">
        <v>5</v>
      </c>
      <c r="I44">
        <v>0.1512</v>
      </c>
      <c r="J44">
        <v>8.7999999999999995E-2</v>
      </c>
      <c r="K44">
        <v>6.3E-2</v>
      </c>
      <c r="L44" s="13">
        <v>0.1512</v>
      </c>
      <c r="M44">
        <v>2.5999999999999999E-2</v>
      </c>
    </row>
    <row r="45" spans="8:31" x14ac:dyDescent="0.25">
      <c r="H45">
        <v>6</v>
      </c>
      <c r="I45">
        <v>0.10100000000000001</v>
      </c>
      <c r="J45">
        <v>0.24</v>
      </c>
      <c r="K45">
        <v>0.13</v>
      </c>
      <c r="L45" s="13">
        <v>0.12</v>
      </c>
      <c r="M45">
        <v>9.9440000000000001E-2</v>
      </c>
    </row>
    <row r="49" spans="2:22" x14ac:dyDescent="0.25">
      <c r="L49" s="20"/>
      <c r="M49" s="20"/>
      <c r="N49" s="20"/>
      <c r="O49" s="20"/>
      <c r="P49" s="20"/>
      <c r="Q49" s="20"/>
      <c r="R49" s="15"/>
    </row>
    <row r="50" spans="2:22" x14ac:dyDescent="0.25">
      <c r="L50" s="15"/>
      <c r="O50" s="15"/>
      <c r="Q50"/>
      <c r="V50"/>
    </row>
    <row r="51" spans="2:22" x14ac:dyDescent="0.25">
      <c r="B51" t="s">
        <v>18</v>
      </c>
      <c r="L51" s="15"/>
      <c r="O51" s="15"/>
      <c r="Q51"/>
      <c r="V51"/>
    </row>
    <row r="52" spans="2:22" x14ac:dyDescent="0.25">
      <c r="L52" s="15"/>
      <c r="O52" s="15"/>
      <c r="Q52"/>
      <c r="V52"/>
    </row>
    <row r="53" spans="2:22" x14ac:dyDescent="0.25">
      <c r="C53">
        <v>3</v>
      </c>
      <c r="D53">
        <v>3.9030899869919438</v>
      </c>
      <c r="E53">
        <v>6.4771212547196626</v>
      </c>
      <c r="F53">
        <v>7.9030899869919438</v>
      </c>
      <c r="G53">
        <v>8.4149733479708182</v>
      </c>
      <c r="L53" s="15"/>
      <c r="O53" s="15"/>
      <c r="Q53"/>
      <c r="V53"/>
    </row>
    <row r="54" spans="2:22" x14ac:dyDescent="0.25">
      <c r="C54">
        <v>2.7781512503836434</v>
      </c>
      <c r="D54">
        <v>3.8692317197309762</v>
      </c>
      <c r="E54">
        <v>6.5051499783199063</v>
      </c>
      <c r="F54">
        <v>7.8450980400142569</v>
      </c>
      <c r="G54">
        <v>8.5051499783199063</v>
      </c>
      <c r="L54" s="15"/>
      <c r="O54" s="15"/>
      <c r="Q54"/>
      <c r="V54"/>
    </row>
    <row r="55" spans="2:22" x14ac:dyDescent="0.25">
      <c r="C55">
        <v>2.9030899869919438</v>
      </c>
      <c r="D55">
        <v>3.9542425094393248</v>
      </c>
      <c r="E55">
        <v>6.4771212547196626</v>
      </c>
      <c r="F55">
        <v>7.8692317197309762</v>
      </c>
      <c r="G55">
        <v>8.5563025007672877</v>
      </c>
      <c r="L55" s="15"/>
      <c r="O55" s="15"/>
      <c r="Q55"/>
      <c r="V55"/>
    </row>
    <row r="56" spans="2:22" x14ac:dyDescent="0.25">
      <c r="C56">
        <v>2.7781512503836434</v>
      </c>
      <c r="D56">
        <v>3.3010299956639813</v>
      </c>
      <c r="E56">
        <v>5.204119982655925</v>
      </c>
      <c r="F56">
        <v>7.3010299956639813</v>
      </c>
      <c r="G56">
        <v>8.0718820073061259</v>
      </c>
      <c r="L56" s="15"/>
      <c r="O56" s="15"/>
      <c r="Q56"/>
      <c r="V56"/>
    </row>
    <row r="57" spans="2:22" x14ac:dyDescent="0.25">
      <c r="C57">
        <v>2.6020599913279625</v>
      </c>
      <c r="D57">
        <v>3.4771212547196626</v>
      </c>
      <c r="E57">
        <v>5.0791812460476251</v>
      </c>
      <c r="F57">
        <v>7.204119982655925</v>
      </c>
      <c r="G57">
        <v>8.1931245983544621</v>
      </c>
      <c r="L57" s="15"/>
      <c r="O57" s="15"/>
      <c r="Q57"/>
      <c r="V57"/>
    </row>
    <row r="58" spans="2:22" x14ac:dyDescent="0.25">
      <c r="C58">
        <v>2.6020599913279625</v>
      </c>
      <c r="D58">
        <v>3.6020599913279625</v>
      </c>
      <c r="E58">
        <v>5.0791812460476251</v>
      </c>
      <c r="F58">
        <v>7.5051499783199063</v>
      </c>
      <c r="G58">
        <v>8.1205739312058505</v>
      </c>
      <c r="L58" s="15"/>
      <c r="O58" s="15"/>
      <c r="Q58"/>
      <c r="V58"/>
    </row>
    <row r="59" spans="2:22" x14ac:dyDescent="0.25">
      <c r="C59">
        <v>2.7781512503836434</v>
      </c>
      <c r="D59">
        <v>3.6020599913279625</v>
      </c>
      <c r="E59">
        <v>5.3424226808222066</v>
      </c>
      <c r="F59">
        <v>7.5563025007672868</v>
      </c>
      <c r="G59">
        <v>8.2095150145426317</v>
      </c>
      <c r="L59" s="15"/>
      <c r="O59" s="15"/>
      <c r="Q59"/>
      <c r="V59"/>
    </row>
    <row r="60" spans="2:22" x14ac:dyDescent="0.25">
      <c r="C60">
        <v>2.7781512503836434</v>
      </c>
      <c r="D60">
        <v>3.6989700043360187</v>
      </c>
      <c r="E60">
        <v>5.4771212547196626</v>
      </c>
      <c r="F60">
        <v>7.5314789170422554</v>
      </c>
      <c r="G60">
        <v>8.2304489213782741</v>
      </c>
      <c r="L60" s="15"/>
      <c r="O60" s="15"/>
      <c r="Q60"/>
      <c r="V60"/>
    </row>
    <row r="61" spans="2:22" x14ac:dyDescent="0.25">
      <c r="C61">
        <v>2.9030899869919438</v>
      </c>
      <c r="D61">
        <v>3.7781512503836434</v>
      </c>
      <c r="E61">
        <v>5.4471580313422194</v>
      </c>
      <c r="F61">
        <v>7.6989700043360187</v>
      </c>
      <c r="G61">
        <v>8.1760912590556813</v>
      </c>
      <c r="L61" s="15"/>
      <c r="O61" s="15"/>
      <c r="Q61"/>
      <c r="V61"/>
    </row>
    <row r="62" spans="2:22" x14ac:dyDescent="0.25">
      <c r="C62" s="10">
        <v>2.3010299956639813</v>
      </c>
      <c r="D62">
        <v>3.3010299956639813</v>
      </c>
      <c r="E62">
        <v>4.7781512503836439</v>
      </c>
      <c r="F62">
        <v>6.7781512503836439</v>
      </c>
      <c r="G62">
        <v>7.6434526764861879</v>
      </c>
      <c r="L62" s="15"/>
      <c r="O62" s="15"/>
      <c r="Q62"/>
      <c r="V62"/>
    </row>
    <row r="63" spans="2:22" x14ac:dyDescent="0.25">
      <c r="C63">
        <v>2.4771212547196626</v>
      </c>
      <c r="D63">
        <v>3</v>
      </c>
      <c r="E63">
        <v>4.6020599913279625</v>
      </c>
      <c r="F63">
        <v>6.6020599913279625</v>
      </c>
      <c r="G63">
        <v>7.1875207208364627</v>
      </c>
    </row>
    <row r="64" spans="2:22" x14ac:dyDescent="0.25">
      <c r="C64">
        <v>2.6020599913279625</v>
      </c>
      <c r="D64">
        <v>3.1760912590556813</v>
      </c>
      <c r="E64">
        <v>4.3802112417116064</v>
      </c>
      <c r="F64">
        <v>6.9030899869919438</v>
      </c>
      <c r="G64">
        <v>7.3692158574101425</v>
      </c>
    </row>
    <row r="65" spans="3:7" x14ac:dyDescent="0.25">
      <c r="C65">
        <v>2.6020599913279625</v>
      </c>
      <c r="D65">
        <v>3.3010299956639813</v>
      </c>
      <c r="E65">
        <v>5.0791812460476251</v>
      </c>
      <c r="F65">
        <v>7.0791812460476251</v>
      </c>
      <c r="G65">
        <v>8.0791812460476251</v>
      </c>
    </row>
    <row r="66" spans="3:7" x14ac:dyDescent="0.25">
      <c r="C66">
        <v>2.7781512503836434</v>
      </c>
      <c r="D66">
        <v>3.4771212547196626</v>
      </c>
      <c r="E66">
        <v>4.9542425094393252</v>
      </c>
      <c r="F66">
        <v>6.9030899869919438</v>
      </c>
      <c r="G66">
        <v>8.0413926851582254</v>
      </c>
    </row>
    <row r="67" spans="3:7" x14ac:dyDescent="0.25">
      <c r="C67">
        <v>2.9030899869919438</v>
      </c>
      <c r="D67">
        <v>3.3802112417116059</v>
      </c>
      <c r="E67">
        <v>5</v>
      </c>
      <c r="F67">
        <v>7.204119982655925</v>
      </c>
      <c r="G67">
        <v>8.0569048513364727</v>
      </c>
    </row>
    <row r="68" spans="3:7" x14ac:dyDescent="0.25">
      <c r="C68">
        <v>2.3010299956639813</v>
      </c>
      <c r="D68">
        <v>2.6020599913279625</v>
      </c>
      <c r="E68">
        <v>3.5051499783199058</v>
      </c>
      <c r="F68">
        <v>5.4471580313422194</v>
      </c>
      <c r="G68">
        <v>6.8195439355418683</v>
      </c>
    </row>
    <row r="69" spans="3:7" x14ac:dyDescent="0.25">
      <c r="C69">
        <v>2.4771212547196626</v>
      </c>
      <c r="D69">
        <v>2.3010299956639813</v>
      </c>
      <c r="E69">
        <v>3.6020599913279625</v>
      </c>
      <c r="F69">
        <v>5.3424226808222066</v>
      </c>
      <c r="G69">
        <v>6.7481880270062007</v>
      </c>
    </row>
    <row r="70" spans="3:7" x14ac:dyDescent="0.25">
      <c r="C70">
        <v>2.3010299956639813</v>
      </c>
      <c r="D70">
        <v>2.7781512503836434</v>
      </c>
      <c r="E70">
        <v>3.3424226808222062</v>
      </c>
      <c r="F70">
        <v>5.204119982655925</v>
      </c>
      <c r="G70">
        <v>6.6232492903979008</v>
      </c>
    </row>
  </sheetData>
  <mergeCells count="1">
    <mergeCell ref="L49:Q4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AA636-B649-4824-A764-A324F746B2F3}">
  <dimension ref="A1:Z75"/>
  <sheetViews>
    <sheetView topLeftCell="A26" zoomScale="90" zoomScaleNormal="90" workbookViewId="0">
      <selection activeCell="H46" sqref="H46"/>
    </sheetView>
  </sheetViews>
  <sheetFormatPr defaultRowHeight="15" x14ac:dyDescent="0.25"/>
  <cols>
    <col min="1" max="1" width="14.85546875" style="3" bestFit="1" customWidth="1"/>
    <col min="2" max="5" width="9.42578125" style="3" bestFit="1" customWidth="1"/>
    <col min="6" max="6" width="14.85546875" style="3" bestFit="1" customWidth="1"/>
    <col min="7" max="7" width="9.42578125" style="3" bestFit="1" customWidth="1"/>
    <col min="8" max="8" width="14.85546875" style="3" bestFit="1" customWidth="1"/>
    <col min="9" max="10" width="9.42578125" style="3" bestFit="1" customWidth="1"/>
    <col min="11" max="11" width="9.140625" style="3"/>
    <col min="12" max="12" width="12.7109375" style="3" bestFit="1" customWidth="1"/>
    <col min="13" max="15" width="9.42578125" style="3" bestFit="1" customWidth="1"/>
    <col min="16" max="16" width="9.140625" style="3"/>
    <col min="17" max="18" width="14.140625" style="3" bestFit="1" customWidth="1"/>
    <col min="19" max="19" width="13.85546875" style="3" customWidth="1"/>
    <col min="20" max="20" width="9.42578125" style="3" bestFit="1" customWidth="1"/>
    <col min="21" max="22" width="9.140625" style="3"/>
    <col min="23" max="23" width="15.42578125" style="3" bestFit="1" customWidth="1"/>
    <col min="24" max="16384" width="9.140625" style="3"/>
  </cols>
  <sheetData>
    <row r="1" spans="1:26" x14ac:dyDescent="0.25">
      <c r="B1" s="4" t="s">
        <v>15</v>
      </c>
      <c r="G1" s="4" t="s">
        <v>9</v>
      </c>
      <c r="L1" s="4" t="s">
        <v>10</v>
      </c>
      <c r="Q1" s="4" t="s">
        <v>11</v>
      </c>
      <c r="W1" s="4" t="s">
        <v>12</v>
      </c>
    </row>
    <row r="2" spans="1:26" x14ac:dyDescent="0.25">
      <c r="A2" s="3" t="s">
        <v>3</v>
      </c>
      <c r="C2" s="3" t="s">
        <v>0</v>
      </c>
      <c r="D2" s="3" t="s">
        <v>1</v>
      </c>
      <c r="E2" s="3" t="s">
        <v>2</v>
      </c>
      <c r="H2" s="3" t="s">
        <v>0</v>
      </c>
      <c r="I2" s="3" t="s">
        <v>1</v>
      </c>
      <c r="J2" s="3" t="s">
        <v>2</v>
      </c>
      <c r="M2" s="3" t="s">
        <v>0</v>
      </c>
      <c r="N2" s="3" t="s">
        <v>1</v>
      </c>
      <c r="O2" s="3" t="s">
        <v>2</v>
      </c>
      <c r="R2" s="3" t="s">
        <v>0</v>
      </c>
      <c r="S2" s="3" t="s">
        <v>13</v>
      </c>
      <c r="T2" s="3" t="s">
        <v>2</v>
      </c>
      <c r="X2" s="3" t="s">
        <v>0</v>
      </c>
      <c r="Y2" s="3" t="s">
        <v>1</v>
      </c>
      <c r="Z2" s="3" t="s">
        <v>2</v>
      </c>
    </row>
    <row r="3" spans="1:26" x14ac:dyDescent="0.25">
      <c r="B3" s="3">
        <v>2000</v>
      </c>
      <c r="C3" s="3">
        <f>LOG10(B3)</f>
        <v>3.3010299956639813</v>
      </c>
      <c r="D3" s="3">
        <f>AVERAGE(C3:C5)</f>
        <v>3.2916870877972335</v>
      </c>
      <c r="E3" s="3">
        <f>STDEV(C3:C5)</f>
        <v>0.1112190827697301</v>
      </c>
      <c r="G3" s="3">
        <v>40000</v>
      </c>
      <c r="H3" s="3">
        <f>LOG10(G3)</f>
        <v>4.6020599913279625</v>
      </c>
      <c r="I3" s="3">
        <f>AVERAGE(H3:H5)</f>
        <v>4.6091230910179419</v>
      </c>
      <c r="J3" s="3">
        <f>STDEV(H3:H5)</f>
        <v>6.8858817548029486E-2</v>
      </c>
      <c r="L3" s="3">
        <f>75*10^4*20</f>
        <v>15000000</v>
      </c>
      <c r="M3" s="3">
        <f>LOG10(L3)</f>
        <v>7.1760912590556813</v>
      </c>
      <c r="N3" s="3">
        <f>AVERAGE(M3:M5)</f>
        <v>7.1361930418028896</v>
      </c>
      <c r="O3" s="3">
        <f>STDEV(M3:M5)</f>
        <v>4.568326156589566E-2</v>
      </c>
      <c r="Q3" s="3">
        <f>20*10^6*20</f>
        <v>400000000</v>
      </c>
      <c r="R3" s="3">
        <f>LOG(Q3)</f>
        <v>8.6020599913279625</v>
      </c>
      <c r="S3" s="3">
        <f>AVERAGE(R3:R5)</f>
        <v>8.6830726742233946</v>
      </c>
      <c r="T3" s="3">
        <f>STDEV(R3:R5)</f>
        <v>7.4349811911849764E-2</v>
      </c>
      <c r="W3" s="3">
        <f>18*10^7*20</f>
        <v>3600000000</v>
      </c>
      <c r="X3" s="3">
        <f>LOG10(W3)</f>
        <v>9.5563025007672877</v>
      </c>
      <c r="Y3" s="3">
        <f>AVERAGE(X3:X5)</f>
        <v>9.6006050561938121</v>
      </c>
      <c r="Z3" s="3">
        <f>STDEV(X3:X5)</f>
        <v>4.3593301195736844E-2</v>
      </c>
    </row>
    <row r="4" spans="1:26" x14ac:dyDescent="0.25">
      <c r="B4" s="3">
        <v>1500</v>
      </c>
      <c r="C4" s="3">
        <f t="shared" ref="C4:C30" si="0">LOG10(B4)</f>
        <v>3.1760912590556813</v>
      </c>
      <c r="G4" s="3">
        <v>48000</v>
      </c>
      <c r="H4" s="3">
        <f t="shared" ref="H4:H30" si="1">LOG10(G4)</f>
        <v>4.6812412373755876</v>
      </c>
      <c r="L4" s="3">
        <f>61*10^4*20</f>
        <v>12200000</v>
      </c>
      <c r="M4" s="3">
        <f t="shared" ref="M4:M30" si="2">LOG10(L4)</f>
        <v>7.0863598306747484</v>
      </c>
      <c r="Q4" s="3">
        <f>25*10^6*20</f>
        <v>500000000</v>
      </c>
      <c r="R4" s="3">
        <f>LOG(Q4)</f>
        <v>8.6989700043360187</v>
      </c>
      <c r="W4" s="3">
        <f>20*10^7*20</f>
        <v>4000000000</v>
      </c>
      <c r="X4" s="3">
        <f t="shared" ref="X4:X30" si="3">LOG10(W4)</f>
        <v>9.6020599913279625</v>
      </c>
    </row>
    <row r="5" spans="1:26" x14ac:dyDescent="0.25">
      <c r="B5" s="3">
        <v>2500</v>
      </c>
      <c r="C5" s="3">
        <f t="shared" si="0"/>
        <v>3.3979400086720375</v>
      </c>
      <c r="G5" s="3">
        <v>35000</v>
      </c>
      <c r="H5" s="3">
        <f t="shared" si="1"/>
        <v>4.5440680443502757</v>
      </c>
      <c r="L5" s="3">
        <f>70*10^4*20</f>
        <v>14000000</v>
      </c>
      <c r="M5" s="3">
        <f t="shared" si="2"/>
        <v>7.1461280356782382</v>
      </c>
      <c r="Q5" s="3">
        <f>28*10^6*20</f>
        <v>560000000</v>
      </c>
      <c r="R5" s="3">
        <f>LOG(Q5)</f>
        <v>8.7481880270062007</v>
      </c>
      <c r="W5" s="3">
        <f>22*10^7*20</f>
        <v>4400000000</v>
      </c>
      <c r="X5" s="3">
        <f t="shared" si="3"/>
        <v>9.6434526764861879</v>
      </c>
    </row>
    <row r="7" spans="1:26" x14ac:dyDescent="0.25">
      <c r="A7" s="3" t="s">
        <v>4</v>
      </c>
    </row>
    <row r="8" spans="1:26" x14ac:dyDescent="0.25">
      <c r="B8" s="3">
        <v>1700</v>
      </c>
      <c r="C8" s="3">
        <f t="shared" si="0"/>
        <v>3.2304489213782741</v>
      </c>
      <c r="D8" s="3">
        <f>AVERAGE(C8:C10)</f>
        <v>3.2358567253659789</v>
      </c>
      <c r="E8" s="3">
        <f>STDEV(C8:C10)</f>
        <v>6.2644674428849995E-2</v>
      </c>
      <c r="G8" s="3">
        <v>36000</v>
      </c>
      <c r="H8" s="3">
        <f t="shared" si="1"/>
        <v>4.5563025007672868</v>
      </c>
      <c r="I8" s="3">
        <f>AVERAGE(H8:H10)</f>
        <v>4.5128579112689522</v>
      </c>
      <c r="J8" s="3">
        <f>STDEV(H8:H10)</f>
        <v>4.0149428441434119E-2</v>
      </c>
      <c r="L8" s="3">
        <f>40*10^4*20</f>
        <v>8000000</v>
      </c>
      <c r="M8" s="3">
        <f t="shared" si="2"/>
        <v>6.9030899869919438</v>
      </c>
      <c r="N8" s="3">
        <f>AVERAGE(M8:M10)</f>
        <v>6.9455257582802163</v>
      </c>
      <c r="O8" s="3">
        <f>STDEV(M8:M10)</f>
        <v>8.3205020105515975E-2</v>
      </c>
      <c r="Q8" s="3">
        <f>9*10^6*20</f>
        <v>180000000</v>
      </c>
      <c r="R8" s="3">
        <f t="shared" ref="R8:R30" si="4">LOG(Q8)</f>
        <v>8.2552725051033065</v>
      </c>
      <c r="S8" s="3">
        <f>AVERAGE(R8:R10)</f>
        <v>8.3608805927190435</v>
      </c>
      <c r="T8" s="3">
        <f>STDEV(R8:R10)</f>
        <v>9.7392347172924096E-2</v>
      </c>
      <c r="W8" s="3">
        <f>13*10^7*20</f>
        <v>2600000000</v>
      </c>
      <c r="X8" s="3">
        <f t="shared" si="3"/>
        <v>9.4149733479708182</v>
      </c>
      <c r="Y8" s="3">
        <f>AVERAGE(X8:X10)</f>
        <v>9.4015180200450814</v>
      </c>
      <c r="Z8" s="3">
        <f>STDEV(X8:X10)</f>
        <v>5.3648465023049083E-2</v>
      </c>
    </row>
    <row r="9" spans="1:26" x14ac:dyDescent="0.25">
      <c r="B9" s="3">
        <v>2000</v>
      </c>
      <c r="C9" s="3">
        <f t="shared" si="0"/>
        <v>3.3010299956639813</v>
      </c>
      <c r="G9" s="3">
        <v>30000</v>
      </c>
      <c r="H9" s="3">
        <f t="shared" si="1"/>
        <v>4.4771212547196626</v>
      </c>
      <c r="L9" s="3">
        <f>39*10^4*20</f>
        <v>7800000</v>
      </c>
      <c r="M9" s="3">
        <f t="shared" si="2"/>
        <v>6.8920946026904808</v>
      </c>
      <c r="Q9" s="3">
        <f>12*10^6*20</f>
        <v>240000000</v>
      </c>
      <c r="R9" s="3">
        <f t="shared" si="4"/>
        <v>8.3802112417116064</v>
      </c>
      <c r="W9" s="3">
        <f>11*10^7*20</f>
        <v>2200000000</v>
      </c>
      <c r="X9" s="3">
        <f t="shared" si="3"/>
        <v>9.3424226808222066</v>
      </c>
    </row>
    <row r="10" spans="1:26" x14ac:dyDescent="0.25">
      <c r="B10" s="3">
        <v>1500</v>
      </c>
      <c r="C10" s="3">
        <f t="shared" si="0"/>
        <v>3.1760912590556813</v>
      </c>
      <c r="G10" s="3">
        <v>32000</v>
      </c>
      <c r="H10" s="3">
        <f t="shared" si="1"/>
        <v>4.5051499783199063</v>
      </c>
      <c r="L10" s="3">
        <f>55*10^4*20</f>
        <v>11000000</v>
      </c>
      <c r="M10" s="3">
        <f t="shared" si="2"/>
        <v>7.0413926851582254</v>
      </c>
      <c r="Q10" s="3">
        <f>14*10^6*20</f>
        <v>280000000</v>
      </c>
      <c r="R10" s="3">
        <f t="shared" si="4"/>
        <v>8.4471580313422194</v>
      </c>
      <c r="W10" s="3">
        <f>14*10^7*20</f>
        <v>2800000000</v>
      </c>
      <c r="X10" s="3">
        <f t="shared" si="3"/>
        <v>9.4471580313422194</v>
      </c>
    </row>
    <row r="12" spans="1:26" x14ac:dyDescent="0.25">
      <c r="A12" s="3" t="s">
        <v>5</v>
      </c>
    </row>
    <row r="13" spans="1:26" x14ac:dyDescent="0.25">
      <c r="B13" s="3">
        <v>2200</v>
      </c>
      <c r="C13" s="3">
        <f t="shared" si="0"/>
        <v>3.3424226808222062</v>
      </c>
      <c r="D13" s="3">
        <f>AVERAGE(C13:C15)</f>
        <v>3.2995750605298313</v>
      </c>
      <c r="E13" s="3">
        <f>STDEV(C13:C15)</f>
        <v>4.3593301195736851E-2</v>
      </c>
      <c r="G13" s="3">
        <v>42000</v>
      </c>
      <c r="H13" s="3">
        <f t="shared" si="1"/>
        <v>4.6232492903979008</v>
      </c>
      <c r="I13" s="3">
        <f>AVERAGE(H13:H15)</f>
        <v>4.5743099771690501</v>
      </c>
      <c r="J13" s="3">
        <f>STDEV(H13:H15)</f>
        <v>4.6189105029516599E-2</v>
      </c>
      <c r="L13" s="3">
        <f>60*10^4*20</f>
        <v>12000000</v>
      </c>
      <c r="M13" s="3">
        <f t="shared" si="2"/>
        <v>7.0791812460476251</v>
      </c>
      <c r="N13" s="3">
        <f>AVERAGE(M13:M15)</f>
        <v>7.0836164016408034</v>
      </c>
      <c r="O13" s="3">
        <f>STDEV(M13:M15)</f>
        <v>2.1718331228022931E-2</v>
      </c>
      <c r="Q13" s="3">
        <f>11*10^6*20</f>
        <v>220000000</v>
      </c>
      <c r="R13" s="3">
        <f t="shared" si="4"/>
        <v>8.3424226808222066</v>
      </c>
      <c r="S13" s="3">
        <f>AVERAGE(R13:R15)</f>
        <v>8.4486277376439052</v>
      </c>
      <c r="T13" s="3">
        <f>STDEV(R13:R15)</f>
        <v>0.10694748417982999</v>
      </c>
      <c r="W13" s="3">
        <f>15*10^7*20</f>
        <v>3000000000</v>
      </c>
      <c r="X13" s="3">
        <f t="shared" si="3"/>
        <v>9.4771212547196626</v>
      </c>
      <c r="Y13" s="3">
        <f>AVERAGE(X13:X15)</f>
        <v>9.5294612561262433</v>
      </c>
      <c r="Z13" s="3">
        <f>STDEV(X13:X15)</f>
        <v>5.1360902714328402E-2</v>
      </c>
    </row>
    <row r="14" spans="1:26" x14ac:dyDescent="0.25">
      <c r="B14" s="3">
        <v>2000</v>
      </c>
      <c r="C14" s="3">
        <f t="shared" si="0"/>
        <v>3.3010299956639813</v>
      </c>
      <c r="G14" s="3">
        <v>34000</v>
      </c>
      <c r="H14" s="3">
        <f t="shared" si="1"/>
        <v>4.5314789170422554</v>
      </c>
      <c r="L14" s="3">
        <f>64*10^4*20</f>
        <v>12800000</v>
      </c>
      <c r="M14" s="3">
        <f t="shared" si="2"/>
        <v>7.1072099696478688</v>
      </c>
      <c r="Q14" s="3">
        <f>18*10^6*20</f>
        <v>360000000</v>
      </c>
      <c r="R14" s="3">
        <f t="shared" si="4"/>
        <v>8.5563025007672877</v>
      </c>
      <c r="W14" s="3">
        <f>17*10^7*20</f>
        <v>3400000000</v>
      </c>
      <c r="X14" s="3">
        <f t="shared" si="3"/>
        <v>9.5314789170422554</v>
      </c>
    </row>
    <row r="15" spans="1:26" x14ac:dyDescent="0.25">
      <c r="B15" s="3">
        <v>1800</v>
      </c>
      <c r="C15" s="3">
        <f t="shared" si="0"/>
        <v>3.255272505103306</v>
      </c>
      <c r="G15" s="3">
        <v>37000</v>
      </c>
      <c r="H15" s="3">
        <f t="shared" si="1"/>
        <v>4.568201724066995</v>
      </c>
      <c r="L15" s="3">
        <f>58*10^4*20</f>
        <v>11600000</v>
      </c>
      <c r="M15" s="3">
        <f t="shared" si="2"/>
        <v>7.0644579892269181</v>
      </c>
      <c r="Q15" s="3">
        <f>14*10^6*20</f>
        <v>280000000</v>
      </c>
      <c r="R15" s="3">
        <f t="shared" si="4"/>
        <v>8.4471580313422194</v>
      </c>
      <c r="W15" s="3">
        <f>19*10^7*20</f>
        <v>3800000000</v>
      </c>
      <c r="X15" s="3">
        <f t="shared" si="3"/>
        <v>9.5797835966168101</v>
      </c>
    </row>
    <row r="17" spans="1:26" x14ac:dyDescent="0.25">
      <c r="A17" s="3" t="s">
        <v>6</v>
      </c>
    </row>
    <row r="18" spans="1:26" x14ac:dyDescent="0.25">
      <c r="B18" s="3">
        <v>1300</v>
      </c>
      <c r="C18" s="3">
        <f t="shared" si="0"/>
        <v>3.1139433523068369</v>
      </c>
      <c r="D18" s="3">
        <f>AVERAGE(C18:C20)</f>
        <v>3.1647181980061476</v>
      </c>
      <c r="E18" s="3">
        <f>STDEV(C18:C20)</f>
        <v>4.6151555266386354E-2</v>
      </c>
      <c r="G18" s="3">
        <v>28000</v>
      </c>
      <c r="H18" s="3">
        <f t="shared" si="1"/>
        <v>4.4471580313422194</v>
      </c>
      <c r="I18" s="3">
        <f>AVERAGE(H18:H20)</f>
        <v>4.4084364272419547</v>
      </c>
      <c r="J18" s="3">
        <f>STDEV(H18:H20)</f>
        <v>3.4685721306577481E-2</v>
      </c>
      <c r="L18" s="3">
        <f>5*10^4*20</f>
        <v>1000000</v>
      </c>
      <c r="M18" s="3">
        <f t="shared" si="2"/>
        <v>6</v>
      </c>
      <c r="N18" s="3">
        <f>AVERAGE(M18:M20)</f>
        <v>6.0944337429011837</v>
      </c>
      <c r="O18" s="3">
        <f>STDEV(M18:M20)</f>
        <v>0.10291122788629352</v>
      </c>
      <c r="Q18" s="3">
        <f>4*10^5*20</f>
        <v>8000000</v>
      </c>
      <c r="R18" s="3">
        <f t="shared" si="4"/>
        <v>6.9030899869919438</v>
      </c>
      <c r="S18" s="3">
        <f>AVERAGE(R18:R20)</f>
        <v>7.5604137457918625</v>
      </c>
      <c r="T18" s="3">
        <f>STDEV(R18:R20)</f>
        <v>0.57996561091044485</v>
      </c>
      <c r="W18" s="3">
        <f>1*10^7*20</f>
        <v>200000000</v>
      </c>
      <c r="X18" s="3">
        <f t="shared" si="3"/>
        <v>8.3010299956639813</v>
      </c>
      <c r="Y18" s="3">
        <f>AVERAGE(X18:X20)</f>
        <v>8.4013733275519744</v>
      </c>
      <c r="Z18" s="3">
        <f>STDEV(X18:X20)</f>
        <v>0.17379974903075143</v>
      </c>
    </row>
    <row r="19" spans="1:26" x14ac:dyDescent="0.25">
      <c r="B19" s="3">
        <v>1500</v>
      </c>
      <c r="C19" s="3">
        <f t="shared" si="0"/>
        <v>3.1760912590556813</v>
      </c>
      <c r="G19" s="3">
        <v>25000</v>
      </c>
      <c r="H19" s="3">
        <f t="shared" si="1"/>
        <v>4.3979400086720375</v>
      </c>
      <c r="L19" s="3">
        <f>6*10^4*20</f>
        <v>1200000</v>
      </c>
      <c r="M19" s="3">
        <f t="shared" si="2"/>
        <v>6.0791812460476251</v>
      </c>
      <c r="Q19" s="3">
        <f>50*10^5*20</f>
        <v>100000000</v>
      </c>
      <c r="R19" s="3">
        <f t="shared" si="4"/>
        <v>8</v>
      </c>
      <c r="W19" s="3">
        <f>2*10^7*20</f>
        <v>400000000</v>
      </c>
      <c r="X19" s="3">
        <f t="shared" si="3"/>
        <v>8.6020599913279625</v>
      </c>
    </row>
    <row r="20" spans="1:26" x14ac:dyDescent="0.25">
      <c r="B20" s="3">
        <v>1600</v>
      </c>
      <c r="C20" s="3">
        <f t="shared" si="0"/>
        <v>3.2041199826559246</v>
      </c>
      <c r="G20" s="3">
        <v>24000</v>
      </c>
      <c r="H20" s="3">
        <f t="shared" si="1"/>
        <v>4.3802112417116064</v>
      </c>
      <c r="L20" s="3">
        <f>8*10^4*20</f>
        <v>1600000</v>
      </c>
      <c r="M20" s="3">
        <f t="shared" si="2"/>
        <v>6.204119982655925</v>
      </c>
      <c r="Q20" s="3">
        <f>3*10^6*20</f>
        <v>60000000</v>
      </c>
      <c r="R20" s="3">
        <f t="shared" si="4"/>
        <v>7.7781512503836439</v>
      </c>
      <c r="W20" s="3">
        <f>1*10^7*20</f>
        <v>200000000</v>
      </c>
      <c r="X20" s="3">
        <f t="shared" si="3"/>
        <v>8.3010299956639813</v>
      </c>
    </row>
    <row r="22" spans="1:26" x14ac:dyDescent="0.25">
      <c r="A22" s="3" t="s">
        <v>7</v>
      </c>
    </row>
    <row r="23" spans="1:26" x14ac:dyDescent="0.25">
      <c r="B23" s="3">
        <v>1700</v>
      </c>
      <c r="C23" s="3">
        <f t="shared" si="0"/>
        <v>3.2304489213782741</v>
      </c>
      <c r="D23" s="3">
        <f>AVERAGE(C23:C25)</f>
        <v>3.2387234492866184</v>
      </c>
      <c r="E23" s="3">
        <f>STDEV(C23:C25)</f>
        <v>1.4331902745898384E-2</v>
      </c>
      <c r="G23" s="3">
        <v>33000</v>
      </c>
      <c r="H23" s="3">
        <f t="shared" si="1"/>
        <v>4.5185139398778871</v>
      </c>
      <c r="I23" s="3">
        <f>AVERAGE(H23:H25)</f>
        <v>4.5396281616651502</v>
      </c>
      <c r="J23" s="3">
        <f>STDEV(H23:H25)</f>
        <v>1.9281552121554635E-2</v>
      </c>
      <c r="L23" s="3">
        <f>19*10^4*20</f>
        <v>3800000</v>
      </c>
      <c r="M23" s="3">
        <f t="shared" si="2"/>
        <v>6.5797835966168101</v>
      </c>
      <c r="N23" s="3">
        <f>AVERAGE(M23:M25)</f>
        <v>6.6286647015948574</v>
      </c>
      <c r="O23" s="3">
        <f>STDEV(M23:M25)</f>
        <v>4.3418821635157846E-2</v>
      </c>
      <c r="Q23" s="3">
        <f>7*10^6*20</f>
        <v>140000000</v>
      </c>
      <c r="R23" s="3">
        <f t="shared" si="4"/>
        <v>8.1461280356782382</v>
      </c>
      <c r="S23" s="3">
        <f>AVERAGE(R23:R25)</f>
        <v>8.1490526771140726</v>
      </c>
      <c r="T23" s="3">
        <f>STDEV(R23:R25)</f>
        <v>0.15053630697612552</v>
      </c>
      <c r="W23" s="3">
        <f>5*10^7*20</f>
        <v>1000000000</v>
      </c>
      <c r="X23" s="3">
        <f t="shared" si="3"/>
        <v>9</v>
      </c>
      <c r="Y23" s="3">
        <f>AVERAGE(X23:X25)</f>
        <v>9.1338001802605149</v>
      </c>
      <c r="Z23" s="3">
        <f>STDEV(X23:X25)</f>
        <v>0.12808198538369719</v>
      </c>
    </row>
    <row r="24" spans="1:26" x14ac:dyDescent="0.25">
      <c r="B24" s="3">
        <v>1700</v>
      </c>
      <c r="C24" s="3">
        <f t="shared" si="0"/>
        <v>3.2304489213782741</v>
      </c>
      <c r="G24" s="3">
        <v>35000</v>
      </c>
      <c r="H24" s="3">
        <f t="shared" si="1"/>
        <v>4.5440680443502757</v>
      </c>
      <c r="L24" s="3">
        <f>22*10^4*20</f>
        <v>4400000</v>
      </c>
      <c r="M24" s="3">
        <f t="shared" si="2"/>
        <v>6.6434526764861879</v>
      </c>
      <c r="Q24" s="3">
        <f>10*10^6*20</f>
        <v>200000000</v>
      </c>
      <c r="R24" s="3">
        <f t="shared" si="4"/>
        <v>8.3010299956639813</v>
      </c>
      <c r="W24" s="3">
        <f>7*10^7*20</f>
        <v>1400000000</v>
      </c>
      <c r="X24" s="3">
        <f t="shared" si="3"/>
        <v>9.1461280356782382</v>
      </c>
    </row>
    <row r="25" spans="1:26" x14ac:dyDescent="0.25">
      <c r="B25" s="3">
        <v>1800</v>
      </c>
      <c r="C25" s="3">
        <f t="shared" si="0"/>
        <v>3.255272505103306</v>
      </c>
      <c r="G25" s="3">
        <v>36000</v>
      </c>
      <c r="H25" s="3">
        <f t="shared" si="1"/>
        <v>4.5563025007672868</v>
      </c>
      <c r="L25" s="3">
        <f>23*10^4*20</f>
        <v>4600000</v>
      </c>
      <c r="M25" s="3">
        <f t="shared" si="2"/>
        <v>6.6627578316815743</v>
      </c>
      <c r="Q25" s="3">
        <f>5*10^6*20</f>
        <v>100000000</v>
      </c>
      <c r="R25" s="3">
        <f t="shared" si="4"/>
        <v>8</v>
      </c>
      <c r="W25" s="3">
        <f>9*10^7*20</f>
        <v>1800000000</v>
      </c>
      <c r="X25" s="3">
        <f t="shared" si="3"/>
        <v>9.2552725051033065</v>
      </c>
    </row>
    <row r="27" spans="1:26" x14ac:dyDescent="0.25">
      <c r="A27" s="3" t="s">
        <v>8</v>
      </c>
    </row>
    <row r="28" spans="1:26" x14ac:dyDescent="0.25">
      <c r="B28" s="3">
        <v>1400</v>
      </c>
      <c r="C28" s="3">
        <f t="shared" si="0"/>
        <v>3.1461280356782382</v>
      </c>
      <c r="D28" s="3">
        <f>AVERAGE(C28:C30)</f>
        <v>3.1561157768040524</v>
      </c>
      <c r="E28" s="3">
        <f>STDEV(C28:C30)</f>
        <v>1.7299275082755701E-2</v>
      </c>
      <c r="G28" s="3">
        <v>9000</v>
      </c>
      <c r="H28" s="3">
        <f t="shared" si="1"/>
        <v>3.9542425094393248</v>
      </c>
      <c r="I28" s="3">
        <f>AVERAGE(H28:H30)</f>
        <v>3.8104545880529961</v>
      </c>
      <c r="J28" s="3">
        <f>STDEV(H28:H30)</f>
        <v>0.1306661478113765</v>
      </c>
      <c r="L28" s="3">
        <f>23*10^2*20</f>
        <v>46000</v>
      </c>
      <c r="M28" s="3">
        <f t="shared" si="2"/>
        <v>4.6627578316815743</v>
      </c>
      <c r="N28" s="3">
        <f>AVERAGE(M28:M30)</f>
        <v>4.5806463592430662</v>
      </c>
      <c r="O28" s="3">
        <f>STDEV(M28:M30)</f>
        <v>9.4652746425206324E-2</v>
      </c>
      <c r="Q28" s="3">
        <f>7*10^4*20</f>
        <v>1400000</v>
      </c>
      <c r="R28" s="3">
        <f t="shared" si="4"/>
        <v>6.1461280356782382</v>
      </c>
      <c r="S28" s="3">
        <f>AVERAGE(R28:R30)</f>
        <v>6.36419343356377</v>
      </c>
      <c r="T28" s="3">
        <f>STDEV(R28:R30)</f>
        <v>0.19763040055213296</v>
      </c>
      <c r="W28" s="3">
        <f>12*10^5*20</f>
        <v>24000000</v>
      </c>
      <c r="X28" s="3">
        <f t="shared" si="3"/>
        <v>7.3802112417116064</v>
      </c>
      <c r="Y28" s="3">
        <f>AVERAGE(X28:X30)</f>
        <v>7.2798679098236123</v>
      </c>
      <c r="Z28" s="3">
        <f>STDEV(X28:X30)</f>
        <v>9.0585502863154171E-2</v>
      </c>
    </row>
    <row r="29" spans="1:26" x14ac:dyDescent="0.25">
      <c r="B29" s="3">
        <v>1500</v>
      </c>
      <c r="C29" s="3">
        <f t="shared" si="0"/>
        <v>3.1760912590556813</v>
      </c>
      <c r="G29" s="3">
        <v>6000</v>
      </c>
      <c r="H29" s="3">
        <f t="shared" si="1"/>
        <v>3.7781512503836434</v>
      </c>
      <c r="L29" s="3">
        <f>20*10^2*20</f>
        <v>40000</v>
      </c>
      <c r="M29" s="3">
        <f t="shared" si="2"/>
        <v>4.6020599913279625</v>
      </c>
      <c r="Q29" s="3">
        <f>13*10^4*20</f>
        <v>2600000</v>
      </c>
      <c r="R29" s="3">
        <f t="shared" si="4"/>
        <v>6.4149733479708182</v>
      </c>
      <c r="W29" s="3">
        <f>8*10^5*20</f>
        <v>16000000</v>
      </c>
      <c r="X29" s="3">
        <f t="shared" si="3"/>
        <v>7.204119982655925</v>
      </c>
    </row>
    <row r="30" spans="1:26" x14ac:dyDescent="0.25">
      <c r="B30" s="3">
        <v>1400</v>
      </c>
      <c r="C30" s="3">
        <f t="shared" si="0"/>
        <v>3.1461280356782382</v>
      </c>
      <c r="G30" s="3">
        <v>5000</v>
      </c>
      <c r="H30" s="3">
        <f t="shared" si="1"/>
        <v>3.6989700043360187</v>
      </c>
      <c r="L30" s="3">
        <f>15*10^2*20</f>
        <v>30000</v>
      </c>
      <c r="M30" s="3">
        <f t="shared" si="2"/>
        <v>4.4771212547196626</v>
      </c>
      <c r="Q30" s="3">
        <f>17*10^4*20</f>
        <v>3400000</v>
      </c>
      <c r="R30" s="3">
        <f t="shared" si="4"/>
        <v>6.5314789170422554</v>
      </c>
      <c r="W30" s="3">
        <f>9*10^5*20</f>
        <v>18000000</v>
      </c>
      <c r="X30" s="3">
        <f t="shared" si="3"/>
        <v>7.2552725051033065</v>
      </c>
    </row>
    <row r="33" spans="1:23" x14ac:dyDescent="0.25">
      <c r="B33" s="2" t="s">
        <v>16</v>
      </c>
      <c r="C33" s="2">
        <v>0</v>
      </c>
      <c r="D33" s="2">
        <v>3</v>
      </c>
      <c r="E33" s="2">
        <v>6</v>
      </c>
      <c r="F33" s="2">
        <v>9</v>
      </c>
      <c r="G33" s="2">
        <v>12</v>
      </c>
    </row>
    <row r="34" spans="1:23" x14ac:dyDescent="0.25">
      <c r="B34" s="3" t="s">
        <v>24</v>
      </c>
      <c r="C34" s="14">
        <v>3.2916870877972335</v>
      </c>
      <c r="D34" s="14">
        <v>4.6091230910179419</v>
      </c>
      <c r="E34" s="14">
        <v>7.1361930418028896</v>
      </c>
      <c r="F34" s="14">
        <v>8.6830726742233946</v>
      </c>
      <c r="G34" s="14">
        <v>9.6006050561938121</v>
      </c>
    </row>
    <row r="35" spans="1:23" x14ac:dyDescent="0.25">
      <c r="B35" s="3" t="s">
        <v>19</v>
      </c>
      <c r="C35" s="14">
        <v>3.2358567253659789</v>
      </c>
      <c r="D35" s="14">
        <v>4.5128579112689522</v>
      </c>
      <c r="E35" s="14">
        <v>6.9455257582802163</v>
      </c>
      <c r="F35" s="14">
        <v>8.3608805927190435</v>
      </c>
      <c r="G35" s="14">
        <v>9.4015180200450814</v>
      </c>
    </row>
    <row r="36" spans="1:23" x14ac:dyDescent="0.25">
      <c r="B36" s="3" t="s">
        <v>20</v>
      </c>
      <c r="C36" s="14">
        <v>3.2995750605298313</v>
      </c>
      <c r="D36" s="14">
        <v>4.5743099771690501</v>
      </c>
      <c r="E36" s="14">
        <v>7.0836164016408034</v>
      </c>
      <c r="F36" s="14">
        <v>8.4486277376439052</v>
      </c>
      <c r="G36" s="14">
        <v>9.5294612561262433</v>
      </c>
      <c r="L36" s="2"/>
      <c r="M36"/>
    </row>
    <row r="37" spans="1:23" x14ac:dyDescent="0.25">
      <c r="B37" s="3" t="s">
        <v>21</v>
      </c>
      <c r="C37" s="14">
        <v>3.1647181980061476</v>
      </c>
      <c r="D37" s="14">
        <v>4.4084364272419547</v>
      </c>
      <c r="E37" s="14">
        <v>6.0944337429011837</v>
      </c>
      <c r="F37" s="14">
        <v>7.5604137457918625</v>
      </c>
      <c r="G37" s="14">
        <v>8.4013733275519744</v>
      </c>
      <c r="L37"/>
      <c r="M37"/>
    </row>
    <row r="38" spans="1:23" x14ac:dyDescent="0.25">
      <c r="B38" s="3" t="s">
        <v>22</v>
      </c>
      <c r="C38" s="14">
        <v>3.2387234492866184</v>
      </c>
      <c r="D38" s="14">
        <v>4.5396281616651502</v>
      </c>
      <c r="E38" s="14">
        <v>6.6286647015948574</v>
      </c>
      <c r="F38" s="14">
        <v>8.1490526771140726</v>
      </c>
      <c r="G38" s="14">
        <v>9.1338001802605149</v>
      </c>
      <c r="L38"/>
      <c r="M38"/>
      <c r="W38" s="16"/>
    </row>
    <row r="39" spans="1:23" x14ac:dyDescent="0.25">
      <c r="B39" s="3" t="s">
        <v>23</v>
      </c>
      <c r="C39" s="14">
        <v>3.1561157768040524</v>
      </c>
      <c r="D39" s="14">
        <v>3.8104545880529961</v>
      </c>
      <c r="E39" s="14">
        <v>4.5806463592430662</v>
      </c>
      <c r="F39" s="14">
        <v>6.36419343356377</v>
      </c>
      <c r="G39" s="14">
        <v>7.2798679098236123</v>
      </c>
      <c r="L39"/>
      <c r="M39"/>
      <c r="W39"/>
    </row>
    <row r="40" spans="1:23" x14ac:dyDescent="0.25">
      <c r="L40" s="8"/>
      <c r="M40"/>
      <c r="W40"/>
    </row>
    <row r="41" spans="1:23" x14ac:dyDescent="0.25">
      <c r="B41" s="2">
        <v>1</v>
      </c>
      <c r="C41" s="3">
        <v>0.1112190827697301</v>
      </c>
      <c r="D41" s="3">
        <v>6.8858817548029486E-2</v>
      </c>
      <c r="E41">
        <v>4.568326156589566E-2</v>
      </c>
      <c r="F41">
        <v>7.4349811911849764E-2</v>
      </c>
      <c r="G41">
        <v>4.3593301195736844E-2</v>
      </c>
      <c r="M41"/>
      <c r="W41"/>
    </row>
    <row r="42" spans="1:23" x14ac:dyDescent="0.25">
      <c r="B42" s="2">
        <v>2</v>
      </c>
      <c r="C42" s="3">
        <v>0.06</v>
      </c>
      <c r="D42" s="3">
        <v>0.04</v>
      </c>
      <c r="E42">
        <v>0.08</v>
      </c>
      <c r="F42" s="3">
        <v>0.1</v>
      </c>
      <c r="G42" s="3">
        <v>0.05</v>
      </c>
      <c r="W42"/>
    </row>
    <row r="43" spans="1:23" x14ac:dyDescent="0.25">
      <c r="B43" s="2">
        <v>3</v>
      </c>
      <c r="C43" s="3">
        <v>0.04</v>
      </c>
      <c r="D43" s="3">
        <v>0.05</v>
      </c>
      <c r="E43" s="3">
        <v>0.02</v>
      </c>
      <c r="F43" s="3">
        <v>0.11</v>
      </c>
      <c r="G43" s="3">
        <v>0.05</v>
      </c>
      <c r="W43"/>
    </row>
    <row r="44" spans="1:23" x14ac:dyDescent="0.25">
      <c r="B44" s="2">
        <v>4</v>
      </c>
      <c r="C44" s="3">
        <v>0.05</v>
      </c>
      <c r="D44" s="3">
        <v>0.03</v>
      </c>
      <c r="E44" s="3">
        <v>0.1</v>
      </c>
      <c r="F44" s="3">
        <v>0.15</v>
      </c>
      <c r="G44" s="3">
        <v>0.17</v>
      </c>
      <c r="W44"/>
    </row>
    <row r="45" spans="1:23" x14ac:dyDescent="0.25">
      <c r="B45" s="2">
        <v>5</v>
      </c>
      <c r="C45" s="3">
        <v>0.01</v>
      </c>
      <c r="D45" s="3">
        <v>0.02</v>
      </c>
      <c r="E45" s="3">
        <v>0.04</v>
      </c>
      <c r="F45" s="3">
        <v>0.15</v>
      </c>
      <c r="G45" s="3">
        <v>0.13</v>
      </c>
      <c r="W45"/>
    </row>
    <row r="46" spans="1:23" x14ac:dyDescent="0.25">
      <c r="B46" s="2">
        <v>6</v>
      </c>
      <c r="C46" s="3">
        <v>0.02</v>
      </c>
      <c r="D46" s="3">
        <v>0.13</v>
      </c>
      <c r="E46" s="3">
        <v>0.09</v>
      </c>
      <c r="F46" s="3">
        <v>0.2</v>
      </c>
      <c r="G46" s="3">
        <v>0.09</v>
      </c>
      <c r="W46"/>
    </row>
    <row r="47" spans="1:23" x14ac:dyDescent="0.25">
      <c r="W47"/>
    </row>
    <row r="48" spans="1:23" x14ac:dyDescent="0.25">
      <c r="A48" s="3">
        <v>3.3010299956639813</v>
      </c>
      <c r="B48" s="3">
        <v>4.6020599913279598</v>
      </c>
      <c r="C48" s="3">
        <v>7.1760912590556813</v>
      </c>
      <c r="D48" s="3">
        <v>8.6020599913279625</v>
      </c>
      <c r="E48" s="3">
        <v>9.5563025007672877</v>
      </c>
      <c r="W48"/>
    </row>
    <row r="49" spans="1:23" x14ac:dyDescent="0.25">
      <c r="A49" s="3">
        <v>3.1760912590556813</v>
      </c>
      <c r="B49" s="3">
        <v>4.6812412373755876</v>
      </c>
      <c r="C49" s="3">
        <v>7.0863598306747484</v>
      </c>
      <c r="D49" s="3">
        <v>8.6989700043360187</v>
      </c>
      <c r="E49" s="3">
        <v>9.6020599913279625</v>
      </c>
      <c r="W49"/>
    </row>
    <row r="50" spans="1:23" x14ac:dyDescent="0.25">
      <c r="A50" s="3">
        <v>3.3979400086720375</v>
      </c>
      <c r="B50" s="3">
        <v>4.5440680443502757</v>
      </c>
      <c r="C50" s="3">
        <v>7.1461280356782382</v>
      </c>
      <c r="D50" s="3">
        <v>8.7481880270062007</v>
      </c>
      <c r="E50" s="3">
        <v>9.6434526764861879</v>
      </c>
      <c r="W50"/>
    </row>
    <row r="51" spans="1:23" x14ac:dyDescent="0.25">
      <c r="A51" s="3">
        <v>3.2304489213782741</v>
      </c>
      <c r="B51" s="3">
        <v>4.5563025007672868</v>
      </c>
      <c r="C51" s="3">
        <v>6.9030899869919438</v>
      </c>
      <c r="D51" s="3">
        <v>8.2552725051033065</v>
      </c>
      <c r="E51" s="3">
        <v>9.4149733479708182</v>
      </c>
      <c r="F51" s="8"/>
      <c r="W51"/>
    </row>
    <row r="52" spans="1:23" x14ac:dyDescent="0.25">
      <c r="A52" s="3">
        <v>3.3010299956639813</v>
      </c>
      <c r="B52" s="3">
        <v>4.4771212547196626</v>
      </c>
      <c r="C52" s="3">
        <v>6.8920946026904808</v>
      </c>
      <c r="D52" s="3">
        <v>8.3802112417116064</v>
      </c>
      <c r="E52" s="3">
        <v>9.3424226808222066</v>
      </c>
      <c r="W52"/>
    </row>
    <row r="53" spans="1:23" x14ac:dyDescent="0.25">
      <c r="A53" s="3">
        <v>3.1760912590556813</v>
      </c>
      <c r="B53" s="3">
        <v>4.5051499783199063</v>
      </c>
      <c r="C53" s="3">
        <v>7.0413926851582254</v>
      </c>
      <c r="D53" s="3">
        <v>8.4471580313422194</v>
      </c>
      <c r="E53" s="3">
        <v>9.4471580313422194</v>
      </c>
    </row>
    <row r="54" spans="1:23" x14ac:dyDescent="0.25">
      <c r="A54" s="3">
        <v>3.3424226808222062</v>
      </c>
      <c r="B54" s="3">
        <v>4.6232492903979008</v>
      </c>
      <c r="C54" s="3">
        <v>7.0791812460476251</v>
      </c>
      <c r="D54" s="3">
        <v>8.3424226808222066</v>
      </c>
      <c r="E54" s="3">
        <v>9.4771212547196626</v>
      </c>
    </row>
    <row r="55" spans="1:23" x14ac:dyDescent="0.25">
      <c r="A55" s="3">
        <v>3.3010299956639813</v>
      </c>
      <c r="B55" s="3">
        <v>4.5314789170422554</v>
      </c>
      <c r="C55" s="3">
        <v>7.1072099696478688</v>
      </c>
      <c r="D55" s="3">
        <v>8.5563025007672877</v>
      </c>
      <c r="E55" s="3">
        <v>9.5314789170422554</v>
      </c>
    </row>
    <row r="56" spans="1:23" x14ac:dyDescent="0.25">
      <c r="A56" s="3">
        <v>3.255272505103306</v>
      </c>
      <c r="B56" s="3">
        <v>4.568201724066995</v>
      </c>
      <c r="C56" s="3">
        <v>7.0644579892269181</v>
      </c>
      <c r="D56" s="3">
        <v>8.4471580313422194</v>
      </c>
      <c r="E56" s="3">
        <v>9.5797835966168101</v>
      </c>
    </row>
    <row r="57" spans="1:23" x14ac:dyDescent="0.25">
      <c r="A57" s="3">
        <v>3.1139433523068369</v>
      </c>
      <c r="B57" s="3">
        <v>4.4471580313422194</v>
      </c>
      <c r="C57" s="3">
        <v>6</v>
      </c>
      <c r="D57" s="3">
        <v>6.9030899869919438</v>
      </c>
      <c r="E57" s="3">
        <v>8.3010299956639813</v>
      </c>
    </row>
    <row r="58" spans="1:23" x14ac:dyDescent="0.25">
      <c r="A58" s="3">
        <v>3.1760912590556813</v>
      </c>
      <c r="B58" s="3">
        <v>4.3979400086720375</v>
      </c>
      <c r="C58" s="3">
        <v>6.0791812460476251</v>
      </c>
      <c r="D58" s="3">
        <v>8</v>
      </c>
      <c r="E58" s="3">
        <v>8.6020599913279625</v>
      </c>
    </row>
    <row r="59" spans="1:23" x14ac:dyDescent="0.25">
      <c r="A59" s="3">
        <v>3.2041199826559246</v>
      </c>
      <c r="B59" s="3">
        <v>4.3802112417116064</v>
      </c>
      <c r="C59" s="3">
        <v>6.204119982655925</v>
      </c>
      <c r="D59" s="3">
        <v>7.7781512503836439</v>
      </c>
      <c r="E59" s="3">
        <v>8.3010299956639813</v>
      </c>
    </row>
    <row r="60" spans="1:23" x14ac:dyDescent="0.25">
      <c r="A60" s="3">
        <v>3.2304489213782741</v>
      </c>
      <c r="B60" s="3">
        <v>4.5185139398778871</v>
      </c>
      <c r="C60" s="3">
        <v>6.5797835966168101</v>
      </c>
      <c r="D60" s="3">
        <v>8.1461280356782382</v>
      </c>
      <c r="E60" s="3">
        <v>9</v>
      </c>
    </row>
    <row r="61" spans="1:23" x14ac:dyDescent="0.25">
      <c r="A61" s="3">
        <v>3.2304489213782741</v>
      </c>
      <c r="B61" s="3">
        <v>4.5440680443502757</v>
      </c>
      <c r="C61" s="3">
        <v>6.6434526764861879</v>
      </c>
      <c r="D61" s="3">
        <v>8.3010299956639813</v>
      </c>
      <c r="E61" s="3">
        <v>9.1461280356782382</v>
      </c>
    </row>
    <row r="62" spans="1:23" x14ac:dyDescent="0.25">
      <c r="A62" s="3">
        <v>3.255272505103306</v>
      </c>
      <c r="B62" s="3">
        <v>4.5563025007672868</v>
      </c>
      <c r="C62" s="3">
        <v>6.6627578316815743</v>
      </c>
      <c r="D62" s="3">
        <v>8</v>
      </c>
      <c r="E62" s="3">
        <v>9.2552725051033065</v>
      </c>
    </row>
    <row r="63" spans="1:23" x14ac:dyDescent="0.25">
      <c r="A63" s="3">
        <v>3.1461280356782382</v>
      </c>
      <c r="B63" s="3">
        <v>3.9542425094393248</v>
      </c>
      <c r="C63" s="3">
        <v>4.6627578316815743</v>
      </c>
      <c r="D63" s="3">
        <v>6.1461280356782382</v>
      </c>
      <c r="E63" s="3">
        <v>7.3802112417116064</v>
      </c>
      <c r="L63" s="16"/>
    </row>
    <row r="64" spans="1:23" x14ac:dyDescent="0.25">
      <c r="A64" s="3">
        <v>3.1760912590556813</v>
      </c>
      <c r="B64" s="3">
        <v>3.7781512503836434</v>
      </c>
      <c r="C64" s="3">
        <v>4.6020599913279625</v>
      </c>
      <c r="D64" s="3">
        <v>6.4149733479708182</v>
      </c>
      <c r="E64" s="3">
        <v>7.204119982655925</v>
      </c>
      <c r="L64"/>
    </row>
    <row r="65" spans="1:12" x14ac:dyDescent="0.25">
      <c r="A65" s="3">
        <v>3.1461280356782382</v>
      </c>
      <c r="B65" s="3">
        <v>3.6989700043360187</v>
      </c>
      <c r="C65" s="3">
        <v>4.4771212547196626</v>
      </c>
      <c r="D65" s="3">
        <v>6.5314789170422554</v>
      </c>
      <c r="E65" s="3">
        <v>7.2552725051033065</v>
      </c>
      <c r="L65"/>
    </row>
    <row r="66" spans="1:12" x14ac:dyDescent="0.25">
      <c r="L66"/>
    </row>
    <row r="67" spans="1:12" x14ac:dyDescent="0.25">
      <c r="L67"/>
    </row>
    <row r="68" spans="1:12" x14ac:dyDescent="0.25">
      <c r="L68"/>
    </row>
    <row r="69" spans="1:12" x14ac:dyDescent="0.25">
      <c r="L69"/>
    </row>
    <row r="70" spans="1:12" x14ac:dyDescent="0.25">
      <c r="L70"/>
    </row>
    <row r="71" spans="1:12" x14ac:dyDescent="0.25">
      <c r="L71"/>
    </row>
    <row r="72" spans="1:12" x14ac:dyDescent="0.25">
      <c r="L72"/>
    </row>
    <row r="73" spans="1:12" x14ac:dyDescent="0.25">
      <c r="L73"/>
    </row>
    <row r="74" spans="1:12" x14ac:dyDescent="0.25">
      <c r="L74"/>
    </row>
    <row r="75" spans="1:12" x14ac:dyDescent="0.25">
      <c r="L75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90EB4-6E4C-4455-B40E-4C8D6A7FC8B2}">
  <dimension ref="A1:Z55"/>
  <sheetViews>
    <sheetView topLeftCell="G42" zoomScale="90" zoomScaleNormal="90" workbookViewId="0">
      <selection activeCell="L57" sqref="L57"/>
    </sheetView>
  </sheetViews>
  <sheetFormatPr defaultRowHeight="15" x14ac:dyDescent="0.25"/>
  <cols>
    <col min="1" max="1" width="14.85546875" style="8" bestFit="1" customWidth="1"/>
  </cols>
  <sheetData>
    <row r="1" spans="1:26" x14ac:dyDescent="0.25">
      <c r="B1" s="5" t="s">
        <v>15</v>
      </c>
      <c r="C1" s="3"/>
      <c r="D1" s="3"/>
      <c r="E1" s="3"/>
      <c r="F1" s="3"/>
      <c r="G1" s="5" t="s">
        <v>9</v>
      </c>
      <c r="H1" s="3"/>
      <c r="I1" s="3"/>
      <c r="J1" s="3"/>
      <c r="K1" s="3"/>
      <c r="L1" s="5" t="s">
        <v>10</v>
      </c>
      <c r="M1" s="3"/>
      <c r="N1" s="3"/>
      <c r="O1" s="3"/>
      <c r="P1" s="3"/>
      <c r="Q1" s="5" t="s">
        <v>11</v>
      </c>
      <c r="R1" s="3"/>
      <c r="S1" s="3"/>
      <c r="T1" s="3"/>
      <c r="U1" s="3"/>
      <c r="V1" s="3"/>
      <c r="W1" s="5" t="s">
        <v>12</v>
      </c>
      <c r="X1" s="3"/>
      <c r="Y1" s="3"/>
      <c r="Z1" s="3"/>
    </row>
    <row r="2" spans="1:26" x14ac:dyDescent="0.25">
      <c r="A2" s="8" t="s">
        <v>3</v>
      </c>
      <c r="B2" s="3"/>
      <c r="C2" s="3" t="s">
        <v>0</v>
      </c>
      <c r="D2" s="3" t="s">
        <v>1</v>
      </c>
      <c r="E2" s="3" t="s">
        <v>2</v>
      </c>
      <c r="F2" s="3"/>
      <c r="G2" s="3"/>
      <c r="H2" s="3" t="s">
        <v>0</v>
      </c>
      <c r="I2" s="3" t="s">
        <v>1</v>
      </c>
      <c r="J2" s="3" t="s">
        <v>2</v>
      </c>
      <c r="K2" s="3"/>
      <c r="L2" s="3"/>
      <c r="M2" s="3" t="s">
        <v>0</v>
      </c>
      <c r="N2" s="3" t="s">
        <v>1</v>
      </c>
      <c r="O2" s="3" t="s">
        <v>2</v>
      </c>
      <c r="P2" s="3"/>
      <c r="Q2" s="3"/>
      <c r="R2" s="3" t="s">
        <v>0</v>
      </c>
      <c r="S2" s="3" t="s">
        <v>13</v>
      </c>
      <c r="T2" s="3" t="s">
        <v>2</v>
      </c>
      <c r="U2" s="3"/>
      <c r="V2" s="3"/>
      <c r="W2" s="3"/>
      <c r="X2" s="3" t="s">
        <v>0</v>
      </c>
      <c r="Y2" s="3" t="s">
        <v>1</v>
      </c>
      <c r="Z2" s="3" t="s">
        <v>2</v>
      </c>
    </row>
    <row r="3" spans="1:26" x14ac:dyDescent="0.25">
      <c r="B3">
        <v>100</v>
      </c>
      <c r="C3">
        <f>LOG10(B3)</f>
        <v>2</v>
      </c>
      <c r="D3">
        <f>AVERAGE(C3:C5)</f>
        <v>1.9985450648658503</v>
      </c>
      <c r="E3">
        <f>STDEV(C3:C5)</f>
        <v>4.359330119573674E-2</v>
      </c>
      <c r="G3">
        <v>450</v>
      </c>
      <c r="H3">
        <f>LOG10(G3)</f>
        <v>2.6532125137753435</v>
      </c>
      <c r="I3">
        <f>AVERAGE(H3:H5)</f>
        <v>2.6722748312224955</v>
      </c>
      <c r="J3">
        <f>STDEV(H3:H5)</f>
        <v>6.0839263817183506E-2</v>
      </c>
      <c r="K3">
        <v>170</v>
      </c>
      <c r="L3">
        <f>K3*10^2</f>
        <v>17000</v>
      </c>
      <c r="M3">
        <f>LOG10(L3)</f>
        <v>4.2304489213782741</v>
      </c>
      <c r="N3">
        <f>AVERAGE(M3:M5)</f>
        <v>4.2145828951531756</v>
      </c>
      <c r="O3">
        <f>STDEV(M3:M5)</f>
        <v>3.8895973608647209E-2</v>
      </c>
      <c r="P3">
        <v>77</v>
      </c>
      <c r="Q3">
        <f>P3*10^3.5</f>
        <v>243495.37983296529</v>
      </c>
      <c r="R3">
        <f>LOG10(Q3)</f>
        <v>5.3864907251724823</v>
      </c>
      <c r="S3">
        <f>AVERAGE(R3:R5)</f>
        <v>5.4233840534420326</v>
      </c>
      <c r="T3">
        <f>STDEV(R3:R5)</f>
        <v>3.4276680561893237E-2</v>
      </c>
      <c r="V3">
        <v>120</v>
      </c>
      <c r="W3">
        <f>V3*10^4</f>
        <v>1200000</v>
      </c>
      <c r="X3">
        <f>LOG10(W3)</f>
        <v>6.0791812460476251</v>
      </c>
      <c r="Y3">
        <f>AVERAGE(X3:X5)</f>
        <v>6.115223884786257</v>
      </c>
      <c r="Z3">
        <f>STDEV(X3:X5)</f>
        <v>3.5063793408483923E-2</v>
      </c>
    </row>
    <row r="4" spans="1:26" x14ac:dyDescent="0.25">
      <c r="B4">
        <v>90</v>
      </c>
      <c r="C4">
        <f t="shared" ref="C4:C30" si="0">LOG10(B4)</f>
        <v>1.954242509439325</v>
      </c>
      <c r="G4">
        <v>420</v>
      </c>
      <c r="H4">
        <f t="shared" ref="H4:H30" si="1">LOG10(G4)</f>
        <v>2.6232492903979003</v>
      </c>
      <c r="K4">
        <v>148</v>
      </c>
      <c r="L4">
        <f t="shared" ref="L4:L5" si="2">K4*10^2</f>
        <v>14800</v>
      </c>
      <c r="M4">
        <f t="shared" ref="M4:M30" si="3">LOG10(L4)</f>
        <v>4.1702617153949575</v>
      </c>
      <c r="P4">
        <v>85</v>
      </c>
      <c r="Q4">
        <f t="shared" ref="Q4:Q5" si="4">P4*10^3.5</f>
        <v>268793.60111431236</v>
      </c>
      <c r="R4">
        <f t="shared" ref="R4:R30" si="5">LOG10(Q4)</f>
        <v>5.4294189257142929</v>
      </c>
      <c r="V4">
        <v>141</v>
      </c>
      <c r="W4">
        <f t="shared" ref="W4:W5" si="6">V4*10^4</f>
        <v>1410000</v>
      </c>
      <c r="X4">
        <f t="shared" ref="X4:X30" si="7">LOG10(W4)</f>
        <v>6.1492191126553797</v>
      </c>
    </row>
    <row r="5" spans="1:26" x14ac:dyDescent="0.25">
      <c r="B5">
        <v>110</v>
      </c>
      <c r="C5">
        <f t="shared" si="0"/>
        <v>2.0413926851582249</v>
      </c>
      <c r="G5">
        <v>550</v>
      </c>
      <c r="H5">
        <f t="shared" si="1"/>
        <v>2.7403626894942437</v>
      </c>
      <c r="K5">
        <v>175</v>
      </c>
      <c r="L5">
        <f t="shared" si="2"/>
        <v>17500</v>
      </c>
      <c r="M5">
        <f t="shared" si="3"/>
        <v>4.2430380486862944</v>
      </c>
      <c r="P5">
        <v>90</v>
      </c>
      <c r="Q5">
        <f t="shared" si="4"/>
        <v>284604.98941515421</v>
      </c>
      <c r="R5">
        <f t="shared" si="5"/>
        <v>5.4542425094393252</v>
      </c>
      <c r="V5">
        <v>131</v>
      </c>
      <c r="W5">
        <f t="shared" si="6"/>
        <v>1310000</v>
      </c>
      <c r="X5">
        <f t="shared" si="7"/>
        <v>6.1172712956557644</v>
      </c>
    </row>
    <row r="7" spans="1:26" x14ac:dyDescent="0.25">
      <c r="A7" s="8" t="s">
        <v>4</v>
      </c>
    </row>
    <row r="8" spans="1:26" x14ac:dyDescent="0.25">
      <c r="B8">
        <v>90</v>
      </c>
      <c r="C8">
        <f t="shared" si="0"/>
        <v>1.954242509439325</v>
      </c>
      <c r="D8">
        <f>AVERAGE(C8:C10)</f>
        <v>1.9178610196309691</v>
      </c>
      <c r="E8">
        <f>STDEV(C8:C10)</f>
        <v>6.3014588803121926E-2</v>
      </c>
      <c r="G8">
        <v>350</v>
      </c>
      <c r="H8">
        <f t="shared" si="1"/>
        <v>2.5440680443502757</v>
      </c>
      <c r="I8">
        <f>AVERAGE(H8:H10)</f>
        <v>2.5986498329676011</v>
      </c>
      <c r="J8">
        <f>STDEV(H8:H10)</f>
        <v>6.6067082932529095E-2</v>
      </c>
      <c r="K8">
        <v>98</v>
      </c>
      <c r="L8">
        <f>K8*10^2</f>
        <v>9800</v>
      </c>
      <c r="M8">
        <f t="shared" si="3"/>
        <v>3.9912260756924947</v>
      </c>
      <c r="N8">
        <f>AVERAGE(M8:M10)</f>
        <v>4.0041384582541442</v>
      </c>
      <c r="O8">
        <f>STDEV(M8:M10)</f>
        <v>1.5404344073429976E-2</v>
      </c>
      <c r="P8">
        <v>36</v>
      </c>
      <c r="Q8">
        <f>P8*10^3.5</f>
        <v>113841.99576606169</v>
      </c>
      <c r="R8">
        <f t="shared" si="5"/>
        <v>5.0563025007672877</v>
      </c>
      <c r="S8">
        <f>AVERAGE(R8:R10)</f>
        <v>5.100605056193813</v>
      </c>
      <c r="T8">
        <f>STDEV(R8:R10)</f>
        <v>4.3593301195736844E-2</v>
      </c>
      <c r="V8">
        <v>116</v>
      </c>
      <c r="W8">
        <f>V8*10^4</f>
        <v>1160000</v>
      </c>
      <c r="X8">
        <f t="shared" si="7"/>
        <v>6.0644579892269181</v>
      </c>
      <c r="Y8">
        <f>AVERAGE(X8:X10)</f>
        <v>6.0464248099573643</v>
      </c>
      <c r="Z8">
        <f>STDEV(X8:X10)</f>
        <v>1.6117463384550782E-2</v>
      </c>
    </row>
    <row r="9" spans="1:26" x14ac:dyDescent="0.25">
      <c r="B9">
        <v>70</v>
      </c>
      <c r="C9">
        <f t="shared" si="0"/>
        <v>1.8450980400142569</v>
      </c>
      <c r="G9">
        <v>380</v>
      </c>
      <c r="H9">
        <f t="shared" si="1"/>
        <v>2.5797835966168101</v>
      </c>
      <c r="K9">
        <v>105</v>
      </c>
      <c r="L9">
        <f t="shared" ref="L9:L10" si="8">K9*10^2</f>
        <v>10500</v>
      </c>
      <c r="M9">
        <f t="shared" si="3"/>
        <v>4.0211892990699383</v>
      </c>
      <c r="P9">
        <v>40</v>
      </c>
      <c r="Q9">
        <f t="shared" ref="Q9:Q10" si="9">P9*10^3.5</f>
        <v>126491.10640673521</v>
      </c>
      <c r="R9">
        <f t="shared" si="5"/>
        <v>5.1020599913279625</v>
      </c>
      <c r="V9">
        <v>108</v>
      </c>
      <c r="W9">
        <f t="shared" ref="W9:W10" si="10">V9*10^4</f>
        <v>1080000</v>
      </c>
      <c r="X9">
        <f t="shared" si="7"/>
        <v>6.0334237554869494</v>
      </c>
    </row>
    <row r="10" spans="1:26" x14ac:dyDescent="0.25">
      <c r="B10">
        <v>90</v>
      </c>
      <c r="C10">
        <f t="shared" si="0"/>
        <v>1.954242509439325</v>
      </c>
      <c r="G10">
        <v>470</v>
      </c>
      <c r="H10">
        <f t="shared" si="1"/>
        <v>2.6720978579357175</v>
      </c>
      <c r="K10">
        <v>100</v>
      </c>
      <c r="L10">
        <f t="shared" si="8"/>
        <v>10000</v>
      </c>
      <c r="M10">
        <f t="shared" si="3"/>
        <v>4</v>
      </c>
      <c r="P10">
        <v>44</v>
      </c>
      <c r="Q10">
        <f t="shared" si="9"/>
        <v>139140.21704740875</v>
      </c>
      <c r="R10">
        <f t="shared" si="5"/>
        <v>5.1434526764861879</v>
      </c>
      <c r="V10">
        <v>110</v>
      </c>
      <c r="W10">
        <f t="shared" si="10"/>
        <v>1100000</v>
      </c>
      <c r="X10">
        <f t="shared" si="7"/>
        <v>6.0413926851582254</v>
      </c>
    </row>
    <row r="12" spans="1:26" x14ac:dyDescent="0.25">
      <c r="A12" s="8" t="s">
        <v>5</v>
      </c>
    </row>
    <row r="13" spans="1:26" x14ac:dyDescent="0.25">
      <c r="B13">
        <v>70</v>
      </c>
      <c r="C13">
        <f t="shared" si="0"/>
        <v>1.8450980400142569</v>
      </c>
      <c r="D13">
        <f>AVERAGE(C13:C15)</f>
        <v>1.9178610196309691</v>
      </c>
      <c r="E13">
        <f>STDEV(C13:C15)</f>
        <v>6.3014588803121926E-2</v>
      </c>
      <c r="G13">
        <v>370</v>
      </c>
      <c r="H13">
        <f t="shared" si="1"/>
        <v>2.568201724066995</v>
      </c>
      <c r="I13">
        <f>AVERAGE(H13:H15)</f>
        <v>2.5268723662764763</v>
      </c>
      <c r="J13">
        <f>STDEV(H13:H15)</f>
        <v>0.18743749755710201</v>
      </c>
      <c r="K13">
        <v>95</v>
      </c>
      <c r="L13">
        <f>K13*10^2</f>
        <v>9500</v>
      </c>
      <c r="M13">
        <f t="shared" si="3"/>
        <v>3.9777236052888476</v>
      </c>
      <c r="N13">
        <f>AVERAGE(M13:M15)</f>
        <v>3.9240705506493394</v>
      </c>
      <c r="O13">
        <f>STDEV(M13:M15)</f>
        <v>6.984404971101707E-2</v>
      </c>
      <c r="P13">
        <v>30</v>
      </c>
      <c r="Q13">
        <f>P13*10^3.5</f>
        <v>94868.329805051413</v>
      </c>
      <c r="R13">
        <f t="shared" si="5"/>
        <v>4.9771212547196626</v>
      </c>
      <c r="S13">
        <f>AVERAGE(R13:R15)</f>
        <v>5.0325650619751707</v>
      </c>
      <c r="T13">
        <f>STDEV(R13:R15)</f>
        <v>6.3643518919557718E-2</v>
      </c>
      <c r="V13">
        <v>120</v>
      </c>
      <c r="W13">
        <f>V13*10^4</f>
        <v>1200000</v>
      </c>
      <c r="X13">
        <f t="shared" si="7"/>
        <v>6.0791812460476251</v>
      </c>
      <c r="Y13">
        <f>AVERAGE(X13:X15)</f>
        <v>6.0742214855725623</v>
      </c>
      <c r="Z13">
        <f>STDEV(X13:X15)</f>
        <v>1.1849648220192601E-2</v>
      </c>
    </row>
    <row r="14" spans="1:26" x14ac:dyDescent="0.25">
      <c r="B14">
        <v>90</v>
      </c>
      <c r="C14">
        <f t="shared" si="0"/>
        <v>1.954242509439325</v>
      </c>
      <c r="G14">
        <v>210</v>
      </c>
      <c r="H14">
        <f t="shared" si="1"/>
        <v>2.3222192947339191</v>
      </c>
      <c r="K14">
        <v>89</v>
      </c>
      <c r="L14">
        <f t="shared" ref="L14:L15" si="11">K14*10^2</f>
        <v>8900</v>
      </c>
      <c r="M14">
        <f t="shared" si="3"/>
        <v>3.9493900066449128</v>
      </c>
      <c r="P14">
        <v>40</v>
      </c>
      <c r="Q14">
        <f t="shared" ref="Q14:Q15" si="12">P14*10^3.5</f>
        <v>126491.10640673521</v>
      </c>
      <c r="R14">
        <f t="shared" si="5"/>
        <v>5.1020599913279625</v>
      </c>
      <c r="V14">
        <v>121</v>
      </c>
      <c r="W14">
        <f t="shared" ref="W14:W15" si="13">V14*10^4</f>
        <v>1210000</v>
      </c>
      <c r="X14">
        <f t="shared" si="7"/>
        <v>6.0827853703164498</v>
      </c>
    </row>
    <row r="15" spans="1:26" x14ac:dyDescent="0.25">
      <c r="B15">
        <v>90</v>
      </c>
      <c r="C15">
        <f t="shared" si="0"/>
        <v>1.954242509439325</v>
      </c>
      <c r="G15">
        <v>490</v>
      </c>
      <c r="H15">
        <f t="shared" si="1"/>
        <v>2.6901960800285138</v>
      </c>
      <c r="K15">
        <v>70</v>
      </c>
      <c r="L15">
        <f t="shared" si="11"/>
        <v>7000</v>
      </c>
      <c r="M15">
        <f t="shared" si="3"/>
        <v>3.8450980400142569</v>
      </c>
      <c r="P15">
        <v>33</v>
      </c>
      <c r="Q15">
        <f t="shared" si="12"/>
        <v>104355.16278555656</v>
      </c>
      <c r="R15">
        <f t="shared" si="5"/>
        <v>5.018513939877888</v>
      </c>
      <c r="V15">
        <v>115</v>
      </c>
      <c r="W15">
        <f t="shared" si="13"/>
        <v>1150000</v>
      </c>
      <c r="X15">
        <f t="shared" si="7"/>
        <v>6.0606978403536118</v>
      </c>
    </row>
    <row r="17" spans="1:26" x14ac:dyDescent="0.25">
      <c r="A17" s="8" t="s">
        <v>6</v>
      </c>
    </row>
    <row r="18" spans="1:26" x14ac:dyDescent="0.25">
      <c r="B18">
        <v>60</v>
      </c>
      <c r="C18">
        <f t="shared" si="0"/>
        <v>1.7781512503836436</v>
      </c>
      <c r="D18">
        <f>AVERAGE(C18:C20)</f>
        <v>1.8197974959197436</v>
      </c>
      <c r="E18">
        <f>STDEV(C18:C20)</f>
        <v>7.2133413213013697E-2</v>
      </c>
      <c r="G18">
        <v>250</v>
      </c>
      <c r="H18">
        <f t="shared" si="1"/>
        <v>2.3979400086720375</v>
      </c>
      <c r="I18">
        <f>AVERAGE(H18:H20)</f>
        <v>2.3471308950527416</v>
      </c>
      <c r="J18">
        <f>STDEV(H18:H20)</f>
        <v>4.8626259533670384E-2</v>
      </c>
      <c r="K18">
        <v>44</v>
      </c>
      <c r="L18">
        <f>K18*10^2</f>
        <v>4400</v>
      </c>
      <c r="M18">
        <f t="shared" si="3"/>
        <v>3.6434526764861874</v>
      </c>
      <c r="N18">
        <f>AVERAGE(M18:M20)</f>
        <v>3.6399714935531442</v>
      </c>
      <c r="O18">
        <f>STDEV(M18:M20)</f>
        <v>9.4211107376123163E-2</v>
      </c>
      <c r="P18">
        <v>13</v>
      </c>
      <c r="Q18">
        <f>P18*10^3.5</f>
        <v>41109.609582188947</v>
      </c>
      <c r="R18">
        <f t="shared" si="5"/>
        <v>4.6139433523068369</v>
      </c>
      <c r="S18">
        <f>AVERAGE(R18:R20)</f>
        <v>4.486347130773698</v>
      </c>
      <c r="T18">
        <f>STDEV(R18:R20)</f>
        <v>0.13494165818607165</v>
      </c>
      <c r="V18">
        <v>19</v>
      </c>
      <c r="W18">
        <f>V18*10^4</f>
        <v>190000</v>
      </c>
      <c r="X18">
        <f t="shared" si="7"/>
        <v>5.2787536009528289</v>
      </c>
      <c r="Y18">
        <f>AVERAGE(X18:X20)</f>
        <v>5.1835317358297761</v>
      </c>
      <c r="Z18">
        <f>STDEV(X18:X20)</f>
        <v>0.12544308594560863</v>
      </c>
    </row>
    <row r="19" spans="1:26" x14ac:dyDescent="0.25">
      <c r="B19">
        <v>60</v>
      </c>
      <c r="C19">
        <f t="shared" si="0"/>
        <v>1.7781512503836436</v>
      </c>
      <c r="G19">
        <v>200</v>
      </c>
      <c r="H19">
        <f t="shared" si="1"/>
        <v>2.3010299956639813</v>
      </c>
      <c r="K19">
        <v>54</v>
      </c>
      <c r="L19">
        <f t="shared" ref="L19:L20" si="14">K19*10^2</f>
        <v>5400</v>
      </c>
      <c r="M19">
        <f t="shared" si="3"/>
        <v>3.7323937598229686</v>
      </c>
      <c r="P19">
        <v>7</v>
      </c>
      <c r="Q19">
        <f t="shared" ref="Q19:Q20" si="15">P19*10^3.5</f>
        <v>22135.943621178663</v>
      </c>
      <c r="R19">
        <f t="shared" si="5"/>
        <v>4.3450980400142569</v>
      </c>
      <c r="V19">
        <v>17</v>
      </c>
      <c r="W19">
        <f t="shared" ref="W19:W20" si="16">V19*10^4</f>
        <v>170000</v>
      </c>
      <c r="X19">
        <f t="shared" si="7"/>
        <v>5.2304489213782741</v>
      </c>
    </row>
    <row r="20" spans="1:26" x14ac:dyDescent="0.25">
      <c r="B20">
        <v>80</v>
      </c>
      <c r="C20">
        <f t="shared" si="0"/>
        <v>1.9030899869919435</v>
      </c>
      <c r="G20">
        <v>220</v>
      </c>
      <c r="H20">
        <f t="shared" si="1"/>
        <v>2.3424226808222062</v>
      </c>
      <c r="K20">
        <v>35</v>
      </c>
      <c r="L20">
        <f t="shared" si="14"/>
        <v>3500</v>
      </c>
      <c r="M20">
        <f t="shared" si="3"/>
        <v>3.5440680443502757</v>
      </c>
      <c r="P20">
        <v>10</v>
      </c>
      <c r="Q20">
        <f t="shared" si="15"/>
        <v>31622.776601683803</v>
      </c>
      <c r="R20">
        <f t="shared" si="5"/>
        <v>4.5</v>
      </c>
      <c r="V20">
        <v>11</v>
      </c>
      <c r="W20">
        <f t="shared" si="16"/>
        <v>110000</v>
      </c>
      <c r="X20">
        <f t="shared" si="7"/>
        <v>5.0413926851582254</v>
      </c>
    </row>
    <row r="22" spans="1:26" x14ac:dyDescent="0.25">
      <c r="A22" s="8" t="s">
        <v>7</v>
      </c>
    </row>
    <row r="23" spans="1:26" x14ac:dyDescent="0.25">
      <c r="B23">
        <v>60</v>
      </c>
      <c r="C23">
        <f t="shared" si="0"/>
        <v>1.7781512503836436</v>
      </c>
      <c r="D23">
        <f>AVERAGE(C23:C25)</f>
        <v>1.8937470791251958</v>
      </c>
      <c r="E23">
        <f>STDEV(C23:C25)</f>
        <v>0.11121908276973021</v>
      </c>
      <c r="G23">
        <v>350</v>
      </c>
      <c r="H23">
        <f t="shared" si="1"/>
        <v>2.5440680443502757</v>
      </c>
      <c r="I23">
        <f>AVERAGE(H23:H25)</f>
        <v>2.5633986933428381</v>
      </c>
      <c r="J23">
        <f>STDEV(H23:H25)</f>
        <v>3.3481666198398E-2</v>
      </c>
      <c r="K23">
        <v>75</v>
      </c>
      <c r="L23">
        <f>K23*10^2</f>
        <v>7500</v>
      </c>
      <c r="M23">
        <f t="shared" si="3"/>
        <v>3.8750612633917001</v>
      </c>
      <c r="N23">
        <f>AVERAGE(M23:M25)</f>
        <v>3.8603653080353504</v>
      </c>
      <c r="O23">
        <f>STDEV(M23:M25)</f>
        <v>3.5811262032191232E-2</v>
      </c>
      <c r="P23">
        <v>23</v>
      </c>
      <c r="Q23">
        <f>P23*10^3.5</f>
        <v>72732.386183872746</v>
      </c>
      <c r="R23">
        <f t="shared" si="5"/>
        <v>4.8617278360175931</v>
      </c>
      <c r="S23">
        <f>AVERAGE(R23:R25)</f>
        <v>4.8060101122616272</v>
      </c>
      <c r="T23">
        <f>STDEV(R23:R25)</f>
        <v>5.3402111765473992E-2</v>
      </c>
      <c r="V23">
        <v>45</v>
      </c>
      <c r="W23">
        <f>V23*10^4</f>
        <v>450000</v>
      </c>
      <c r="X23">
        <f t="shared" si="7"/>
        <v>5.653212513775344</v>
      </c>
      <c r="Y23">
        <f>AVERAGE(X23:X25)</f>
        <v>5.7017685875976918</v>
      </c>
      <c r="Z23">
        <f>STDEV(X23:X25)</f>
        <v>6.1447473055805071E-2</v>
      </c>
    </row>
    <row r="24" spans="1:26" x14ac:dyDescent="0.25">
      <c r="B24">
        <v>80</v>
      </c>
      <c r="C24">
        <f t="shared" si="0"/>
        <v>1.9030899869919435</v>
      </c>
      <c r="G24">
        <v>400</v>
      </c>
      <c r="H24">
        <f t="shared" si="1"/>
        <v>2.6020599913279625</v>
      </c>
      <c r="K24">
        <v>66</v>
      </c>
      <c r="L24">
        <f t="shared" ref="L24:L25" si="17">K24*10^2</f>
        <v>6600</v>
      </c>
      <c r="M24">
        <f t="shared" si="3"/>
        <v>3.8195439355418688</v>
      </c>
      <c r="P24">
        <v>20</v>
      </c>
      <c r="Q24">
        <f t="shared" ref="Q24:Q25" si="18">P24*10^3.5</f>
        <v>63245.553203367606</v>
      </c>
      <c r="R24">
        <f t="shared" si="5"/>
        <v>4.8010299956639813</v>
      </c>
      <c r="V24">
        <v>59</v>
      </c>
      <c r="W24">
        <f t="shared" ref="W24:W25" si="19">V24*10^4</f>
        <v>590000</v>
      </c>
      <c r="X24">
        <f t="shared" si="7"/>
        <v>5.7708520116421438</v>
      </c>
    </row>
    <row r="25" spans="1:26" x14ac:dyDescent="0.25">
      <c r="B25">
        <v>100</v>
      </c>
      <c r="C25">
        <f t="shared" si="0"/>
        <v>2</v>
      </c>
      <c r="G25">
        <v>350</v>
      </c>
      <c r="H25">
        <f t="shared" si="1"/>
        <v>2.5440680443502757</v>
      </c>
      <c r="K25">
        <v>77</v>
      </c>
      <c r="L25">
        <f t="shared" si="17"/>
        <v>7700</v>
      </c>
      <c r="M25">
        <f t="shared" si="3"/>
        <v>3.8864907251724818</v>
      </c>
      <c r="P25">
        <v>18</v>
      </c>
      <c r="Q25">
        <f t="shared" si="18"/>
        <v>56920.997883030846</v>
      </c>
      <c r="R25">
        <f t="shared" si="5"/>
        <v>4.7552725051033065</v>
      </c>
      <c r="V25">
        <v>48</v>
      </c>
      <c r="W25">
        <f t="shared" si="19"/>
        <v>480000</v>
      </c>
      <c r="X25">
        <f t="shared" si="7"/>
        <v>5.6812412373755876</v>
      </c>
    </row>
    <row r="27" spans="1:26" x14ac:dyDescent="0.25">
      <c r="A27" s="8" t="s">
        <v>8</v>
      </c>
    </row>
    <row r="28" spans="1:26" x14ac:dyDescent="0.25">
      <c r="B28">
        <v>60</v>
      </c>
      <c r="C28">
        <f t="shared" si="0"/>
        <v>1.7781512503836436</v>
      </c>
      <c r="D28">
        <f>AVERAGE(C28:C30)</f>
        <v>1.6930604153492084</v>
      </c>
      <c r="E28">
        <f>STDEV(C28:C30)</f>
        <v>8.8194247604073045E-2</v>
      </c>
      <c r="G28">
        <v>105</v>
      </c>
      <c r="H28">
        <f t="shared" si="1"/>
        <v>2.0211892990699383</v>
      </c>
      <c r="I28">
        <f>AVERAGE(H28:H30)</f>
        <v>1.955429113028065</v>
      </c>
      <c r="J28">
        <f>STDEV(H28:H30)</f>
        <v>9.6135091683799412E-2</v>
      </c>
      <c r="K28">
        <v>12</v>
      </c>
      <c r="L28">
        <f>K28*10^2</f>
        <v>1200</v>
      </c>
      <c r="M28">
        <f t="shared" si="3"/>
        <v>3.0791812460476247</v>
      </c>
      <c r="N28">
        <f>AVERAGE(M28:M30)</f>
        <v>3.042799756239269</v>
      </c>
      <c r="O28">
        <f>STDEV(M28:M30)</f>
        <v>0.12553717727357511</v>
      </c>
      <c r="P28">
        <v>19</v>
      </c>
      <c r="Q28">
        <f>P28*10^2.4</f>
        <v>4772.584219868203</v>
      </c>
      <c r="R28">
        <f t="shared" si="5"/>
        <v>3.6787536009528292</v>
      </c>
      <c r="S28">
        <f>AVERAGE(R28:R30)</f>
        <v>3.645039878027291</v>
      </c>
      <c r="T28">
        <f>STDEV(R28:R30)</f>
        <v>0.11791167128335317</v>
      </c>
      <c r="V28">
        <v>15</v>
      </c>
      <c r="W28">
        <f>V28*10^3</f>
        <v>15000</v>
      </c>
      <c r="X28">
        <f t="shared" si="7"/>
        <v>4.1760912590556813</v>
      </c>
      <c r="Y28">
        <f>AVERAGE(X28:X30)</f>
        <v>4.2358567253659789</v>
      </c>
      <c r="Z28">
        <f>STDEV(X28:X30)</f>
        <v>6.2644674428849995E-2</v>
      </c>
    </row>
    <row r="29" spans="1:26" x14ac:dyDescent="0.25">
      <c r="B29">
        <v>50</v>
      </c>
      <c r="C29">
        <f t="shared" si="0"/>
        <v>1.6989700043360187</v>
      </c>
      <c r="G29">
        <v>100</v>
      </c>
      <c r="H29">
        <f t="shared" si="1"/>
        <v>2</v>
      </c>
      <c r="K29">
        <v>14</v>
      </c>
      <c r="L29">
        <f t="shared" ref="L29:L30" si="20">K29*10^2</f>
        <v>1400</v>
      </c>
      <c r="M29">
        <f t="shared" si="3"/>
        <v>3.1461280356782382</v>
      </c>
      <c r="P29">
        <v>22</v>
      </c>
      <c r="Q29">
        <f t="shared" ref="Q29:Q30" si="21">P29*10^2.4</f>
        <v>5526.1501493210772</v>
      </c>
      <c r="R29">
        <f t="shared" si="5"/>
        <v>3.7424226808222065</v>
      </c>
      <c r="V29">
        <v>17</v>
      </c>
      <c r="W29">
        <f t="shared" ref="W29:W30" si="22">V29*10^3</f>
        <v>17000</v>
      </c>
      <c r="X29">
        <f t="shared" si="7"/>
        <v>4.2304489213782741</v>
      </c>
    </row>
    <row r="30" spans="1:26" x14ac:dyDescent="0.25">
      <c r="B30">
        <v>40</v>
      </c>
      <c r="C30">
        <f t="shared" si="0"/>
        <v>1.6020599913279623</v>
      </c>
      <c r="G30">
        <v>70</v>
      </c>
      <c r="H30">
        <f t="shared" si="1"/>
        <v>1.8450980400142569</v>
      </c>
      <c r="K30">
        <v>8</v>
      </c>
      <c r="L30">
        <f t="shared" si="20"/>
        <v>800</v>
      </c>
      <c r="M30">
        <f t="shared" si="3"/>
        <v>2.9030899869919438</v>
      </c>
      <c r="P30">
        <v>13</v>
      </c>
      <c r="Q30">
        <f t="shared" si="21"/>
        <v>3265.4523609624548</v>
      </c>
      <c r="R30">
        <f t="shared" si="5"/>
        <v>3.5139433523068369</v>
      </c>
      <c r="V30">
        <v>20</v>
      </c>
      <c r="W30">
        <f t="shared" si="22"/>
        <v>20000</v>
      </c>
      <c r="X30">
        <f t="shared" si="7"/>
        <v>4.3010299956639813</v>
      </c>
    </row>
    <row r="32" spans="1:26" x14ac:dyDescent="0.25">
      <c r="A32" s="8">
        <v>2</v>
      </c>
      <c r="B32">
        <v>2.9777236052888498</v>
      </c>
      <c r="C32">
        <v>5.2304489213782741</v>
      </c>
      <c r="D32">
        <v>6.8864907251724823</v>
      </c>
      <c r="E32">
        <v>8.0791812460476251</v>
      </c>
    </row>
    <row r="33" spans="1:18" x14ac:dyDescent="0.25">
      <c r="A33" s="8">
        <v>1.954242509439325</v>
      </c>
      <c r="B33">
        <v>2.8573324964312685</v>
      </c>
      <c r="C33">
        <v>5.1702617153949575</v>
      </c>
      <c r="D33">
        <v>6.9294189257142929</v>
      </c>
      <c r="E33">
        <v>8.1492191126553806</v>
      </c>
    </row>
    <row r="34" spans="1:18" x14ac:dyDescent="0.25">
      <c r="A34" s="8">
        <v>2.0413926851582249</v>
      </c>
      <c r="B34">
        <v>2.9294189257142929</v>
      </c>
      <c r="C34">
        <v>5.2430380486862944</v>
      </c>
      <c r="D34">
        <v>6.9542425094393252</v>
      </c>
      <c r="E34">
        <v>8.1172712956557636</v>
      </c>
      <c r="L34">
        <v>1</v>
      </c>
      <c r="M34">
        <v>4.3593301195736699E-2</v>
      </c>
      <c r="N34">
        <v>6.0585771772386644E-2</v>
      </c>
      <c r="O34">
        <v>3.8895973608647209E-2</v>
      </c>
      <c r="P34">
        <v>3.4276680561893237E-2</v>
      </c>
      <c r="Q34">
        <v>3.5063793408484326E-2</v>
      </c>
    </row>
    <row r="35" spans="1:18" x14ac:dyDescent="0.25">
      <c r="A35" s="8">
        <v>1.954242509439325</v>
      </c>
      <c r="B35">
        <v>2.8750612633917001</v>
      </c>
      <c r="C35">
        <v>4.9912260756924951</v>
      </c>
      <c r="D35">
        <v>6.5563025007672868</v>
      </c>
      <c r="E35">
        <v>8.0644579892269181</v>
      </c>
      <c r="L35">
        <v>2</v>
      </c>
      <c r="M35">
        <v>6.3014588803121926E-2</v>
      </c>
      <c r="N35">
        <v>2.8446942491235531E-2</v>
      </c>
      <c r="O35">
        <v>1.540434407342979E-2</v>
      </c>
      <c r="P35">
        <v>4.3593301195737295E-2</v>
      </c>
      <c r="Q35">
        <v>1.6117463384550421E-2</v>
      </c>
      <c r="R35" s="17"/>
    </row>
    <row r="36" spans="1:18" x14ac:dyDescent="0.25">
      <c r="A36" s="8">
        <v>1.8450980400142569</v>
      </c>
      <c r="B36">
        <v>2.8325089127062362</v>
      </c>
      <c r="C36">
        <v>5.0211892990699383</v>
      </c>
      <c r="D36">
        <v>6.6020599913279625</v>
      </c>
      <c r="E36">
        <v>8.0334237554869503</v>
      </c>
      <c r="L36">
        <v>3</v>
      </c>
      <c r="M36">
        <v>6.3014588803121926E-2</v>
      </c>
      <c r="N36">
        <v>9.8783154252111163E-2</v>
      </c>
      <c r="O36">
        <v>6.9844049711016987E-2</v>
      </c>
      <c r="P36">
        <v>6.3643518919557815E-2</v>
      </c>
      <c r="Q36">
        <v>1.1849648220192924E-2</v>
      </c>
      <c r="R36" s="17"/>
    </row>
    <row r="37" spans="1:18" x14ac:dyDescent="0.25">
      <c r="A37" s="8">
        <v>1.954242509439325</v>
      </c>
      <c r="B37">
        <v>2.8864907251724818</v>
      </c>
      <c r="C37">
        <v>5</v>
      </c>
      <c r="D37">
        <v>6.6434526764861879</v>
      </c>
      <c r="E37">
        <v>8.0413926851582254</v>
      </c>
      <c r="L37">
        <v>4</v>
      </c>
      <c r="M37">
        <v>7.2133413213013697E-2</v>
      </c>
      <c r="N37">
        <v>4.848002873411162E-2</v>
      </c>
      <c r="O37">
        <v>9.4211107376122968E-2</v>
      </c>
      <c r="P37">
        <v>0.13494165818607165</v>
      </c>
      <c r="Q37">
        <v>0.12544308594560863</v>
      </c>
      <c r="R37" s="17"/>
    </row>
    <row r="38" spans="1:18" x14ac:dyDescent="0.25">
      <c r="A38" s="8">
        <v>1.8450980400142569</v>
      </c>
      <c r="B38">
        <v>2.7558748556724915</v>
      </c>
      <c r="C38">
        <v>4.9777236052888476</v>
      </c>
      <c r="D38">
        <v>6.4771212547196626</v>
      </c>
      <c r="E38">
        <v>8.0791812460476251</v>
      </c>
      <c r="L38">
        <v>5</v>
      </c>
      <c r="M38">
        <v>0.11121908276973021</v>
      </c>
      <c r="N38">
        <v>6.016562312153468E-2</v>
      </c>
      <c r="O38">
        <v>3.5811262032191649E-2</v>
      </c>
      <c r="P38">
        <v>5.3402111765473992E-2</v>
      </c>
      <c r="Q38">
        <v>6.1447473055805071E-2</v>
      </c>
      <c r="R38" s="17"/>
    </row>
    <row r="39" spans="1:18" x14ac:dyDescent="0.25">
      <c r="A39" s="8">
        <v>1.954242509439325</v>
      </c>
      <c r="B39">
        <v>2.7075701760979363</v>
      </c>
      <c r="C39">
        <v>4.9493900066449124</v>
      </c>
      <c r="D39">
        <v>6.6020599913279625</v>
      </c>
      <c r="E39">
        <v>8.0827853703164507</v>
      </c>
      <c r="L39">
        <v>6</v>
      </c>
      <c r="M39">
        <v>8.8194247604073045E-2</v>
      </c>
      <c r="N39">
        <v>4.2022218076546519E-2</v>
      </c>
      <c r="O39">
        <v>0.12553717727357519</v>
      </c>
      <c r="P39">
        <v>0.1179116712833531</v>
      </c>
      <c r="Q39">
        <v>6.2644674428849995E-2</v>
      </c>
      <c r="R39" s="17"/>
    </row>
    <row r="40" spans="1:18" x14ac:dyDescent="0.25">
      <c r="A40" s="8">
        <v>1.954242509439325</v>
      </c>
      <c r="B40">
        <v>2.8976270912904414</v>
      </c>
      <c r="C40">
        <v>4.8450980400142569</v>
      </c>
      <c r="D40">
        <v>6.5185139398778871</v>
      </c>
      <c r="E40">
        <v>8.0606978403536118</v>
      </c>
      <c r="R40" s="17"/>
    </row>
    <row r="41" spans="1:18" x14ac:dyDescent="0.25">
      <c r="A41" s="8">
        <v>1.7781512503836436</v>
      </c>
      <c r="B41">
        <v>2.6532125137753435</v>
      </c>
      <c r="C41">
        <v>4.6434526764861879</v>
      </c>
      <c r="D41">
        <v>6.1139433523068369</v>
      </c>
      <c r="E41">
        <v>7.2787536009528289</v>
      </c>
      <c r="R41" s="17"/>
    </row>
    <row r="42" spans="1:18" x14ac:dyDescent="0.25">
      <c r="A42" s="8">
        <v>1.7781512503836436</v>
      </c>
      <c r="B42">
        <v>2.6020599913279625</v>
      </c>
      <c r="C42">
        <v>4.7323937598229682</v>
      </c>
      <c r="D42">
        <v>5.8450980400142569</v>
      </c>
      <c r="E42">
        <v>7.2304489213782741</v>
      </c>
      <c r="K42" t="s">
        <v>16</v>
      </c>
      <c r="L42" s="11">
        <v>0</v>
      </c>
      <c r="M42" s="11">
        <v>3</v>
      </c>
      <c r="N42" s="11">
        <v>6</v>
      </c>
      <c r="O42" s="11">
        <v>9</v>
      </c>
      <c r="P42" s="11">
        <v>12</v>
      </c>
      <c r="R42" s="17"/>
    </row>
    <row r="43" spans="1:18" x14ac:dyDescent="0.25">
      <c r="A43" s="8">
        <v>1.9030899869919435</v>
      </c>
      <c r="B43">
        <v>2.6989700043360187</v>
      </c>
      <c r="C43">
        <v>4.5440680443502757</v>
      </c>
      <c r="D43">
        <v>6</v>
      </c>
      <c r="E43">
        <v>7.0413926851582254</v>
      </c>
      <c r="K43" t="s">
        <v>24</v>
      </c>
      <c r="L43" s="14">
        <v>1.9985450648658503</v>
      </c>
      <c r="M43" s="14">
        <v>2.2214916758114702</v>
      </c>
      <c r="N43" s="14">
        <v>4.2145828951531756</v>
      </c>
      <c r="O43" s="14">
        <v>5.323384053442032</v>
      </c>
      <c r="P43" s="14">
        <v>6.1152238847862552</v>
      </c>
      <c r="R43" s="17"/>
    </row>
    <row r="44" spans="1:18" x14ac:dyDescent="0.25">
      <c r="A44" s="8">
        <v>1.7781512503836436</v>
      </c>
      <c r="B44">
        <v>2.9294189257142929</v>
      </c>
      <c r="C44">
        <v>4.8750612633917001</v>
      </c>
      <c r="D44">
        <v>6.3617278360175931</v>
      </c>
      <c r="E44">
        <v>7.653212513775344</v>
      </c>
      <c r="K44" t="s">
        <v>19</v>
      </c>
      <c r="L44" s="14">
        <v>1.9178610196309691</v>
      </c>
      <c r="M44" s="14">
        <v>2.1646869670901401</v>
      </c>
      <c r="N44" s="14">
        <v>4.0041384582541442</v>
      </c>
      <c r="O44" s="14">
        <v>5.0006050561938125</v>
      </c>
      <c r="P44" s="14">
        <v>6.0464248099573634</v>
      </c>
      <c r="R44" s="17"/>
    </row>
    <row r="45" spans="1:18" x14ac:dyDescent="0.25">
      <c r="A45" s="8">
        <v>1.9030899869919435</v>
      </c>
      <c r="B45">
        <v>2.8450980400142569</v>
      </c>
      <c r="C45">
        <v>4.8195439355418683</v>
      </c>
      <c r="D45">
        <v>6.3010299956639813</v>
      </c>
      <c r="E45">
        <v>7.7708520116421438</v>
      </c>
      <c r="K45" t="s">
        <v>20</v>
      </c>
      <c r="L45" s="14">
        <v>1.9178610196309691</v>
      </c>
      <c r="M45" s="14">
        <v>2.0870240410202898</v>
      </c>
      <c r="N45" s="14">
        <v>3.924070550649339</v>
      </c>
      <c r="O45" s="14">
        <v>4.9325650619751702</v>
      </c>
      <c r="P45" s="14">
        <v>6.0742214855725631</v>
      </c>
      <c r="R45" s="17"/>
    </row>
    <row r="46" spans="1:18" x14ac:dyDescent="0.25">
      <c r="A46" s="8">
        <v>2</v>
      </c>
      <c r="B46">
        <v>2.8129133566428557</v>
      </c>
      <c r="C46">
        <v>4.8864907251724823</v>
      </c>
      <c r="D46">
        <v>6.2552725051033065</v>
      </c>
      <c r="E46">
        <v>7.6812412373755876</v>
      </c>
      <c r="K46" t="s">
        <v>21</v>
      </c>
      <c r="L46" s="14">
        <v>1.8197974959197436</v>
      </c>
      <c r="M46" s="14">
        <v>1.9514141698131084</v>
      </c>
      <c r="N46" s="14">
        <v>3.6399714935531442</v>
      </c>
      <c r="O46" s="14">
        <v>4.3863471307736983</v>
      </c>
      <c r="P46" s="14">
        <v>5.183531735829777</v>
      </c>
      <c r="R46" s="17"/>
    </row>
    <row r="47" spans="1:18" x14ac:dyDescent="0.25">
      <c r="A47" s="8">
        <v>1.7781512503836436</v>
      </c>
      <c r="B47">
        <v>2.5185139398778875</v>
      </c>
      <c r="C47">
        <v>4.0791812460476251</v>
      </c>
      <c r="D47">
        <v>5.2787536009528289</v>
      </c>
      <c r="E47">
        <v>6.1760912590556813</v>
      </c>
      <c r="K47" t="s">
        <v>22</v>
      </c>
      <c r="L47" s="14">
        <v>1.8937470791251958</v>
      </c>
      <c r="M47" s="14">
        <v>2.1624767741238022</v>
      </c>
      <c r="N47" s="14">
        <v>3.8603653080353508</v>
      </c>
      <c r="O47" s="14">
        <v>4.7060101122616267</v>
      </c>
      <c r="P47" s="14">
        <v>5.7017685875976918</v>
      </c>
      <c r="R47" s="17"/>
    </row>
    <row r="48" spans="1:18" x14ac:dyDescent="0.25">
      <c r="A48" s="8">
        <v>1.6989700043360187</v>
      </c>
      <c r="B48">
        <v>2.6020599913279625</v>
      </c>
      <c r="C48">
        <v>4.1461280356782382</v>
      </c>
      <c r="D48">
        <v>5.3424226808222066</v>
      </c>
      <c r="E48">
        <v>6.2304489213782741</v>
      </c>
      <c r="K48" t="s">
        <v>23</v>
      </c>
      <c r="L48" s="14">
        <v>1.6930604153492084</v>
      </c>
      <c r="M48" s="14">
        <v>1.8629252184242817</v>
      </c>
      <c r="N48" s="14">
        <v>3.042799756239269</v>
      </c>
      <c r="O48" s="14">
        <v>3.645039878027291</v>
      </c>
      <c r="P48" s="14">
        <v>4.2358567253659798</v>
      </c>
      <c r="R48" s="17"/>
    </row>
    <row r="49" spans="1:18" x14ac:dyDescent="0.25">
      <c r="A49" s="8">
        <v>1.6020599913279623</v>
      </c>
      <c r="B49">
        <v>2.568201724066995</v>
      </c>
      <c r="C49">
        <v>3.9030899869919438</v>
      </c>
      <c r="D49">
        <v>5.1139433523068369</v>
      </c>
      <c r="E49">
        <v>6.3010299956639813</v>
      </c>
      <c r="L49" s="14"/>
      <c r="M49" s="14"/>
      <c r="N49" s="14"/>
      <c r="O49" s="14"/>
      <c r="P49" s="14"/>
      <c r="R49" s="17"/>
    </row>
    <row r="50" spans="1:18" x14ac:dyDescent="0.25">
      <c r="L50" s="14"/>
      <c r="M50" s="14"/>
      <c r="N50" s="14"/>
      <c r="O50" s="14"/>
      <c r="P50" s="14"/>
      <c r="R50" s="17"/>
    </row>
    <row r="51" spans="1:18" x14ac:dyDescent="0.25">
      <c r="L51" s="14"/>
      <c r="M51" s="14"/>
      <c r="N51" s="14"/>
      <c r="O51" s="14"/>
      <c r="P51" s="14">
        <f>P43-P48</f>
        <v>1.8793671594202754</v>
      </c>
      <c r="R51" s="17"/>
    </row>
    <row r="52" spans="1:18" x14ac:dyDescent="0.25">
      <c r="L52" s="14"/>
      <c r="M52" s="14"/>
      <c r="N52" s="14"/>
      <c r="O52" s="14"/>
      <c r="P52" s="14"/>
      <c r="R52" s="17"/>
    </row>
    <row r="53" spans="1:18" x14ac:dyDescent="0.25">
      <c r="L53" s="14"/>
      <c r="M53" s="14"/>
      <c r="N53" s="14"/>
      <c r="O53" s="14"/>
      <c r="P53" s="14"/>
      <c r="R53" s="17"/>
    </row>
    <row r="54" spans="1:18" x14ac:dyDescent="0.25">
      <c r="L54" s="14"/>
      <c r="M54" s="14"/>
      <c r="N54" s="14"/>
      <c r="O54" s="14"/>
      <c r="P54" s="14"/>
      <c r="R54" s="17"/>
    </row>
    <row r="55" spans="1:18" x14ac:dyDescent="0.25">
      <c r="L55" s="14"/>
      <c r="M55" s="14"/>
      <c r="N55" s="14"/>
      <c r="O55" s="14"/>
      <c r="P55" s="14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4910-C1F3-4A0A-8F07-236DFBE6F639}">
  <dimension ref="A1:AA59"/>
  <sheetViews>
    <sheetView topLeftCell="A60" zoomScaleNormal="100" workbookViewId="0">
      <selection activeCell="I40" sqref="I40"/>
    </sheetView>
  </sheetViews>
  <sheetFormatPr defaultRowHeight="15" x14ac:dyDescent="0.25"/>
  <cols>
    <col min="1" max="1" width="14.85546875" bestFit="1" customWidth="1"/>
    <col min="2" max="2" width="14.85546875" customWidth="1"/>
    <col min="4" max="4" width="16.28515625" bestFit="1" customWidth="1"/>
    <col min="12" max="12" width="0" hidden="1" customWidth="1"/>
    <col min="17" max="17" width="0" hidden="1" customWidth="1"/>
  </cols>
  <sheetData>
    <row r="1" spans="1:27" x14ac:dyDescent="0.25">
      <c r="C1" s="6" t="s">
        <v>15</v>
      </c>
      <c r="H1" s="6" t="s">
        <v>9</v>
      </c>
      <c r="M1" s="6" t="s">
        <v>10</v>
      </c>
      <c r="R1" s="6" t="s">
        <v>11</v>
      </c>
      <c r="X1" s="6" t="s">
        <v>12</v>
      </c>
    </row>
    <row r="2" spans="1:27" x14ac:dyDescent="0.25">
      <c r="A2" t="s">
        <v>3</v>
      </c>
      <c r="D2" t="s">
        <v>0</v>
      </c>
      <c r="E2" t="s">
        <v>1</v>
      </c>
      <c r="F2" t="s">
        <v>2</v>
      </c>
      <c r="I2" t="s">
        <v>0</v>
      </c>
      <c r="J2" t="s">
        <v>1</v>
      </c>
      <c r="K2" t="s">
        <v>2</v>
      </c>
      <c r="N2" t="s">
        <v>0</v>
      </c>
      <c r="O2" t="s">
        <v>1</v>
      </c>
      <c r="P2" t="s">
        <v>2</v>
      </c>
      <c r="S2" t="s">
        <v>0</v>
      </c>
      <c r="T2" t="s">
        <v>13</v>
      </c>
      <c r="U2" t="s">
        <v>2</v>
      </c>
      <c r="Y2" t="s">
        <v>0</v>
      </c>
      <c r="Z2" t="s">
        <v>1</v>
      </c>
      <c r="AA2" t="s">
        <v>2</v>
      </c>
    </row>
    <row r="3" spans="1:27" x14ac:dyDescent="0.25">
      <c r="C3">
        <v>470</v>
      </c>
      <c r="D3">
        <f>LOG10(C3)</f>
        <v>2.6720978579357175</v>
      </c>
      <c r="E3">
        <f>AVERAGE(D3:D5)</f>
        <v>2.6231261386871125</v>
      </c>
      <c r="F3">
        <f>STDEV(D3:D5)</f>
        <v>6.9114403463699625E-2</v>
      </c>
      <c r="G3">
        <v>60</v>
      </c>
      <c r="H3">
        <f>G3*10^2</f>
        <v>6000</v>
      </c>
      <c r="I3">
        <f>LOG10(H3)</f>
        <v>3.7781512503836434</v>
      </c>
      <c r="J3">
        <f>AVERAGE(I3:I5)</f>
        <v>3.7417697605752878</v>
      </c>
      <c r="K3">
        <f>STDEV(I3:I5)</f>
        <v>3.9978907431259994E-2</v>
      </c>
      <c r="L3">
        <v>88</v>
      </c>
      <c r="M3">
        <f>L3*10^3</f>
        <v>88000</v>
      </c>
      <c r="N3">
        <f>LOG10(M3)</f>
        <v>4.9444826721501682</v>
      </c>
      <c r="O3">
        <f>AVERAGE(N3:N5)</f>
        <v>4.9245954816603978</v>
      </c>
      <c r="P3">
        <f>STDEV(N3:N5)</f>
        <v>4.3174560687932274E-2</v>
      </c>
      <c r="Q3">
        <v>23</v>
      </c>
      <c r="R3">
        <f>Q3*10^5</f>
        <v>2300000</v>
      </c>
      <c r="S3">
        <f>LOG10(R3)</f>
        <v>6.3617278360175931</v>
      </c>
      <c r="T3">
        <f>AVERAGE(S3:S5)</f>
        <v>6.4234042849654145</v>
      </c>
      <c r="U3">
        <f>STDEV(S3:S5)</f>
        <v>5.81070155120057E-2</v>
      </c>
      <c r="W3">
        <v>50</v>
      </c>
      <c r="X3">
        <f>W3*10^6</f>
        <v>50000000</v>
      </c>
      <c r="Y3">
        <f>LOG10(X3)</f>
        <v>7.6989700043360187</v>
      </c>
      <c r="Z3">
        <f>AVERAGE(Y3:Y5)</f>
        <v>7.6545959424485188</v>
      </c>
      <c r="AA3">
        <f>STDEV(Y3:Y5)</f>
        <v>4.8967846411649668E-2</v>
      </c>
    </row>
    <row r="4" spans="1:27" x14ac:dyDescent="0.25">
      <c r="C4">
        <v>350</v>
      </c>
      <c r="D4">
        <f t="shared" ref="D4:D29" si="0">LOG10(C4)</f>
        <v>2.5440680443502757</v>
      </c>
      <c r="G4">
        <v>56</v>
      </c>
      <c r="H4">
        <f t="shared" ref="H4:H29" si="1">G4*10^2</f>
        <v>5600</v>
      </c>
      <c r="I4">
        <f t="shared" ref="I4:I29" si="2">LOG10(H4)</f>
        <v>3.7481880270062002</v>
      </c>
      <c r="L4">
        <v>90</v>
      </c>
      <c r="M4">
        <f t="shared" ref="M4:M29" si="3">L4*10^3</f>
        <v>90000</v>
      </c>
      <c r="N4">
        <f t="shared" ref="N4:N29" si="4">LOG10(M4)</f>
        <v>4.9542425094393252</v>
      </c>
      <c r="Q4">
        <v>30</v>
      </c>
      <c r="R4">
        <f t="shared" ref="R4:R24" si="5">Q4*10^5</f>
        <v>3000000</v>
      </c>
      <c r="S4">
        <f t="shared" ref="S4:S29" si="6">LOG10(R4)</f>
        <v>6.4771212547196626</v>
      </c>
      <c r="W4">
        <v>46</v>
      </c>
      <c r="X4">
        <f t="shared" ref="X4:X24" si="7">W4*10^6</f>
        <v>46000000</v>
      </c>
      <c r="Y4">
        <f t="shared" ref="Y4:Y29" si="8">LOG10(X4)</f>
        <v>7.6627578316815743</v>
      </c>
    </row>
    <row r="5" spans="1:27" x14ac:dyDescent="0.25">
      <c r="C5">
        <v>450</v>
      </c>
      <c r="D5">
        <f t="shared" si="0"/>
        <v>2.6532125137753435</v>
      </c>
      <c r="G5">
        <v>50</v>
      </c>
      <c r="H5">
        <f t="shared" si="1"/>
        <v>5000</v>
      </c>
      <c r="I5">
        <f t="shared" si="2"/>
        <v>3.6989700043360187</v>
      </c>
      <c r="L5">
        <v>75</v>
      </c>
      <c r="M5">
        <f t="shared" si="3"/>
        <v>75000</v>
      </c>
      <c r="N5">
        <f t="shared" si="4"/>
        <v>4.8750612633917001</v>
      </c>
      <c r="Q5">
        <v>27</v>
      </c>
      <c r="R5">
        <f t="shared" si="5"/>
        <v>2700000</v>
      </c>
      <c r="S5">
        <f t="shared" si="6"/>
        <v>6.4313637641589869</v>
      </c>
      <c r="W5">
        <v>40</v>
      </c>
      <c r="X5">
        <f t="shared" si="7"/>
        <v>40000000</v>
      </c>
      <c r="Y5">
        <f t="shared" si="8"/>
        <v>7.6020599913279625</v>
      </c>
    </row>
    <row r="7" spans="1:27" x14ac:dyDescent="0.25">
      <c r="A7" t="s">
        <v>4</v>
      </c>
      <c r="C7">
        <v>380</v>
      </c>
      <c r="D7">
        <f t="shared" si="0"/>
        <v>2.5797835966168101</v>
      </c>
      <c r="E7">
        <f>AVERAGE(D7:D9)</f>
        <v>2.5464490048393595</v>
      </c>
      <c r="F7">
        <f>STDEV(D7:D9)</f>
        <v>4.8057193200065192E-2</v>
      </c>
      <c r="G7">
        <v>29</v>
      </c>
      <c r="H7">
        <f t="shared" si="1"/>
        <v>2900</v>
      </c>
      <c r="I7">
        <f t="shared" si="2"/>
        <v>3.4623979978989561</v>
      </c>
      <c r="J7">
        <f>AVERAGE(I7:I9)</f>
        <v>3.5239921816011144</v>
      </c>
      <c r="K7">
        <f>STDEV(I7:I9)</f>
        <v>6.4508002801036718E-2</v>
      </c>
      <c r="L7">
        <v>59</v>
      </c>
      <c r="M7">
        <f t="shared" si="3"/>
        <v>59000</v>
      </c>
      <c r="N7">
        <f t="shared" si="4"/>
        <v>4.7708520116421438</v>
      </c>
      <c r="O7">
        <f>AVERAGE(N7:N9)</f>
        <v>4.7674436428947997</v>
      </c>
      <c r="P7">
        <f>STDEV(N7:N9)</f>
        <v>6.6834667241752355E-2</v>
      </c>
      <c r="Q7">
        <v>19</v>
      </c>
      <c r="R7">
        <f t="shared" si="5"/>
        <v>1900000</v>
      </c>
      <c r="S7">
        <f t="shared" si="6"/>
        <v>6.2787536009528289</v>
      </c>
      <c r="T7">
        <f>AVERAGE(S7:S9)</f>
        <v>6.2196549475548117</v>
      </c>
      <c r="U7">
        <f>STDEV(S7:S9)</f>
        <v>5.3064964541201146E-2</v>
      </c>
      <c r="W7">
        <v>23</v>
      </c>
      <c r="X7">
        <f t="shared" si="7"/>
        <v>23000000</v>
      </c>
      <c r="Y7">
        <f t="shared" si="8"/>
        <v>7.3617278360175931</v>
      </c>
      <c r="Z7">
        <f>AVERAGE(Y7:Y9)</f>
        <v>7.4122630331364308</v>
      </c>
      <c r="AA7">
        <f>STDEV(Y7:Y9)</f>
        <v>5.9015015396875863E-2</v>
      </c>
    </row>
    <row r="8" spans="1:27" x14ac:dyDescent="0.25">
      <c r="C8">
        <v>370</v>
      </c>
      <c r="D8">
        <f t="shared" si="0"/>
        <v>2.568201724066995</v>
      </c>
      <c r="G8">
        <v>33</v>
      </c>
      <c r="H8">
        <f t="shared" si="1"/>
        <v>3300</v>
      </c>
      <c r="I8">
        <f t="shared" si="2"/>
        <v>3.5185139398778875</v>
      </c>
      <c r="L8">
        <v>68</v>
      </c>
      <c r="M8">
        <f t="shared" si="3"/>
        <v>68000</v>
      </c>
      <c r="N8">
        <f t="shared" si="4"/>
        <v>4.8325089127062366</v>
      </c>
      <c r="Q8">
        <v>15</v>
      </c>
      <c r="R8">
        <f t="shared" si="5"/>
        <v>1500000</v>
      </c>
      <c r="S8">
        <f t="shared" si="6"/>
        <v>6.1760912590556813</v>
      </c>
      <c r="W8">
        <v>30</v>
      </c>
      <c r="X8">
        <f t="shared" si="7"/>
        <v>30000000</v>
      </c>
      <c r="Y8">
        <f t="shared" si="8"/>
        <v>7.4771212547196626</v>
      </c>
    </row>
    <row r="9" spans="1:27" x14ac:dyDescent="0.25">
      <c r="C9">
        <v>310</v>
      </c>
      <c r="D9">
        <f t="shared" si="0"/>
        <v>2.4913616938342726</v>
      </c>
      <c r="G9">
        <v>39</v>
      </c>
      <c r="H9">
        <f t="shared" si="1"/>
        <v>3900</v>
      </c>
      <c r="I9">
        <f t="shared" si="2"/>
        <v>3.5910646070264991</v>
      </c>
      <c r="L9">
        <v>50</v>
      </c>
      <c r="M9">
        <f t="shared" si="3"/>
        <v>50000</v>
      </c>
      <c r="N9">
        <f t="shared" si="4"/>
        <v>4.6989700043360187</v>
      </c>
      <c r="Q9">
        <v>16</v>
      </c>
      <c r="R9">
        <f t="shared" si="5"/>
        <v>1600000</v>
      </c>
      <c r="S9">
        <f t="shared" si="6"/>
        <v>6.204119982655925</v>
      </c>
      <c r="W9">
        <v>25</v>
      </c>
      <c r="X9">
        <f t="shared" si="7"/>
        <v>25000000</v>
      </c>
      <c r="Y9">
        <f t="shared" si="8"/>
        <v>7.3979400086720375</v>
      </c>
    </row>
    <row r="12" spans="1:27" x14ac:dyDescent="0.25">
      <c r="A12" t="s">
        <v>5</v>
      </c>
      <c r="C12">
        <v>420</v>
      </c>
      <c r="D12">
        <f t="shared" si="0"/>
        <v>2.6232492903979003</v>
      </c>
      <c r="E12">
        <f>AVERAGE(D12:D14)</f>
        <v>2.5938705941643838</v>
      </c>
      <c r="F12">
        <f>STDEV(D12:D14)</f>
        <v>3.4216484768142368E-2</v>
      </c>
      <c r="G12">
        <v>33</v>
      </c>
      <c r="H12">
        <f t="shared" si="1"/>
        <v>3300</v>
      </c>
      <c r="I12">
        <f t="shared" si="2"/>
        <v>3.5185139398778875</v>
      </c>
      <c r="J12">
        <f>AVERAGE(I12:I14)</f>
        <v>3.5511094367327822</v>
      </c>
      <c r="K12">
        <f>STDEV(I12:I14)</f>
        <v>8.1115760259146699E-2</v>
      </c>
      <c r="L12">
        <v>69</v>
      </c>
      <c r="M12">
        <f t="shared" si="3"/>
        <v>69000</v>
      </c>
      <c r="N12">
        <f t="shared" si="4"/>
        <v>4.8388490907372557</v>
      </c>
      <c r="O12">
        <f>AVERAGE(N12:N14)</f>
        <v>4.8230923219207602</v>
      </c>
      <c r="P12">
        <f>STDEV(N12:N14)</f>
        <v>3.28521902616426E-2</v>
      </c>
      <c r="Q12">
        <v>13</v>
      </c>
      <c r="R12">
        <f t="shared" si="5"/>
        <v>1300000</v>
      </c>
      <c r="S12">
        <f t="shared" si="6"/>
        <v>6.1139433523068369</v>
      </c>
      <c r="T12">
        <f>AVERAGE(S12:S14)</f>
        <v>6.1828374187803448</v>
      </c>
      <c r="U12">
        <f>STDEV(S12:S14)</f>
        <v>6.1099079780332619E-2</v>
      </c>
      <c r="W12">
        <v>33</v>
      </c>
      <c r="X12">
        <f t="shared" si="7"/>
        <v>33000000</v>
      </c>
      <c r="Y12">
        <f t="shared" si="8"/>
        <v>7.5185139398778871</v>
      </c>
      <c r="Z12">
        <f>AVERAGE(Y12:Y14)</f>
        <v>7.5686782202381169</v>
      </c>
      <c r="AA12">
        <f>STDEV(Y12:Y14)</f>
        <v>6.6005056959618252E-2</v>
      </c>
    </row>
    <row r="13" spans="1:27" x14ac:dyDescent="0.25">
      <c r="C13">
        <v>400</v>
      </c>
      <c r="D13">
        <f t="shared" si="0"/>
        <v>2.6020599913279625</v>
      </c>
      <c r="G13">
        <v>44</v>
      </c>
      <c r="H13">
        <f t="shared" si="1"/>
        <v>4400</v>
      </c>
      <c r="I13">
        <f t="shared" si="2"/>
        <v>3.6434526764861874</v>
      </c>
      <c r="L13">
        <v>70</v>
      </c>
      <c r="M13">
        <f t="shared" si="3"/>
        <v>70000</v>
      </c>
      <c r="N13">
        <f t="shared" si="4"/>
        <v>4.8450980400142569</v>
      </c>
      <c r="Q13">
        <v>16</v>
      </c>
      <c r="R13">
        <f t="shared" si="5"/>
        <v>1600000</v>
      </c>
      <c r="S13">
        <f t="shared" si="6"/>
        <v>6.204119982655925</v>
      </c>
      <c r="W13">
        <v>35</v>
      </c>
      <c r="X13">
        <f t="shared" si="7"/>
        <v>35000000</v>
      </c>
      <c r="Y13">
        <f t="shared" si="8"/>
        <v>7.5440680443502757</v>
      </c>
    </row>
    <row r="14" spans="1:27" x14ac:dyDescent="0.25">
      <c r="C14">
        <v>360</v>
      </c>
      <c r="D14">
        <f t="shared" si="0"/>
        <v>2.5563025007672873</v>
      </c>
      <c r="G14">
        <v>31</v>
      </c>
      <c r="H14">
        <f t="shared" si="1"/>
        <v>3100</v>
      </c>
      <c r="I14">
        <f t="shared" si="2"/>
        <v>3.4913616938342726</v>
      </c>
      <c r="L14">
        <v>61</v>
      </c>
      <c r="M14">
        <f t="shared" si="3"/>
        <v>61000</v>
      </c>
      <c r="N14">
        <f t="shared" si="4"/>
        <v>4.7853298350107671</v>
      </c>
      <c r="Q14">
        <v>17</v>
      </c>
      <c r="R14">
        <f t="shared" si="5"/>
        <v>1700000</v>
      </c>
      <c r="S14">
        <f t="shared" si="6"/>
        <v>6.2304489213782741</v>
      </c>
      <c r="W14">
        <v>44</v>
      </c>
      <c r="X14">
        <f t="shared" si="7"/>
        <v>44000000</v>
      </c>
      <c r="Y14">
        <f t="shared" si="8"/>
        <v>7.6434526764861879</v>
      </c>
    </row>
    <row r="17" spans="1:27" x14ac:dyDescent="0.25">
      <c r="A17" t="s">
        <v>6</v>
      </c>
      <c r="C17">
        <v>330</v>
      </c>
      <c r="D17">
        <f t="shared" si="0"/>
        <v>2.5185139398778875</v>
      </c>
      <c r="E17">
        <f>AVERAGE(D17:D19)</f>
        <v>2.5132344129826087</v>
      </c>
      <c r="F17">
        <f>STDEV(D17:D19)</f>
        <v>3.3784215451004192E-2</v>
      </c>
      <c r="G17">
        <v>15</v>
      </c>
      <c r="H17">
        <f t="shared" si="1"/>
        <v>1500</v>
      </c>
      <c r="I17">
        <f t="shared" si="2"/>
        <v>3.1760912590556813</v>
      </c>
      <c r="J17">
        <f>AVERAGE(I17:I19)</f>
        <v>3.2511943529643026</v>
      </c>
      <c r="K17">
        <f>STDEV(I17:I19)</f>
        <v>7.3149328065585995E-2</v>
      </c>
      <c r="L17">
        <v>16</v>
      </c>
      <c r="M17">
        <f t="shared" si="3"/>
        <v>16000</v>
      </c>
      <c r="N17">
        <f t="shared" si="4"/>
        <v>4.204119982655925</v>
      </c>
      <c r="O17">
        <f>AVERAGE(N17:N19)</f>
        <v>4.3067077754302412</v>
      </c>
      <c r="P17">
        <f>STDEV(N17:N19)</f>
        <v>0.1055412871982314</v>
      </c>
      <c r="Q17">
        <v>8</v>
      </c>
      <c r="R17">
        <f t="shared" si="5"/>
        <v>800000</v>
      </c>
      <c r="S17">
        <f t="shared" si="6"/>
        <v>5.9030899869919438</v>
      </c>
      <c r="T17">
        <f>AVERAGE(S17:S19)</f>
        <v>5.9160626756687336</v>
      </c>
      <c r="U17">
        <f>STDEV(S17:S19)</f>
        <v>7.8261563302076134E-2</v>
      </c>
      <c r="W17">
        <v>19</v>
      </c>
      <c r="X17">
        <f t="shared" si="7"/>
        <v>19000000</v>
      </c>
      <c r="Y17">
        <f t="shared" si="8"/>
        <v>7.2787536009528289</v>
      </c>
      <c r="Z17">
        <f>AVERAGE(Y17:Y19)</f>
        <v>7.2683642927808911</v>
      </c>
      <c r="AA17">
        <f>STDEV(Y17:Y19)</f>
        <v>5.9731190943614246E-2</v>
      </c>
    </row>
    <row r="18" spans="1:27" x14ac:dyDescent="0.25">
      <c r="C18">
        <v>300</v>
      </c>
      <c r="D18">
        <f t="shared" si="0"/>
        <v>2.4771212547196626</v>
      </c>
      <c r="G18">
        <v>21</v>
      </c>
      <c r="H18">
        <f t="shared" si="1"/>
        <v>2100</v>
      </c>
      <c r="I18">
        <f t="shared" si="2"/>
        <v>3.3222192947339191</v>
      </c>
      <c r="L18">
        <v>26</v>
      </c>
      <c r="M18">
        <f t="shared" si="3"/>
        <v>26000</v>
      </c>
      <c r="N18">
        <f t="shared" si="4"/>
        <v>4.4149733479708182</v>
      </c>
      <c r="Q18">
        <v>7</v>
      </c>
      <c r="R18">
        <f t="shared" si="5"/>
        <v>700000</v>
      </c>
      <c r="S18">
        <f t="shared" si="6"/>
        <v>5.8450980400142569</v>
      </c>
      <c r="W18">
        <v>21</v>
      </c>
      <c r="X18">
        <f t="shared" si="7"/>
        <v>21000000</v>
      </c>
      <c r="Y18">
        <f t="shared" si="8"/>
        <v>7.3222192947339195</v>
      </c>
    </row>
    <row r="19" spans="1:27" x14ac:dyDescent="0.25">
      <c r="C19">
        <v>350</v>
      </c>
      <c r="D19">
        <f t="shared" si="0"/>
        <v>2.5440680443502757</v>
      </c>
      <c r="G19">
        <v>18</v>
      </c>
      <c r="H19">
        <f t="shared" si="1"/>
        <v>1800</v>
      </c>
      <c r="I19">
        <f t="shared" si="2"/>
        <v>3.255272505103306</v>
      </c>
      <c r="L19">
        <v>20</v>
      </c>
      <c r="M19">
        <f t="shared" si="3"/>
        <v>20000</v>
      </c>
      <c r="N19">
        <f t="shared" si="4"/>
        <v>4.3010299956639813</v>
      </c>
      <c r="Q19">
        <v>10</v>
      </c>
      <c r="R19">
        <f t="shared" si="5"/>
        <v>1000000</v>
      </c>
      <c r="S19">
        <f t="shared" si="6"/>
        <v>6</v>
      </c>
      <c r="W19">
        <v>16</v>
      </c>
      <c r="X19">
        <f t="shared" si="7"/>
        <v>16000000</v>
      </c>
      <c r="Y19">
        <f t="shared" si="8"/>
        <v>7.204119982655925</v>
      </c>
    </row>
    <row r="22" spans="1:27" x14ac:dyDescent="0.25">
      <c r="A22" t="s">
        <v>7</v>
      </c>
      <c r="C22">
        <v>350</v>
      </c>
      <c r="D22">
        <f t="shared" si="0"/>
        <v>2.5440680443502757</v>
      </c>
      <c r="E22">
        <f>AVERAGE(D22:D24)</f>
        <v>2.5619437582086881</v>
      </c>
      <c r="F22">
        <f>STDEV(D22:D24)</f>
        <v>5.460795978241962E-2</v>
      </c>
      <c r="G22">
        <v>22</v>
      </c>
      <c r="H22">
        <f t="shared" si="1"/>
        <v>2200</v>
      </c>
      <c r="I22">
        <f t="shared" si="2"/>
        <v>3.3424226808222062</v>
      </c>
      <c r="J22">
        <f>AVERAGE(I22:I24)</f>
        <v>3.3412213060659313</v>
      </c>
      <c r="K22">
        <f>STDEV(I22:I24)</f>
        <v>3.9604291527464301E-2</v>
      </c>
      <c r="L22">
        <v>56</v>
      </c>
      <c r="M22">
        <f t="shared" si="3"/>
        <v>56000</v>
      </c>
      <c r="N22">
        <f t="shared" si="4"/>
        <v>4.7481880270062007</v>
      </c>
      <c r="O22">
        <f>AVERAGE(N22:N24)</f>
        <v>4.7339373668658835</v>
      </c>
      <c r="P22">
        <f>STDEV(N22:N24)</f>
        <v>3.8639866405105694E-2</v>
      </c>
      <c r="Q22">
        <v>15</v>
      </c>
      <c r="R22">
        <f t="shared" si="5"/>
        <v>1500000</v>
      </c>
      <c r="S22">
        <f t="shared" si="6"/>
        <v>6.1760912590556813</v>
      </c>
      <c r="T22">
        <f>AVERAGE(S22:S24)</f>
        <v>6.1104757655069148</v>
      </c>
      <c r="U22">
        <f>STDEV(S22:S24)</f>
        <v>6.7416204069669708E-2</v>
      </c>
      <c r="W22">
        <v>25</v>
      </c>
      <c r="X22">
        <f t="shared" si="7"/>
        <v>25000000</v>
      </c>
      <c r="Y22">
        <f t="shared" si="8"/>
        <v>7.3979400086720375</v>
      </c>
      <c r="Z22">
        <f>AVERAGE(Y22:Y24)</f>
        <v>7.4354750091835626</v>
      </c>
      <c r="AA22">
        <f>STDEV(Y22:Y24)</f>
        <v>3.9750398528224956E-2</v>
      </c>
    </row>
    <row r="23" spans="1:27" x14ac:dyDescent="0.25">
      <c r="C23">
        <v>420</v>
      </c>
      <c r="D23">
        <f t="shared" si="0"/>
        <v>2.6232492903979003</v>
      </c>
      <c r="G23">
        <v>20</v>
      </c>
      <c r="H23">
        <f t="shared" si="1"/>
        <v>2000</v>
      </c>
      <c r="I23">
        <f t="shared" si="2"/>
        <v>3.3010299956639813</v>
      </c>
      <c r="L23">
        <v>49</v>
      </c>
      <c r="M23">
        <f t="shared" si="3"/>
        <v>49000</v>
      </c>
      <c r="N23">
        <f t="shared" si="4"/>
        <v>4.6901960800285138</v>
      </c>
      <c r="Q23">
        <v>13</v>
      </c>
      <c r="R23">
        <f t="shared" si="5"/>
        <v>1300000</v>
      </c>
      <c r="S23">
        <f t="shared" si="6"/>
        <v>6.1139433523068369</v>
      </c>
      <c r="W23">
        <v>27</v>
      </c>
      <c r="X23">
        <f t="shared" si="7"/>
        <v>27000000</v>
      </c>
      <c r="Y23">
        <f t="shared" si="8"/>
        <v>7.4313637641589869</v>
      </c>
    </row>
    <row r="24" spans="1:27" x14ac:dyDescent="0.25">
      <c r="C24">
        <v>330</v>
      </c>
      <c r="D24">
        <f t="shared" si="0"/>
        <v>2.5185139398778875</v>
      </c>
      <c r="G24">
        <v>24</v>
      </c>
      <c r="H24">
        <f t="shared" si="1"/>
        <v>2400</v>
      </c>
      <c r="I24">
        <f t="shared" si="2"/>
        <v>3.3802112417116059</v>
      </c>
      <c r="L24">
        <v>58</v>
      </c>
      <c r="M24">
        <f t="shared" si="3"/>
        <v>58000</v>
      </c>
      <c r="N24">
        <f t="shared" si="4"/>
        <v>4.7634279935629369</v>
      </c>
      <c r="Q24">
        <v>11</v>
      </c>
      <c r="R24">
        <f t="shared" si="5"/>
        <v>1100000</v>
      </c>
      <c r="S24">
        <f t="shared" si="6"/>
        <v>6.0413926851582254</v>
      </c>
      <c r="W24">
        <v>30</v>
      </c>
      <c r="X24">
        <f t="shared" si="7"/>
        <v>30000000</v>
      </c>
      <c r="Y24">
        <f t="shared" si="8"/>
        <v>7.4771212547196626</v>
      </c>
    </row>
    <row r="27" spans="1:27" x14ac:dyDescent="0.25">
      <c r="A27" t="s">
        <v>8</v>
      </c>
      <c r="C27">
        <v>270</v>
      </c>
      <c r="D27">
        <f t="shared" si="0"/>
        <v>2.4313637641589874</v>
      </c>
      <c r="E27">
        <f>AVERAGE(D27:D29)</f>
        <v>2.4979819161290502</v>
      </c>
      <c r="F27">
        <f>STDEV(D27:D29)</f>
        <v>5.9090918868944839E-2</v>
      </c>
      <c r="G27">
        <v>5</v>
      </c>
      <c r="H27">
        <f t="shared" si="1"/>
        <v>500</v>
      </c>
      <c r="I27">
        <f t="shared" si="2"/>
        <v>2.6989700043360187</v>
      </c>
      <c r="J27">
        <f>AVERAGE(I27:I29)</f>
        <v>2.81571934378074</v>
      </c>
      <c r="K27">
        <f>STDEV(I27:I29)</f>
        <v>0.10518351902341801</v>
      </c>
      <c r="L27">
        <v>6</v>
      </c>
      <c r="M27">
        <f t="shared" si="3"/>
        <v>6000</v>
      </c>
      <c r="N27">
        <f t="shared" si="4"/>
        <v>3.7781512503836434</v>
      </c>
      <c r="O27">
        <f>AVERAGE(N27:N29)</f>
        <v>3.733456848372521</v>
      </c>
      <c r="P27">
        <f>STDEV(N27:N29)</f>
        <v>0.13946713427383217</v>
      </c>
      <c r="Q27">
        <v>4</v>
      </c>
      <c r="R27">
        <f>Q27*10^4</f>
        <v>40000</v>
      </c>
      <c r="S27">
        <f t="shared" si="6"/>
        <v>4.6020599913279625</v>
      </c>
      <c r="T27">
        <f>AVERAGE(S27:S29)</f>
        <v>4.5683833261066349</v>
      </c>
      <c r="U27">
        <f>STDEV(S27:S29)</f>
        <v>5.83296951928262E-2</v>
      </c>
      <c r="W27">
        <v>4</v>
      </c>
      <c r="X27">
        <f>W27*10^5.11</f>
        <v>515299.82067725499</v>
      </c>
      <c r="Y27">
        <f t="shared" si="8"/>
        <v>5.7120599913279637</v>
      </c>
      <c r="Z27">
        <f>AVERAGE(Y27:Y29)</f>
        <v>5.837133513593848</v>
      </c>
      <c r="AA27">
        <f>STDEV(Y27:Y29)</f>
        <v>0.12128754379785263</v>
      </c>
    </row>
    <row r="28" spans="1:27" x14ac:dyDescent="0.25">
      <c r="C28">
        <v>330</v>
      </c>
      <c r="D28">
        <f t="shared" si="0"/>
        <v>2.5185139398778875</v>
      </c>
      <c r="G28">
        <v>7</v>
      </c>
      <c r="H28">
        <f t="shared" si="1"/>
        <v>700</v>
      </c>
      <c r="I28">
        <f t="shared" si="2"/>
        <v>2.8450980400142569</v>
      </c>
      <c r="L28">
        <v>3</v>
      </c>
      <c r="M28">
        <f>L28*10^3.1</f>
        <v>3776.7762353825037</v>
      </c>
      <c r="N28">
        <f t="shared" si="4"/>
        <v>3.5771212547196627</v>
      </c>
      <c r="Q28">
        <v>2</v>
      </c>
      <c r="R28">
        <f>Q28*10^4.2</f>
        <v>31697.863849222293</v>
      </c>
      <c r="S28">
        <f t="shared" si="6"/>
        <v>4.5010299956639814</v>
      </c>
      <c r="W28">
        <v>7</v>
      </c>
      <c r="X28">
        <f>W28*10^5</f>
        <v>700000</v>
      </c>
      <c r="Y28">
        <f t="shared" si="8"/>
        <v>5.8450980400142569</v>
      </c>
    </row>
    <row r="29" spans="1:27" x14ac:dyDescent="0.25">
      <c r="C29">
        <v>350</v>
      </c>
      <c r="D29">
        <f t="shared" si="0"/>
        <v>2.5440680443502757</v>
      </c>
      <c r="G29">
        <v>8</v>
      </c>
      <c r="H29">
        <f t="shared" si="1"/>
        <v>800</v>
      </c>
      <c r="I29">
        <f t="shared" si="2"/>
        <v>2.9030899869919438</v>
      </c>
      <c r="L29">
        <v>7</v>
      </c>
      <c r="M29">
        <f t="shared" si="3"/>
        <v>7000</v>
      </c>
      <c r="N29">
        <f t="shared" si="4"/>
        <v>3.8450980400142569</v>
      </c>
      <c r="Q29">
        <v>4</v>
      </c>
      <c r="R29">
        <f>Q29*10^4</f>
        <v>40000</v>
      </c>
      <c r="S29">
        <f t="shared" si="6"/>
        <v>4.6020599913279625</v>
      </c>
      <c r="W29">
        <v>9</v>
      </c>
      <c r="X29">
        <f>W29*10^5</f>
        <v>900000</v>
      </c>
      <c r="Y29">
        <f t="shared" si="8"/>
        <v>5.9542425094393252</v>
      </c>
    </row>
    <row r="31" spans="1:27" x14ac:dyDescent="0.25">
      <c r="D31" t="s">
        <v>16</v>
      </c>
      <c r="E31">
        <v>0</v>
      </c>
      <c r="F31">
        <v>3</v>
      </c>
      <c r="G31">
        <v>6</v>
      </c>
      <c r="H31">
        <v>9</v>
      </c>
      <c r="I31">
        <v>12</v>
      </c>
    </row>
    <row r="32" spans="1:27" x14ac:dyDescent="0.25">
      <c r="D32" t="s">
        <v>24</v>
      </c>
      <c r="E32" s="14">
        <v>2.6231261386871125</v>
      </c>
      <c r="F32" s="14">
        <v>3.7417697605752878</v>
      </c>
      <c r="G32" s="14">
        <v>4.9245954816603978</v>
      </c>
      <c r="H32" s="14">
        <v>6.4234042849654145</v>
      </c>
      <c r="I32" s="14">
        <v>7.6545959424485188</v>
      </c>
    </row>
    <row r="33" spans="1:22" x14ac:dyDescent="0.25">
      <c r="D33" t="s">
        <v>19</v>
      </c>
      <c r="E33" s="14">
        <v>2.5464490048393595</v>
      </c>
      <c r="F33" s="14">
        <v>3.5239921816011144</v>
      </c>
      <c r="G33" s="14">
        <v>4.7674436428947997</v>
      </c>
      <c r="H33" s="14">
        <v>6.2196549475548117</v>
      </c>
      <c r="I33" s="14">
        <v>7.4122630331364308</v>
      </c>
    </row>
    <row r="34" spans="1:22" x14ac:dyDescent="0.25">
      <c r="D34" t="s">
        <v>20</v>
      </c>
      <c r="E34" s="14">
        <v>2.5938705941643838</v>
      </c>
      <c r="F34" s="14">
        <v>3.5511094367327822</v>
      </c>
      <c r="G34" s="14">
        <v>4.8230923219207602</v>
      </c>
      <c r="H34" s="14">
        <v>6.1828374187803448</v>
      </c>
      <c r="I34" s="14">
        <v>7.5686782202381169</v>
      </c>
    </row>
    <row r="35" spans="1:22" x14ac:dyDescent="0.25">
      <c r="D35" t="s">
        <v>21</v>
      </c>
      <c r="E35" s="14">
        <v>2.5132344129826087</v>
      </c>
      <c r="F35" s="14">
        <v>3.2511943529643026</v>
      </c>
      <c r="G35" s="14">
        <v>4.3067077754302412</v>
      </c>
      <c r="H35" s="14">
        <v>5.9160626756687336</v>
      </c>
      <c r="I35" s="14">
        <v>7.2683642927808911</v>
      </c>
    </row>
    <row r="36" spans="1:22" x14ac:dyDescent="0.25">
      <c r="D36" t="s">
        <v>22</v>
      </c>
      <c r="E36" s="14">
        <v>2.5619437582086881</v>
      </c>
      <c r="F36" s="14">
        <v>3.3412213060659313</v>
      </c>
      <c r="G36" s="14">
        <v>4.7339373668658835</v>
      </c>
      <c r="H36" s="14">
        <v>6.1104757655069148</v>
      </c>
      <c r="I36" s="14">
        <v>7.4354750091835626</v>
      </c>
    </row>
    <row r="37" spans="1:22" x14ac:dyDescent="0.25">
      <c r="D37" t="s">
        <v>23</v>
      </c>
      <c r="E37" s="14">
        <v>2.4979819161290502</v>
      </c>
      <c r="F37" s="14">
        <v>2.81571934378074</v>
      </c>
      <c r="G37" s="14">
        <v>3.7001235150391878</v>
      </c>
      <c r="H37" s="14">
        <v>4.5017166594399685</v>
      </c>
      <c r="I37" s="14">
        <v>5.8004668469271818</v>
      </c>
    </row>
    <row r="38" spans="1:22" x14ac:dyDescent="0.25">
      <c r="P38" s="9">
        <v>1</v>
      </c>
      <c r="R38">
        <v>6.9114403463699597E-2</v>
      </c>
      <c r="S38">
        <v>3.9978907431259994E-2</v>
      </c>
      <c r="T38">
        <v>4.3174560687932274E-2</v>
      </c>
      <c r="U38">
        <v>5.81070155120057E-2</v>
      </c>
      <c r="V38">
        <v>4.8967846411649668E-2</v>
      </c>
    </row>
    <row r="39" spans="1:22" x14ac:dyDescent="0.25">
      <c r="A39" s="12">
        <v>2.6720978579357175</v>
      </c>
      <c r="B39" s="12">
        <v>3.7781512503836434</v>
      </c>
      <c r="C39">
        <v>4.9444826721501682</v>
      </c>
      <c r="D39">
        <v>6.3617278360175931</v>
      </c>
      <c r="E39">
        <v>7.6989700043360187</v>
      </c>
      <c r="I39" s="14">
        <f>I32-I37</f>
        <v>1.854129095521337</v>
      </c>
      <c r="P39" s="9">
        <v>2</v>
      </c>
      <c r="R39">
        <v>4.8057193200065192E-2</v>
      </c>
      <c r="S39">
        <v>6.4508002801036718E-2</v>
      </c>
      <c r="T39">
        <v>6.6834667241752355E-2</v>
      </c>
      <c r="U39">
        <v>5.3064964541201146E-2</v>
      </c>
      <c r="V39">
        <v>5.9015015396875863E-2</v>
      </c>
    </row>
    <row r="40" spans="1:22" x14ac:dyDescent="0.25">
      <c r="A40" s="12">
        <v>2.5440680443502757</v>
      </c>
      <c r="B40" s="12">
        <v>3.7481880270062002</v>
      </c>
      <c r="C40">
        <v>4.9542425094393252</v>
      </c>
      <c r="D40">
        <v>6.4771212547196626</v>
      </c>
      <c r="E40">
        <v>7.6627578316815743</v>
      </c>
      <c r="P40" s="9">
        <v>3</v>
      </c>
      <c r="R40">
        <v>3.4216484768142368E-2</v>
      </c>
      <c r="S40">
        <v>8.1115760259146699E-2</v>
      </c>
      <c r="T40">
        <v>3.28521902616426E-2</v>
      </c>
      <c r="U40">
        <v>6.1099079780332619E-2</v>
      </c>
      <c r="V40">
        <v>6.6005056959618252E-2</v>
      </c>
    </row>
    <row r="41" spans="1:22" x14ac:dyDescent="0.25">
      <c r="A41" s="12">
        <v>2.6532125137753435</v>
      </c>
      <c r="B41" s="12">
        <v>3.6989700043360187</v>
      </c>
      <c r="C41">
        <v>4.8750612633917001</v>
      </c>
      <c r="D41">
        <v>6.4313637641589869</v>
      </c>
      <c r="E41">
        <v>7.6020599913279625</v>
      </c>
      <c r="P41" s="9">
        <v>4</v>
      </c>
      <c r="R41">
        <v>3.3784215451004192E-2</v>
      </c>
      <c r="S41">
        <v>7.3149328065585995E-2</v>
      </c>
      <c r="T41">
        <v>0.1055412871982314</v>
      </c>
      <c r="U41">
        <v>7.8261563302076134E-2</v>
      </c>
      <c r="V41">
        <v>5.9731190943614246E-2</v>
      </c>
    </row>
    <row r="42" spans="1:22" x14ac:dyDescent="0.25">
      <c r="A42" s="12">
        <v>2.5797835966168101</v>
      </c>
      <c r="B42" s="12">
        <v>3.4623979978989561</v>
      </c>
      <c r="C42">
        <v>4.7708520116421438</v>
      </c>
      <c r="D42">
        <v>6.2787536009528289</v>
      </c>
      <c r="E42">
        <v>7.3617278360175931</v>
      </c>
      <c r="P42" s="9">
        <v>5</v>
      </c>
      <c r="R42">
        <v>5.460795978241962E-2</v>
      </c>
      <c r="S42">
        <v>3.9604291527464301E-2</v>
      </c>
      <c r="T42">
        <v>3.8639866405105694E-2</v>
      </c>
      <c r="U42">
        <v>6.7416204069669708E-2</v>
      </c>
      <c r="V42">
        <v>3.9750398528224956E-2</v>
      </c>
    </row>
    <row r="43" spans="1:22" x14ac:dyDescent="0.25">
      <c r="A43" s="12">
        <v>2.568201724066995</v>
      </c>
      <c r="B43" s="12">
        <v>3.5185139398778875</v>
      </c>
      <c r="C43">
        <v>4.8325089127062366</v>
      </c>
      <c r="D43">
        <v>6.1760912590556813</v>
      </c>
      <c r="E43">
        <v>7.4771212547196626</v>
      </c>
      <c r="P43" s="9">
        <v>6</v>
      </c>
      <c r="R43">
        <v>5.9090918868944839E-2</v>
      </c>
      <c r="S43">
        <v>0.10518351902341801</v>
      </c>
      <c r="T43">
        <v>0.13947000000000001</v>
      </c>
      <c r="U43">
        <v>5.83296951928262E-2</v>
      </c>
      <c r="V43">
        <v>0.12128754379785263</v>
      </c>
    </row>
    <row r="44" spans="1:22" x14ac:dyDescent="0.25">
      <c r="A44" s="12">
        <v>2.4913616938342726</v>
      </c>
      <c r="B44" s="12">
        <v>3.5910646070264991</v>
      </c>
      <c r="C44">
        <v>4.6989700043360187</v>
      </c>
      <c r="D44">
        <v>6.204119982655925</v>
      </c>
      <c r="E44">
        <v>7.3979400086720375</v>
      </c>
    </row>
    <row r="45" spans="1:22" x14ac:dyDescent="0.25">
      <c r="A45" s="12">
        <v>2.6232492903979003</v>
      </c>
      <c r="B45" s="12">
        <v>3.5185139398778875</v>
      </c>
      <c r="C45">
        <v>4.8388490907372557</v>
      </c>
      <c r="D45">
        <v>6.1139433523068369</v>
      </c>
      <c r="E45">
        <v>7.5185139398778871</v>
      </c>
    </row>
    <row r="46" spans="1:22" x14ac:dyDescent="0.25">
      <c r="A46" s="12">
        <v>2.6020599913279625</v>
      </c>
      <c r="B46" s="12">
        <v>3.6434526764861874</v>
      </c>
      <c r="C46">
        <v>4.8450980400142569</v>
      </c>
      <c r="D46">
        <v>6.204119982655925</v>
      </c>
      <c r="E46">
        <v>7.5440680443502757</v>
      </c>
      <c r="T46" s="18"/>
    </row>
    <row r="47" spans="1:22" x14ac:dyDescent="0.25">
      <c r="A47" s="12">
        <v>2.5563025007672873</v>
      </c>
      <c r="B47" s="12">
        <v>3.4913616938342726</v>
      </c>
      <c r="C47">
        <v>4.7853298350107671</v>
      </c>
      <c r="D47">
        <v>6.2304489213782741</v>
      </c>
      <c r="E47">
        <v>7.6434526764861879</v>
      </c>
      <c r="S47" s="18"/>
      <c r="T47" s="18"/>
    </row>
    <row r="48" spans="1:22" x14ac:dyDescent="0.25">
      <c r="A48" s="12">
        <v>2.5185139398778875</v>
      </c>
      <c r="B48" s="12">
        <v>3.1760912590556813</v>
      </c>
      <c r="C48">
        <v>4.204119982655925</v>
      </c>
      <c r="D48">
        <v>5.9030899869919438</v>
      </c>
      <c r="E48">
        <v>7.2787536009528289</v>
      </c>
      <c r="S48" s="18"/>
      <c r="T48" s="18"/>
    </row>
    <row r="49" spans="1:20" x14ac:dyDescent="0.25">
      <c r="A49" s="12">
        <v>2.4771212547196626</v>
      </c>
      <c r="B49" s="12">
        <v>3.3222192947339191</v>
      </c>
      <c r="C49">
        <v>4.4149733479708182</v>
      </c>
      <c r="D49">
        <v>5.8450980400142569</v>
      </c>
      <c r="E49">
        <v>7.3222192947339195</v>
      </c>
      <c r="S49" s="18"/>
      <c r="T49" s="18"/>
    </row>
    <row r="50" spans="1:20" x14ac:dyDescent="0.25">
      <c r="A50" s="12">
        <v>2.5440680443502757</v>
      </c>
      <c r="B50" s="12">
        <v>3.255272505103306</v>
      </c>
      <c r="C50">
        <v>4.3010299956639813</v>
      </c>
      <c r="D50">
        <v>6</v>
      </c>
      <c r="E50">
        <v>7.204119982655925</v>
      </c>
      <c r="S50" s="18"/>
      <c r="T50" s="18"/>
    </row>
    <row r="51" spans="1:20" x14ac:dyDescent="0.25">
      <c r="A51" s="12">
        <v>2.5440680443502757</v>
      </c>
      <c r="B51" s="12">
        <v>3.3424226808222062</v>
      </c>
      <c r="C51">
        <v>4.7481880270062007</v>
      </c>
      <c r="D51">
        <v>6.1760912590556813</v>
      </c>
      <c r="E51">
        <v>7.3979400086720375</v>
      </c>
      <c r="S51" s="18"/>
      <c r="T51" s="18"/>
    </row>
    <row r="52" spans="1:20" x14ac:dyDescent="0.25">
      <c r="A52" s="12">
        <v>2.6232492903979003</v>
      </c>
      <c r="B52" s="12">
        <v>3.3010299956639813</v>
      </c>
      <c r="C52">
        <v>4.6901960800285138</v>
      </c>
      <c r="D52">
        <v>6.1139433523068369</v>
      </c>
      <c r="E52">
        <v>7.4313637641589869</v>
      </c>
      <c r="S52" s="18"/>
      <c r="T52" s="18"/>
    </row>
    <row r="53" spans="1:20" x14ac:dyDescent="0.25">
      <c r="A53" s="12">
        <v>2.5185139398778875</v>
      </c>
      <c r="B53" s="12">
        <v>3.3802112417116059</v>
      </c>
      <c r="C53">
        <v>4.7634279935629369</v>
      </c>
      <c r="D53">
        <v>6.0413926851582254</v>
      </c>
      <c r="E53">
        <v>7.4771212547196626</v>
      </c>
      <c r="S53" s="18"/>
      <c r="T53" s="18"/>
    </row>
    <row r="54" spans="1:20" x14ac:dyDescent="0.25">
      <c r="A54" s="12">
        <v>2.4313637641589874</v>
      </c>
      <c r="B54" s="12">
        <v>2.6989700043360187</v>
      </c>
      <c r="C54">
        <v>3.7781512503836434</v>
      </c>
      <c r="D54">
        <v>4.6020599913279625</v>
      </c>
      <c r="E54">
        <v>5.7120599913279637</v>
      </c>
      <c r="S54" s="18"/>
      <c r="T54" s="18"/>
    </row>
    <row r="55" spans="1:20" x14ac:dyDescent="0.25">
      <c r="A55" s="12">
        <v>2.5185139398778875</v>
      </c>
      <c r="B55" s="12">
        <v>2.8450980400142569</v>
      </c>
      <c r="C55">
        <v>3.5771212547196627</v>
      </c>
      <c r="D55">
        <v>4.5010299956639814</v>
      </c>
      <c r="E55">
        <v>5.8450980400142569</v>
      </c>
      <c r="S55" s="18"/>
      <c r="T55" s="18"/>
    </row>
    <row r="56" spans="1:20" x14ac:dyDescent="0.25">
      <c r="A56" s="12">
        <v>2.5440680443502757</v>
      </c>
      <c r="B56" s="12">
        <v>2.9030899869919438</v>
      </c>
      <c r="C56">
        <v>3.8450980400142569</v>
      </c>
      <c r="D56">
        <v>4.6020599913279625</v>
      </c>
      <c r="E56">
        <v>5.9542425094393252</v>
      </c>
      <c r="S56" s="18"/>
      <c r="T56" s="18"/>
    </row>
    <row r="57" spans="1:20" x14ac:dyDescent="0.25">
      <c r="S57" s="18"/>
      <c r="T57" s="18"/>
    </row>
    <row r="58" spans="1:20" x14ac:dyDescent="0.25">
      <c r="S58" s="18"/>
      <c r="T58" s="18"/>
    </row>
    <row r="59" spans="1:20" x14ac:dyDescent="0.25">
      <c r="S59" s="18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FEF8-5D8E-41EF-ABC7-715EBDE7AE3C}">
  <dimension ref="A1:AA58"/>
  <sheetViews>
    <sheetView tabSelected="1" topLeftCell="A41" zoomScale="90" zoomScaleNormal="90" workbookViewId="0">
      <selection activeCell="G48" sqref="G48"/>
    </sheetView>
  </sheetViews>
  <sheetFormatPr defaultRowHeight="15" x14ac:dyDescent="0.25"/>
  <cols>
    <col min="1" max="1" width="14.85546875" bestFit="1" customWidth="1"/>
    <col min="4" max="4" width="14.85546875" bestFit="1" customWidth="1"/>
  </cols>
  <sheetData>
    <row r="1" spans="1:27" x14ac:dyDescent="0.25">
      <c r="C1" s="7" t="s">
        <v>15</v>
      </c>
      <c r="H1" s="7" t="s">
        <v>9</v>
      </c>
      <c r="M1" s="7" t="s">
        <v>10</v>
      </c>
      <c r="R1" s="7" t="s">
        <v>11</v>
      </c>
      <c r="X1" s="7" t="s">
        <v>12</v>
      </c>
    </row>
    <row r="2" spans="1:27" x14ac:dyDescent="0.25">
      <c r="A2" t="s">
        <v>3</v>
      </c>
      <c r="D2" t="s">
        <v>0</v>
      </c>
      <c r="E2" t="s">
        <v>1</v>
      </c>
      <c r="F2" t="s">
        <v>2</v>
      </c>
      <c r="I2" t="s">
        <v>0</v>
      </c>
      <c r="J2" t="s">
        <v>1</v>
      </c>
      <c r="K2" t="s">
        <v>2</v>
      </c>
      <c r="N2" t="s">
        <v>0</v>
      </c>
      <c r="O2" t="s">
        <v>1</v>
      </c>
      <c r="P2" t="s">
        <v>2</v>
      </c>
      <c r="S2" t="s">
        <v>0</v>
      </c>
      <c r="T2" t="s">
        <v>13</v>
      </c>
      <c r="U2" t="s">
        <v>2</v>
      </c>
      <c r="Y2" t="s">
        <v>0</v>
      </c>
      <c r="Z2" t="s">
        <v>1</v>
      </c>
      <c r="AA2" t="s">
        <v>2</v>
      </c>
    </row>
    <row r="3" spans="1:27" x14ac:dyDescent="0.25">
      <c r="C3" t="s">
        <v>14</v>
      </c>
      <c r="G3">
        <v>43</v>
      </c>
      <c r="H3">
        <f>G3*10*10</f>
        <v>4300</v>
      </c>
      <c r="I3">
        <f>LOG10(H3)</f>
        <v>3.6334684555795866</v>
      </c>
      <c r="J3">
        <f>AVERAGE(I3:I5)</f>
        <v>3.5777163655629458</v>
      </c>
      <c r="K3">
        <f>STDEV(I3:I5)</f>
        <v>5.1656198029489314E-2</v>
      </c>
      <c r="L3">
        <v>60</v>
      </c>
      <c r="M3">
        <f>L3*100*10</f>
        <v>60000</v>
      </c>
      <c r="N3">
        <f>LOG10(M3)</f>
        <v>4.7781512503836439</v>
      </c>
      <c r="O3">
        <f>AVERAGE(N3:N5)</f>
        <v>4.7662115943748118</v>
      </c>
      <c r="P3">
        <f>STDEV(N3:N5)</f>
        <v>5.3676931367550938E-2</v>
      </c>
      <c r="Q3">
        <v>61</v>
      </c>
      <c r="R3">
        <f>Q3*10^4*10</f>
        <v>6100000</v>
      </c>
      <c r="S3">
        <f>LOG10(R3)</f>
        <v>6.7853298350107671</v>
      </c>
      <c r="T3">
        <f>AVERAGE(S3:S5)</f>
        <v>6.7921314806790889</v>
      </c>
      <c r="U3">
        <f>STDEV(S3:S5)</f>
        <v>1.8352051540420043E-2</v>
      </c>
      <c r="W3">
        <v>33</v>
      </c>
      <c r="X3">
        <f>W3*10^5*10</f>
        <v>33000000</v>
      </c>
      <c r="Y3">
        <f>LOG10(X3)</f>
        <v>7.5185139398778871</v>
      </c>
      <c r="Z3">
        <f>AVERAGE(Y3:Y5)</f>
        <v>7.6169841332644976</v>
      </c>
      <c r="AA3">
        <f>STDEV(Y3:Y5)</f>
        <v>9.1350410297765736E-2</v>
      </c>
    </row>
    <row r="4" spans="1:27" x14ac:dyDescent="0.25">
      <c r="C4" t="s">
        <v>14</v>
      </c>
      <c r="G4">
        <v>34</v>
      </c>
      <c r="H4">
        <f t="shared" ref="H4:H24" si="0">G4*10*10</f>
        <v>3400</v>
      </c>
      <c r="I4">
        <f t="shared" ref="I4:I29" si="1">LOG10(H4)</f>
        <v>3.5314789170422549</v>
      </c>
      <c r="L4">
        <v>51</v>
      </c>
      <c r="M4">
        <f t="shared" ref="M4:M24" si="2">L4*100*10</f>
        <v>51000</v>
      </c>
      <c r="N4">
        <f>LOG10(M4)</f>
        <v>4.7075701760979367</v>
      </c>
      <c r="Q4">
        <v>60</v>
      </c>
      <c r="R4">
        <f t="shared" ref="R4:R24" si="3">Q4*10^4*10</f>
        <v>6000000</v>
      </c>
      <c r="S4">
        <f t="shared" ref="S4:S29" si="4">LOG10(R4)</f>
        <v>6.7781512503836439</v>
      </c>
      <c r="W4">
        <v>43</v>
      </c>
      <c r="X4">
        <f t="shared" ref="X4:X24" si="5">W4*10^5*10</f>
        <v>43000000</v>
      </c>
      <c r="Y4">
        <f t="shared" ref="Y4:Y29" si="6">LOG10(X4)</f>
        <v>7.6334684555795862</v>
      </c>
    </row>
    <row r="5" spans="1:27" x14ac:dyDescent="0.25">
      <c r="C5" t="s">
        <v>14</v>
      </c>
      <c r="G5">
        <v>37</v>
      </c>
      <c r="H5">
        <f t="shared" si="0"/>
        <v>3700</v>
      </c>
      <c r="I5">
        <f t="shared" si="1"/>
        <v>3.568201724066995</v>
      </c>
      <c r="L5">
        <v>65</v>
      </c>
      <c r="M5">
        <f t="shared" si="2"/>
        <v>65000</v>
      </c>
      <c r="N5">
        <f t="shared" ref="N5:N29" si="7">LOG10(M5)</f>
        <v>4.8129133566428557</v>
      </c>
      <c r="Q5">
        <v>65</v>
      </c>
      <c r="R5">
        <f t="shared" si="3"/>
        <v>6500000</v>
      </c>
      <c r="S5">
        <f t="shared" si="4"/>
        <v>6.8129133566428557</v>
      </c>
      <c r="W5">
        <v>50</v>
      </c>
      <c r="X5">
        <f t="shared" si="5"/>
        <v>50000000</v>
      </c>
      <c r="Y5">
        <f t="shared" si="6"/>
        <v>7.6989700043360187</v>
      </c>
    </row>
    <row r="7" spans="1:27" x14ac:dyDescent="0.25">
      <c r="A7" t="s">
        <v>4</v>
      </c>
      <c r="C7" t="s">
        <v>14</v>
      </c>
      <c r="G7">
        <v>40</v>
      </c>
      <c r="H7">
        <f t="shared" si="0"/>
        <v>4000</v>
      </c>
      <c r="I7">
        <f t="shared" si="1"/>
        <v>3.6020599913279625</v>
      </c>
      <c r="J7">
        <f>AVERAGE(I7:I9)</f>
        <v>3.5173125651216126</v>
      </c>
      <c r="K7">
        <f>STDEV(I7:I9)</f>
        <v>8.5354454883206615E-2</v>
      </c>
      <c r="L7">
        <v>37</v>
      </c>
      <c r="M7">
        <f t="shared" si="2"/>
        <v>37000</v>
      </c>
      <c r="N7">
        <f t="shared" si="7"/>
        <v>4.568201724066995</v>
      </c>
      <c r="O7">
        <f>AVERAGE(N7:N9)</f>
        <v>4.4761799102126636</v>
      </c>
      <c r="P7">
        <f>STDEV(N7:N9)</f>
        <v>8.5963473420839598E-2</v>
      </c>
      <c r="Q7">
        <v>25</v>
      </c>
      <c r="R7">
        <f t="shared" si="3"/>
        <v>2500000</v>
      </c>
      <c r="S7">
        <f t="shared" si="4"/>
        <v>6.3979400086720375</v>
      </c>
      <c r="T7">
        <f>AVERAGE(S7:S9)</f>
        <v>6.387122667411659</v>
      </c>
      <c r="U7">
        <f>STDEV(S7:S9)</f>
        <v>8.1226037637474172E-2</v>
      </c>
      <c r="W7">
        <v>38</v>
      </c>
      <c r="X7">
        <f t="shared" si="5"/>
        <v>38000000</v>
      </c>
      <c r="Y7">
        <f t="shared" si="6"/>
        <v>7.5797835966168101</v>
      </c>
      <c r="Z7">
        <f>AVERAGE(Y7:Y9)</f>
        <v>7.501354294226231</v>
      </c>
      <c r="AA7">
        <f>STDEV(Y7:Y9)</f>
        <v>6.9554405280300879E-2</v>
      </c>
    </row>
    <row r="8" spans="1:27" x14ac:dyDescent="0.25">
      <c r="C8" t="s">
        <v>14</v>
      </c>
      <c r="G8">
        <v>33</v>
      </c>
      <c r="H8">
        <f t="shared" si="0"/>
        <v>3300</v>
      </c>
      <c r="I8">
        <f t="shared" si="1"/>
        <v>3.5185139398778875</v>
      </c>
      <c r="L8">
        <v>29</v>
      </c>
      <c r="M8">
        <f t="shared" si="2"/>
        <v>29000</v>
      </c>
      <c r="N8">
        <f t="shared" si="7"/>
        <v>4.4623979978989565</v>
      </c>
      <c r="Q8">
        <v>20</v>
      </c>
      <c r="R8">
        <f t="shared" si="3"/>
        <v>2000000</v>
      </c>
      <c r="S8">
        <f t="shared" si="4"/>
        <v>6.3010299956639813</v>
      </c>
      <c r="W8">
        <v>30</v>
      </c>
      <c r="X8">
        <f t="shared" si="5"/>
        <v>30000000</v>
      </c>
      <c r="Y8">
        <f t="shared" si="6"/>
        <v>7.4771212547196626</v>
      </c>
    </row>
    <row r="9" spans="1:27" x14ac:dyDescent="0.25">
      <c r="C9" t="s">
        <v>14</v>
      </c>
      <c r="G9">
        <v>27</v>
      </c>
      <c r="H9">
        <f t="shared" si="0"/>
        <v>2700</v>
      </c>
      <c r="I9">
        <f t="shared" si="1"/>
        <v>3.4313637641589874</v>
      </c>
      <c r="L9">
        <v>25</v>
      </c>
      <c r="M9">
        <f t="shared" si="2"/>
        <v>25000</v>
      </c>
      <c r="N9">
        <f t="shared" si="7"/>
        <v>4.3979400086720375</v>
      </c>
      <c r="Q9">
        <v>29</v>
      </c>
      <c r="R9">
        <f t="shared" si="3"/>
        <v>2900000</v>
      </c>
      <c r="S9">
        <f t="shared" si="4"/>
        <v>6.4623979978989565</v>
      </c>
      <c r="W9">
        <v>28</v>
      </c>
      <c r="X9">
        <f t="shared" si="5"/>
        <v>28000000</v>
      </c>
      <c r="Y9">
        <f t="shared" si="6"/>
        <v>7.4471580313422194</v>
      </c>
    </row>
    <row r="12" spans="1:27" x14ac:dyDescent="0.25">
      <c r="A12" t="s">
        <v>5</v>
      </c>
      <c r="C12" t="s">
        <v>14</v>
      </c>
      <c r="G12">
        <v>22</v>
      </c>
      <c r="H12">
        <f t="shared" si="0"/>
        <v>2200</v>
      </c>
      <c r="I12">
        <f t="shared" si="1"/>
        <v>3.3424226808222062</v>
      </c>
      <c r="J12">
        <f>AVERAGE(I12:I14)</f>
        <v>3.4315768968281106</v>
      </c>
      <c r="K12">
        <f>STDEV(I12:I14)</f>
        <v>8.2474978946867755E-2</v>
      </c>
      <c r="L12">
        <v>55</v>
      </c>
      <c r="M12">
        <f t="shared" si="2"/>
        <v>55000</v>
      </c>
      <c r="N12">
        <f t="shared" si="7"/>
        <v>4.7403626894942441</v>
      </c>
      <c r="O12">
        <f>AVERAGE(N12:N14)</f>
        <v>4.6652117315325166</v>
      </c>
      <c r="P12">
        <f>STDEV(N12:N14)</f>
        <v>6.9927784178439673E-2</v>
      </c>
      <c r="Q12">
        <v>33</v>
      </c>
      <c r="R12">
        <f t="shared" si="3"/>
        <v>3300000</v>
      </c>
      <c r="S12">
        <f t="shared" si="4"/>
        <v>6.5185139398778871</v>
      </c>
      <c r="T12">
        <f>AVERAGE(S12:S14)</f>
        <v>6.5843437411301915</v>
      </c>
      <c r="U12">
        <f>STDEV(S12:S14)</f>
        <v>6.2739935488624055E-2</v>
      </c>
      <c r="W12">
        <v>44</v>
      </c>
      <c r="X12">
        <f t="shared" si="5"/>
        <v>44000000</v>
      </c>
      <c r="Y12">
        <f t="shared" si="6"/>
        <v>7.6434526764861879</v>
      </c>
      <c r="Z12">
        <f>AVERAGE(Y12:Y14)</f>
        <v>7.558958810657713</v>
      </c>
      <c r="AA12">
        <f>STDEV(Y12:Y14)</f>
        <v>0.11242201970437525</v>
      </c>
    </row>
    <row r="13" spans="1:27" x14ac:dyDescent="0.25">
      <c r="C13" t="s">
        <v>14</v>
      </c>
      <c r="G13">
        <v>32</v>
      </c>
      <c r="H13">
        <f t="shared" si="0"/>
        <v>3200</v>
      </c>
      <c r="I13">
        <f t="shared" si="1"/>
        <v>3.5051499783199058</v>
      </c>
      <c r="L13">
        <v>45</v>
      </c>
      <c r="M13">
        <f t="shared" si="2"/>
        <v>45000</v>
      </c>
      <c r="N13">
        <f t="shared" si="7"/>
        <v>4.653212513775344</v>
      </c>
      <c r="Q13">
        <v>39</v>
      </c>
      <c r="R13">
        <f t="shared" si="3"/>
        <v>3900000</v>
      </c>
      <c r="S13">
        <f t="shared" si="4"/>
        <v>6.5910646070264995</v>
      </c>
      <c r="W13">
        <v>40</v>
      </c>
      <c r="X13">
        <f t="shared" si="5"/>
        <v>40000000</v>
      </c>
      <c r="Y13">
        <f t="shared" si="6"/>
        <v>7.6020599913279625</v>
      </c>
    </row>
    <row r="14" spans="1:27" x14ac:dyDescent="0.25">
      <c r="C14" t="s">
        <v>14</v>
      </c>
      <c r="G14">
        <v>28</v>
      </c>
      <c r="H14">
        <f t="shared" si="0"/>
        <v>2800</v>
      </c>
      <c r="I14">
        <f t="shared" si="1"/>
        <v>3.4471580313422194</v>
      </c>
      <c r="L14">
        <v>40</v>
      </c>
      <c r="M14">
        <f t="shared" si="2"/>
        <v>40000</v>
      </c>
      <c r="N14">
        <f t="shared" si="7"/>
        <v>4.6020599913279625</v>
      </c>
      <c r="Q14">
        <v>44</v>
      </c>
      <c r="R14">
        <f t="shared" si="3"/>
        <v>4400000</v>
      </c>
      <c r="S14">
        <f t="shared" si="4"/>
        <v>6.6434526764861879</v>
      </c>
      <c r="W14">
        <v>27</v>
      </c>
      <c r="X14">
        <f t="shared" si="5"/>
        <v>27000000</v>
      </c>
      <c r="Y14">
        <f t="shared" si="6"/>
        <v>7.4313637641589869</v>
      </c>
    </row>
    <row r="17" spans="1:27" x14ac:dyDescent="0.25">
      <c r="A17" t="s">
        <v>6</v>
      </c>
      <c r="C17" t="s">
        <v>14</v>
      </c>
      <c r="G17">
        <v>8</v>
      </c>
      <c r="H17">
        <f t="shared" si="0"/>
        <v>800</v>
      </c>
      <c r="I17">
        <f t="shared" si="1"/>
        <v>2.9030899869919438</v>
      </c>
      <c r="J17">
        <f>AVERAGE(I17:I19)</f>
        <v>3.0056777797662604</v>
      </c>
      <c r="K17">
        <f>STDEV(I17:I19)</f>
        <v>0.1055412871982314</v>
      </c>
      <c r="L17">
        <v>11</v>
      </c>
      <c r="M17">
        <f t="shared" si="2"/>
        <v>11000</v>
      </c>
      <c r="N17">
        <f t="shared" si="7"/>
        <v>4.0413926851582254</v>
      </c>
      <c r="O17">
        <f>AVERAGE(N17:N19)</f>
        <v>3.9105295883955797</v>
      </c>
      <c r="P17">
        <f>STDEV(N17:N19)</f>
        <v>0.11333076621435224</v>
      </c>
      <c r="Q17">
        <v>22</v>
      </c>
      <c r="R17">
        <f>Q17*10^3*10</f>
        <v>220000</v>
      </c>
      <c r="S17">
        <f t="shared" si="4"/>
        <v>5.3424226808222066</v>
      </c>
      <c r="T17">
        <f>AVERAGE(S17:S19)</f>
        <v>5.230890233052123</v>
      </c>
      <c r="U17">
        <f>STDEV(S17:S19)</f>
        <v>0.10084831013832353</v>
      </c>
      <c r="W17">
        <v>15</v>
      </c>
      <c r="X17">
        <f>W17*10^4*10</f>
        <v>1500000</v>
      </c>
      <c r="Y17">
        <f t="shared" si="6"/>
        <v>6.1760912590556813</v>
      </c>
      <c r="Z17">
        <f>AVERAGE(Y17:Y19)</f>
        <v>6.1619071421605272</v>
      </c>
      <c r="AA17">
        <f>STDEV(Y17:Y19)</f>
        <v>7.6624860711496337E-2</v>
      </c>
    </row>
    <row r="18" spans="1:27" x14ac:dyDescent="0.25">
      <c r="C18" t="s">
        <v>14</v>
      </c>
      <c r="G18">
        <v>10</v>
      </c>
      <c r="H18">
        <f t="shared" si="0"/>
        <v>1000</v>
      </c>
      <c r="I18">
        <f t="shared" si="1"/>
        <v>3</v>
      </c>
      <c r="L18">
        <v>7</v>
      </c>
      <c r="M18">
        <f t="shared" si="2"/>
        <v>7000</v>
      </c>
      <c r="N18">
        <f t="shared" si="7"/>
        <v>3.8450980400142569</v>
      </c>
      <c r="Q18">
        <v>16</v>
      </c>
      <c r="R18">
        <f t="shared" ref="R18:R19" si="8">Q18*10^3*10</f>
        <v>160000</v>
      </c>
      <c r="S18">
        <f t="shared" si="4"/>
        <v>5.204119982655925</v>
      </c>
      <c r="W18">
        <v>12</v>
      </c>
      <c r="X18">
        <f t="shared" ref="X18:X19" si="9">W18*10^4*10</f>
        <v>1200000</v>
      </c>
      <c r="Y18">
        <f t="shared" si="6"/>
        <v>6.0791812460476251</v>
      </c>
    </row>
    <row r="19" spans="1:27" x14ac:dyDescent="0.25">
      <c r="C19" t="s">
        <v>14</v>
      </c>
      <c r="G19">
        <v>13</v>
      </c>
      <c r="H19">
        <f t="shared" si="0"/>
        <v>1300</v>
      </c>
      <c r="I19">
        <f t="shared" si="1"/>
        <v>3.1139433523068369</v>
      </c>
      <c r="L19">
        <v>7</v>
      </c>
      <c r="M19">
        <f t="shared" si="2"/>
        <v>7000</v>
      </c>
      <c r="N19">
        <f t="shared" si="7"/>
        <v>3.8450980400142569</v>
      </c>
      <c r="Q19">
        <v>14</v>
      </c>
      <c r="R19">
        <f t="shared" si="8"/>
        <v>140000</v>
      </c>
      <c r="S19">
        <f t="shared" si="4"/>
        <v>5.1461280356782382</v>
      </c>
      <c r="W19">
        <v>17</v>
      </c>
      <c r="X19">
        <f t="shared" si="9"/>
        <v>1700000</v>
      </c>
      <c r="Y19">
        <f t="shared" si="6"/>
        <v>6.2304489213782741</v>
      </c>
    </row>
    <row r="22" spans="1:27" x14ac:dyDescent="0.25">
      <c r="A22" t="s">
        <v>7</v>
      </c>
      <c r="C22" t="s">
        <v>14</v>
      </c>
      <c r="G22">
        <v>18</v>
      </c>
      <c r="H22">
        <f t="shared" si="0"/>
        <v>1800</v>
      </c>
      <c r="I22">
        <f t="shared" si="1"/>
        <v>3.255272505103306</v>
      </c>
      <c r="J22">
        <f>AVERAGE(I22:I24)</f>
        <v>3.2928405985004026</v>
      </c>
      <c r="K22">
        <f>STDEV(I22:I24)</f>
        <v>3.4216484768142368E-2</v>
      </c>
      <c r="L22">
        <v>25</v>
      </c>
      <c r="M22">
        <f t="shared" si="2"/>
        <v>25000</v>
      </c>
      <c r="N22">
        <f t="shared" si="7"/>
        <v>4.3979400086720375</v>
      </c>
      <c r="O22">
        <f>AVERAGE(N22:N24)</f>
        <v>4.3673635085039457</v>
      </c>
      <c r="P22">
        <f>STDEV(N22:N24)</f>
        <v>2.8184464269814958E-2</v>
      </c>
      <c r="Q22">
        <v>23</v>
      </c>
      <c r="R22">
        <f t="shared" si="3"/>
        <v>2300000</v>
      </c>
      <c r="S22">
        <f t="shared" si="4"/>
        <v>6.3617278360175931</v>
      </c>
      <c r="T22">
        <f>AVERAGE(S22:S24)</f>
        <v>6.3937572571864871</v>
      </c>
      <c r="U22">
        <f>STDEV(S22:S24)</f>
        <v>7.2837760247092417E-2</v>
      </c>
      <c r="W22">
        <v>22</v>
      </c>
      <c r="X22">
        <f t="shared" si="5"/>
        <v>22000000</v>
      </c>
      <c r="Y22">
        <f t="shared" si="6"/>
        <v>7.3424226808222066</v>
      </c>
      <c r="Z22">
        <f>AVERAGE(Y22:Y24)</f>
        <v>7.4315768968281111</v>
      </c>
      <c r="AA22">
        <f>STDEV(Y22:Y24)</f>
        <v>8.2474978946867714E-2</v>
      </c>
    </row>
    <row r="23" spans="1:27" x14ac:dyDescent="0.25">
      <c r="C23" t="s">
        <v>14</v>
      </c>
      <c r="G23">
        <v>21</v>
      </c>
      <c r="H23">
        <f t="shared" si="0"/>
        <v>2100</v>
      </c>
      <c r="I23">
        <f t="shared" si="1"/>
        <v>3.3222192947339191</v>
      </c>
      <c r="L23">
        <v>23</v>
      </c>
      <c r="M23">
        <f t="shared" si="2"/>
        <v>23000</v>
      </c>
      <c r="N23">
        <f t="shared" si="7"/>
        <v>4.3617278360175931</v>
      </c>
      <c r="Q23">
        <v>30</v>
      </c>
      <c r="R23">
        <f t="shared" si="3"/>
        <v>3000000</v>
      </c>
      <c r="S23">
        <f t="shared" si="4"/>
        <v>6.4771212547196626</v>
      </c>
      <c r="W23">
        <v>32</v>
      </c>
      <c r="X23">
        <f t="shared" si="5"/>
        <v>32000000</v>
      </c>
      <c r="Y23">
        <f t="shared" si="6"/>
        <v>7.5051499783199063</v>
      </c>
    </row>
    <row r="24" spans="1:27" x14ac:dyDescent="0.25">
      <c r="C24" t="s">
        <v>14</v>
      </c>
      <c r="G24">
        <v>20</v>
      </c>
      <c r="H24">
        <f t="shared" si="0"/>
        <v>2000</v>
      </c>
      <c r="I24">
        <f t="shared" si="1"/>
        <v>3.3010299956639813</v>
      </c>
      <c r="L24">
        <v>22</v>
      </c>
      <c r="M24">
        <f t="shared" si="2"/>
        <v>22000</v>
      </c>
      <c r="N24">
        <f t="shared" si="7"/>
        <v>4.3424226808222066</v>
      </c>
      <c r="Q24">
        <v>22</v>
      </c>
      <c r="R24">
        <f t="shared" si="3"/>
        <v>2200000</v>
      </c>
      <c r="S24">
        <f t="shared" si="4"/>
        <v>6.3424226808222066</v>
      </c>
      <c r="W24">
        <v>28</v>
      </c>
      <c r="X24">
        <f t="shared" si="5"/>
        <v>28000000</v>
      </c>
      <c r="Y24">
        <f t="shared" si="6"/>
        <v>7.4471580313422194</v>
      </c>
    </row>
    <row r="27" spans="1:27" x14ac:dyDescent="0.25">
      <c r="A27" t="s">
        <v>8</v>
      </c>
      <c r="C27" t="s">
        <v>14</v>
      </c>
      <c r="G27">
        <v>30</v>
      </c>
      <c r="H27">
        <f>G27*10*1</f>
        <v>300</v>
      </c>
      <c r="I27">
        <f t="shared" si="1"/>
        <v>2.4771212547196626</v>
      </c>
      <c r="J27">
        <f>AVERAGE(I27:I29)</f>
        <v>2.3735246437352835</v>
      </c>
      <c r="K27">
        <f>STDEV(I27:I29)</f>
        <v>9.2073513844854377E-2</v>
      </c>
      <c r="L27">
        <v>13</v>
      </c>
      <c r="M27">
        <f>L27*100*1</f>
        <v>1300</v>
      </c>
      <c r="N27">
        <f t="shared" si="7"/>
        <v>3.1139433523068369</v>
      </c>
      <c r="O27">
        <f>AVERAGE(N27:N29)</f>
        <v>3.2353733699009015</v>
      </c>
      <c r="P27">
        <f>STDEV(N27:N29)</f>
        <v>0.12396562118946726</v>
      </c>
      <c r="Q27">
        <v>13</v>
      </c>
      <c r="R27">
        <f>Q27*10^2*10</f>
        <v>13000</v>
      </c>
      <c r="S27">
        <f t="shared" si="4"/>
        <v>4.1139433523068369</v>
      </c>
      <c r="T27">
        <f>AVERAGE(S27:S29)</f>
        <v>4.2289383181691056</v>
      </c>
      <c r="U27">
        <f>STDEV(S27:S29)</f>
        <v>0.11424715458710652</v>
      </c>
      <c r="W27">
        <v>11</v>
      </c>
      <c r="X27">
        <f>W27*10^3.5*10</f>
        <v>347850.54261852184</v>
      </c>
      <c r="Y27">
        <f t="shared" si="6"/>
        <v>5.5413926851582254</v>
      </c>
      <c r="Z27">
        <f>AVERAGE(Y27:Y29)</f>
        <v>5.6212039932973816</v>
      </c>
      <c r="AA27">
        <f>STDEV(Y27:Y29)</f>
        <v>7.0723633736921018E-2</v>
      </c>
    </row>
    <row r="28" spans="1:27" x14ac:dyDescent="0.25">
      <c r="C28" t="s">
        <v>14</v>
      </c>
      <c r="G28">
        <v>20</v>
      </c>
      <c r="H28">
        <f>G28*10*1</f>
        <v>200</v>
      </c>
      <c r="I28">
        <f t="shared" si="1"/>
        <v>2.3010299956639813</v>
      </c>
      <c r="L28">
        <v>17</v>
      </c>
      <c r="M28">
        <f>L28*100*1</f>
        <v>1700</v>
      </c>
      <c r="N28">
        <f t="shared" si="7"/>
        <v>3.2304489213782741</v>
      </c>
      <c r="Q28">
        <v>17</v>
      </c>
      <c r="R28">
        <f>Q28*10^2*10</f>
        <v>17000</v>
      </c>
      <c r="S28">
        <f t="shared" si="4"/>
        <v>4.2304489213782741</v>
      </c>
      <c r="W28">
        <v>14</v>
      </c>
      <c r="X28">
        <f>W28*10^3.5*10</f>
        <v>442718.87242357328</v>
      </c>
      <c r="Y28">
        <f t="shared" si="6"/>
        <v>5.6461280356782382</v>
      </c>
    </row>
    <row r="29" spans="1:27" x14ac:dyDescent="0.25">
      <c r="C29" t="s">
        <v>14</v>
      </c>
      <c r="G29">
        <v>22</v>
      </c>
      <c r="H29">
        <f>G29*10*1</f>
        <v>220</v>
      </c>
      <c r="I29">
        <f t="shared" si="1"/>
        <v>2.3424226808222062</v>
      </c>
      <c r="L29">
        <v>23</v>
      </c>
      <c r="M29">
        <f>L29*100*1</f>
        <v>2300</v>
      </c>
      <c r="N29">
        <f t="shared" si="7"/>
        <v>3.3617278360175931</v>
      </c>
      <c r="Q29">
        <v>22</v>
      </c>
      <c r="R29">
        <f>Q29*10^2*10</f>
        <v>22000</v>
      </c>
      <c r="S29">
        <f t="shared" si="4"/>
        <v>4.3424226808222066</v>
      </c>
      <c r="W29">
        <v>15</v>
      </c>
      <c r="X29">
        <f>W29*10^3.5*10</f>
        <v>474341.64902525709</v>
      </c>
      <c r="Y29">
        <f t="shared" si="6"/>
        <v>5.6760912590556813</v>
      </c>
    </row>
    <row r="32" spans="1:27" x14ac:dyDescent="0.25">
      <c r="D32" t="s">
        <v>16</v>
      </c>
      <c r="E32">
        <v>0</v>
      </c>
      <c r="F32">
        <v>3</v>
      </c>
      <c r="G32">
        <v>6</v>
      </c>
      <c r="H32">
        <v>9</v>
      </c>
      <c r="I32">
        <v>12</v>
      </c>
      <c r="K32">
        <v>1</v>
      </c>
      <c r="L32">
        <v>0</v>
      </c>
      <c r="M32">
        <v>5.1656198029489314E-2</v>
      </c>
      <c r="N32">
        <v>5.3676931367550938E-2</v>
      </c>
      <c r="O32">
        <v>1.8352051540420043E-2</v>
      </c>
      <c r="P32">
        <v>9.1350410297765736E-2</v>
      </c>
    </row>
    <row r="33" spans="1:18" x14ac:dyDescent="0.25">
      <c r="D33" t="s">
        <v>24</v>
      </c>
      <c r="E33" s="14">
        <v>0</v>
      </c>
      <c r="F33" s="14">
        <v>3.5777163655629458</v>
      </c>
      <c r="G33" s="14">
        <v>4.7662115943748118</v>
      </c>
      <c r="H33" s="14">
        <v>6.7921314806790889</v>
      </c>
      <c r="I33" s="14">
        <v>7.6169841332644976</v>
      </c>
      <c r="K33">
        <v>2</v>
      </c>
      <c r="L33">
        <v>0</v>
      </c>
      <c r="M33">
        <v>8.5354454883206615E-2</v>
      </c>
      <c r="N33">
        <v>8.5963473420839598E-2</v>
      </c>
      <c r="O33">
        <v>8.1226037637474172E-2</v>
      </c>
      <c r="P33">
        <v>6.9554405280300879E-2</v>
      </c>
    </row>
    <row r="34" spans="1:18" x14ac:dyDescent="0.25">
      <c r="D34" t="s">
        <v>19</v>
      </c>
      <c r="E34" s="14">
        <v>0</v>
      </c>
      <c r="F34" s="14">
        <v>3.5173125651216126</v>
      </c>
      <c r="G34" s="14">
        <v>4.4761799102126636</v>
      </c>
      <c r="H34" s="14">
        <v>6.387122667411659</v>
      </c>
      <c r="I34" s="14">
        <v>7.501354294226231</v>
      </c>
      <c r="K34">
        <v>3</v>
      </c>
      <c r="L34">
        <v>0</v>
      </c>
      <c r="M34">
        <v>8.2474978946867755E-2</v>
      </c>
      <c r="N34">
        <v>6.9927784178439673E-2</v>
      </c>
      <c r="O34">
        <v>6.2739935488624055E-2</v>
      </c>
      <c r="P34">
        <v>0.11242201970437525</v>
      </c>
    </row>
    <row r="35" spans="1:18" x14ac:dyDescent="0.25">
      <c r="D35" t="s">
        <v>20</v>
      </c>
      <c r="E35" s="14">
        <v>0</v>
      </c>
      <c r="F35" s="14">
        <v>3.4315768968281106</v>
      </c>
      <c r="G35" s="14">
        <v>4.6652117315325166</v>
      </c>
      <c r="H35" s="14">
        <v>6.5843437411301915</v>
      </c>
      <c r="I35" s="14">
        <v>7.558958810657713</v>
      </c>
      <c r="K35">
        <v>4</v>
      </c>
      <c r="L35">
        <v>0</v>
      </c>
      <c r="M35">
        <v>0.1055412871982314</v>
      </c>
      <c r="N35">
        <v>0.11333076621435224</v>
      </c>
      <c r="O35">
        <v>0.10084831013832353</v>
      </c>
      <c r="P35">
        <v>0.10291122788629352</v>
      </c>
    </row>
    <row r="36" spans="1:18" x14ac:dyDescent="0.25">
      <c r="D36" t="s">
        <v>21</v>
      </c>
      <c r="E36" s="14">
        <v>0</v>
      </c>
      <c r="F36" s="14">
        <v>3.0056777797662604</v>
      </c>
      <c r="G36" s="14">
        <v>3.9105295883955797</v>
      </c>
      <c r="H36" s="14">
        <v>5.230890233052123</v>
      </c>
      <c r="I36" s="14">
        <v>6.1619071421605272</v>
      </c>
      <c r="K36">
        <v>5</v>
      </c>
      <c r="L36">
        <v>0</v>
      </c>
      <c r="M36">
        <v>3.4216484768142368E-2</v>
      </c>
      <c r="N36">
        <v>2.8184464269814958E-2</v>
      </c>
      <c r="O36">
        <v>7.2837760247092417E-2</v>
      </c>
      <c r="P36">
        <v>8.2474978946867714E-2</v>
      </c>
    </row>
    <row r="37" spans="1:18" x14ac:dyDescent="0.25">
      <c r="D37" t="s">
        <v>22</v>
      </c>
      <c r="E37" s="14">
        <v>0</v>
      </c>
      <c r="F37" s="14">
        <v>3.2928405985004026</v>
      </c>
      <c r="G37" s="14">
        <v>4.3673635085039457</v>
      </c>
      <c r="H37" s="14">
        <v>6.3937572571864871</v>
      </c>
      <c r="I37" s="14">
        <v>7.4315768968281111</v>
      </c>
      <c r="K37">
        <v>6</v>
      </c>
      <c r="L37">
        <v>0</v>
      </c>
      <c r="M37">
        <v>9.2073513844854377E-2</v>
      </c>
      <c r="N37">
        <v>0.12396562118946726</v>
      </c>
      <c r="O37">
        <v>0.11424715458710652</v>
      </c>
      <c r="P37">
        <v>7.0723633736921018E-2</v>
      </c>
    </row>
    <row r="38" spans="1:18" x14ac:dyDescent="0.25">
      <c r="D38" t="s">
        <v>23</v>
      </c>
      <c r="E38" s="14">
        <v>0</v>
      </c>
      <c r="F38" s="14">
        <v>2.3597270820158749</v>
      </c>
      <c r="G38" s="14">
        <v>3.2353733699009015</v>
      </c>
      <c r="H38" s="14">
        <v>4.2289383181691056</v>
      </c>
      <c r="I38" s="14">
        <v>5.6212039932973816</v>
      </c>
    </row>
    <row r="40" spans="1:18" x14ac:dyDescent="0.25">
      <c r="A40">
        <v>0</v>
      </c>
      <c r="B40">
        <v>3.6334684555795866</v>
      </c>
      <c r="C40">
        <v>4.7781512503836439</v>
      </c>
      <c r="D40">
        <v>6.7853298350107671</v>
      </c>
      <c r="E40">
        <v>7.5185139398778871</v>
      </c>
    </row>
    <row r="41" spans="1:18" x14ac:dyDescent="0.25">
      <c r="A41">
        <v>0</v>
      </c>
      <c r="B41">
        <v>3.5314789170422549</v>
      </c>
      <c r="C41">
        <v>4.7075701760979367</v>
      </c>
      <c r="D41">
        <v>6.7781512503836439</v>
      </c>
      <c r="E41">
        <v>7.6334684555795862</v>
      </c>
    </row>
    <row r="42" spans="1:18" x14ac:dyDescent="0.25">
      <c r="A42">
        <v>0</v>
      </c>
      <c r="B42">
        <v>3.568201724066995</v>
      </c>
      <c r="C42">
        <v>4.8129133566428557</v>
      </c>
      <c r="D42">
        <v>6.8129133566428557</v>
      </c>
      <c r="E42">
        <v>7.6989700043360187</v>
      </c>
    </row>
    <row r="43" spans="1:18" x14ac:dyDescent="0.25">
      <c r="A43">
        <v>0</v>
      </c>
      <c r="B43">
        <v>3.6020599913279625</v>
      </c>
      <c r="C43">
        <v>4.568201724066995</v>
      </c>
      <c r="D43">
        <v>6.3979400086720375</v>
      </c>
      <c r="E43">
        <v>7.5797835966168101</v>
      </c>
    </row>
    <row r="44" spans="1:18" x14ac:dyDescent="0.25">
      <c r="A44">
        <v>0</v>
      </c>
      <c r="B44">
        <v>3.5185139398778875</v>
      </c>
      <c r="C44">
        <v>4.4623979978989565</v>
      </c>
      <c r="D44">
        <v>6.3010299956639813</v>
      </c>
      <c r="E44">
        <v>7.4771212547196626</v>
      </c>
      <c r="Q44" s="19"/>
    </row>
    <row r="45" spans="1:18" x14ac:dyDescent="0.25">
      <c r="A45">
        <v>0</v>
      </c>
      <c r="B45">
        <v>3.4313637641589874</v>
      </c>
      <c r="C45">
        <v>4.3979400086720375</v>
      </c>
      <c r="D45">
        <v>6.4623979978989565</v>
      </c>
      <c r="E45">
        <v>7.4471580313422194</v>
      </c>
      <c r="Q45" s="19"/>
      <c r="R45" s="19"/>
    </row>
    <row r="46" spans="1:18" x14ac:dyDescent="0.25">
      <c r="A46">
        <v>0</v>
      </c>
      <c r="B46">
        <v>3.3424226808222062</v>
      </c>
      <c r="C46">
        <v>4.7403626894942441</v>
      </c>
      <c r="D46">
        <v>6.5185139398778871</v>
      </c>
      <c r="E46">
        <v>7.6434526764861879</v>
      </c>
      <c r="Q46" s="19"/>
    </row>
    <row r="47" spans="1:18" x14ac:dyDescent="0.25">
      <c r="A47">
        <v>0</v>
      </c>
      <c r="B47">
        <v>3.5051499783199058</v>
      </c>
      <c r="C47">
        <v>4.653212513775344</v>
      </c>
      <c r="D47">
        <v>6.5910646070264995</v>
      </c>
      <c r="E47">
        <v>7.6020599913279625</v>
      </c>
      <c r="Q47" s="19"/>
    </row>
    <row r="48" spans="1:18" x14ac:dyDescent="0.25">
      <c r="A48">
        <v>0</v>
      </c>
      <c r="B48">
        <v>3.4471580313422194</v>
      </c>
      <c r="C48">
        <v>4.6020599913279625</v>
      </c>
      <c r="D48">
        <v>6.6434526764861879</v>
      </c>
      <c r="E48">
        <v>7.4313637641589869</v>
      </c>
      <c r="Q48" s="19"/>
    </row>
    <row r="49" spans="1:17" x14ac:dyDescent="0.25">
      <c r="A49">
        <v>0</v>
      </c>
      <c r="B49">
        <v>2.9030899869919438</v>
      </c>
      <c r="C49">
        <v>4.0413926851582254</v>
      </c>
      <c r="D49">
        <v>5.3424226808222066</v>
      </c>
      <c r="E49">
        <v>6.1760912590556813</v>
      </c>
      <c r="Q49" s="19"/>
    </row>
    <row r="50" spans="1:17" x14ac:dyDescent="0.25">
      <c r="A50">
        <v>0</v>
      </c>
      <c r="B50">
        <v>3</v>
      </c>
      <c r="C50">
        <v>3.8450980400142569</v>
      </c>
      <c r="D50">
        <v>5.204119982655925</v>
      </c>
      <c r="E50">
        <v>6.0791812460476251</v>
      </c>
      <c r="Q50" s="19"/>
    </row>
    <row r="51" spans="1:17" x14ac:dyDescent="0.25">
      <c r="A51">
        <v>0</v>
      </c>
      <c r="B51">
        <v>3.1139433523068369</v>
      </c>
      <c r="C51">
        <v>3.8450980400142569</v>
      </c>
      <c r="D51">
        <v>5.1461280356782382</v>
      </c>
      <c r="E51">
        <v>6.2304489213782741</v>
      </c>
      <c r="Q51" s="19"/>
    </row>
    <row r="52" spans="1:17" x14ac:dyDescent="0.25">
      <c r="A52">
        <v>0</v>
      </c>
      <c r="B52">
        <v>3.255272505103306</v>
      </c>
      <c r="C52">
        <v>4.3979400086720375</v>
      </c>
      <c r="D52">
        <v>6.3617278360175931</v>
      </c>
      <c r="E52">
        <v>7.3424226808222066</v>
      </c>
      <c r="Q52" s="19"/>
    </row>
    <row r="53" spans="1:17" x14ac:dyDescent="0.25">
      <c r="A53">
        <v>0</v>
      </c>
      <c r="B53">
        <v>3.3222192947339191</v>
      </c>
      <c r="C53">
        <v>4.3617278360175931</v>
      </c>
      <c r="D53">
        <v>6.4771212547196626</v>
      </c>
      <c r="E53">
        <v>7.5051499783199063</v>
      </c>
      <c r="Q53" s="19"/>
    </row>
    <row r="54" spans="1:17" x14ac:dyDescent="0.25">
      <c r="A54">
        <v>0</v>
      </c>
      <c r="B54">
        <v>3.3010299956639813</v>
      </c>
      <c r="C54">
        <v>4.3424226808222066</v>
      </c>
      <c r="D54">
        <v>6.3424226808222066</v>
      </c>
      <c r="E54">
        <v>7.4471580313422194</v>
      </c>
      <c r="Q54" s="19"/>
    </row>
    <row r="55" spans="1:17" x14ac:dyDescent="0.25">
      <c r="A55">
        <v>0</v>
      </c>
      <c r="B55">
        <v>2.4771212547196626</v>
      </c>
      <c r="C55">
        <v>3.1139433523068369</v>
      </c>
      <c r="D55">
        <v>4.1139433523068369</v>
      </c>
      <c r="E55">
        <v>5.5413926851582254</v>
      </c>
      <c r="Q55" s="19"/>
    </row>
    <row r="56" spans="1:17" x14ac:dyDescent="0.25">
      <c r="A56">
        <v>0</v>
      </c>
      <c r="B56">
        <v>2.3010299956639813</v>
      </c>
      <c r="C56">
        <v>3.2304489213782741</v>
      </c>
      <c r="D56">
        <v>4.2304489213782741</v>
      </c>
      <c r="E56">
        <v>5.6461280356782382</v>
      </c>
      <c r="Q56" s="19"/>
    </row>
    <row r="57" spans="1:17" x14ac:dyDescent="0.25">
      <c r="A57">
        <v>0</v>
      </c>
      <c r="B57">
        <v>2.3424226808222062</v>
      </c>
      <c r="C57">
        <v>3.3617278360175931</v>
      </c>
      <c r="D57">
        <v>4.3424226808222066</v>
      </c>
      <c r="E57">
        <v>5.6760912590556813</v>
      </c>
    </row>
    <row r="58" spans="1:17" x14ac:dyDescent="0.25">
      <c r="Q58" s="19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mesophyl</vt:lpstr>
      <vt:lpstr>psycrotroph</vt:lpstr>
      <vt:lpstr>LAB</vt:lpstr>
      <vt:lpstr>entroactereriacea</vt:lpstr>
      <vt:lpstr>mold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 kazemi</dc:creator>
  <cp:lastModifiedBy>mohi kazemi</cp:lastModifiedBy>
  <dcterms:created xsi:type="dcterms:W3CDTF">2024-05-17T06:36:13Z</dcterms:created>
  <dcterms:modified xsi:type="dcterms:W3CDTF">2026-05-07T18:13:19Z</dcterms:modified>
</cp:coreProperties>
</file>