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5520" tabRatio="500" firstSheet="1" activeTab="3"/>
  </bookViews>
  <sheets>
    <sheet name="Draft" sheetId="3" state="hidden" r:id="rId1"/>
    <sheet name="Sheet1" sheetId="1" r:id="rId2"/>
    <sheet name="Sheet2" sheetId="2" state="hidden" r:id="rId3"/>
    <sheet name="Sheet3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9" i="4" l="1"/>
  <c r="D28" i="4"/>
  <c r="D27" i="4"/>
  <c r="D26" i="4"/>
  <c r="D25" i="4"/>
  <c r="D24" i="4"/>
  <c r="D23" i="4"/>
  <c r="D22" i="4"/>
  <c r="D21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H12" i="4"/>
  <c r="H13" i="4"/>
  <c r="H15" i="4"/>
  <c r="H20" i="4"/>
  <c r="H18" i="4"/>
  <c r="AH46" i="3"/>
  <c r="AM42" i="3"/>
  <c r="AH39" i="3"/>
  <c r="AO36" i="3"/>
  <c r="AO35" i="3"/>
  <c r="AN36" i="3"/>
  <c r="AN35" i="3"/>
  <c r="AO32" i="3"/>
  <c r="AO31" i="3"/>
  <c r="AO30" i="3"/>
  <c r="AK2" i="3"/>
  <c r="AN32" i="3"/>
  <c r="AN31" i="3"/>
  <c r="AN30" i="3"/>
  <c r="AH53" i="3"/>
  <c r="AH52" i="3"/>
  <c r="AH51" i="3"/>
  <c r="AH50" i="3"/>
  <c r="AH49" i="3"/>
  <c r="AH48" i="3"/>
  <c r="AM47" i="3"/>
  <c r="AK47" i="3"/>
  <c r="AI47" i="3"/>
  <c r="AI46" i="3"/>
  <c r="AJ46" i="3"/>
  <c r="AH45" i="3"/>
  <c r="AI45" i="3"/>
  <c r="AJ45" i="3"/>
  <c r="AH37" i="3"/>
  <c r="AH38" i="3"/>
  <c r="AH40" i="3"/>
  <c r="AH41" i="3"/>
  <c r="AH42" i="3"/>
  <c r="AI42" i="3"/>
  <c r="AJ42" i="3"/>
  <c r="AI41" i="3"/>
  <c r="AJ41" i="3"/>
  <c r="AI40" i="3"/>
  <c r="AJ40" i="3"/>
  <c r="AI39" i="3"/>
  <c r="AJ39" i="3"/>
  <c r="AI38" i="3"/>
  <c r="AJ38" i="3"/>
  <c r="AI37" i="3"/>
  <c r="AJ37" i="3"/>
  <c r="AJ35" i="3"/>
  <c r="AI35" i="3"/>
  <c r="AK35" i="3"/>
  <c r="AH35" i="3"/>
  <c r="AJ34" i="3"/>
  <c r="AI34" i="3"/>
  <c r="AK34" i="3"/>
  <c r="AH34" i="3"/>
  <c r="AJ32" i="3"/>
  <c r="AI32" i="3"/>
  <c r="AK32" i="3"/>
  <c r="AH32" i="3"/>
  <c r="AJ31" i="3"/>
  <c r="AI31" i="3"/>
  <c r="AK31" i="3"/>
  <c r="AH31" i="3"/>
  <c r="AJ30" i="3"/>
  <c r="AI30" i="3"/>
  <c r="AK30" i="3"/>
  <c r="AH30" i="3"/>
  <c r="AK28" i="3"/>
  <c r="AK27" i="3"/>
  <c r="AI27" i="3"/>
  <c r="AH26" i="3"/>
  <c r="AH25" i="3"/>
  <c r="AJ24" i="3"/>
  <c r="AI24" i="3"/>
  <c r="AK24" i="3"/>
  <c r="AH24" i="3"/>
  <c r="AJ23" i="3"/>
  <c r="AI23" i="3"/>
  <c r="AK23" i="3"/>
  <c r="AH23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J22" i="3"/>
  <c r="AI22" i="3"/>
  <c r="AK22" i="3"/>
  <c r="AH22" i="3"/>
  <c r="AJ20" i="3"/>
  <c r="AI19" i="3"/>
  <c r="AH19" i="3"/>
  <c r="AJ18" i="3"/>
  <c r="AI18" i="3"/>
  <c r="AH18" i="3"/>
  <c r="AH14" i="3"/>
  <c r="AH13" i="3"/>
  <c r="AH12" i="3"/>
  <c r="AH11" i="3"/>
  <c r="AH10" i="3"/>
  <c r="AH9" i="3"/>
  <c r="AH8" i="3"/>
  <c r="AH7" i="3"/>
  <c r="AH6" i="3"/>
  <c r="AI3" i="3"/>
  <c r="AK3" i="3"/>
  <c r="AM5" i="3"/>
  <c r="AH5" i="3"/>
  <c r="AN4" i="3"/>
  <c r="AO3" i="3"/>
  <c r="AN3" i="3"/>
  <c r="AN2" i="3"/>
  <c r="AI2" i="3"/>
  <c r="AM5" i="1"/>
  <c r="AN4" i="1"/>
  <c r="AO3" i="1"/>
  <c r="AN3" i="1"/>
  <c r="AN2" i="1"/>
  <c r="AJ46" i="1"/>
  <c r="AJ45" i="1"/>
  <c r="AH53" i="1"/>
  <c r="AH52" i="1"/>
  <c r="AH49" i="1"/>
  <c r="AH50" i="1"/>
  <c r="AH51" i="1"/>
  <c r="AH48" i="1"/>
  <c r="AM47" i="1"/>
  <c r="AK47" i="1"/>
  <c r="AI47" i="1"/>
  <c r="AI46" i="1"/>
  <c r="AI45" i="1"/>
  <c r="AH45" i="1"/>
  <c r="B24" i="2"/>
  <c r="B23" i="2"/>
  <c r="B22" i="2"/>
  <c r="B21" i="2"/>
  <c r="B20" i="2"/>
  <c r="B19" i="2"/>
  <c r="AH37" i="1"/>
  <c r="AM42" i="1"/>
  <c r="AJ38" i="1"/>
  <c r="AJ39" i="1"/>
  <c r="AJ40" i="1"/>
  <c r="AJ41" i="1"/>
  <c r="AJ42" i="1"/>
  <c r="AI37" i="1"/>
  <c r="AJ37" i="1"/>
  <c r="AI42" i="1"/>
  <c r="AH42" i="1"/>
  <c r="AI41" i="1"/>
  <c r="AI39" i="1"/>
  <c r="AI38" i="1"/>
  <c r="AI40" i="1"/>
  <c r="AH38" i="1"/>
  <c r="AH39" i="1"/>
  <c r="AH40" i="1"/>
  <c r="AH41" i="1"/>
  <c r="AJ35" i="1"/>
  <c r="AI35" i="1"/>
  <c r="AK35" i="1"/>
  <c r="AJ34" i="1"/>
  <c r="AI34" i="1"/>
  <c r="AK34" i="1"/>
  <c r="AH35" i="1"/>
  <c r="AH34" i="1"/>
  <c r="AJ31" i="1"/>
  <c r="AI31" i="1"/>
  <c r="AK31" i="1"/>
  <c r="AJ32" i="1"/>
  <c r="AI32" i="1"/>
  <c r="AK32" i="1"/>
  <c r="AJ30" i="1"/>
  <c r="AI30" i="1"/>
  <c r="AK30" i="1"/>
  <c r="B11" i="2"/>
  <c r="B10" i="2"/>
  <c r="B9" i="2"/>
  <c r="B16" i="2"/>
  <c r="B14" i="2"/>
  <c r="B13" i="2"/>
  <c r="B12" i="2"/>
  <c r="Y1" i="2"/>
  <c r="AH31" i="1"/>
  <c r="AH32" i="1"/>
  <c r="AH30" i="1"/>
  <c r="AK28" i="1"/>
  <c r="AI27" i="1"/>
  <c r="AK27" i="1"/>
  <c r="AH26" i="1"/>
  <c r="AH25" i="1"/>
  <c r="AH24" i="1"/>
  <c r="AH23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H22" i="1"/>
  <c r="AI23" i="1"/>
  <c r="AJ23" i="1"/>
  <c r="AK23" i="1"/>
  <c r="AI24" i="1"/>
  <c r="AJ24" i="1"/>
  <c r="AK24" i="1"/>
  <c r="AJ22" i="1"/>
  <c r="AI22" i="1"/>
  <c r="AK22" i="1"/>
  <c r="AI3" i="1"/>
  <c r="AK3" i="1"/>
  <c r="AI2" i="1"/>
  <c r="AK2" i="1"/>
  <c r="AJ20" i="1"/>
  <c r="AJ18" i="1"/>
  <c r="AI19" i="1"/>
  <c r="AI18" i="1"/>
  <c r="AH19" i="1"/>
  <c r="AH18" i="1"/>
  <c r="AH14" i="1"/>
  <c r="AH13" i="1"/>
  <c r="AH12" i="1"/>
  <c r="AH11" i="1"/>
  <c r="AH10" i="1"/>
  <c r="AH9" i="1"/>
  <c r="AH8" i="1"/>
  <c r="AH7" i="1"/>
  <c r="AH6" i="1"/>
  <c r="AH5" i="1"/>
</calcChain>
</file>

<file path=xl/sharedStrings.xml><?xml version="1.0" encoding="utf-8"?>
<sst xmlns="http://schemas.openxmlformats.org/spreadsheetml/2006/main" count="2492" uniqueCount="144">
  <si>
    <t>DEMOGRAPHIC DATA</t>
  </si>
  <si>
    <t>Age</t>
  </si>
  <si>
    <t>Gender</t>
  </si>
  <si>
    <t>Comorbidities</t>
  </si>
  <si>
    <t>Hypertension</t>
  </si>
  <si>
    <t>Type 2 DM</t>
  </si>
  <si>
    <t>Atrial Fibrillation</t>
  </si>
  <si>
    <t>Dyslipidemia</t>
  </si>
  <si>
    <t>Previous Stroke</t>
  </si>
  <si>
    <t>Valvular Heart Disease</t>
  </si>
  <si>
    <t>Heart Failure</t>
  </si>
  <si>
    <t>Bronchial Asthma/COPD</t>
  </si>
  <si>
    <t>Others</t>
  </si>
  <si>
    <t>MRS</t>
  </si>
  <si>
    <t>Pre-morbid</t>
  </si>
  <si>
    <t>Admitting</t>
  </si>
  <si>
    <t>Discharge</t>
  </si>
  <si>
    <t>BASELINE INFORMATION</t>
  </si>
  <si>
    <t>CBG (mmol/L)</t>
  </si>
  <si>
    <t>Imaging</t>
  </si>
  <si>
    <t>rTPA</t>
  </si>
  <si>
    <t>YES</t>
  </si>
  <si>
    <t>NO</t>
  </si>
  <si>
    <t>NIHSS</t>
  </si>
  <si>
    <t>Pre-procedure</t>
  </si>
  <si>
    <t>Post-procedure (24-48hrs)</t>
  </si>
  <si>
    <t>SITE OF OCCLUSION</t>
  </si>
  <si>
    <t>ICTUS TO PUNCTURE (hrs)</t>
  </si>
  <si>
    <t>ICTUS TO RECANALIZATION (hrs)</t>
  </si>
  <si>
    <t>APPROACH</t>
  </si>
  <si>
    <t>Stenting</t>
  </si>
  <si>
    <t>IA-rTPA</t>
  </si>
  <si>
    <t>SINGLE PASS</t>
  </si>
  <si>
    <t>MULTIPLE PASSES</t>
  </si>
  <si>
    <t>Smoking</t>
  </si>
  <si>
    <t>HEMORRHAGIC CONVERSION</t>
  </si>
  <si>
    <t>HI 1</t>
  </si>
  <si>
    <t>HI 2</t>
  </si>
  <si>
    <t>PH 1</t>
  </si>
  <si>
    <t>PH 2</t>
  </si>
  <si>
    <t>M</t>
  </si>
  <si>
    <t>Y</t>
  </si>
  <si>
    <t>/</t>
  </si>
  <si>
    <t>5X</t>
  </si>
  <si>
    <t>3X</t>
  </si>
  <si>
    <t>2X</t>
  </si>
  <si>
    <t>4X</t>
  </si>
  <si>
    <t>N</t>
  </si>
  <si>
    <t>MRI</t>
  </si>
  <si>
    <t>R M2</t>
  </si>
  <si>
    <t>F</t>
  </si>
  <si>
    <t>Y 0.9</t>
  </si>
  <si>
    <t>R M1</t>
  </si>
  <si>
    <t>CAD/ACS</t>
  </si>
  <si>
    <t>CT</t>
  </si>
  <si>
    <t>N/A</t>
  </si>
  <si>
    <t>L M2</t>
  </si>
  <si>
    <t>L M1</t>
  </si>
  <si>
    <t>CKD</t>
  </si>
  <si>
    <t>2A</t>
  </si>
  <si>
    <t>R ICA</t>
  </si>
  <si>
    <t>TERMINATED</t>
  </si>
  <si>
    <t>PTB-TREATED</t>
  </si>
  <si>
    <t>BPH</t>
  </si>
  <si>
    <t>L P1 PCA</t>
  </si>
  <si>
    <t>2B</t>
  </si>
  <si>
    <t>Y 0.6</t>
  </si>
  <si>
    <t>L ICA</t>
  </si>
  <si>
    <t>MVA</t>
  </si>
  <si>
    <t>HYPERURICEMIA</t>
  </si>
  <si>
    <t>R MCA</t>
  </si>
  <si>
    <t>BASILAR</t>
  </si>
  <si>
    <t>DUODENAL CA</t>
  </si>
  <si>
    <t>INVASIVE MUCINOUS ADENOCA</t>
  </si>
  <si>
    <t>LIVER CIRRHOSIS</t>
  </si>
  <si>
    <t>SBP mmHg</t>
  </si>
  <si>
    <t>DBP mmHg</t>
  </si>
  <si>
    <t>Pre-treatment antiplatelet</t>
  </si>
  <si>
    <t>Pre-treatment anticoagulation</t>
  </si>
  <si>
    <t>Mean</t>
  </si>
  <si>
    <t>SD</t>
  </si>
  <si>
    <t>0-2</t>
  </si>
  <si>
    <t>3 to 5</t>
  </si>
  <si>
    <t>IQR</t>
  </si>
  <si>
    <t>M2</t>
  </si>
  <si>
    <t>M1</t>
  </si>
  <si>
    <t>ICA</t>
  </si>
  <si>
    <t>PCA</t>
  </si>
  <si>
    <t xml:space="preserve"> M1</t>
  </si>
  <si>
    <t>MCA</t>
  </si>
  <si>
    <t>L P1</t>
  </si>
  <si>
    <t>R M3</t>
  </si>
  <si>
    <t>M3</t>
  </si>
  <si>
    <t>M4</t>
  </si>
  <si>
    <t>Total</t>
  </si>
  <si>
    <t>MEDIAN</t>
  </si>
  <si>
    <t>Combined Stent Retriever and Aspiration</t>
  </si>
  <si>
    <t>Stent Retriever Alone</t>
  </si>
  <si>
    <t>Aspiration/Suction Alone</t>
  </si>
  <si>
    <t>Terminated</t>
  </si>
  <si>
    <t>Total Procedures:</t>
  </si>
  <si>
    <t>mTICI</t>
  </si>
  <si>
    <t>2a</t>
  </si>
  <si>
    <t>2b</t>
  </si>
  <si>
    <t>NO EVIDENCE</t>
  </si>
  <si>
    <t>Symptomatic</t>
  </si>
  <si>
    <t>Asymptomatic</t>
  </si>
  <si>
    <t>Pre-tx</t>
  </si>
  <si>
    <t>Post-tx</t>
  </si>
  <si>
    <t>1 to 4 (Mild)</t>
  </si>
  <si>
    <t>5 to 15(Moderate)</t>
  </si>
  <si>
    <t>16 to 20 (Moderate to Severe)</t>
  </si>
  <si>
    <t>21 to 42 (Severe)</t>
  </si>
  <si>
    <t>Median Age</t>
  </si>
  <si>
    <t xml:space="preserve"> Age</t>
  </si>
  <si>
    <t>Sex Ratio</t>
  </si>
  <si>
    <t>NIHSS (mean) pre-tx</t>
  </si>
  <si>
    <t>NIHSS (mean) post-tx</t>
  </si>
  <si>
    <t>NIHSS (mean) discharge</t>
  </si>
  <si>
    <t>ITP (mean)</t>
  </si>
  <si>
    <t>ITR (mean)</t>
  </si>
  <si>
    <t>LEGEND</t>
  </si>
  <si>
    <t>NONE</t>
  </si>
  <si>
    <t>Yes</t>
  </si>
  <si>
    <t>No</t>
  </si>
  <si>
    <t>Middle Cerebral Artery (MCA) sgements</t>
  </si>
  <si>
    <t>Posterior Cerebral Artery segments</t>
  </si>
  <si>
    <t>P1</t>
  </si>
  <si>
    <t>Internal Carotid Artery</t>
  </si>
  <si>
    <t>R</t>
  </si>
  <si>
    <t>L</t>
  </si>
  <si>
    <t>RIGHT</t>
  </si>
  <si>
    <t>LEFT</t>
  </si>
  <si>
    <t>Intra-arterial thrombolysis</t>
  </si>
  <si>
    <t>Baseline (Pre-morbid)</t>
  </si>
  <si>
    <t>Patient Number</t>
  </si>
  <si>
    <t>Admission</t>
  </si>
  <si>
    <t>Pre-Post</t>
  </si>
  <si>
    <t>Unfavorable to Favorable</t>
  </si>
  <si>
    <t>Favorable to Unfavorable</t>
  </si>
  <si>
    <t>Chi Square</t>
  </si>
  <si>
    <t>Alpha</t>
  </si>
  <si>
    <t>Critical Value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</si>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</sst>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0" fillId="4" borderId="0" xfId="0" applyFill="1"/>
    <xf numFmtId="0" fontId="5" fillId="0" borderId="2" xfId="0" applyFont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right"/>
    </xf>
    <xf numFmtId="0" fontId="0" fillId="0" borderId="0" xfId="0" applyFont="1" applyFill="1"/>
    <xf numFmtId="0" fontId="0" fillId="0" borderId="2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Fill="1" applyAlignment="1">
      <alignment horizontal="right"/>
    </xf>
    <xf numFmtId="0" fontId="0" fillId="0" borderId="2" xfId="0" applyFont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3" xfId="0" applyFill="1" applyBorder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16" fontId="0" fillId="0" borderId="0" xfId="0" applyNumberFormat="1" applyFill="1"/>
    <xf numFmtId="0" fontId="5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/>
  </cellXfs>
  <cellStyles count="1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workbookViewId="0">
      <pane xSplit="1" ySplit="1" topLeftCell="B10" activePane="bottomRight" state="frozen"/>
      <selection pane="topRight" activeCell="B1" sqref="B1"/>
      <selection pane="bottomLeft" activeCell="A2" sqref="A2"/>
      <selection pane="bottomRight" activeCell="AM42" sqref="AM42"/>
    </sheetView>
  </sheetViews>
  <sheetFormatPr baseColWidth="10" defaultRowHeight="15" x14ac:dyDescent="0"/>
  <cols>
    <col min="1" max="1" width="34.83203125" style="1" customWidth="1"/>
    <col min="2" max="6" width="10.83203125" style="1"/>
    <col min="7" max="7" width="11.5" style="1" customWidth="1"/>
    <col min="8" max="9" width="10.83203125" style="1"/>
    <col min="10" max="10" width="12.1640625" style="1" customWidth="1"/>
    <col min="11" max="18" width="10.83203125" style="1"/>
    <col min="19" max="19" width="16" style="1" customWidth="1"/>
    <col min="20" max="22" width="10.83203125" style="1"/>
    <col min="23" max="23" width="11.83203125" style="1" customWidth="1"/>
    <col min="24" max="25" width="10.83203125" style="1"/>
    <col min="26" max="26" width="13.1640625" style="1" customWidth="1"/>
    <col min="27" max="27" width="10.83203125" style="1"/>
    <col min="28" max="28" width="27.6640625" style="1" customWidth="1"/>
    <col min="29" max="29" width="14.5" style="1" customWidth="1"/>
    <col min="30" max="30" width="10.83203125" style="1"/>
    <col min="31" max="31" width="12.6640625" style="1" customWidth="1"/>
    <col min="32" max="32" width="10.83203125" style="1"/>
    <col min="33" max="33" width="34.5" style="20" customWidth="1"/>
    <col min="34" max="34" width="10.83203125" style="15"/>
    <col min="35" max="35" width="10.83203125" style="20"/>
    <col min="36" max="36" width="10.6640625" style="15" customWidth="1"/>
    <col min="37" max="37" width="10.83203125" style="15"/>
    <col min="38" max="38" width="20" style="15" customWidth="1"/>
    <col min="39" max="39" width="25.83203125" style="15" customWidth="1"/>
    <col min="40" max="41" width="10.83203125" style="15"/>
    <col min="42" max="42" width="14.1640625" customWidth="1"/>
  </cols>
  <sheetData>
    <row r="1" spans="1:41" s="8" customFormat="1">
      <c r="A1" s="7" t="s">
        <v>0</v>
      </c>
      <c r="B1" s="8">
        <v>1</v>
      </c>
      <c r="C1" s="8">
        <v>2</v>
      </c>
      <c r="D1" s="8">
        <v>3</v>
      </c>
      <c r="E1" s="8">
        <v>4</v>
      </c>
      <c r="F1" s="8">
        <v>5</v>
      </c>
      <c r="G1" s="8">
        <v>6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8">
        <v>12</v>
      </c>
      <c r="N1" s="8">
        <v>13</v>
      </c>
      <c r="O1" s="8">
        <v>14</v>
      </c>
      <c r="P1" s="8">
        <v>15</v>
      </c>
      <c r="Q1" s="8">
        <v>17</v>
      </c>
      <c r="R1" s="8">
        <v>18</v>
      </c>
      <c r="S1" s="8">
        <v>19</v>
      </c>
      <c r="T1" s="8">
        <v>20</v>
      </c>
      <c r="U1" s="8">
        <v>21</v>
      </c>
      <c r="V1" s="8">
        <v>22</v>
      </c>
      <c r="W1" s="8">
        <v>23</v>
      </c>
      <c r="X1" s="8">
        <v>24</v>
      </c>
      <c r="Y1" s="8">
        <v>25</v>
      </c>
      <c r="Z1" s="8">
        <v>26</v>
      </c>
      <c r="AA1" s="8">
        <v>27</v>
      </c>
      <c r="AB1" s="8">
        <v>28</v>
      </c>
      <c r="AC1" s="8">
        <v>29</v>
      </c>
      <c r="AD1" s="8">
        <v>30</v>
      </c>
      <c r="AE1" s="8">
        <v>31</v>
      </c>
      <c r="AF1" s="8">
        <v>32</v>
      </c>
      <c r="AG1" s="20"/>
      <c r="AH1" s="14"/>
      <c r="AI1" s="20"/>
      <c r="AJ1" s="14"/>
      <c r="AK1" s="14"/>
      <c r="AL1" s="14"/>
      <c r="AM1" s="14"/>
      <c r="AN1" s="14"/>
      <c r="AO1" s="14"/>
    </row>
    <row r="2" spans="1:41">
      <c r="A2" s="1" t="s">
        <v>1</v>
      </c>
      <c r="B2" s="1">
        <v>70</v>
      </c>
      <c r="C2" s="1">
        <v>56</v>
      </c>
      <c r="D2" s="1">
        <v>45</v>
      </c>
      <c r="E2" s="1">
        <v>36</v>
      </c>
      <c r="F2" s="1">
        <v>65</v>
      </c>
      <c r="G2" s="1">
        <v>58</v>
      </c>
      <c r="H2" s="1">
        <v>75</v>
      </c>
      <c r="I2" s="1">
        <v>67</v>
      </c>
      <c r="J2" s="1">
        <v>73</v>
      </c>
      <c r="K2" s="1">
        <v>84</v>
      </c>
      <c r="L2" s="1">
        <v>61</v>
      </c>
      <c r="M2" s="1">
        <v>67</v>
      </c>
      <c r="N2" s="1">
        <v>79</v>
      </c>
      <c r="O2" s="1">
        <v>41</v>
      </c>
      <c r="P2" s="1">
        <v>76</v>
      </c>
      <c r="Q2" s="1">
        <v>54</v>
      </c>
      <c r="R2" s="1">
        <v>72</v>
      </c>
      <c r="S2" s="1">
        <v>64</v>
      </c>
      <c r="T2" s="1">
        <v>69</v>
      </c>
      <c r="U2" s="1">
        <v>45</v>
      </c>
      <c r="V2" s="1">
        <v>71</v>
      </c>
      <c r="W2" s="1">
        <v>63</v>
      </c>
      <c r="X2" s="1">
        <v>65</v>
      </c>
      <c r="Y2" s="1">
        <v>86</v>
      </c>
      <c r="Z2" s="1">
        <v>68</v>
      </c>
      <c r="AA2" s="1">
        <v>70</v>
      </c>
      <c r="AB2" s="1">
        <v>67</v>
      </c>
      <c r="AC2" s="1">
        <v>71</v>
      </c>
      <c r="AD2" s="1">
        <v>47</v>
      </c>
      <c r="AE2" s="1">
        <v>61</v>
      </c>
      <c r="AF2" s="1">
        <v>64</v>
      </c>
      <c r="AG2" s="13" t="s">
        <v>1</v>
      </c>
      <c r="AH2" s="34" t="s">
        <v>79</v>
      </c>
      <c r="AI2" s="13">
        <f>AVERAGE(C2:AG2)</f>
        <v>64</v>
      </c>
      <c r="AJ2" s="34" t="s">
        <v>80</v>
      </c>
      <c r="AK2" s="13">
        <f>STDEVP(B2:AF2)</f>
        <v>11.778655804897236</v>
      </c>
      <c r="AL2" s="27"/>
      <c r="AM2" s="27" t="s">
        <v>113</v>
      </c>
      <c r="AN2" s="27">
        <f>MEDIAN(B2:AF2)</f>
        <v>67</v>
      </c>
      <c r="AO2" s="27"/>
    </row>
    <row r="3" spans="1:41">
      <c r="A3" s="1" t="s">
        <v>2</v>
      </c>
      <c r="B3" s="1" t="s">
        <v>40</v>
      </c>
      <c r="C3" s="1" t="s">
        <v>50</v>
      </c>
      <c r="D3" s="1" t="s">
        <v>40</v>
      </c>
      <c r="E3" s="1" t="s">
        <v>40</v>
      </c>
      <c r="F3" s="1" t="s">
        <v>50</v>
      </c>
      <c r="G3" s="1" t="s">
        <v>40</v>
      </c>
      <c r="H3" s="1" t="s">
        <v>50</v>
      </c>
      <c r="I3" s="1" t="s">
        <v>50</v>
      </c>
      <c r="J3" s="1" t="s">
        <v>40</v>
      </c>
      <c r="K3" s="1" t="s">
        <v>40</v>
      </c>
      <c r="L3" s="1" t="s">
        <v>40</v>
      </c>
      <c r="M3" s="1" t="s">
        <v>40</v>
      </c>
      <c r="N3" s="1" t="s">
        <v>40</v>
      </c>
      <c r="O3" s="1" t="s">
        <v>40</v>
      </c>
      <c r="P3" s="1" t="s">
        <v>50</v>
      </c>
      <c r="Q3" s="1" t="s">
        <v>40</v>
      </c>
      <c r="R3" s="1" t="s">
        <v>50</v>
      </c>
      <c r="S3" s="1" t="s">
        <v>40</v>
      </c>
      <c r="T3" s="1" t="s">
        <v>40</v>
      </c>
      <c r="U3" s="1" t="s">
        <v>50</v>
      </c>
      <c r="V3" s="1" t="s">
        <v>50</v>
      </c>
      <c r="W3" s="1" t="s">
        <v>40</v>
      </c>
      <c r="X3" s="1" t="s">
        <v>40</v>
      </c>
      <c r="Y3" s="1" t="s">
        <v>50</v>
      </c>
      <c r="Z3" s="1" t="s">
        <v>50</v>
      </c>
      <c r="AA3" s="1" t="s">
        <v>40</v>
      </c>
      <c r="AB3" s="1" t="s">
        <v>50</v>
      </c>
      <c r="AC3" s="1" t="s">
        <v>50</v>
      </c>
      <c r="AD3" s="1" t="s">
        <v>50</v>
      </c>
      <c r="AE3" s="1" t="s">
        <v>50</v>
      </c>
      <c r="AF3" s="1" t="s">
        <v>40</v>
      </c>
      <c r="AG3" s="13" t="s">
        <v>2</v>
      </c>
      <c r="AH3" s="34" t="s">
        <v>40</v>
      </c>
      <c r="AI3" s="13">
        <f>COUNTIF(B3:AF3, "M")</f>
        <v>17</v>
      </c>
      <c r="AJ3" s="34" t="s">
        <v>50</v>
      </c>
      <c r="AK3" s="13">
        <f>COUNTIF(B3:AF3, "F")</f>
        <v>14</v>
      </c>
      <c r="AL3" s="27"/>
      <c r="AM3" s="27" t="s">
        <v>114</v>
      </c>
      <c r="AN3" s="27">
        <f>QUARTILE(B2:AF2, 1)</f>
        <v>59.5</v>
      </c>
      <c r="AO3" s="27">
        <f>QUARTILE(B2:AF2, 3)</f>
        <v>71</v>
      </c>
    </row>
    <row r="4" spans="1:41" s="6" customFormat="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34"/>
      <c r="AH4" s="13"/>
      <c r="AI4" s="34"/>
      <c r="AJ4" s="27"/>
      <c r="AK4" s="27"/>
      <c r="AL4" s="27"/>
      <c r="AM4" s="27" t="s">
        <v>115</v>
      </c>
      <c r="AN4" s="27" t="str">
        <f>AI3/GCD(AI3,AK3)&amp;":"&amp;AK3/GCD(AI3,AK3)</f>
        <v>17:14</v>
      </c>
      <c r="AO4" s="27"/>
    </row>
    <row r="5" spans="1:41">
      <c r="A5" s="3" t="s">
        <v>4</v>
      </c>
      <c r="B5" s="1" t="s">
        <v>42</v>
      </c>
      <c r="C5" s="1" t="s">
        <v>42</v>
      </c>
      <c r="D5" s="1" t="s">
        <v>41</v>
      </c>
      <c r="E5" s="1" t="s">
        <v>42</v>
      </c>
      <c r="F5" s="1" t="s">
        <v>41</v>
      </c>
      <c r="G5" s="1" t="s">
        <v>41</v>
      </c>
      <c r="H5" s="1" t="s">
        <v>41</v>
      </c>
      <c r="I5" s="1" t="s">
        <v>42</v>
      </c>
      <c r="J5" s="1" t="s">
        <v>41</v>
      </c>
      <c r="K5" s="1" t="s">
        <v>42</v>
      </c>
      <c r="L5" s="1" t="s">
        <v>41</v>
      </c>
      <c r="M5" s="1" t="s">
        <v>41</v>
      </c>
      <c r="N5" s="1" t="s">
        <v>41</v>
      </c>
      <c r="O5" s="1" t="s">
        <v>42</v>
      </c>
      <c r="P5" s="1" t="s">
        <v>41</v>
      </c>
      <c r="Q5" s="1" t="s">
        <v>42</v>
      </c>
      <c r="R5" s="1" t="s">
        <v>41</v>
      </c>
      <c r="S5" s="1" t="s">
        <v>42</v>
      </c>
      <c r="T5" s="1" t="s">
        <v>41</v>
      </c>
      <c r="U5" s="1" t="s">
        <v>42</v>
      </c>
      <c r="V5" s="1" t="s">
        <v>41</v>
      </c>
      <c r="W5" s="1" t="s">
        <v>41</v>
      </c>
      <c r="X5" s="1" t="s">
        <v>41</v>
      </c>
      <c r="Y5" s="1" t="s">
        <v>42</v>
      </c>
      <c r="Z5" s="1" t="s">
        <v>41</v>
      </c>
      <c r="AA5" s="1" t="s">
        <v>41</v>
      </c>
      <c r="AB5" s="1" t="s">
        <v>42</v>
      </c>
      <c r="AC5" s="1" t="s">
        <v>42</v>
      </c>
      <c r="AD5" s="1" t="s">
        <v>42</v>
      </c>
      <c r="AE5" s="1" t="s">
        <v>42</v>
      </c>
      <c r="AF5" s="1" t="s">
        <v>41</v>
      </c>
      <c r="AG5" s="34" t="s">
        <v>4</v>
      </c>
      <c r="AH5" s="13">
        <f>COUNTIF(B5:AF5,"Y")</f>
        <v>17</v>
      </c>
      <c r="AI5" s="34"/>
      <c r="AJ5" s="27"/>
      <c r="AK5" s="27"/>
      <c r="AL5" s="27"/>
      <c r="AM5" s="27">
        <f>GCD(AI3,AK3)</f>
        <v>1</v>
      </c>
      <c r="AN5" s="27"/>
      <c r="AO5" s="27"/>
    </row>
    <row r="6" spans="1:41">
      <c r="A6" s="3" t="s">
        <v>5</v>
      </c>
      <c r="B6" s="1" t="s">
        <v>41</v>
      </c>
      <c r="C6" s="1" t="s">
        <v>42</v>
      </c>
      <c r="D6" s="1" t="s">
        <v>42</v>
      </c>
      <c r="E6" s="1" t="s">
        <v>42</v>
      </c>
      <c r="F6" s="1" t="s">
        <v>41</v>
      </c>
      <c r="G6" s="1" t="s">
        <v>42</v>
      </c>
      <c r="H6" s="1" t="s">
        <v>41</v>
      </c>
      <c r="I6" s="1" t="s">
        <v>42</v>
      </c>
      <c r="J6" s="1" t="s">
        <v>42</v>
      </c>
      <c r="K6" s="1" t="s">
        <v>41</v>
      </c>
      <c r="L6" s="1" t="s">
        <v>41</v>
      </c>
      <c r="M6" s="1" t="s">
        <v>42</v>
      </c>
      <c r="N6" s="1" t="s">
        <v>41</v>
      </c>
      <c r="O6" s="1" t="s">
        <v>42</v>
      </c>
      <c r="P6" s="1" t="s">
        <v>42</v>
      </c>
      <c r="Q6" s="1" t="s">
        <v>41</v>
      </c>
      <c r="R6" s="1" t="s">
        <v>42</v>
      </c>
      <c r="S6" s="1" t="s">
        <v>42</v>
      </c>
      <c r="T6" s="1" t="s">
        <v>42</v>
      </c>
      <c r="U6" s="1" t="s">
        <v>42</v>
      </c>
      <c r="V6" s="1" t="s">
        <v>42</v>
      </c>
      <c r="W6" s="1" t="s">
        <v>42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42</v>
      </c>
      <c r="AC6" s="1" t="s">
        <v>41</v>
      </c>
      <c r="AD6" s="1" t="s">
        <v>42</v>
      </c>
      <c r="AE6" s="1" t="s">
        <v>42</v>
      </c>
      <c r="AF6" s="1" t="s">
        <v>42</v>
      </c>
      <c r="AG6" s="34" t="s">
        <v>5</v>
      </c>
      <c r="AH6" s="13">
        <f t="shared" ref="AH6:AH11" si="0">COUNTIF(B6:AF6, "Y")</f>
        <v>12</v>
      </c>
      <c r="AI6" s="34"/>
      <c r="AJ6" s="27"/>
      <c r="AK6" s="27"/>
      <c r="AL6" s="27"/>
      <c r="AM6" s="27"/>
      <c r="AN6" s="27"/>
      <c r="AO6" s="27"/>
    </row>
    <row r="7" spans="1:41">
      <c r="A7" s="3" t="s">
        <v>6</v>
      </c>
      <c r="B7" s="1" t="s">
        <v>41</v>
      </c>
      <c r="C7" s="1" t="s">
        <v>41</v>
      </c>
      <c r="D7" s="1" t="s">
        <v>42</v>
      </c>
      <c r="E7" s="1" t="s">
        <v>42</v>
      </c>
      <c r="F7" s="1" t="s">
        <v>41</v>
      </c>
      <c r="G7" s="1" t="s">
        <v>41</v>
      </c>
      <c r="H7" s="1" t="s">
        <v>42</v>
      </c>
      <c r="I7" s="1" t="s">
        <v>41</v>
      </c>
      <c r="J7" s="1" t="s">
        <v>42</v>
      </c>
      <c r="K7" s="1" t="s">
        <v>42</v>
      </c>
      <c r="L7" s="1" t="s">
        <v>41</v>
      </c>
      <c r="M7" s="1" t="s">
        <v>42</v>
      </c>
      <c r="N7" s="1" t="s">
        <v>42</v>
      </c>
      <c r="O7" s="1" t="s">
        <v>41</v>
      </c>
      <c r="P7" s="1" t="s">
        <v>41</v>
      </c>
      <c r="Q7" s="1" t="s">
        <v>42</v>
      </c>
      <c r="R7" s="1" t="s">
        <v>41</v>
      </c>
      <c r="S7" s="1" t="s">
        <v>42</v>
      </c>
      <c r="T7" s="1" t="s">
        <v>41</v>
      </c>
      <c r="U7" s="1" t="s">
        <v>42</v>
      </c>
      <c r="V7" s="1" t="s">
        <v>41</v>
      </c>
      <c r="W7" s="1" t="s">
        <v>42</v>
      </c>
      <c r="X7" s="1" t="s">
        <v>41</v>
      </c>
      <c r="Y7" s="1" t="s">
        <v>41</v>
      </c>
      <c r="Z7" s="1" t="s">
        <v>42</v>
      </c>
      <c r="AA7" s="1" t="s">
        <v>41</v>
      </c>
      <c r="AB7" s="1" t="s">
        <v>42</v>
      </c>
      <c r="AC7" s="1" t="s">
        <v>41</v>
      </c>
      <c r="AD7" s="1" t="s">
        <v>41</v>
      </c>
      <c r="AE7" s="1" t="s">
        <v>42</v>
      </c>
      <c r="AF7" s="1" t="s">
        <v>41</v>
      </c>
      <c r="AG7" s="34" t="s">
        <v>6</v>
      </c>
      <c r="AH7" s="13">
        <f t="shared" si="0"/>
        <v>17</v>
      </c>
      <c r="AI7" s="34"/>
      <c r="AJ7" s="27"/>
      <c r="AK7" s="27"/>
      <c r="AL7" s="27"/>
      <c r="AM7" s="27"/>
      <c r="AN7" s="27"/>
      <c r="AO7" s="27"/>
    </row>
    <row r="8" spans="1:41">
      <c r="A8" s="3" t="s">
        <v>7</v>
      </c>
      <c r="B8" s="1" t="s">
        <v>42</v>
      </c>
      <c r="C8" s="1" t="s">
        <v>42</v>
      </c>
      <c r="D8" s="1" t="s">
        <v>42</v>
      </c>
      <c r="E8" s="1" t="s">
        <v>42</v>
      </c>
      <c r="F8" s="1" t="s">
        <v>42</v>
      </c>
      <c r="G8" s="1" t="s">
        <v>42</v>
      </c>
      <c r="H8" s="1" t="s">
        <v>42</v>
      </c>
      <c r="I8" s="1" t="s">
        <v>42</v>
      </c>
      <c r="J8" s="1" t="s">
        <v>42</v>
      </c>
      <c r="K8" s="1" t="s">
        <v>42</v>
      </c>
      <c r="L8" s="1" t="s">
        <v>42</v>
      </c>
      <c r="M8" s="1" t="s">
        <v>42</v>
      </c>
      <c r="N8" s="1" t="s">
        <v>42</v>
      </c>
      <c r="O8" s="1" t="s">
        <v>42</v>
      </c>
      <c r="P8" s="1" t="s">
        <v>42</v>
      </c>
      <c r="Q8" s="1" t="s">
        <v>42</v>
      </c>
      <c r="R8" s="1" t="s">
        <v>42</v>
      </c>
      <c r="S8" s="1" t="s">
        <v>42</v>
      </c>
      <c r="T8" s="1" t="s">
        <v>42</v>
      </c>
      <c r="U8" s="1" t="s">
        <v>42</v>
      </c>
      <c r="V8" s="1" t="s">
        <v>42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41</v>
      </c>
      <c r="AC8" s="1" t="s">
        <v>42</v>
      </c>
      <c r="AD8" s="1" t="s">
        <v>41</v>
      </c>
      <c r="AE8" s="1" t="s">
        <v>42</v>
      </c>
      <c r="AF8" s="1" t="s">
        <v>42</v>
      </c>
      <c r="AG8" s="34" t="s">
        <v>7</v>
      </c>
      <c r="AH8" s="13">
        <f t="shared" si="0"/>
        <v>2</v>
      </c>
      <c r="AI8" s="34"/>
      <c r="AJ8" s="27"/>
      <c r="AK8" s="27"/>
      <c r="AL8" s="27"/>
      <c r="AM8" s="27"/>
      <c r="AN8" s="27"/>
      <c r="AO8" s="27"/>
    </row>
    <row r="9" spans="1:41">
      <c r="A9" s="3" t="s">
        <v>34</v>
      </c>
      <c r="B9" s="1" t="s">
        <v>41</v>
      </c>
      <c r="C9" s="1" t="s">
        <v>41</v>
      </c>
      <c r="D9" s="1" t="s">
        <v>42</v>
      </c>
      <c r="E9" s="1" t="s">
        <v>41</v>
      </c>
      <c r="F9" s="1" t="s">
        <v>42</v>
      </c>
      <c r="G9" s="1" t="s">
        <v>41</v>
      </c>
      <c r="H9" s="1" t="s">
        <v>41</v>
      </c>
      <c r="I9" s="1" t="s">
        <v>42</v>
      </c>
      <c r="J9" s="1" t="s">
        <v>41</v>
      </c>
      <c r="K9" s="1" t="s">
        <v>41</v>
      </c>
      <c r="L9" s="1" t="s">
        <v>41</v>
      </c>
      <c r="M9" s="1" t="s">
        <v>41</v>
      </c>
      <c r="N9" s="1" t="s">
        <v>42</v>
      </c>
      <c r="O9" s="1" t="s">
        <v>41</v>
      </c>
      <c r="P9" s="1" t="s">
        <v>42</v>
      </c>
      <c r="Q9" s="1" t="s">
        <v>41</v>
      </c>
      <c r="R9" s="1" t="s">
        <v>42</v>
      </c>
      <c r="S9" s="1" t="s">
        <v>41</v>
      </c>
      <c r="T9" s="1" t="s">
        <v>42</v>
      </c>
      <c r="U9" s="1" t="s">
        <v>42</v>
      </c>
      <c r="V9" s="1" t="s">
        <v>42</v>
      </c>
      <c r="W9" s="1" t="s">
        <v>41</v>
      </c>
      <c r="X9" s="1" t="s">
        <v>42</v>
      </c>
      <c r="Y9" s="1" t="s">
        <v>41</v>
      </c>
      <c r="Z9" s="1" t="s">
        <v>42</v>
      </c>
      <c r="AA9" s="1" t="s">
        <v>41</v>
      </c>
      <c r="AB9" s="1" t="s">
        <v>41</v>
      </c>
      <c r="AC9" s="1" t="s">
        <v>41</v>
      </c>
      <c r="AD9" s="1" t="s">
        <v>42</v>
      </c>
      <c r="AE9" s="1" t="s">
        <v>42</v>
      </c>
      <c r="AF9" s="1" t="s">
        <v>41</v>
      </c>
      <c r="AG9" s="34" t="s">
        <v>34</v>
      </c>
      <c r="AH9" s="13">
        <f t="shared" si="0"/>
        <v>18</v>
      </c>
      <c r="AI9" s="34"/>
      <c r="AJ9" s="27"/>
      <c r="AK9" s="27"/>
      <c r="AL9" s="27"/>
      <c r="AM9" s="27"/>
      <c r="AN9" s="27"/>
      <c r="AO9" s="27"/>
    </row>
    <row r="10" spans="1:41">
      <c r="A10" s="3" t="s">
        <v>8</v>
      </c>
      <c r="B10" s="1" t="s">
        <v>42</v>
      </c>
      <c r="C10" s="1" t="s">
        <v>42</v>
      </c>
      <c r="D10" s="1" t="s">
        <v>42</v>
      </c>
      <c r="E10" s="1" t="s">
        <v>42</v>
      </c>
      <c r="F10" s="1" t="s">
        <v>41</v>
      </c>
      <c r="G10" s="1" t="s">
        <v>42</v>
      </c>
      <c r="H10" s="1" t="s">
        <v>42</v>
      </c>
      <c r="I10" s="1" t="s">
        <v>42</v>
      </c>
      <c r="J10" s="1" t="s">
        <v>41</v>
      </c>
      <c r="K10" s="1" t="s">
        <v>41</v>
      </c>
      <c r="L10" s="1" t="s">
        <v>42</v>
      </c>
      <c r="M10" s="1" t="s">
        <v>42</v>
      </c>
      <c r="N10" s="1" t="s">
        <v>42</v>
      </c>
      <c r="O10" s="1" t="s">
        <v>42</v>
      </c>
      <c r="P10" s="1" t="s">
        <v>42</v>
      </c>
      <c r="Q10" s="1" t="s">
        <v>42</v>
      </c>
      <c r="R10" s="1" t="s">
        <v>42</v>
      </c>
      <c r="S10" s="1" t="s">
        <v>42</v>
      </c>
      <c r="T10" s="1" t="s">
        <v>42</v>
      </c>
      <c r="U10" s="1" t="s">
        <v>42</v>
      </c>
      <c r="V10" s="1" t="s">
        <v>42</v>
      </c>
      <c r="W10" s="1" t="s">
        <v>42</v>
      </c>
      <c r="X10" s="1" t="s">
        <v>41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42</v>
      </c>
      <c r="AD10" s="1" t="s">
        <v>42</v>
      </c>
      <c r="AE10" s="1" t="s">
        <v>42</v>
      </c>
      <c r="AF10" s="1" t="s">
        <v>41</v>
      </c>
      <c r="AG10" s="34" t="s">
        <v>8</v>
      </c>
      <c r="AH10" s="13">
        <f t="shared" si="0"/>
        <v>5</v>
      </c>
      <c r="AI10" s="34"/>
      <c r="AJ10" s="27"/>
      <c r="AK10" s="27"/>
      <c r="AL10" s="27"/>
      <c r="AM10" s="27"/>
      <c r="AN10" s="27"/>
      <c r="AO10" s="27"/>
    </row>
    <row r="11" spans="1:41">
      <c r="A11" s="3" t="s">
        <v>9</v>
      </c>
      <c r="B11" s="1" t="s">
        <v>42</v>
      </c>
      <c r="C11" s="1" t="s">
        <v>42</v>
      </c>
      <c r="D11" s="1" t="s">
        <v>42</v>
      </c>
      <c r="E11" s="1" t="s">
        <v>42</v>
      </c>
      <c r="F11" s="1" t="s">
        <v>42</v>
      </c>
      <c r="G11" s="1" t="s">
        <v>42</v>
      </c>
      <c r="H11" s="1" t="s">
        <v>42</v>
      </c>
      <c r="I11" s="1" t="s">
        <v>42</v>
      </c>
      <c r="J11" s="1" t="s">
        <v>42</v>
      </c>
      <c r="K11" s="1" t="s">
        <v>42</v>
      </c>
      <c r="L11" s="1" t="s">
        <v>42</v>
      </c>
      <c r="M11" s="1" t="s">
        <v>42</v>
      </c>
      <c r="N11" s="1" t="s">
        <v>42</v>
      </c>
      <c r="O11" s="1" t="s">
        <v>41</v>
      </c>
      <c r="P11" s="1" t="s">
        <v>42</v>
      </c>
      <c r="Q11" s="1" t="s">
        <v>42</v>
      </c>
      <c r="R11" s="1" t="s">
        <v>42</v>
      </c>
      <c r="S11" s="1" t="s">
        <v>42</v>
      </c>
      <c r="T11" s="1" t="s">
        <v>42</v>
      </c>
      <c r="U11" s="1" t="s">
        <v>41</v>
      </c>
      <c r="V11" s="1" t="s">
        <v>42</v>
      </c>
      <c r="W11" s="1" t="s">
        <v>42</v>
      </c>
      <c r="X11" s="1" t="s">
        <v>42</v>
      </c>
      <c r="Y11" s="1" t="s">
        <v>42</v>
      </c>
      <c r="Z11" s="1" t="s">
        <v>42</v>
      </c>
      <c r="AA11" s="1" t="s">
        <v>42</v>
      </c>
      <c r="AB11" s="1" t="s">
        <v>42</v>
      </c>
      <c r="AC11" s="1" t="s">
        <v>41</v>
      </c>
      <c r="AD11" s="1" t="s">
        <v>41</v>
      </c>
      <c r="AE11" s="1" t="s">
        <v>42</v>
      </c>
      <c r="AF11" s="1" t="s">
        <v>42</v>
      </c>
      <c r="AG11" s="34" t="s">
        <v>9</v>
      </c>
      <c r="AH11" s="13">
        <f t="shared" si="0"/>
        <v>4</v>
      </c>
      <c r="AI11" s="34"/>
      <c r="AJ11" s="27"/>
      <c r="AK11" s="27"/>
      <c r="AL11" s="27"/>
      <c r="AM11" s="27"/>
      <c r="AN11" s="27"/>
      <c r="AO11" s="27"/>
    </row>
    <row r="12" spans="1:41">
      <c r="A12" s="3" t="s">
        <v>53</v>
      </c>
      <c r="B12" s="1" t="s">
        <v>42</v>
      </c>
      <c r="C12" s="1" t="s">
        <v>42</v>
      </c>
      <c r="D12" s="1" t="s">
        <v>41</v>
      </c>
      <c r="E12" s="1" t="s">
        <v>42</v>
      </c>
      <c r="F12" s="1" t="s">
        <v>42</v>
      </c>
      <c r="G12" s="1" t="s">
        <v>41</v>
      </c>
      <c r="H12" s="1" t="s">
        <v>42</v>
      </c>
      <c r="I12" s="1" t="s">
        <v>42</v>
      </c>
      <c r="J12" s="1" t="s">
        <v>42</v>
      </c>
      <c r="K12" s="1" t="s">
        <v>41</v>
      </c>
      <c r="L12" s="1" t="s">
        <v>42</v>
      </c>
      <c r="M12" s="1" t="s">
        <v>42</v>
      </c>
      <c r="N12" s="1" t="s">
        <v>42</v>
      </c>
      <c r="O12" s="1" t="s">
        <v>42</v>
      </c>
      <c r="P12" s="1" t="s">
        <v>42</v>
      </c>
      <c r="Q12" s="1" t="s">
        <v>42</v>
      </c>
      <c r="R12" s="1" t="s">
        <v>42</v>
      </c>
      <c r="S12" s="1" t="s">
        <v>42</v>
      </c>
      <c r="T12" s="1" t="s">
        <v>42</v>
      </c>
      <c r="U12" s="1" t="s">
        <v>42</v>
      </c>
      <c r="V12" s="1" t="s">
        <v>42</v>
      </c>
      <c r="W12" s="1" t="s">
        <v>42</v>
      </c>
      <c r="X12" s="1" t="s">
        <v>42</v>
      </c>
      <c r="Y12" s="1" t="s">
        <v>42</v>
      </c>
      <c r="Z12" s="1" t="s">
        <v>42</v>
      </c>
      <c r="AA12" s="1" t="s">
        <v>41</v>
      </c>
      <c r="AB12" s="1" t="s">
        <v>42</v>
      </c>
      <c r="AC12" s="1" t="s">
        <v>42</v>
      </c>
      <c r="AD12" s="1" t="s">
        <v>42</v>
      </c>
      <c r="AE12" s="1" t="s">
        <v>42</v>
      </c>
      <c r="AF12" s="1" t="s">
        <v>42</v>
      </c>
      <c r="AG12" s="34" t="s">
        <v>53</v>
      </c>
      <c r="AH12" s="13">
        <f>COUNTIF(B12:AF12,"Y")</f>
        <v>4</v>
      </c>
      <c r="AI12" s="34"/>
      <c r="AJ12" s="27"/>
      <c r="AK12" s="27"/>
      <c r="AL12" s="27"/>
      <c r="AM12" s="27"/>
      <c r="AN12" s="27"/>
      <c r="AO12" s="27"/>
    </row>
    <row r="13" spans="1:41">
      <c r="A13" s="3" t="s">
        <v>10</v>
      </c>
      <c r="B13" s="1" t="s">
        <v>42</v>
      </c>
      <c r="C13" s="1" t="s">
        <v>42</v>
      </c>
      <c r="D13" s="1" t="s">
        <v>41</v>
      </c>
      <c r="E13" s="1" t="s">
        <v>42</v>
      </c>
      <c r="F13" s="1" t="s">
        <v>42</v>
      </c>
      <c r="G13" s="1" t="s">
        <v>42</v>
      </c>
      <c r="H13" s="1" t="s">
        <v>42</v>
      </c>
      <c r="I13" s="1" t="s">
        <v>42</v>
      </c>
      <c r="J13" s="1" t="s">
        <v>42</v>
      </c>
      <c r="K13" s="1" t="s">
        <v>42</v>
      </c>
      <c r="L13" s="1" t="s">
        <v>42</v>
      </c>
      <c r="M13" s="1" t="s">
        <v>42</v>
      </c>
      <c r="N13" s="1" t="s">
        <v>42</v>
      </c>
      <c r="O13" s="1" t="s">
        <v>41</v>
      </c>
      <c r="P13" s="1" t="s">
        <v>42</v>
      </c>
      <c r="Q13" s="1" t="s">
        <v>42</v>
      </c>
      <c r="R13" s="1" t="s">
        <v>42</v>
      </c>
      <c r="S13" s="1" t="s">
        <v>42</v>
      </c>
      <c r="T13" s="1" t="s">
        <v>42</v>
      </c>
      <c r="U13" s="1" t="s">
        <v>42</v>
      </c>
      <c r="V13" s="1" t="s">
        <v>42</v>
      </c>
      <c r="W13" s="1" t="s">
        <v>42</v>
      </c>
      <c r="X13" s="1" t="s">
        <v>42</v>
      </c>
      <c r="Y13" s="1" t="s">
        <v>42</v>
      </c>
      <c r="Z13" s="1" t="s">
        <v>42</v>
      </c>
      <c r="AA13" s="1" t="s">
        <v>42</v>
      </c>
      <c r="AB13" s="1" t="s">
        <v>42</v>
      </c>
      <c r="AC13" s="1" t="s">
        <v>42</v>
      </c>
      <c r="AD13" s="1" t="s">
        <v>42</v>
      </c>
      <c r="AE13" s="1" t="s">
        <v>42</v>
      </c>
      <c r="AF13" s="1" t="s">
        <v>42</v>
      </c>
      <c r="AG13" s="34" t="s">
        <v>10</v>
      </c>
      <c r="AH13" s="13">
        <f>COUNTIF(B13:AF13, "Y")</f>
        <v>2</v>
      </c>
      <c r="AI13" s="34"/>
      <c r="AJ13" s="27"/>
      <c r="AK13" s="27"/>
      <c r="AL13" s="27"/>
      <c r="AM13" s="27"/>
      <c r="AN13" s="27"/>
      <c r="AO13" s="27"/>
    </row>
    <row r="14" spans="1:41">
      <c r="A14" s="3" t="s">
        <v>11</v>
      </c>
      <c r="B14" s="1" t="s">
        <v>42</v>
      </c>
      <c r="C14" s="1" t="s">
        <v>42</v>
      </c>
      <c r="D14" s="1" t="s">
        <v>42</v>
      </c>
      <c r="E14" s="1" t="s">
        <v>42</v>
      </c>
      <c r="F14" s="1" t="s">
        <v>42</v>
      </c>
      <c r="G14" s="1" t="s">
        <v>42</v>
      </c>
      <c r="H14" s="1" t="s">
        <v>42</v>
      </c>
      <c r="I14" s="1" t="s">
        <v>42</v>
      </c>
      <c r="J14" s="1" t="s">
        <v>42</v>
      </c>
      <c r="K14" s="1" t="s">
        <v>41</v>
      </c>
      <c r="L14" s="1" t="s">
        <v>42</v>
      </c>
      <c r="M14" s="1" t="s">
        <v>42</v>
      </c>
      <c r="N14" s="1" t="s">
        <v>42</v>
      </c>
      <c r="O14" s="1" t="s">
        <v>42</v>
      </c>
      <c r="P14" s="1" t="s">
        <v>42</v>
      </c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41</v>
      </c>
      <c r="AC14" s="1" t="s">
        <v>42</v>
      </c>
      <c r="AD14" s="1" t="s">
        <v>42</v>
      </c>
      <c r="AE14" s="1" t="s">
        <v>42</v>
      </c>
      <c r="AF14" s="1" t="s">
        <v>42</v>
      </c>
      <c r="AG14" s="34" t="s">
        <v>11</v>
      </c>
      <c r="AH14" s="13">
        <f>COUNTIF(B14:AF14, "Y")</f>
        <v>2</v>
      </c>
      <c r="AI14" s="34"/>
      <c r="AJ14" s="27"/>
      <c r="AK14" s="27"/>
      <c r="AL14" s="27"/>
      <c r="AM14" s="27"/>
      <c r="AN14" s="27"/>
      <c r="AO14" s="27"/>
    </row>
    <row r="15" spans="1:41">
      <c r="A15" s="3" t="s">
        <v>12</v>
      </c>
      <c r="B15" s="1" t="s">
        <v>42</v>
      </c>
      <c r="C15" s="1" t="s">
        <v>42</v>
      </c>
      <c r="D15" s="1" t="s">
        <v>42</v>
      </c>
      <c r="E15" s="1" t="s">
        <v>42</v>
      </c>
      <c r="F15" s="1" t="s">
        <v>58</v>
      </c>
      <c r="G15" s="1" t="s">
        <v>42</v>
      </c>
      <c r="H15" s="1" t="s">
        <v>58</v>
      </c>
      <c r="I15" s="1" t="s">
        <v>42</v>
      </c>
      <c r="J15" s="1" t="s">
        <v>62</v>
      </c>
      <c r="K15" s="1" t="s">
        <v>63</v>
      </c>
      <c r="L15" s="1" t="s">
        <v>42</v>
      </c>
      <c r="M15" s="1" t="s">
        <v>42</v>
      </c>
      <c r="N15" s="1" t="s">
        <v>42</v>
      </c>
      <c r="O15" s="1" t="s">
        <v>42</v>
      </c>
      <c r="P15" s="1" t="s">
        <v>42</v>
      </c>
      <c r="Q15" s="1" t="s">
        <v>68</v>
      </c>
      <c r="R15" s="1" t="s">
        <v>42</v>
      </c>
      <c r="S15" s="1" t="s">
        <v>69</v>
      </c>
      <c r="T15" s="1" t="s">
        <v>42</v>
      </c>
      <c r="U15" s="1" t="s">
        <v>42</v>
      </c>
      <c r="V15" s="1" t="s">
        <v>42</v>
      </c>
      <c r="W15" s="1" t="s">
        <v>42</v>
      </c>
      <c r="X15" s="1" t="s">
        <v>42</v>
      </c>
      <c r="Y15" s="1" t="s">
        <v>42</v>
      </c>
      <c r="Z15" s="1" t="s">
        <v>72</v>
      </c>
      <c r="AA15" s="1" t="s">
        <v>42</v>
      </c>
      <c r="AB15" s="1" t="s">
        <v>73</v>
      </c>
      <c r="AC15" s="1" t="s">
        <v>74</v>
      </c>
      <c r="AD15" s="1" t="s">
        <v>42</v>
      </c>
      <c r="AE15" s="1" t="s">
        <v>42</v>
      </c>
      <c r="AF15" s="1" t="s">
        <v>42</v>
      </c>
      <c r="AG15" s="34" t="s">
        <v>12</v>
      </c>
      <c r="AH15" s="27"/>
      <c r="AI15" s="34"/>
      <c r="AJ15" s="27"/>
      <c r="AK15" s="27"/>
      <c r="AL15" s="27"/>
      <c r="AM15" s="27"/>
      <c r="AN15" s="27"/>
      <c r="AO15" s="27"/>
    </row>
    <row r="16" spans="1:41" s="23" customFormat="1">
      <c r="A16" s="2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20"/>
      <c r="AH16" s="15"/>
      <c r="AI16" s="20"/>
      <c r="AJ16" s="15"/>
      <c r="AK16" s="15"/>
      <c r="AL16" s="15"/>
      <c r="AM16" s="15"/>
      <c r="AN16" s="15"/>
      <c r="AO16" s="15"/>
    </row>
    <row r="17" spans="1:41" s="9" customFormat="1">
      <c r="A17" s="7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20" t="s">
        <v>13</v>
      </c>
      <c r="AH17" s="14" t="s">
        <v>14</v>
      </c>
      <c r="AI17" s="14" t="s">
        <v>15</v>
      </c>
      <c r="AJ17" s="14" t="s">
        <v>16</v>
      </c>
      <c r="AK17" s="15"/>
      <c r="AL17" s="15"/>
      <c r="AM17" s="15"/>
      <c r="AN17" s="15"/>
      <c r="AO17" s="15"/>
    </row>
    <row r="18" spans="1:41">
      <c r="A18" s="1" t="s">
        <v>14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4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1</v>
      </c>
      <c r="Y18" s="1">
        <v>0</v>
      </c>
      <c r="Z18" s="1">
        <v>3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20" t="s">
        <v>81</v>
      </c>
      <c r="AH18" s="14">
        <f>COUNTIF(B18:AF18, "&lt;2")</f>
        <v>29</v>
      </c>
      <c r="AI18" s="20">
        <f>COUNTIF(B19:AF19, "&lt;3")</f>
        <v>2</v>
      </c>
      <c r="AJ18" s="15">
        <f>COUNTIF(B20:AF20, "&lt;3")</f>
        <v>7</v>
      </c>
    </row>
    <row r="19" spans="1:41">
      <c r="A19" s="1" t="s">
        <v>15</v>
      </c>
      <c r="B19" s="1">
        <v>5</v>
      </c>
      <c r="C19" s="1">
        <v>5</v>
      </c>
      <c r="D19" s="1">
        <v>5</v>
      </c>
      <c r="E19" s="1">
        <v>5</v>
      </c>
      <c r="F19" s="1">
        <v>4</v>
      </c>
      <c r="G19" s="1">
        <v>1</v>
      </c>
      <c r="H19" s="1">
        <v>4</v>
      </c>
      <c r="I19" s="1">
        <v>5</v>
      </c>
      <c r="J19" s="1">
        <v>5</v>
      </c>
      <c r="K19" s="1">
        <v>5</v>
      </c>
      <c r="L19" s="1">
        <v>5</v>
      </c>
      <c r="M19" s="1">
        <v>4</v>
      </c>
      <c r="N19" s="1">
        <v>5</v>
      </c>
      <c r="O19" s="1">
        <v>5</v>
      </c>
      <c r="P19" s="1">
        <v>0</v>
      </c>
      <c r="Q19" s="1">
        <v>4</v>
      </c>
      <c r="R19" s="1">
        <v>5</v>
      </c>
      <c r="S19" s="1">
        <v>4</v>
      </c>
      <c r="T19" s="1">
        <v>5</v>
      </c>
      <c r="U19" s="1">
        <v>4</v>
      </c>
      <c r="V19" s="1">
        <v>5</v>
      </c>
      <c r="W19" s="1">
        <v>5</v>
      </c>
      <c r="X19" s="1">
        <v>5</v>
      </c>
      <c r="Y19" s="1">
        <v>5</v>
      </c>
      <c r="Z19" s="1">
        <v>4</v>
      </c>
      <c r="AA19" s="1">
        <v>5</v>
      </c>
      <c r="AB19" s="1">
        <v>5</v>
      </c>
      <c r="AC19" s="1">
        <v>5</v>
      </c>
      <c r="AD19" s="1">
        <v>5</v>
      </c>
      <c r="AE19" s="1">
        <v>5</v>
      </c>
      <c r="AF19" s="1">
        <v>5</v>
      </c>
      <c r="AG19" s="21" t="s">
        <v>82</v>
      </c>
      <c r="AH19" s="14">
        <f>COUNTIF(B18:AF18, "&gt;2")</f>
        <v>2</v>
      </c>
      <c r="AI19" s="20">
        <f>COUNTIF(B19:AF19, "&gt;2")</f>
        <v>29</v>
      </c>
      <c r="AJ19" s="15">
        <v>15</v>
      </c>
    </row>
    <row r="20" spans="1:41">
      <c r="A20" s="1" t="s">
        <v>16</v>
      </c>
      <c r="B20" s="1">
        <v>5</v>
      </c>
      <c r="C20" s="1">
        <v>0</v>
      </c>
      <c r="D20" s="29">
        <v>6</v>
      </c>
      <c r="E20" s="29">
        <v>6</v>
      </c>
      <c r="F20" s="1">
        <v>4</v>
      </c>
      <c r="G20" s="29">
        <v>6</v>
      </c>
      <c r="H20" s="1">
        <v>0</v>
      </c>
      <c r="I20" s="1">
        <v>4</v>
      </c>
      <c r="J20" s="1">
        <v>5</v>
      </c>
      <c r="K20" s="29">
        <v>6</v>
      </c>
      <c r="L20" s="1">
        <v>5</v>
      </c>
      <c r="M20" s="1">
        <v>5</v>
      </c>
      <c r="N20" s="1">
        <v>4</v>
      </c>
      <c r="O20" s="1">
        <v>4</v>
      </c>
      <c r="P20" s="1">
        <v>0</v>
      </c>
      <c r="Q20" s="1">
        <v>1</v>
      </c>
      <c r="R20" s="1">
        <v>5</v>
      </c>
      <c r="S20" s="1">
        <v>1</v>
      </c>
      <c r="T20" s="1">
        <v>4</v>
      </c>
      <c r="U20" s="1">
        <v>0</v>
      </c>
      <c r="V20" s="1">
        <v>5</v>
      </c>
      <c r="W20" s="29">
        <v>6</v>
      </c>
      <c r="X20" s="1">
        <v>3</v>
      </c>
      <c r="Y20" s="29">
        <v>6</v>
      </c>
      <c r="Z20" s="29">
        <v>6</v>
      </c>
      <c r="AA20" s="1">
        <v>4</v>
      </c>
      <c r="AB20" s="1">
        <v>4</v>
      </c>
      <c r="AC20" s="1">
        <v>4</v>
      </c>
      <c r="AD20" s="1">
        <v>1</v>
      </c>
      <c r="AE20" s="29">
        <v>6</v>
      </c>
      <c r="AF20" s="29">
        <v>6</v>
      </c>
      <c r="AG20" s="20">
        <v>6</v>
      </c>
      <c r="AH20" s="14">
        <v>0</v>
      </c>
      <c r="AI20" s="20">
        <v>0</v>
      </c>
      <c r="AJ20" s="15">
        <f>COUNTIF(B20:AF20, "6")</f>
        <v>9</v>
      </c>
      <c r="AM20" s="15" t="s">
        <v>23</v>
      </c>
      <c r="AN20" s="15" t="s">
        <v>107</v>
      </c>
      <c r="AO20" s="15" t="s">
        <v>108</v>
      </c>
    </row>
    <row r="21" spans="1:41" s="9" customFormat="1">
      <c r="A21" s="7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26"/>
      <c r="AH21" s="28" t="s">
        <v>95</v>
      </c>
      <c r="AI21" s="28" t="s">
        <v>83</v>
      </c>
      <c r="AJ21" s="25"/>
      <c r="AK21" s="25"/>
      <c r="AL21" s="15"/>
      <c r="AM21" s="51" t="s">
        <v>109</v>
      </c>
      <c r="AN21" s="15">
        <v>1</v>
      </c>
      <c r="AO21" s="15">
        <v>2</v>
      </c>
    </row>
    <row r="22" spans="1:41">
      <c r="A22" s="1" t="s">
        <v>18</v>
      </c>
      <c r="B22" s="1">
        <f>(187*0.0555)</f>
        <v>10.378500000000001</v>
      </c>
      <c r="C22" s="1">
        <f>(137*0.0555)</f>
        <v>7.6035000000000004</v>
      </c>
      <c r="D22" s="1">
        <f>(138*0.0555)</f>
        <v>7.6589999999999998</v>
      </c>
      <c r="E22" s="1">
        <f>(132*0.0555)</f>
        <v>7.3260000000000005</v>
      </c>
      <c r="F22" s="1">
        <f>(285*0.0555)</f>
        <v>15.817500000000001</v>
      </c>
      <c r="G22" s="1">
        <f>(267*0.0555)</f>
        <v>14.8185</v>
      </c>
      <c r="H22" s="1">
        <f>(243*0.0555)</f>
        <v>13.486499999999999</v>
      </c>
      <c r="I22" s="1">
        <f>(114*0.0555)</f>
        <v>6.327</v>
      </c>
      <c r="J22" s="1">
        <f>(138*0.0555)</f>
        <v>7.6589999999999998</v>
      </c>
      <c r="K22" s="1">
        <f>(161*0.0555)</f>
        <v>8.9354999999999993</v>
      </c>
      <c r="L22" s="1">
        <f>(296*0.0555)</f>
        <v>16.428000000000001</v>
      </c>
      <c r="M22" s="1">
        <f>(163*0.0555)</f>
        <v>9.0465</v>
      </c>
      <c r="N22" s="1">
        <f>(125*0.0555)</f>
        <v>6.9375</v>
      </c>
      <c r="O22" s="1">
        <f>(151*0.0555)</f>
        <v>8.3804999999999996</v>
      </c>
      <c r="P22" s="1">
        <f>(114*0.0555)</f>
        <v>6.327</v>
      </c>
      <c r="Q22" s="1">
        <f>(254*0.0555)</f>
        <v>14.097</v>
      </c>
      <c r="R22" s="1">
        <f>(107*0.0555)</f>
        <v>5.9385000000000003</v>
      </c>
      <c r="S22" s="1">
        <f>(82*0.0555)</f>
        <v>4.5510000000000002</v>
      </c>
      <c r="T22" s="1">
        <f>(131*0.0555)</f>
        <v>7.2705000000000002</v>
      </c>
      <c r="U22" s="1">
        <f>(117*0.0555)</f>
        <v>6.4935</v>
      </c>
      <c r="V22" s="1">
        <f>(119*0.0555)</f>
        <v>6.6044999999999998</v>
      </c>
      <c r="W22" s="1">
        <f>(149*0.0555)</f>
        <v>8.2695000000000007</v>
      </c>
      <c r="X22" s="1">
        <f>(87*0.0555)</f>
        <v>4.8285</v>
      </c>
      <c r="Y22" s="1">
        <f>(200*0.0555)</f>
        <v>11.1</v>
      </c>
      <c r="Z22" s="1">
        <f>(108*0.0555)</f>
        <v>5.9939999999999998</v>
      </c>
      <c r="AA22" s="1">
        <f>(152*0.0555)</f>
        <v>8.4359999999999999</v>
      </c>
      <c r="AB22" s="1">
        <f>(100*0.0555)</f>
        <v>5.55</v>
      </c>
      <c r="AC22" s="1">
        <f>(126*0.0555)</f>
        <v>6.9930000000000003</v>
      </c>
      <c r="AD22" s="1">
        <f>(152*0.0555)</f>
        <v>8.4359999999999999</v>
      </c>
      <c r="AE22" s="1">
        <f>(128*0.0555)</f>
        <v>7.1040000000000001</v>
      </c>
      <c r="AF22" s="1">
        <f>(133*0.0555)</f>
        <v>7.3815</v>
      </c>
      <c r="AG22" s="14" t="s">
        <v>18</v>
      </c>
      <c r="AH22" s="15">
        <f>MEDIAN(B22:AF22)</f>
        <v>7.6035000000000004</v>
      </c>
      <c r="AI22" s="20">
        <f>QUARTILE(B22:AF22, 1)</f>
        <v>6.5489999999999995</v>
      </c>
      <c r="AJ22" s="15">
        <f>QUARTILE(B22:AF22, 3)</f>
        <v>8.9909999999999997</v>
      </c>
      <c r="AK22" s="15">
        <f>AJ22-AI22</f>
        <v>2.4420000000000002</v>
      </c>
      <c r="AM22" s="15" t="s">
        <v>110</v>
      </c>
      <c r="AN22" s="15">
        <v>17</v>
      </c>
      <c r="AO22" s="15">
        <v>15</v>
      </c>
    </row>
    <row r="23" spans="1:41">
      <c r="A23" s="1" t="s">
        <v>75</v>
      </c>
      <c r="B23" s="1">
        <v>170</v>
      </c>
      <c r="C23" s="1">
        <v>130</v>
      </c>
      <c r="D23" s="1">
        <v>110</v>
      </c>
      <c r="E23" s="1">
        <v>140</v>
      </c>
      <c r="F23" s="1">
        <v>130</v>
      </c>
      <c r="G23" s="1">
        <v>200</v>
      </c>
      <c r="H23" s="1">
        <v>200</v>
      </c>
      <c r="I23" s="1">
        <v>170</v>
      </c>
      <c r="J23" s="1">
        <v>170</v>
      </c>
      <c r="K23" s="1">
        <v>190</v>
      </c>
      <c r="L23" s="1">
        <v>170</v>
      </c>
      <c r="M23" s="1">
        <v>120</v>
      </c>
      <c r="N23" s="1">
        <v>110</v>
      </c>
      <c r="O23" s="1">
        <v>110</v>
      </c>
      <c r="P23" s="1">
        <v>150</v>
      </c>
      <c r="Q23" s="1">
        <v>140</v>
      </c>
      <c r="R23" s="1">
        <v>170</v>
      </c>
      <c r="S23" s="1">
        <v>110</v>
      </c>
      <c r="T23" s="1">
        <v>150</v>
      </c>
      <c r="U23" s="1">
        <v>130</v>
      </c>
      <c r="V23" s="1">
        <v>140</v>
      </c>
      <c r="W23" s="1">
        <v>130</v>
      </c>
      <c r="X23" s="1">
        <v>130</v>
      </c>
      <c r="Y23" s="1">
        <v>200</v>
      </c>
      <c r="Z23" s="1">
        <v>110</v>
      </c>
      <c r="AA23" s="1">
        <v>110</v>
      </c>
      <c r="AB23" s="1">
        <v>160</v>
      </c>
      <c r="AC23" s="1">
        <v>110</v>
      </c>
      <c r="AD23" s="1">
        <v>140</v>
      </c>
      <c r="AE23" s="1">
        <v>160</v>
      </c>
      <c r="AF23" s="1">
        <v>160</v>
      </c>
      <c r="AG23" s="14" t="s">
        <v>75</v>
      </c>
      <c r="AH23" s="15">
        <f>MEDIAN(B23:AF23)</f>
        <v>140</v>
      </c>
      <c r="AI23" s="20">
        <f t="shared" ref="AI23:AI24" si="1">QUARTILE(B23:AF23, 1)</f>
        <v>125</v>
      </c>
      <c r="AJ23" s="15">
        <f t="shared" ref="AJ23:AJ24" si="2">QUARTILE(B23:AF23, 3)</f>
        <v>170</v>
      </c>
      <c r="AK23" s="15">
        <f t="shared" ref="AK23:AK24" si="3">AJ23-AI23</f>
        <v>45</v>
      </c>
      <c r="AM23" s="15" t="s">
        <v>111</v>
      </c>
      <c r="AN23" s="15">
        <v>7</v>
      </c>
      <c r="AO23" s="15">
        <v>7</v>
      </c>
    </row>
    <row r="24" spans="1:41">
      <c r="A24" s="1" t="s">
        <v>76</v>
      </c>
      <c r="B24" s="1">
        <v>100</v>
      </c>
      <c r="C24" s="1">
        <v>80</v>
      </c>
      <c r="D24" s="1">
        <v>80</v>
      </c>
      <c r="E24" s="1">
        <v>60</v>
      </c>
      <c r="F24" s="1">
        <v>70</v>
      </c>
      <c r="G24" s="1">
        <v>140</v>
      </c>
      <c r="H24" s="1">
        <v>120</v>
      </c>
      <c r="I24" s="1">
        <v>90</v>
      </c>
      <c r="J24" s="1">
        <v>100</v>
      </c>
      <c r="K24" s="1">
        <v>80</v>
      </c>
      <c r="L24" s="1">
        <v>100</v>
      </c>
      <c r="M24" s="1">
        <v>70</v>
      </c>
      <c r="N24" s="1">
        <v>80</v>
      </c>
      <c r="O24" s="1">
        <v>60</v>
      </c>
      <c r="P24" s="1">
        <v>70</v>
      </c>
      <c r="Q24" s="1">
        <v>70</v>
      </c>
      <c r="R24" s="1">
        <v>90</v>
      </c>
      <c r="S24" s="1">
        <v>70</v>
      </c>
      <c r="T24" s="1">
        <v>90</v>
      </c>
      <c r="U24" s="1">
        <v>80</v>
      </c>
      <c r="V24" s="1">
        <v>80</v>
      </c>
      <c r="W24" s="1">
        <v>80</v>
      </c>
      <c r="X24" s="1">
        <v>90</v>
      </c>
      <c r="Y24" s="1">
        <v>120</v>
      </c>
      <c r="Z24" s="1">
        <v>70</v>
      </c>
      <c r="AA24" s="1">
        <v>80</v>
      </c>
      <c r="AB24" s="1">
        <v>80</v>
      </c>
      <c r="AC24" s="1">
        <v>70</v>
      </c>
      <c r="AD24" s="1">
        <v>80</v>
      </c>
      <c r="AE24" s="1">
        <v>80</v>
      </c>
      <c r="AF24" s="1">
        <v>80</v>
      </c>
      <c r="AG24" s="14" t="s">
        <v>76</v>
      </c>
      <c r="AH24" s="15">
        <f>MEDIAN(B24:AF24)</f>
        <v>80</v>
      </c>
      <c r="AI24" s="20">
        <f t="shared" si="1"/>
        <v>70</v>
      </c>
      <c r="AJ24" s="15">
        <f t="shared" si="2"/>
        <v>90</v>
      </c>
      <c r="AK24" s="15">
        <f t="shared" si="3"/>
        <v>20</v>
      </c>
      <c r="AM24" s="15" t="s">
        <v>112</v>
      </c>
      <c r="AN24" s="15">
        <v>6</v>
      </c>
      <c r="AO24" s="15">
        <v>7</v>
      </c>
    </row>
    <row r="25" spans="1:41">
      <c r="A25" s="4" t="s">
        <v>77</v>
      </c>
      <c r="B25" s="1" t="s">
        <v>42</v>
      </c>
      <c r="C25" s="1" t="s">
        <v>42</v>
      </c>
      <c r="D25" s="1" t="s">
        <v>41</v>
      </c>
      <c r="E25" s="1" t="s">
        <v>42</v>
      </c>
      <c r="F25" s="1" t="s">
        <v>42</v>
      </c>
      <c r="G25" s="1" t="s">
        <v>41</v>
      </c>
      <c r="H25" s="1" t="s">
        <v>42</v>
      </c>
      <c r="I25" s="1" t="s">
        <v>42</v>
      </c>
      <c r="J25" s="1" t="s">
        <v>41</v>
      </c>
      <c r="K25" s="1" t="s">
        <v>41</v>
      </c>
      <c r="L25" s="1" t="s">
        <v>42</v>
      </c>
      <c r="M25" s="1" t="s">
        <v>42</v>
      </c>
      <c r="N25" s="1" t="s">
        <v>42</v>
      </c>
      <c r="O25" s="1" t="s">
        <v>41</v>
      </c>
      <c r="P25" s="1" t="s">
        <v>42</v>
      </c>
      <c r="Q25" s="1" t="s">
        <v>41</v>
      </c>
      <c r="R25" s="1" t="s">
        <v>42</v>
      </c>
      <c r="S25" s="1" t="s">
        <v>42</v>
      </c>
      <c r="T25" s="1" t="s">
        <v>42</v>
      </c>
      <c r="U25" s="1" t="s">
        <v>42</v>
      </c>
      <c r="V25" s="1" t="s">
        <v>41</v>
      </c>
      <c r="W25" s="1" t="s">
        <v>42</v>
      </c>
      <c r="X25" s="1" t="s">
        <v>42</v>
      </c>
      <c r="Y25" s="1" t="s">
        <v>42</v>
      </c>
      <c r="Z25" s="1" t="s">
        <v>42</v>
      </c>
      <c r="AA25" s="1" t="s">
        <v>41</v>
      </c>
      <c r="AB25" s="1" t="s">
        <v>42</v>
      </c>
      <c r="AC25" s="1" t="s">
        <v>41</v>
      </c>
      <c r="AD25" s="1" t="s">
        <v>42</v>
      </c>
      <c r="AE25" s="1" t="s">
        <v>42</v>
      </c>
      <c r="AF25" s="1" t="s">
        <v>42</v>
      </c>
      <c r="AG25" s="52" t="s">
        <v>77</v>
      </c>
      <c r="AH25" s="25">
        <f>COUNTIF(B25:AF25, "Y")</f>
        <v>9</v>
      </c>
      <c r="AI25" s="26"/>
      <c r="AJ25" s="25"/>
      <c r="AK25" s="25"/>
    </row>
    <row r="26" spans="1:41">
      <c r="A26" s="1" t="s">
        <v>78</v>
      </c>
      <c r="B26" s="1" t="s">
        <v>42</v>
      </c>
      <c r="C26" s="1" t="s">
        <v>42</v>
      </c>
      <c r="D26" s="1" t="s">
        <v>41</v>
      </c>
      <c r="E26" s="1" t="s">
        <v>42</v>
      </c>
      <c r="F26" s="1" t="s">
        <v>42</v>
      </c>
      <c r="G26" s="1" t="s">
        <v>41</v>
      </c>
      <c r="H26" s="1" t="s">
        <v>42</v>
      </c>
      <c r="I26" s="1" t="s">
        <v>42</v>
      </c>
      <c r="J26" s="1" t="s">
        <v>41</v>
      </c>
      <c r="K26" s="1" t="s">
        <v>42</v>
      </c>
      <c r="L26" s="1" t="s">
        <v>42</v>
      </c>
      <c r="M26" s="1" t="s">
        <v>42</v>
      </c>
      <c r="N26" s="1" t="s">
        <v>41</v>
      </c>
      <c r="O26" s="1" t="s">
        <v>42</v>
      </c>
      <c r="P26" s="1" t="s">
        <v>42</v>
      </c>
      <c r="Q26" s="1" t="s">
        <v>42</v>
      </c>
      <c r="R26" s="1" t="s">
        <v>42</v>
      </c>
      <c r="S26" s="1" t="s">
        <v>42</v>
      </c>
      <c r="T26" s="1" t="s">
        <v>42</v>
      </c>
      <c r="U26" s="1" t="s">
        <v>41</v>
      </c>
      <c r="V26" s="1" t="s">
        <v>42</v>
      </c>
      <c r="W26" s="1" t="s">
        <v>42</v>
      </c>
      <c r="X26" s="1" t="s">
        <v>41</v>
      </c>
      <c r="Y26" s="1" t="s">
        <v>42</v>
      </c>
      <c r="Z26" s="1" t="s">
        <v>41</v>
      </c>
      <c r="AA26" s="1" t="s">
        <v>42</v>
      </c>
      <c r="AB26" s="1" t="s">
        <v>42</v>
      </c>
      <c r="AC26" s="1" t="s">
        <v>42</v>
      </c>
      <c r="AD26" s="1" t="s">
        <v>42</v>
      </c>
      <c r="AE26" s="1" t="s">
        <v>42</v>
      </c>
      <c r="AF26" s="1" t="s">
        <v>42</v>
      </c>
      <c r="AG26" s="14" t="s">
        <v>78</v>
      </c>
      <c r="AH26" s="15">
        <f>COUNTIF(B26:AF26, "Y")</f>
        <v>7</v>
      </c>
    </row>
    <row r="27" spans="1:41">
      <c r="A27" s="1" t="s">
        <v>19</v>
      </c>
      <c r="B27" s="1" t="s">
        <v>48</v>
      </c>
      <c r="C27" s="1" t="s">
        <v>48</v>
      </c>
      <c r="D27" s="1" t="s">
        <v>54</v>
      </c>
      <c r="E27" s="1" t="s">
        <v>54</v>
      </c>
      <c r="F27" s="1" t="s">
        <v>48</v>
      </c>
      <c r="G27" s="1" t="s">
        <v>48</v>
      </c>
      <c r="H27" s="1" t="s">
        <v>48</v>
      </c>
      <c r="I27" s="1" t="s">
        <v>54</v>
      </c>
      <c r="J27" s="1" t="s">
        <v>54</v>
      </c>
      <c r="K27" s="1" t="s">
        <v>54</v>
      </c>
      <c r="L27" s="1" t="s">
        <v>54</v>
      </c>
      <c r="M27" s="1" t="s">
        <v>48</v>
      </c>
      <c r="N27" s="1" t="s">
        <v>54</v>
      </c>
      <c r="O27" s="1" t="s">
        <v>54</v>
      </c>
      <c r="P27" s="1" t="s">
        <v>48</v>
      </c>
      <c r="Q27" s="1" t="s">
        <v>48</v>
      </c>
      <c r="R27" s="1" t="s">
        <v>54</v>
      </c>
      <c r="S27" s="1" t="s">
        <v>54</v>
      </c>
      <c r="T27" s="1" t="s">
        <v>54</v>
      </c>
      <c r="U27" s="1" t="s">
        <v>54</v>
      </c>
      <c r="V27" s="1" t="s">
        <v>54</v>
      </c>
      <c r="W27" s="1" t="s">
        <v>54</v>
      </c>
      <c r="X27" s="1" t="s">
        <v>48</v>
      </c>
      <c r="Y27" s="1" t="s">
        <v>54</v>
      </c>
      <c r="Z27" s="1" t="s">
        <v>54</v>
      </c>
      <c r="AA27" s="1" t="s">
        <v>54</v>
      </c>
      <c r="AB27" s="1" t="s">
        <v>54</v>
      </c>
      <c r="AC27" s="1" t="s">
        <v>54</v>
      </c>
      <c r="AD27" s="1" t="s">
        <v>48</v>
      </c>
      <c r="AE27" s="1" t="s">
        <v>48</v>
      </c>
      <c r="AF27" s="1" t="s">
        <v>54</v>
      </c>
      <c r="AG27" s="28" t="s">
        <v>19</v>
      </c>
      <c r="AH27" s="28" t="s">
        <v>54</v>
      </c>
      <c r="AI27" s="28">
        <f>COUNTIF(B27:AF27, "CT")</f>
        <v>20</v>
      </c>
      <c r="AJ27" s="28" t="s">
        <v>48</v>
      </c>
      <c r="AK27" s="28">
        <f>COUNTIF(B27:AF27, "MRI")</f>
        <v>11</v>
      </c>
    </row>
    <row r="28" spans="1:41" s="12" customFormat="1">
      <c r="A28" s="11" t="s">
        <v>20</v>
      </c>
      <c r="B28" s="13" t="s">
        <v>47</v>
      </c>
      <c r="C28" s="13" t="s">
        <v>51</v>
      </c>
      <c r="D28" s="13" t="s">
        <v>47</v>
      </c>
      <c r="E28" s="13" t="s">
        <v>47</v>
      </c>
      <c r="F28" s="13" t="s">
        <v>51</v>
      </c>
      <c r="G28" s="13" t="s">
        <v>51</v>
      </c>
      <c r="H28" s="11" t="s">
        <v>47</v>
      </c>
      <c r="I28" s="11" t="s">
        <v>51</v>
      </c>
      <c r="J28" s="11" t="s">
        <v>51</v>
      </c>
      <c r="K28" s="11" t="s">
        <v>47</v>
      </c>
      <c r="L28" s="11" t="s">
        <v>47</v>
      </c>
      <c r="M28" s="11" t="s">
        <v>47</v>
      </c>
      <c r="N28" s="11" t="s">
        <v>66</v>
      </c>
      <c r="O28" s="11" t="s">
        <v>47</v>
      </c>
      <c r="P28" s="11" t="s">
        <v>47</v>
      </c>
      <c r="Q28" s="11" t="s">
        <v>51</v>
      </c>
      <c r="R28" s="11" t="s">
        <v>47</v>
      </c>
      <c r="S28" s="11" t="s">
        <v>51</v>
      </c>
      <c r="T28" s="11" t="s">
        <v>47</v>
      </c>
      <c r="U28" s="11" t="s">
        <v>47</v>
      </c>
      <c r="V28" s="11" t="s">
        <v>47</v>
      </c>
      <c r="W28" s="11" t="s">
        <v>47</v>
      </c>
      <c r="X28" s="11" t="s">
        <v>47</v>
      </c>
      <c r="Y28" s="11" t="s">
        <v>51</v>
      </c>
      <c r="Z28" s="11" t="s">
        <v>47</v>
      </c>
      <c r="AA28" s="11" t="s">
        <v>51</v>
      </c>
      <c r="AB28" s="11" t="s">
        <v>47</v>
      </c>
      <c r="AC28" s="11" t="s">
        <v>51</v>
      </c>
      <c r="AD28" s="11" t="s">
        <v>47</v>
      </c>
      <c r="AE28" s="11" t="s">
        <v>47</v>
      </c>
      <c r="AF28" s="11" t="s">
        <v>47</v>
      </c>
      <c r="AG28" s="13" t="s">
        <v>20</v>
      </c>
      <c r="AH28" s="13" t="s">
        <v>21</v>
      </c>
      <c r="AI28" s="13">
        <v>11</v>
      </c>
      <c r="AJ28" s="13" t="s">
        <v>22</v>
      </c>
      <c r="AK28" s="13">
        <f>COUNTIF(B28:AF28, "N")</f>
        <v>20</v>
      </c>
    </row>
    <row r="29" spans="1:41" s="9" customFormat="1">
      <c r="A29" s="7" t="s">
        <v>23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26"/>
      <c r="AH29" s="28" t="s">
        <v>95</v>
      </c>
      <c r="AI29" s="28" t="s">
        <v>83</v>
      </c>
      <c r="AJ29" s="25"/>
      <c r="AK29" s="25"/>
      <c r="AL29" s="15"/>
      <c r="AO29" s="14" t="s">
        <v>80</v>
      </c>
    </row>
    <row r="30" spans="1:41">
      <c r="A30" s="1" t="s">
        <v>24</v>
      </c>
      <c r="B30" s="1">
        <v>12</v>
      </c>
      <c r="C30" s="1">
        <v>7</v>
      </c>
      <c r="D30" s="1">
        <v>18</v>
      </c>
      <c r="E30" s="1">
        <v>24</v>
      </c>
      <c r="F30" s="1">
        <v>13</v>
      </c>
      <c r="G30" s="1">
        <v>8</v>
      </c>
      <c r="H30" s="1">
        <v>11</v>
      </c>
      <c r="I30" s="1">
        <v>9</v>
      </c>
      <c r="J30" s="1">
        <v>23</v>
      </c>
      <c r="K30" s="1">
        <v>12</v>
      </c>
      <c r="L30" s="1">
        <v>18</v>
      </c>
      <c r="M30" s="1">
        <v>13</v>
      </c>
      <c r="N30" s="1">
        <v>8</v>
      </c>
      <c r="O30" s="1">
        <v>19</v>
      </c>
      <c r="P30" s="1">
        <v>1</v>
      </c>
      <c r="Q30" s="1">
        <v>9</v>
      </c>
      <c r="R30" s="1">
        <v>19</v>
      </c>
      <c r="S30" s="1">
        <v>6</v>
      </c>
      <c r="T30" s="1">
        <v>24</v>
      </c>
      <c r="U30" s="1">
        <v>11</v>
      </c>
      <c r="V30" s="1">
        <v>16</v>
      </c>
      <c r="W30" s="1">
        <v>20</v>
      </c>
      <c r="X30" s="1">
        <v>14</v>
      </c>
      <c r="Y30" s="1">
        <v>22</v>
      </c>
      <c r="Z30" s="1">
        <v>25</v>
      </c>
      <c r="AA30" s="1">
        <v>16</v>
      </c>
      <c r="AB30" s="1">
        <v>12</v>
      </c>
      <c r="AC30" s="1">
        <v>19</v>
      </c>
      <c r="AD30" s="1">
        <v>13</v>
      </c>
      <c r="AE30" s="1">
        <v>19</v>
      </c>
      <c r="AF30" s="1">
        <v>23</v>
      </c>
      <c r="AG30" s="1" t="s">
        <v>24</v>
      </c>
      <c r="AH30" s="15">
        <f>MEDIAN(B30:AF30)</f>
        <v>14</v>
      </c>
      <c r="AI30" s="20">
        <f>QUARTILE(B30:AF30, 1)</f>
        <v>11</v>
      </c>
      <c r="AJ30" s="20">
        <f>QUARTILE(C30:AG30, 3)</f>
        <v>19</v>
      </c>
      <c r="AK30" s="15">
        <f>AJ30-AI30</f>
        <v>8</v>
      </c>
      <c r="AM30" s="15" t="s">
        <v>116</v>
      </c>
      <c r="AN30" s="15">
        <f>AVERAGE(B30:AF30)</f>
        <v>14.96774193548387</v>
      </c>
      <c r="AO30" s="15">
        <f>STDEVP(B30:AF30)</f>
        <v>6.0401018522054422</v>
      </c>
    </row>
    <row r="31" spans="1:41">
      <c r="A31" s="1" t="s">
        <v>25</v>
      </c>
      <c r="B31" s="1">
        <v>12</v>
      </c>
      <c r="C31" s="1">
        <v>7</v>
      </c>
      <c r="D31" s="1">
        <v>26</v>
      </c>
      <c r="E31" s="1">
        <v>19</v>
      </c>
      <c r="F31" s="1">
        <v>15</v>
      </c>
      <c r="G31" s="1">
        <v>23</v>
      </c>
      <c r="H31" s="1">
        <v>9</v>
      </c>
      <c r="I31" s="1">
        <v>9</v>
      </c>
      <c r="J31" s="1">
        <v>18</v>
      </c>
      <c r="K31" s="1">
        <v>13</v>
      </c>
      <c r="L31" s="1">
        <v>20</v>
      </c>
      <c r="M31" s="1">
        <v>13</v>
      </c>
      <c r="N31" s="1">
        <v>7</v>
      </c>
      <c r="O31" s="1">
        <v>24</v>
      </c>
      <c r="P31" s="1">
        <v>1</v>
      </c>
      <c r="Q31" s="1">
        <v>7</v>
      </c>
      <c r="R31" s="1">
        <v>17</v>
      </c>
      <c r="S31" s="1">
        <v>8</v>
      </c>
      <c r="T31" s="1">
        <v>21</v>
      </c>
      <c r="U31" s="1">
        <v>9</v>
      </c>
      <c r="V31" s="1">
        <v>18</v>
      </c>
      <c r="W31" s="1">
        <v>38</v>
      </c>
      <c r="X31" s="1">
        <v>3</v>
      </c>
      <c r="Y31" s="1">
        <v>24</v>
      </c>
      <c r="Z31" s="1">
        <v>17</v>
      </c>
      <c r="AA31" s="1">
        <v>15</v>
      </c>
      <c r="AB31" s="1">
        <v>7</v>
      </c>
      <c r="AC31" s="1">
        <v>22</v>
      </c>
      <c r="AD31" s="1">
        <v>8</v>
      </c>
      <c r="AE31" s="1">
        <v>11</v>
      </c>
      <c r="AF31" s="1">
        <v>23</v>
      </c>
      <c r="AG31" s="1" t="s">
        <v>25</v>
      </c>
      <c r="AH31" s="15">
        <f t="shared" ref="AH31:AH32" si="4">MEDIAN(B31:AF31)</f>
        <v>15</v>
      </c>
      <c r="AI31" s="20">
        <f t="shared" ref="AI31:AI32" si="5">QUARTILE(B31:AF31, 1)</f>
        <v>8.5</v>
      </c>
      <c r="AJ31" s="20">
        <f t="shared" ref="AJ31:AJ32" si="6">QUARTILE(C31:AG31, 3)</f>
        <v>20.75</v>
      </c>
      <c r="AK31" s="15">
        <f t="shared" ref="AK31:AK32" si="7">AJ31-AI31</f>
        <v>12.25</v>
      </c>
      <c r="AM31" s="15" t="s">
        <v>117</v>
      </c>
      <c r="AN31" s="15">
        <f>AVERAGE(B31:AF31)</f>
        <v>14.96774193548387</v>
      </c>
      <c r="AO31" s="15">
        <f>STDEVP(B31:AF31)</f>
        <v>7.8841771758284525</v>
      </c>
    </row>
    <row r="32" spans="1:41">
      <c r="A32" s="1" t="s">
        <v>16</v>
      </c>
      <c r="B32" s="1">
        <v>11</v>
      </c>
      <c r="C32" s="1">
        <v>0</v>
      </c>
      <c r="D32" s="29" t="s">
        <v>55</v>
      </c>
      <c r="E32" s="29" t="s">
        <v>55</v>
      </c>
      <c r="F32" s="1">
        <v>18</v>
      </c>
      <c r="G32" s="29" t="s">
        <v>55</v>
      </c>
      <c r="H32" s="1">
        <v>0</v>
      </c>
      <c r="I32" s="1">
        <v>8</v>
      </c>
      <c r="J32" s="1">
        <v>10</v>
      </c>
      <c r="K32" s="29" t="s">
        <v>55</v>
      </c>
      <c r="L32" s="1">
        <v>8</v>
      </c>
      <c r="M32" s="1">
        <v>10</v>
      </c>
      <c r="N32" s="1">
        <v>3</v>
      </c>
      <c r="O32" s="1">
        <v>9</v>
      </c>
      <c r="P32" s="1">
        <v>1</v>
      </c>
      <c r="Q32" s="1">
        <v>1</v>
      </c>
      <c r="R32" s="1">
        <v>13</v>
      </c>
      <c r="S32" s="1">
        <v>1</v>
      </c>
      <c r="T32" s="1">
        <v>17</v>
      </c>
      <c r="U32" s="1">
        <v>1</v>
      </c>
      <c r="V32" s="1">
        <v>16</v>
      </c>
      <c r="W32" s="29" t="s">
        <v>55</v>
      </c>
      <c r="X32" s="1">
        <v>3</v>
      </c>
      <c r="Y32" s="29" t="s">
        <v>55</v>
      </c>
      <c r="Z32" s="29" t="s">
        <v>55</v>
      </c>
      <c r="AA32" s="1">
        <v>7</v>
      </c>
      <c r="AB32" s="1">
        <v>6</v>
      </c>
      <c r="AC32" s="1">
        <v>14</v>
      </c>
      <c r="AD32" s="1">
        <v>3</v>
      </c>
      <c r="AE32" s="29" t="s">
        <v>55</v>
      </c>
      <c r="AF32" s="29" t="s">
        <v>55</v>
      </c>
      <c r="AG32" s="1" t="s">
        <v>16</v>
      </c>
      <c r="AH32" s="15">
        <f t="shared" si="4"/>
        <v>7.5</v>
      </c>
      <c r="AI32" s="20">
        <f t="shared" si="5"/>
        <v>1.5</v>
      </c>
      <c r="AJ32" s="20">
        <f t="shared" si="6"/>
        <v>10</v>
      </c>
      <c r="AK32" s="15">
        <f t="shared" si="7"/>
        <v>8.5</v>
      </c>
      <c r="AM32" s="15" t="s">
        <v>118</v>
      </c>
      <c r="AN32" s="15">
        <f>AVERAGE(B32:C32,F32,H32:J32,L32:V32,X32,AA32:AD32)</f>
        <v>7.2727272727272725</v>
      </c>
      <c r="AO32" s="15">
        <f>STDEVP(B32:C32,F32,H32:J32,L32:V32,X32,AA32:AD32)</f>
        <v>5.7063108459909877</v>
      </c>
    </row>
    <row r="33" spans="1:47">
      <c r="A33" s="2" t="s">
        <v>26</v>
      </c>
      <c r="B33" s="1" t="s">
        <v>49</v>
      </c>
      <c r="C33" s="1" t="s">
        <v>52</v>
      </c>
      <c r="D33" s="1" t="s">
        <v>56</v>
      </c>
      <c r="E33" s="1" t="s">
        <v>57</v>
      </c>
      <c r="F33" s="1" t="s">
        <v>57</v>
      </c>
      <c r="G33" s="1" t="s">
        <v>60</v>
      </c>
      <c r="H33" s="1" t="s">
        <v>52</v>
      </c>
      <c r="I33" s="1" t="s">
        <v>52</v>
      </c>
      <c r="J33" s="1" t="s">
        <v>52</v>
      </c>
      <c r="K33" s="1" t="s">
        <v>60</v>
      </c>
      <c r="L33" s="1" t="s">
        <v>90</v>
      </c>
      <c r="M33" s="1" t="s">
        <v>52</v>
      </c>
      <c r="N33" s="1" t="s">
        <v>91</v>
      </c>
      <c r="O33" s="1" t="s">
        <v>67</v>
      </c>
      <c r="P33" s="1" t="s">
        <v>57</v>
      </c>
      <c r="Q33" s="1" t="s">
        <v>60</v>
      </c>
      <c r="R33" s="1" t="s">
        <v>67</v>
      </c>
      <c r="S33" s="1" t="s">
        <v>49</v>
      </c>
      <c r="T33" s="1" t="s">
        <v>67</v>
      </c>
      <c r="U33" s="1" t="s">
        <v>52</v>
      </c>
      <c r="V33" s="1" t="s">
        <v>57</v>
      </c>
      <c r="W33" s="1" t="s">
        <v>71</v>
      </c>
      <c r="X33" s="1" t="s">
        <v>60</v>
      </c>
      <c r="Y33" s="1" t="s">
        <v>67</v>
      </c>
      <c r="Z33" s="1" t="s">
        <v>67</v>
      </c>
      <c r="AA33" s="1" t="s">
        <v>57</v>
      </c>
      <c r="AB33" s="1" t="s">
        <v>60</v>
      </c>
      <c r="AC33" s="1" t="s">
        <v>57</v>
      </c>
      <c r="AD33" s="1" t="s">
        <v>52</v>
      </c>
      <c r="AE33" s="1" t="s">
        <v>56</v>
      </c>
      <c r="AF33" s="1" t="s">
        <v>67</v>
      </c>
      <c r="AG33" s="35" t="s">
        <v>26</v>
      </c>
      <c r="AH33" s="46" t="s">
        <v>85</v>
      </c>
      <c r="AI33" s="36">
        <v>13</v>
      </c>
      <c r="AJ33" s="46" t="s">
        <v>84</v>
      </c>
      <c r="AK33" s="36">
        <v>4</v>
      </c>
      <c r="AL33" s="45" t="s">
        <v>92</v>
      </c>
      <c r="AM33" s="36">
        <v>1</v>
      </c>
      <c r="AN33" s="44" t="s">
        <v>93</v>
      </c>
      <c r="AO33" s="36">
        <v>0</v>
      </c>
      <c r="AP33" s="43" t="s">
        <v>86</v>
      </c>
      <c r="AQ33" s="38">
        <v>11</v>
      </c>
      <c r="AR33" s="43" t="s">
        <v>87</v>
      </c>
      <c r="AS33" s="38">
        <v>1</v>
      </c>
      <c r="AT33" s="43" t="s">
        <v>71</v>
      </c>
      <c r="AU33" s="38">
        <v>1</v>
      </c>
    </row>
    <row r="34" spans="1:47">
      <c r="A34" s="2" t="s">
        <v>27</v>
      </c>
      <c r="B34" s="1">
        <v>14</v>
      </c>
      <c r="C34" s="1">
        <v>6</v>
      </c>
      <c r="D34" s="1">
        <v>6</v>
      </c>
      <c r="E34" s="1">
        <v>9</v>
      </c>
      <c r="F34" s="1">
        <v>5</v>
      </c>
      <c r="G34" s="1">
        <v>7</v>
      </c>
      <c r="H34" s="1">
        <v>5</v>
      </c>
      <c r="I34" s="1">
        <v>8</v>
      </c>
      <c r="J34" s="1">
        <v>7</v>
      </c>
      <c r="K34" s="1">
        <v>6</v>
      </c>
      <c r="L34" s="29" t="s">
        <v>55</v>
      </c>
      <c r="M34" s="1">
        <v>5</v>
      </c>
      <c r="N34" s="29" t="s">
        <v>55</v>
      </c>
      <c r="O34" s="1">
        <v>5</v>
      </c>
      <c r="P34" s="1">
        <v>10</v>
      </c>
      <c r="Q34" s="1">
        <v>9</v>
      </c>
      <c r="R34" s="1">
        <v>6</v>
      </c>
      <c r="S34" s="1">
        <v>6</v>
      </c>
      <c r="T34" s="1">
        <v>5</v>
      </c>
      <c r="U34" s="1">
        <v>9</v>
      </c>
      <c r="V34" s="1">
        <v>5</v>
      </c>
      <c r="W34" s="29" t="s">
        <v>55</v>
      </c>
      <c r="X34" s="1">
        <v>9</v>
      </c>
      <c r="Y34" s="1">
        <v>4</v>
      </c>
      <c r="Z34" s="1">
        <v>7</v>
      </c>
      <c r="AA34" s="1">
        <v>6</v>
      </c>
      <c r="AB34" s="1">
        <v>4</v>
      </c>
      <c r="AC34" s="1">
        <v>5</v>
      </c>
      <c r="AD34" s="29" t="s">
        <v>55</v>
      </c>
      <c r="AE34" s="29" t="s">
        <v>55</v>
      </c>
      <c r="AF34" s="1">
        <v>6</v>
      </c>
      <c r="AG34" s="35" t="s">
        <v>27</v>
      </c>
      <c r="AH34" s="25">
        <f>MEDIAN(B34:AF34)</f>
        <v>6</v>
      </c>
      <c r="AI34" s="26">
        <f>QUARTILE(B34:AF34, 1)</f>
        <v>5</v>
      </c>
      <c r="AJ34" s="26">
        <f>QUARTILE(C34:AG34, 3)</f>
        <v>7</v>
      </c>
      <c r="AK34" s="25">
        <f>AJ34-AI34</f>
        <v>2</v>
      </c>
      <c r="AO34" s="15" t="s">
        <v>80</v>
      </c>
    </row>
    <row r="35" spans="1:47">
      <c r="A35" s="2" t="s">
        <v>28</v>
      </c>
      <c r="B35" s="1">
        <v>14</v>
      </c>
      <c r="C35" s="1">
        <v>6</v>
      </c>
      <c r="D35" s="1">
        <v>7</v>
      </c>
      <c r="E35" s="1">
        <v>10</v>
      </c>
      <c r="F35" s="1">
        <v>8</v>
      </c>
      <c r="G35" s="1">
        <v>7</v>
      </c>
      <c r="H35" s="1">
        <v>7</v>
      </c>
      <c r="I35" s="1">
        <v>9</v>
      </c>
      <c r="J35" s="1">
        <v>9</v>
      </c>
      <c r="K35" s="1">
        <v>7</v>
      </c>
      <c r="L35" s="29" t="s">
        <v>55</v>
      </c>
      <c r="M35" s="1">
        <v>6</v>
      </c>
      <c r="N35" s="29" t="s">
        <v>55</v>
      </c>
      <c r="O35" s="1">
        <v>6</v>
      </c>
      <c r="P35" s="1">
        <v>10</v>
      </c>
      <c r="Q35" s="1">
        <v>9</v>
      </c>
      <c r="R35" s="1">
        <v>8</v>
      </c>
      <c r="S35" s="1">
        <v>7</v>
      </c>
      <c r="T35" s="1">
        <v>7</v>
      </c>
      <c r="U35" s="1">
        <v>10</v>
      </c>
      <c r="V35" s="1">
        <v>7</v>
      </c>
      <c r="W35" s="29" t="s">
        <v>55</v>
      </c>
      <c r="X35" s="1">
        <v>9</v>
      </c>
      <c r="Y35" s="1">
        <v>5</v>
      </c>
      <c r="Z35" s="1">
        <v>8</v>
      </c>
      <c r="AA35" s="1">
        <v>9</v>
      </c>
      <c r="AB35" s="1">
        <v>5</v>
      </c>
      <c r="AC35" s="1">
        <v>6</v>
      </c>
      <c r="AD35" s="29" t="s">
        <v>55</v>
      </c>
      <c r="AE35" s="29" t="s">
        <v>55</v>
      </c>
      <c r="AF35" s="1">
        <v>6</v>
      </c>
      <c r="AG35" s="32" t="s">
        <v>28</v>
      </c>
      <c r="AH35" s="39">
        <f>MEDIAN(B35:AF35)</f>
        <v>7</v>
      </c>
      <c r="AI35" s="40">
        <f>QUARTILE(B35:AF35, 1)</f>
        <v>6.25</v>
      </c>
      <c r="AJ35" s="40">
        <f>QUARTILE(C35:AG35, 3)</f>
        <v>9</v>
      </c>
      <c r="AK35" s="41">
        <f>AJ35-AI35</f>
        <v>2.75</v>
      </c>
      <c r="AM35" s="53" t="s">
        <v>119</v>
      </c>
      <c r="AN35" s="15">
        <f>AVERAGE(B34:K34,M34,O34:V34,X34:AC34,AF34)</f>
        <v>6.6923076923076925</v>
      </c>
      <c r="AO35" s="15">
        <f>STDEVP(B34:K34,M34,O34:V34,X34:AC34,AF34)</f>
        <v>2.1973625933977998</v>
      </c>
    </row>
    <row r="36" spans="1:47" s="9" customFormat="1">
      <c r="A36" s="7" t="s">
        <v>29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26"/>
      <c r="AH36" s="28" t="s">
        <v>41</v>
      </c>
      <c r="AI36" s="28" t="s">
        <v>47</v>
      </c>
      <c r="AJ36" s="28" t="s">
        <v>94</v>
      </c>
      <c r="AK36" s="39"/>
      <c r="AL36" s="15"/>
      <c r="AM36" s="53" t="s">
        <v>120</v>
      </c>
      <c r="AN36" s="15">
        <f>AVERAGE(B35:K35,M35,O35:V35,X35:AC35,AF35)</f>
        <v>7.7692307692307692</v>
      </c>
      <c r="AO36" s="15">
        <f>STDEVP(B35:K35,M35,O35:V35,X35:AC35,AF35)</f>
        <v>1.9276867824833335</v>
      </c>
    </row>
    <row r="37" spans="1:47">
      <c r="A37" s="3" t="s">
        <v>97</v>
      </c>
      <c r="B37" s="32" t="s">
        <v>42</v>
      </c>
      <c r="C37" s="1" t="s">
        <v>41</v>
      </c>
      <c r="D37" s="1" t="s">
        <v>41</v>
      </c>
      <c r="E37" s="1" t="s">
        <v>41</v>
      </c>
      <c r="F37" s="1" t="s">
        <v>41</v>
      </c>
      <c r="G37" s="32" t="s">
        <v>42</v>
      </c>
      <c r="H37" s="1" t="s">
        <v>42</v>
      </c>
      <c r="I37" s="1" t="s">
        <v>41</v>
      </c>
      <c r="J37" s="1" t="s">
        <v>41</v>
      </c>
      <c r="K37" s="32" t="s">
        <v>42</v>
      </c>
      <c r="L37" s="1" t="s">
        <v>42</v>
      </c>
      <c r="M37" s="1" t="s">
        <v>41</v>
      </c>
      <c r="N37" s="1" t="s">
        <v>42</v>
      </c>
      <c r="O37" s="1" t="s">
        <v>42</v>
      </c>
      <c r="P37" s="1" t="s">
        <v>41</v>
      </c>
      <c r="Q37" s="1" t="s">
        <v>41</v>
      </c>
      <c r="R37" s="1" t="s">
        <v>41</v>
      </c>
      <c r="S37" s="1" t="s">
        <v>41</v>
      </c>
      <c r="T37" s="32" t="s">
        <v>42</v>
      </c>
      <c r="U37" s="1" t="s">
        <v>41</v>
      </c>
      <c r="V37" s="1" t="s">
        <v>41</v>
      </c>
      <c r="W37" s="1" t="s">
        <v>42</v>
      </c>
      <c r="X37" s="1" t="s">
        <v>41</v>
      </c>
      <c r="Y37" s="1" t="s">
        <v>41</v>
      </c>
      <c r="Z37" s="1" t="s">
        <v>41</v>
      </c>
      <c r="AA37" s="1" t="s">
        <v>42</v>
      </c>
      <c r="AB37" s="32" t="s">
        <v>42</v>
      </c>
      <c r="AC37" s="1" t="s">
        <v>41</v>
      </c>
      <c r="AD37" s="1" t="s">
        <v>41</v>
      </c>
      <c r="AE37" s="1" t="s">
        <v>42</v>
      </c>
      <c r="AF37" s="1" t="s">
        <v>41</v>
      </c>
      <c r="AG37" s="3" t="s">
        <v>97</v>
      </c>
      <c r="AH37" s="15">
        <f>COUNTIF(B37:AF37, "Y")</f>
        <v>19</v>
      </c>
      <c r="AI37" s="15">
        <f>COUNTIF(B37:AG37, "/")</f>
        <v>12</v>
      </c>
      <c r="AJ37" s="15">
        <f>SUM(AH37+AI37)</f>
        <v>31</v>
      </c>
    </row>
    <row r="38" spans="1:47">
      <c r="A38" s="3" t="s">
        <v>98</v>
      </c>
      <c r="B38" s="32" t="s">
        <v>42</v>
      </c>
      <c r="C38" s="1" t="s">
        <v>42</v>
      </c>
      <c r="D38" s="1" t="s">
        <v>42</v>
      </c>
      <c r="E38" s="1" t="s">
        <v>42</v>
      </c>
      <c r="F38" s="1" t="s">
        <v>42</v>
      </c>
      <c r="G38" s="32" t="s">
        <v>42</v>
      </c>
      <c r="H38" s="1" t="s">
        <v>41</v>
      </c>
      <c r="I38" s="1" t="s">
        <v>42</v>
      </c>
      <c r="J38" s="1" t="s">
        <v>42</v>
      </c>
      <c r="K38" s="32" t="s">
        <v>42</v>
      </c>
      <c r="L38" s="1" t="s">
        <v>42</v>
      </c>
      <c r="M38" s="1" t="s">
        <v>42</v>
      </c>
      <c r="N38" s="1" t="s">
        <v>42</v>
      </c>
      <c r="O38" s="1" t="s">
        <v>41</v>
      </c>
      <c r="P38" s="1" t="s">
        <v>42</v>
      </c>
      <c r="Q38" s="1" t="s">
        <v>42</v>
      </c>
      <c r="R38" s="1" t="s">
        <v>42</v>
      </c>
      <c r="S38" s="1" t="s">
        <v>42</v>
      </c>
      <c r="T38" s="32" t="s">
        <v>42</v>
      </c>
      <c r="U38" s="1" t="s">
        <v>42</v>
      </c>
      <c r="V38" s="1" t="s">
        <v>42</v>
      </c>
      <c r="W38" s="1" t="s">
        <v>42</v>
      </c>
      <c r="X38" s="1" t="s">
        <v>42</v>
      </c>
      <c r="Y38" s="1" t="s">
        <v>42</v>
      </c>
      <c r="Z38" s="1" t="s">
        <v>42</v>
      </c>
      <c r="AA38" s="1" t="s">
        <v>41</v>
      </c>
      <c r="AB38" s="32" t="s">
        <v>42</v>
      </c>
      <c r="AC38" s="1" t="s">
        <v>42</v>
      </c>
      <c r="AD38" s="1" t="s">
        <v>42</v>
      </c>
      <c r="AE38" s="1" t="s">
        <v>42</v>
      </c>
      <c r="AF38" s="1" t="s">
        <v>42</v>
      </c>
      <c r="AG38" s="3" t="s">
        <v>98</v>
      </c>
      <c r="AH38" s="15">
        <f t="shared" ref="AH38:AI42" si="8">COUNTIF(B38:AF38, "Y")</f>
        <v>3</v>
      </c>
      <c r="AI38" s="15">
        <f>COUNTIF(B38:AG38, "/")</f>
        <v>28</v>
      </c>
      <c r="AJ38" s="15">
        <f t="shared" ref="AJ38:AJ42" si="9">SUM(AH38+AI38)</f>
        <v>31</v>
      </c>
    </row>
    <row r="39" spans="1:47">
      <c r="A39" s="3" t="s">
        <v>96</v>
      </c>
      <c r="B39" s="32" t="s">
        <v>41</v>
      </c>
      <c r="C39" s="1" t="s">
        <v>42</v>
      </c>
      <c r="D39" s="1" t="s">
        <v>42</v>
      </c>
      <c r="E39" s="1" t="s">
        <v>42</v>
      </c>
      <c r="F39" s="1" t="s">
        <v>42</v>
      </c>
      <c r="G39" s="32" t="s">
        <v>42</v>
      </c>
      <c r="H39" s="1" t="s">
        <v>42</v>
      </c>
      <c r="I39" s="1" t="s">
        <v>42</v>
      </c>
      <c r="J39" s="1" t="s">
        <v>42</v>
      </c>
      <c r="K39" s="32" t="s">
        <v>41</v>
      </c>
      <c r="L39" s="1" t="s">
        <v>42</v>
      </c>
      <c r="M39" s="1" t="s">
        <v>42</v>
      </c>
      <c r="N39" s="1" t="s">
        <v>42</v>
      </c>
      <c r="O39" s="1" t="s">
        <v>42</v>
      </c>
      <c r="P39" s="1" t="s">
        <v>42</v>
      </c>
      <c r="Q39" s="1" t="s">
        <v>42</v>
      </c>
      <c r="R39" s="1" t="s">
        <v>42</v>
      </c>
      <c r="S39" s="1" t="s">
        <v>42</v>
      </c>
      <c r="T39" s="32" t="s">
        <v>41</v>
      </c>
      <c r="U39" s="1" t="s">
        <v>42</v>
      </c>
      <c r="V39" s="1" t="s">
        <v>42</v>
      </c>
      <c r="W39" s="1" t="s">
        <v>42</v>
      </c>
      <c r="X39" s="1" t="s">
        <v>42</v>
      </c>
      <c r="Y39" s="1" t="s">
        <v>42</v>
      </c>
      <c r="Z39" s="1" t="s">
        <v>42</v>
      </c>
      <c r="AA39" s="1" t="s">
        <v>42</v>
      </c>
      <c r="AB39" s="32" t="s">
        <v>41</v>
      </c>
      <c r="AC39" s="1" t="s">
        <v>42</v>
      </c>
      <c r="AD39" s="1" t="s">
        <v>42</v>
      </c>
      <c r="AE39" s="1" t="s">
        <v>42</v>
      </c>
      <c r="AF39" s="1" t="s">
        <v>42</v>
      </c>
      <c r="AG39" s="3" t="s">
        <v>96</v>
      </c>
      <c r="AH39" s="15">
        <f>COUNTIF(B39:AF39, "Y")</f>
        <v>4</v>
      </c>
      <c r="AI39" s="15">
        <f>COUNTIF(B39:AG39, "/")</f>
        <v>27</v>
      </c>
      <c r="AJ39" s="15">
        <f t="shared" si="9"/>
        <v>31</v>
      </c>
    </row>
    <row r="40" spans="1:47">
      <c r="A40" s="3" t="s">
        <v>30</v>
      </c>
      <c r="B40" s="1" t="s">
        <v>42</v>
      </c>
      <c r="C40" s="1" t="s">
        <v>42</v>
      </c>
      <c r="D40" s="1" t="s">
        <v>42</v>
      </c>
      <c r="E40" s="1" t="s">
        <v>42</v>
      </c>
      <c r="F40" s="1" t="s">
        <v>42</v>
      </c>
      <c r="G40" s="1" t="s">
        <v>42</v>
      </c>
      <c r="H40" s="1" t="s">
        <v>42</v>
      </c>
      <c r="I40" s="1" t="s">
        <v>42</v>
      </c>
      <c r="J40" s="1" t="s">
        <v>42</v>
      </c>
      <c r="K40" s="1" t="s">
        <v>42</v>
      </c>
      <c r="L40" s="1" t="s">
        <v>42</v>
      </c>
      <c r="M40" s="1" t="s">
        <v>42</v>
      </c>
      <c r="N40" s="1" t="s">
        <v>42</v>
      </c>
      <c r="O40" s="1" t="s">
        <v>42</v>
      </c>
      <c r="P40" s="1" t="s">
        <v>42</v>
      </c>
      <c r="Q40" s="1" t="s">
        <v>42</v>
      </c>
      <c r="R40" s="1" t="s">
        <v>42</v>
      </c>
      <c r="S40" s="1" t="s">
        <v>42</v>
      </c>
      <c r="T40" s="1" t="s">
        <v>42</v>
      </c>
      <c r="U40" s="1" t="s">
        <v>42</v>
      </c>
      <c r="V40" s="1" t="s">
        <v>42</v>
      </c>
      <c r="W40" s="1" t="s">
        <v>42</v>
      </c>
      <c r="X40" s="1" t="s">
        <v>42</v>
      </c>
      <c r="Y40" s="1" t="s">
        <v>42</v>
      </c>
      <c r="Z40" s="1" t="s">
        <v>42</v>
      </c>
      <c r="AA40" s="1" t="s">
        <v>42</v>
      </c>
      <c r="AB40" s="1" t="s">
        <v>42</v>
      </c>
      <c r="AC40" s="1" t="s">
        <v>42</v>
      </c>
      <c r="AD40" s="1" t="s">
        <v>42</v>
      </c>
      <c r="AE40" s="1" t="s">
        <v>42</v>
      </c>
      <c r="AF40" s="1" t="s">
        <v>42</v>
      </c>
      <c r="AG40" s="3" t="s">
        <v>30</v>
      </c>
      <c r="AH40" s="15">
        <f t="shared" si="8"/>
        <v>0</v>
      </c>
      <c r="AI40" s="15">
        <f t="shared" si="8"/>
        <v>0</v>
      </c>
      <c r="AJ40" s="15">
        <f t="shared" si="9"/>
        <v>0</v>
      </c>
    </row>
    <row r="41" spans="1:47">
      <c r="A41" s="3" t="s">
        <v>31</v>
      </c>
      <c r="B41" s="1" t="s">
        <v>42</v>
      </c>
      <c r="C41" s="1" t="s">
        <v>42</v>
      </c>
      <c r="D41" s="1" t="s">
        <v>42</v>
      </c>
      <c r="E41" s="1" t="s">
        <v>42</v>
      </c>
      <c r="F41" s="1" t="s">
        <v>42</v>
      </c>
      <c r="G41" s="1" t="s">
        <v>42</v>
      </c>
      <c r="H41" s="1" t="s">
        <v>42</v>
      </c>
      <c r="I41" s="1" t="s">
        <v>42</v>
      </c>
      <c r="J41" s="1" t="s">
        <v>42</v>
      </c>
      <c r="K41" s="1" t="s">
        <v>42</v>
      </c>
      <c r="L41" s="1" t="s">
        <v>41</v>
      </c>
      <c r="M41" s="1" t="s">
        <v>42</v>
      </c>
      <c r="N41" s="1" t="s">
        <v>41</v>
      </c>
      <c r="O41" s="1" t="s">
        <v>42</v>
      </c>
      <c r="P41" s="1" t="s">
        <v>42</v>
      </c>
      <c r="Q41" s="1" t="s">
        <v>42</v>
      </c>
      <c r="R41" s="1" t="s">
        <v>42</v>
      </c>
      <c r="S41" s="1" t="s">
        <v>42</v>
      </c>
      <c r="T41" s="1" t="s">
        <v>42</v>
      </c>
      <c r="U41" s="1" t="s">
        <v>42</v>
      </c>
      <c r="V41" s="1" t="s">
        <v>42</v>
      </c>
      <c r="W41" s="1" t="s">
        <v>42</v>
      </c>
      <c r="X41" s="1" t="s">
        <v>42</v>
      </c>
      <c r="Y41" s="1" t="s">
        <v>42</v>
      </c>
      <c r="Z41" s="1" t="s">
        <v>42</v>
      </c>
      <c r="AA41" s="1" t="s">
        <v>42</v>
      </c>
      <c r="AB41" s="1" t="s">
        <v>42</v>
      </c>
      <c r="AC41" s="1" t="s">
        <v>42</v>
      </c>
      <c r="AD41" s="1" t="s">
        <v>42</v>
      </c>
      <c r="AE41" s="1" t="s">
        <v>42</v>
      </c>
      <c r="AF41" s="1" t="s">
        <v>42</v>
      </c>
      <c r="AG41" s="3" t="s">
        <v>31</v>
      </c>
      <c r="AH41" s="15">
        <f t="shared" si="8"/>
        <v>2</v>
      </c>
      <c r="AI41" s="15">
        <f>COUNTIF(B41:AG41, "/")</f>
        <v>29</v>
      </c>
      <c r="AJ41" s="15">
        <f t="shared" si="9"/>
        <v>31</v>
      </c>
    </row>
    <row r="42" spans="1:47">
      <c r="A42" s="3" t="s">
        <v>99</v>
      </c>
      <c r="B42" s="1" t="s">
        <v>42</v>
      </c>
      <c r="C42" s="1" t="s">
        <v>42</v>
      </c>
      <c r="D42" s="1" t="s">
        <v>42</v>
      </c>
      <c r="E42" s="1" t="s">
        <v>42</v>
      </c>
      <c r="F42" s="1" t="s">
        <v>42</v>
      </c>
      <c r="G42" s="1" t="s">
        <v>41</v>
      </c>
      <c r="H42" s="1" t="s">
        <v>42</v>
      </c>
      <c r="I42" s="1" t="s">
        <v>42</v>
      </c>
      <c r="J42" s="1" t="s">
        <v>42</v>
      </c>
      <c r="K42" s="1" t="s">
        <v>42</v>
      </c>
      <c r="L42" s="1" t="s">
        <v>42</v>
      </c>
      <c r="M42" s="1" t="s">
        <v>42</v>
      </c>
      <c r="N42" s="1" t="s">
        <v>42</v>
      </c>
      <c r="O42" s="1" t="s">
        <v>42</v>
      </c>
      <c r="P42" s="1" t="s">
        <v>42</v>
      </c>
      <c r="Q42" s="1" t="s">
        <v>42</v>
      </c>
      <c r="R42" s="1" t="s">
        <v>42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41</v>
      </c>
      <c r="X42" s="1" t="s">
        <v>42</v>
      </c>
      <c r="Y42" s="1" t="s">
        <v>42</v>
      </c>
      <c r="Z42" s="1" t="s">
        <v>42</v>
      </c>
      <c r="AA42" s="1" t="s">
        <v>42</v>
      </c>
      <c r="AB42" s="1" t="s">
        <v>42</v>
      </c>
      <c r="AC42" s="1" t="s">
        <v>42</v>
      </c>
      <c r="AD42" s="1" t="s">
        <v>42</v>
      </c>
      <c r="AE42" s="1" t="s">
        <v>41</v>
      </c>
      <c r="AF42" s="1" t="s">
        <v>42</v>
      </c>
      <c r="AG42" s="42" t="s">
        <v>99</v>
      </c>
      <c r="AH42" s="12">
        <f t="shared" si="8"/>
        <v>3</v>
      </c>
      <c r="AI42" s="15">
        <f>COUNTIF(B42:AG42, "/")</f>
        <v>28</v>
      </c>
      <c r="AJ42" s="15">
        <f t="shared" si="9"/>
        <v>31</v>
      </c>
      <c r="AL42" s="19" t="s">
        <v>100</v>
      </c>
      <c r="AM42" s="12">
        <f>SUM(AH37:AH39)</f>
        <v>26</v>
      </c>
    </row>
    <row r="43" spans="1:47">
      <c r="A43" s="2" t="s">
        <v>101</v>
      </c>
      <c r="B43" s="1">
        <v>3</v>
      </c>
      <c r="C43" s="1">
        <v>3</v>
      </c>
      <c r="D43" s="1">
        <v>3</v>
      </c>
      <c r="E43" s="1">
        <v>3</v>
      </c>
      <c r="F43" s="1" t="s">
        <v>59</v>
      </c>
      <c r="G43" s="33" t="s">
        <v>61</v>
      </c>
      <c r="H43" s="1">
        <v>3</v>
      </c>
      <c r="I43" s="1">
        <v>3</v>
      </c>
      <c r="J43" s="1">
        <v>3</v>
      </c>
      <c r="K43" s="1">
        <v>3</v>
      </c>
      <c r="L43" s="33" t="s">
        <v>31</v>
      </c>
      <c r="M43" s="1" t="s">
        <v>65</v>
      </c>
      <c r="N43" s="33" t="s">
        <v>31</v>
      </c>
      <c r="O43" s="1">
        <v>3</v>
      </c>
      <c r="P43" s="1">
        <v>3</v>
      </c>
      <c r="Q43" s="1">
        <v>3</v>
      </c>
      <c r="R43" s="1">
        <v>3</v>
      </c>
      <c r="S43" s="1">
        <v>3</v>
      </c>
      <c r="T43" s="1" t="s">
        <v>65</v>
      </c>
      <c r="U43" s="1">
        <v>3</v>
      </c>
      <c r="V43" s="1">
        <v>3</v>
      </c>
      <c r="W43" s="33" t="s">
        <v>61</v>
      </c>
      <c r="X43" s="1">
        <v>3</v>
      </c>
      <c r="Y43" s="1">
        <v>3</v>
      </c>
      <c r="Z43" s="1" t="s">
        <v>65</v>
      </c>
      <c r="AA43" s="1">
        <v>3</v>
      </c>
      <c r="AB43" s="1">
        <v>3</v>
      </c>
      <c r="AC43" s="1" t="s">
        <v>65</v>
      </c>
      <c r="AD43" s="1">
        <v>3</v>
      </c>
      <c r="AE43" s="33" t="s">
        <v>61</v>
      </c>
      <c r="AF43" s="1" t="s">
        <v>59</v>
      </c>
      <c r="AG43" s="26" t="s">
        <v>101</v>
      </c>
      <c r="AH43" s="47">
        <v>1</v>
      </c>
      <c r="AI43" s="36">
        <v>0</v>
      </c>
      <c r="AJ43" s="44" t="s">
        <v>102</v>
      </c>
      <c r="AK43" s="36">
        <v>2</v>
      </c>
      <c r="AL43" s="44" t="s">
        <v>103</v>
      </c>
      <c r="AM43" s="36">
        <v>4</v>
      </c>
      <c r="AN43" s="47">
        <v>3</v>
      </c>
      <c r="AO43" s="36">
        <v>20</v>
      </c>
      <c r="AP43" s="43" t="s">
        <v>61</v>
      </c>
      <c r="AQ43" s="36">
        <v>3</v>
      </c>
      <c r="AR43" s="43" t="s">
        <v>31</v>
      </c>
      <c r="AS43" s="36">
        <v>2</v>
      </c>
    </row>
    <row r="44" spans="1:47">
      <c r="A44" s="2"/>
      <c r="G44" s="33"/>
      <c r="L44" s="33"/>
      <c r="N44" s="33"/>
      <c r="W44" s="33"/>
      <c r="AE44" s="33"/>
      <c r="AG44" s="26"/>
      <c r="AH44" s="28" t="s">
        <v>41</v>
      </c>
      <c r="AI44" s="28" t="s">
        <v>47</v>
      </c>
      <c r="AJ44" s="28" t="s">
        <v>94</v>
      </c>
      <c r="AK44" s="48"/>
      <c r="AL44" s="40"/>
      <c r="AM44" s="48"/>
      <c r="AN44" s="39"/>
      <c r="AO44" s="48"/>
      <c r="AP44" s="49"/>
      <c r="AQ44" s="48"/>
      <c r="AR44" s="49"/>
      <c r="AS44" s="48"/>
    </row>
    <row r="45" spans="1:47">
      <c r="A45" s="2" t="s">
        <v>32</v>
      </c>
      <c r="B45" s="1" t="s">
        <v>42</v>
      </c>
      <c r="C45" s="1" t="s">
        <v>42</v>
      </c>
      <c r="D45" s="2" t="s">
        <v>41</v>
      </c>
      <c r="E45" s="2" t="s">
        <v>41</v>
      </c>
      <c r="F45" s="1" t="s">
        <v>42</v>
      </c>
      <c r="G45" s="1" t="s">
        <v>42</v>
      </c>
      <c r="H45" s="1" t="s">
        <v>42</v>
      </c>
      <c r="I45" s="2" t="s">
        <v>41</v>
      </c>
      <c r="J45" s="1" t="s">
        <v>42</v>
      </c>
      <c r="K45" s="2" t="s">
        <v>41</v>
      </c>
      <c r="L45" s="1" t="s">
        <v>42</v>
      </c>
      <c r="M45" s="2" t="s">
        <v>41</v>
      </c>
      <c r="N45" s="1" t="s">
        <v>42</v>
      </c>
      <c r="O45" s="1" t="s">
        <v>42</v>
      </c>
      <c r="P45" s="2" t="s">
        <v>41</v>
      </c>
      <c r="Q45" s="2" t="s">
        <v>41</v>
      </c>
      <c r="R45" s="1" t="s">
        <v>42</v>
      </c>
      <c r="S45" s="2" t="s">
        <v>41</v>
      </c>
      <c r="T45" s="2" t="s">
        <v>41</v>
      </c>
      <c r="U45" s="2" t="s">
        <v>41</v>
      </c>
      <c r="V45" s="1" t="s">
        <v>42</v>
      </c>
      <c r="W45" s="1" t="s">
        <v>42</v>
      </c>
      <c r="X45" s="2" t="s">
        <v>41</v>
      </c>
      <c r="Y45" s="2" t="s">
        <v>41</v>
      </c>
      <c r="Z45" s="1" t="s">
        <v>42</v>
      </c>
      <c r="AA45" s="1" t="s">
        <v>42</v>
      </c>
      <c r="AB45" s="1" t="s">
        <v>42</v>
      </c>
      <c r="AC45" s="2" t="s">
        <v>41</v>
      </c>
      <c r="AD45" s="1" t="s">
        <v>42</v>
      </c>
      <c r="AE45" s="1" t="s">
        <v>42</v>
      </c>
      <c r="AF45" s="2" t="s">
        <v>41</v>
      </c>
      <c r="AG45" s="2" t="s">
        <v>32</v>
      </c>
      <c r="AH45" s="15">
        <f>COUNTIF(B45:AF45, "Y")</f>
        <v>14</v>
      </c>
      <c r="AI45" s="15">
        <f>COUNTIF(B45:AG45, "/")</f>
        <v>17</v>
      </c>
      <c r="AJ45" s="15">
        <f>SUM(AH45:AI45)</f>
        <v>31</v>
      </c>
    </row>
    <row r="46" spans="1:47">
      <c r="A46" s="2" t="s">
        <v>33</v>
      </c>
      <c r="B46" s="1" t="s">
        <v>43</v>
      </c>
      <c r="C46" s="1" t="s">
        <v>44</v>
      </c>
      <c r="D46" s="1" t="s">
        <v>42</v>
      </c>
      <c r="E46" s="1" t="s">
        <v>42</v>
      </c>
      <c r="F46" s="1" t="s">
        <v>45</v>
      </c>
      <c r="G46" s="1" t="s">
        <v>42</v>
      </c>
      <c r="H46" s="1" t="s">
        <v>42</v>
      </c>
      <c r="I46" s="1" t="s">
        <v>42</v>
      </c>
      <c r="J46" s="1" t="s">
        <v>45</v>
      </c>
      <c r="K46" s="1" t="s">
        <v>42</v>
      </c>
      <c r="L46" s="1" t="s">
        <v>42</v>
      </c>
      <c r="M46" s="1" t="s">
        <v>42</v>
      </c>
      <c r="N46" s="1" t="s">
        <v>42</v>
      </c>
      <c r="O46" s="1" t="s">
        <v>42</v>
      </c>
      <c r="P46" s="1" t="s">
        <v>42</v>
      </c>
      <c r="Q46" s="1" t="s">
        <v>42</v>
      </c>
      <c r="R46" s="1" t="s">
        <v>45</v>
      </c>
      <c r="S46" s="1" t="s">
        <v>42</v>
      </c>
      <c r="T46" s="1" t="s">
        <v>42</v>
      </c>
      <c r="U46" s="1" t="s">
        <v>42</v>
      </c>
      <c r="V46" s="1" t="s">
        <v>46</v>
      </c>
      <c r="W46" s="1" t="s">
        <v>42</v>
      </c>
      <c r="X46" s="1" t="s">
        <v>42</v>
      </c>
      <c r="Y46" s="1" t="s">
        <v>42</v>
      </c>
      <c r="Z46" s="1" t="s">
        <v>44</v>
      </c>
      <c r="AA46" s="1" t="s">
        <v>42</v>
      </c>
      <c r="AB46" s="1" t="s">
        <v>45</v>
      </c>
      <c r="AC46" s="1" t="s">
        <v>42</v>
      </c>
      <c r="AD46" s="1" t="s">
        <v>45</v>
      </c>
      <c r="AE46" s="1" t="s">
        <v>42</v>
      </c>
      <c r="AF46" s="1" t="s">
        <v>42</v>
      </c>
      <c r="AG46" s="2" t="s">
        <v>33</v>
      </c>
      <c r="AH46" s="15">
        <f>COUNTIF(B46:AF46, "/")</f>
        <v>22</v>
      </c>
      <c r="AI46" s="15">
        <f>COUNTIF(B46:AG46, "/")</f>
        <v>22</v>
      </c>
      <c r="AJ46" s="15">
        <f>SUM(AH46:AI46)</f>
        <v>44</v>
      </c>
    </row>
    <row r="47" spans="1:47" s="15" customFormat="1">
      <c r="A47" s="11" t="s">
        <v>35</v>
      </c>
      <c r="B47" s="14" t="s">
        <v>41</v>
      </c>
      <c r="C47" s="14" t="s">
        <v>47</v>
      </c>
      <c r="D47" s="14" t="s">
        <v>41</v>
      </c>
      <c r="E47" s="14" t="s">
        <v>41</v>
      </c>
      <c r="F47" s="14" t="s">
        <v>47</v>
      </c>
      <c r="G47" s="14" t="s">
        <v>47</v>
      </c>
      <c r="H47" s="14" t="s">
        <v>47</v>
      </c>
      <c r="I47" s="14" t="s">
        <v>41</v>
      </c>
      <c r="J47" s="14" t="s">
        <v>47</v>
      </c>
      <c r="K47" s="14" t="s">
        <v>47</v>
      </c>
      <c r="L47" s="14" t="s">
        <v>47</v>
      </c>
      <c r="M47" s="14" t="s">
        <v>47</v>
      </c>
      <c r="N47" s="14" t="s">
        <v>47</v>
      </c>
      <c r="O47" s="14" t="s">
        <v>47</v>
      </c>
      <c r="P47" s="14" t="s">
        <v>47</v>
      </c>
      <c r="Q47" s="14" t="s">
        <v>47</v>
      </c>
      <c r="R47" s="14" t="s">
        <v>41</v>
      </c>
      <c r="S47" s="14" t="s">
        <v>41</v>
      </c>
      <c r="T47" s="14" t="s">
        <v>47</v>
      </c>
      <c r="U47" s="14" t="s">
        <v>47</v>
      </c>
      <c r="V47" s="14" t="s">
        <v>41</v>
      </c>
      <c r="W47" s="14" t="s">
        <v>47</v>
      </c>
      <c r="X47" s="14" t="s">
        <v>47</v>
      </c>
      <c r="Y47" s="14" t="s">
        <v>47</v>
      </c>
      <c r="Z47" s="14" t="s">
        <v>47</v>
      </c>
      <c r="AA47" s="14" t="s">
        <v>47</v>
      </c>
      <c r="AB47" s="14" t="s">
        <v>47</v>
      </c>
      <c r="AC47" s="14" t="s">
        <v>41</v>
      </c>
      <c r="AD47" s="14" t="s">
        <v>47</v>
      </c>
      <c r="AE47" s="14" t="s">
        <v>104</v>
      </c>
      <c r="AF47" s="14" t="s">
        <v>41</v>
      </c>
      <c r="AG47" s="50" t="s">
        <v>35</v>
      </c>
      <c r="AH47" s="26" t="s">
        <v>41</v>
      </c>
      <c r="AI47" s="26">
        <f>COUNTIF(B47:AF47, "Y")</f>
        <v>9</v>
      </c>
      <c r="AJ47" s="26" t="s">
        <v>47</v>
      </c>
      <c r="AK47" s="26">
        <f>COUNTIF(B47:AF47, "N")</f>
        <v>21</v>
      </c>
      <c r="AL47" s="26" t="s">
        <v>104</v>
      </c>
      <c r="AM47" s="26">
        <f>COUNTIF(B47:AF47, "NO EVIDENCE")</f>
        <v>1</v>
      </c>
    </row>
    <row r="48" spans="1:47">
      <c r="A48" s="3" t="s">
        <v>36</v>
      </c>
      <c r="B48" s="1" t="s">
        <v>42</v>
      </c>
      <c r="C48" s="1" t="s">
        <v>42</v>
      </c>
      <c r="D48" s="1" t="s">
        <v>42</v>
      </c>
      <c r="E48" s="1" t="s">
        <v>42</v>
      </c>
      <c r="F48" s="1" t="s">
        <v>42</v>
      </c>
      <c r="G48" s="1" t="s">
        <v>42</v>
      </c>
      <c r="H48" s="1" t="s">
        <v>42</v>
      </c>
      <c r="I48" s="1" t="s">
        <v>42</v>
      </c>
      <c r="J48" s="1" t="s">
        <v>42</v>
      </c>
      <c r="K48" s="1" t="s">
        <v>42</v>
      </c>
      <c r="L48" s="1" t="s">
        <v>42</v>
      </c>
      <c r="M48" s="1" t="s">
        <v>42</v>
      </c>
      <c r="N48" s="1" t="s">
        <v>42</v>
      </c>
      <c r="O48" s="1" t="s">
        <v>42</v>
      </c>
      <c r="P48" s="1" t="s">
        <v>42</v>
      </c>
      <c r="Q48" s="1" t="s">
        <v>42</v>
      </c>
      <c r="R48" s="1" t="s">
        <v>41</v>
      </c>
      <c r="S48" s="1" t="s">
        <v>41</v>
      </c>
      <c r="T48" s="1" t="s">
        <v>42</v>
      </c>
      <c r="U48" s="1" t="s">
        <v>42</v>
      </c>
      <c r="V48" s="1" t="s">
        <v>42</v>
      </c>
      <c r="W48" s="1" t="s">
        <v>42</v>
      </c>
      <c r="X48" s="1" t="s">
        <v>42</v>
      </c>
      <c r="Y48" s="1" t="s">
        <v>42</v>
      </c>
      <c r="Z48" s="1" t="s">
        <v>42</v>
      </c>
      <c r="AA48" s="1" t="s">
        <v>42</v>
      </c>
      <c r="AB48" s="1" t="s">
        <v>42</v>
      </c>
      <c r="AC48" s="1" t="s">
        <v>42</v>
      </c>
      <c r="AD48" s="1" t="s">
        <v>42</v>
      </c>
      <c r="AE48" s="1" t="s">
        <v>42</v>
      </c>
      <c r="AF48" s="1" t="s">
        <v>42</v>
      </c>
      <c r="AG48" s="3" t="s">
        <v>36</v>
      </c>
      <c r="AH48" s="15">
        <f>COUNTIF(B48:AF48, "Y")</f>
        <v>2</v>
      </c>
    </row>
    <row r="49" spans="1:39">
      <c r="A49" s="3" t="s">
        <v>37</v>
      </c>
      <c r="B49" s="1" t="s">
        <v>42</v>
      </c>
      <c r="C49" s="1" t="s">
        <v>42</v>
      </c>
      <c r="D49" s="1" t="s">
        <v>42</v>
      </c>
      <c r="E49" s="1" t="s">
        <v>42</v>
      </c>
      <c r="F49" s="1" t="s">
        <v>42</v>
      </c>
      <c r="G49" s="1" t="s">
        <v>42</v>
      </c>
      <c r="H49" s="1" t="s">
        <v>42</v>
      </c>
      <c r="I49" s="1" t="s">
        <v>41</v>
      </c>
      <c r="J49" s="1" t="s">
        <v>42</v>
      </c>
      <c r="K49" s="1" t="s">
        <v>42</v>
      </c>
      <c r="L49" s="1" t="s">
        <v>42</v>
      </c>
      <c r="M49" s="1" t="s">
        <v>42</v>
      </c>
      <c r="N49" s="1" t="s">
        <v>42</v>
      </c>
      <c r="O49" s="1" t="s">
        <v>42</v>
      </c>
      <c r="P49" s="1" t="s">
        <v>42</v>
      </c>
      <c r="Q49" s="1" t="s">
        <v>42</v>
      </c>
      <c r="R49" s="1" t="s">
        <v>42</v>
      </c>
      <c r="S49" s="1" t="s">
        <v>42</v>
      </c>
      <c r="T49" s="1" t="s">
        <v>42</v>
      </c>
      <c r="U49" s="1" t="s">
        <v>42</v>
      </c>
      <c r="V49" s="1" t="s">
        <v>42</v>
      </c>
      <c r="W49" s="1" t="s">
        <v>42</v>
      </c>
      <c r="X49" s="1" t="s">
        <v>42</v>
      </c>
      <c r="Y49" s="1" t="s">
        <v>42</v>
      </c>
      <c r="Z49" s="1" t="s">
        <v>42</v>
      </c>
      <c r="AA49" s="1" t="s">
        <v>42</v>
      </c>
      <c r="AB49" s="1" t="s">
        <v>42</v>
      </c>
      <c r="AC49" s="1" t="s">
        <v>41</v>
      </c>
      <c r="AD49" s="1" t="s">
        <v>42</v>
      </c>
      <c r="AE49" s="1" t="s">
        <v>42</v>
      </c>
      <c r="AF49" s="1" t="s">
        <v>42</v>
      </c>
      <c r="AG49" s="3" t="s">
        <v>37</v>
      </c>
      <c r="AH49" s="15">
        <f t="shared" ref="AH49:AH53" si="10">COUNTIF(B49:AF49, "Y")</f>
        <v>2</v>
      </c>
    </row>
    <row r="50" spans="1:39">
      <c r="A50" s="3" t="s">
        <v>38</v>
      </c>
      <c r="B50" s="1" t="s">
        <v>41</v>
      </c>
      <c r="C50" s="1" t="s">
        <v>42</v>
      </c>
      <c r="D50" s="1" t="s">
        <v>41</v>
      </c>
      <c r="E50" s="1" t="s">
        <v>41</v>
      </c>
      <c r="F50" s="1" t="s">
        <v>42</v>
      </c>
      <c r="G50" s="1" t="s">
        <v>42</v>
      </c>
      <c r="H50" s="1" t="s">
        <v>42</v>
      </c>
      <c r="I50" s="1" t="s">
        <v>42</v>
      </c>
      <c r="J50" s="1" t="s">
        <v>42</v>
      </c>
      <c r="K50" s="1" t="s">
        <v>42</v>
      </c>
      <c r="L50" s="1" t="s">
        <v>42</v>
      </c>
      <c r="M50" s="1" t="s">
        <v>42</v>
      </c>
      <c r="N50" s="1" t="s">
        <v>42</v>
      </c>
      <c r="O50" s="1" t="s">
        <v>42</v>
      </c>
      <c r="P50" s="1" t="s">
        <v>42</v>
      </c>
      <c r="Q50" s="1" t="s">
        <v>42</v>
      </c>
      <c r="R50" s="1" t="s">
        <v>42</v>
      </c>
      <c r="S50" s="1" t="s">
        <v>42</v>
      </c>
      <c r="T50" s="1" t="s">
        <v>42</v>
      </c>
      <c r="U50" s="1" t="s">
        <v>42</v>
      </c>
      <c r="V50" s="1" t="s">
        <v>41</v>
      </c>
      <c r="W50" s="1" t="s">
        <v>42</v>
      </c>
      <c r="X50" s="1" t="s">
        <v>42</v>
      </c>
      <c r="Y50" s="1" t="s">
        <v>42</v>
      </c>
      <c r="Z50" s="1" t="s">
        <v>42</v>
      </c>
      <c r="AA50" s="1" t="s">
        <v>42</v>
      </c>
      <c r="AB50" s="1" t="s">
        <v>42</v>
      </c>
      <c r="AC50" s="1" t="s">
        <v>42</v>
      </c>
      <c r="AD50" s="1" t="s">
        <v>42</v>
      </c>
      <c r="AE50" s="1" t="s">
        <v>42</v>
      </c>
      <c r="AF50" s="1" t="s">
        <v>42</v>
      </c>
      <c r="AG50" s="3" t="s">
        <v>38</v>
      </c>
      <c r="AH50" s="15">
        <f t="shared" si="10"/>
        <v>4</v>
      </c>
    </row>
    <row r="51" spans="1:39">
      <c r="A51" s="3" t="s">
        <v>39</v>
      </c>
      <c r="B51" s="1" t="s">
        <v>42</v>
      </c>
      <c r="C51" s="1" t="s">
        <v>42</v>
      </c>
      <c r="D51" s="1" t="s">
        <v>42</v>
      </c>
      <c r="E51" s="1" t="s">
        <v>42</v>
      </c>
      <c r="F51" s="1" t="s">
        <v>42</v>
      </c>
      <c r="G51" s="1" t="s">
        <v>42</v>
      </c>
      <c r="H51" s="1" t="s">
        <v>42</v>
      </c>
      <c r="I51" s="1" t="s">
        <v>42</v>
      </c>
      <c r="J51" s="1" t="s">
        <v>42</v>
      </c>
      <c r="K51" s="1" t="s">
        <v>42</v>
      </c>
      <c r="L51" s="1" t="s">
        <v>42</v>
      </c>
      <c r="M51" s="1" t="s">
        <v>42</v>
      </c>
      <c r="N51" s="1" t="s">
        <v>42</v>
      </c>
      <c r="O51" s="1" t="s">
        <v>42</v>
      </c>
      <c r="P51" s="1" t="s">
        <v>42</v>
      </c>
      <c r="Q51" s="1" t="s">
        <v>42</v>
      </c>
      <c r="R51" s="1" t="s">
        <v>42</v>
      </c>
      <c r="S51" s="1" t="s">
        <v>42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42</v>
      </c>
      <c r="Y51" s="1" t="s">
        <v>42</v>
      </c>
      <c r="Z51" s="1" t="s">
        <v>42</v>
      </c>
      <c r="AA51" s="1" t="s">
        <v>42</v>
      </c>
      <c r="AB51" s="1" t="s">
        <v>42</v>
      </c>
      <c r="AC51" s="1" t="s">
        <v>42</v>
      </c>
      <c r="AD51" s="1" t="s">
        <v>42</v>
      </c>
      <c r="AE51" s="1" t="s">
        <v>42</v>
      </c>
      <c r="AF51" s="1" t="s">
        <v>41</v>
      </c>
      <c r="AG51" s="3" t="s">
        <v>39</v>
      </c>
      <c r="AH51" s="15">
        <f t="shared" si="10"/>
        <v>1</v>
      </c>
    </row>
    <row r="52" spans="1:39">
      <c r="A52" s="3" t="s">
        <v>105</v>
      </c>
      <c r="B52" s="1" t="s">
        <v>41</v>
      </c>
      <c r="C52" s="1" t="s">
        <v>42</v>
      </c>
      <c r="D52" s="1" t="s">
        <v>41</v>
      </c>
      <c r="E52" s="1" t="s">
        <v>41</v>
      </c>
      <c r="F52" s="1" t="s">
        <v>42</v>
      </c>
      <c r="G52" s="1" t="s">
        <v>42</v>
      </c>
      <c r="H52" s="1" t="s">
        <v>42</v>
      </c>
      <c r="I52" s="1" t="s">
        <v>42</v>
      </c>
      <c r="J52" s="1" t="s">
        <v>42</v>
      </c>
      <c r="K52" s="1" t="s">
        <v>42</v>
      </c>
      <c r="L52" s="1" t="s">
        <v>42</v>
      </c>
      <c r="M52" s="1" t="s">
        <v>42</v>
      </c>
      <c r="N52" s="1" t="s">
        <v>42</v>
      </c>
      <c r="O52" s="1" t="s">
        <v>42</v>
      </c>
      <c r="P52" s="1" t="s">
        <v>42</v>
      </c>
      <c r="Q52" s="1" t="s">
        <v>42</v>
      </c>
      <c r="R52" s="1" t="s">
        <v>42</v>
      </c>
      <c r="S52" s="1" t="s">
        <v>42</v>
      </c>
      <c r="T52" s="1" t="s">
        <v>42</v>
      </c>
      <c r="U52" s="1" t="s">
        <v>42</v>
      </c>
      <c r="V52" s="1" t="s">
        <v>41</v>
      </c>
      <c r="W52" s="1" t="s">
        <v>42</v>
      </c>
      <c r="X52" s="1" t="s">
        <v>42</v>
      </c>
      <c r="Y52" s="1" t="s">
        <v>42</v>
      </c>
      <c r="Z52" s="1" t="s">
        <v>42</v>
      </c>
      <c r="AA52" s="1" t="s">
        <v>42</v>
      </c>
      <c r="AB52" s="1" t="s">
        <v>42</v>
      </c>
      <c r="AC52" s="1" t="s">
        <v>42</v>
      </c>
      <c r="AD52" s="1" t="s">
        <v>42</v>
      </c>
      <c r="AE52" s="1" t="s">
        <v>42</v>
      </c>
      <c r="AF52" s="1" t="s">
        <v>41</v>
      </c>
      <c r="AG52" s="37" t="s">
        <v>105</v>
      </c>
      <c r="AH52" s="25">
        <f t="shared" si="10"/>
        <v>5</v>
      </c>
      <c r="AI52" s="26"/>
      <c r="AJ52" s="25"/>
      <c r="AK52" s="25"/>
      <c r="AL52" s="25"/>
      <c r="AM52" s="25"/>
    </row>
    <row r="53" spans="1:39">
      <c r="A53" s="49" t="s">
        <v>106</v>
      </c>
      <c r="B53" s="17" t="s">
        <v>42</v>
      </c>
      <c r="C53" s="17" t="s">
        <v>42</v>
      </c>
      <c r="D53" s="17" t="s">
        <v>42</v>
      </c>
      <c r="E53" s="17" t="s">
        <v>42</v>
      </c>
      <c r="F53" s="17" t="s">
        <v>42</v>
      </c>
      <c r="G53" s="17" t="s">
        <v>42</v>
      </c>
      <c r="H53" s="1" t="s">
        <v>42</v>
      </c>
      <c r="I53" s="1" t="s">
        <v>41</v>
      </c>
      <c r="J53" s="1" t="s">
        <v>42</v>
      </c>
      <c r="K53" s="1" t="s">
        <v>42</v>
      </c>
      <c r="L53" s="1" t="s">
        <v>42</v>
      </c>
      <c r="M53" s="1" t="s">
        <v>42</v>
      </c>
      <c r="N53" s="1" t="s">
        <v>42</v>
      </c>
      <c r="O53" s="1" t="s">
        <v>42</v>
      </c>
      <c r="P53" s="1" t="s">
        <v>42</v>
      </c>
      <c r="Q53" s="1" t="s">
        <v>42</v>
      </c>
      <c r="R53" s="1" t="s">
        <v>41</v>
      </c>
      <c r="S53" s="1" t="s">
        <v>41</v>
      </c>
      <c r="T53" s="1" t="s">
        <v>42</v>
      </c>
      <c r="U53" s="1" t="s">
        <v>42</v>
      </c>
      <c r="V53" s="1" t="s">
        <v>42</v>
      </c>
      <c r="W53" s="1" t="s">
        <v>42</v>
      </c>
      <c r="X53" s="1" t="s">
        <v>42</v>
      </c>
      <c r="Y53" s="1" t="s">
        <v>42</v>
      </c>
      <c r="Z53" s="1" t="s">
        <v>42</v>
      </c>
      <c r="AA53" s="1" t="s">
        <v>42</v>
      </c>
      <c r="AB53" s="1" t="s">
        <v>42</v>
      </c>
      <c r="AC53" s="1" t="s">
        <v>41</v>
      </c>
      <c r="AD53" s="1" t="s">
        <v>42</v>
      </c>
      <c r="AE53" s="1" t="s">
        <v>42</v>
      </c>
      <c r="AF53" s="1" t="s">
        <v>42</v>
      </c>
      <c r="AG53" s="49" t="s">
        <v>106</v>
      </c>
      <c r="AH53" s="39">
        <f t="shared" si="10"/>
        <v>4</v>
      </c>
      <c r="AI53" s="40"/>
      <c r="AJ53" s="39"/>
      <c r="AK53" s="39"/>
      <c r="AL53" s="39"/>
      <c r="AM53" s="39"/>
    </row>
    <row r="54" spans="1:39">
      <c r="A54" s="18"/>
      <c r="B54" s="17"/>
      <c r="C54" s="17"/>
      <c r="D54" s="17"/>
      <c r="E54" s="17"/>
      <c r="F54" s="17"/>
      <c r="G54" s="17"/>
    </row>
    <row r="55" spans="1:39">
      <c r="A55" s="17"/>
      <c r="B55" s="17"/>
      <c r="C55" s="17"/>
      <c r="D55" s="17"/>
      <c r="E55" s="17"/>
      <c r="F55" s="17"/>
      <c r="G55" s="17"/>
    </row>
    <row r="56" spans="1:39">
      <c r="A56" s="17"/>
      <c r="B56" s="17"/>
      <c r="C56" s="17"/>
      <c r="D56" s="17"/>
      <c r="E56" s="17"/>
      <c r="F56" s="17"/>
      <c r="G56" s="17"/>
    </row>
    <row r="57" spans="1:39">
      <c r="A57" s="17"/>
      <c r="B57" s="17"/>
      <c r="C57" s="17"/>
      <c r="D57" s="17"/>
      <c r="E57" s="17"/>
      <c r="F57" s="17"/>
      <c r="G57" s="17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workbookViewId="0">
      <pane xSplit="1" ySplit="1" topLeftCell="E6" activePane="bottomRight" state="frozen"/>
      <selection pane="topRight" activeCell="B1" sqref="B1"/>
      <selection pane="bottomLeft" activeCell="A2" sqref="A2"/>
      <selection pane="bottomRight" activeCell="A17" sqref="A17:XFD20"/>
    </sheetView>
  </sheetViews>
  <sheetFormatPr baseColWidth="10" defaultRowHeight="15" x14ac:dyDescent="0"/>
  <cols>
    <col min="1" max="1" width="34.83203125" style="1" customWidth="1"/>
    <col min="2" max="2" width="27" style="1" customWidth="1"/>
    <col min="3" max="6" width="10.83203125" style="1"/>
    <col min="7" max="7" width="11.5" style="1" customWidth="1"/>
    <col min="8" max="9" width="10.83203125" style="1"/>
    <col min="10" max="10" width="12.1640625" style="1" customWidth="1"/>
    <col min="11" max="18" width="10.83203125" style="1"/>
    <col min="19" max="19" width="16" style="1" customWidth="1"/>
    <col min="20" max="22" width="10.83203125" style="1"/>
    <col min="23" max="23" width="11.83203125" style="1" customWidth="1"/>
    <col min="24" max="25" width="10.83203125" style="1"/>
    <col min="26" max="26" width="13.1640625" style="1" customWidth="1"/>
    <col min="27" max="27" width="10.83203125" style="1"/>
    <col min="28" max="28" width="27.6640625" style="1" customWidth="1"/>
    <col min="29" max="29" width="14.5" style="1" customWidth="1"/>
    <col min="30" max="30" width="10.83203125" style="1"/>
    <col min="31" max="31" width="12.6640625" style="1" customWidth="1"/>
    <col min="32" max="32" width="10.83203125" style="1"/>
    <col min="33" max="33" width="34.5" style="20" customWidth="1"/>
    <col min="34" max="34" width="10.83203125" style="15"/>
    <col min="35" max="35" width="10.83203125" style="20"/>
    <col min="36" max="36" width="10.6640625" style="15" customWidth="1"/>
    <col min="37" max="37" width="10.83203125" style="15"/>
    <col min="38" max="38" width="20" style="15" customWidth="1"/>
    <col min="39" max="39" width="25.83203125" style="15" customWidth="1"/>
    <col min="40" max="41" width="10.83203125" style="15"/>
    <col min="42" max="42" width="14.1640625" customWidth="1"/>
  </cols>
  <sheetData>
    <row r="1" spans="1:41" s="8" customFormat="1">
      <c r="A1" s="7" t="s">
        <v>0</v>
      </c>
      <c r="B1" s="8">
        <v>1</v>
      </c>
      <c r="C1" s="8">
        <v>2</v>
      </c>
      <c r="D1" s="8">
        <v>3</v>
      </c>
      <c r="E1" s="8">
        <v>4</v>
      </c>
      <c r="F1" s="8">
        <v>5</v>
      </c>
      <c r="G1" s="8">
        <v>6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8">
        <v>12</v>
      </c>
      <c r="N1" s="8">
        <v>13</v>
      </c>
      <c r="O1" s="8">
        <v>14</v>
      </c>
      <c r="P1" s="8">
        <v>15</v>
      </c>
      <c r="Q1" s="8">
        <v>17</v>
      </c>
      <c r="R1" s="8">
        <v>18</v>
      </c>
      <c r="S1" s="8">
        <v>19</v>
      </c>
      <c r="T1" s="8">
        <v>20</v>
      </c>
      <c r="U1" s="8">
        <v>21</v>
      </c>
      <c r="V1" s="8">
        <v>22</v>
      </c>
      <c r="W1" s="8">
        <v>23</v>
      </c>
      <c r="X1" s="8">
        <v>24</v>
      </c>
      <c r="Y1" s="8">
        <v>25</v>
      </c>
      <c r="Z1" s="8">
        <v>26</v>
      </c>
      <c r="AA1" s="8">
        <v>27</v>
      </c>
      <c r="AB1" s="8">
        <v>28</v>
      </c>
      <c r="AC1" s="8">
        <v>29</v>
      </c>
      <c r="AD1" s="8">
        <v>30</v>
      </c>
      <c r="AE1" s="8">
        <v>31</v>
      </c>
      <c r="AF1" s="8">
        <v>32</v>
      </c>
      <c r="AG1" s="20"/>
      <c r="AH1" s="14"/>
      <c r="AI1" s="20"/>
      <c r="AJ1" s="14"/>
      <c r="AK1" s="14"/>
      <c r="AL1" s="14"/>
      <c r="AM1" s="14"/>
      <c r="AN1" s="14"/>
      <c r="AO1" s="14"/>
    </row>
    <row r="2" spans="1:41">
      <c r="A2" s="1" t="s">
        <v>1</v>
      </c>
      <c r="B2" s="1">
        <v>70</v>
      </c>
      <c r="C2" s="1">
        <v>56</v>
      </c>
      <c r="D2" s="1">
        <v>45</v>
      </c>
      <c r="E2" s="1">
        <v>36</v>
      </c>
      <c r="F2" s="1">
        <v>65</v>
      </c>
      <c r="G2" s="1">
        <v>58</v>
      </c>
      <c r="H2" s="1">
        <v>75</v>
      </c>
      <c r="I2" s="1">
        <v>67</v>
      </c>
      <c r="J2" s="1">
        <v>73</v>
      </c>
      <c r="K2" s="1">
        <v>84</v>
      </c>
      <c r="L2" s="1">
        <v>61</v>
      </c>
      <c r="M2" s="1">
        <v>67</v>
      </c>
      <c r="N2" s="1">
        <v>79</v>
      </c>
      <c r="O2" s="1">
        <v>41</v>
      </c>
      <c r="P2" s="1">
        <v>76</v>
      </c>
      <c r="Q2" s="1">
        <v>54</v>
      </c>
      <c r="R2" s="1">
        <v>72</v>
      </c>
      <c r="S2" s="1">
        <v>64</v>
      </c>
      <c r="T2" s="1">
        <v>69</v>
      </c>
      <c r="U2" s="1">
        <v>45</v>
      </c>
      <c r="V2" s="1">
        <v>71</v>
      </c>
      <c r="W2" s="1">
        <v>63</v>
      </c>
      <c r="X2" s="1">
        <v>65</v>
      </c>
      <c r="Y2" s="1">
        <v>86</v>
      </c>
      <c r="Z2" s="1">
        <v>68</v>
      </c>
      <c r="AA2" s="1">
        <v>70</v>
      </c>
      <c r="AB2" s="1">
        <v>67</v>
      </c>
      <c r="AC2" s="1">
        <v>71</v>
      </c>
      <c r="AD2" s="1">
        <v>47</v>
      </c>
      <c r="AE2" s="1">
        <v>61</v>
      </c>
      <c r="AF2" s="1">
        <v>64</v>
      </c>
      <c r="AG2" s="1" t="s">
        <v>1</v>
      </c>
      <c r="AH2" s="20" t="s">
        <v>79</v>
      </c>
      <c r="AI2" s="14">
        <f>AVERAGE(C2:AG2)</f>
        <v>64</v>
      </c>
      <c r="AJ2" s="20" t="s">
        <v>80</v>
      </c>
      <c r="AK2" s="14">
        <f>STDEVP(C2:AG2)</f>
        <v>11.924764148611073</v>
      </c>
      <c r="AM2" s="15" t="s">
        <v>113</v>
      </c>
      <c r="AN2" s="15">
        <f>MEDIAN(B2:AF2)</f>
        <v>67</v>
      </c>
    </row>
    <row r="3" spans="1:41">
      <c r="A3" s="1" t="s">
        <v>2</v>
      </c>
      <c r="B3" s="1" t="s">
        <v>40</v>
      </c>
      <c r="C3" s="1" t="s">
        <v>50</v>
      </c>
      <c r="D3" s="1" t="s">
        <v>40</v>
      </c>
      <c r="E3" s="1" t="s">
        <v>40</v>
      </c>
      <c r="F3" s="1" t="s">
        <v>50</v>
      </c>
      <c r="G3" s="1" t="s">
        <v>40</v>
      </c>
      <c r="H3" s="1" t="s">
        <v>50</v>
      </c>
      <c r="I3" s="1" t="s">
        <v>50</v>
      </c>
      <c r="J3" s="1" t="s">
        <v>40</v>
      </c>
      <c r="K3" s="1" t="s">
        <v>40</v>
      </c>
      <c r="L3" s="1" t="s">
        <v>40</v>
      </c>
      <c r="M3" s="1" t="s">
        <v>40</v>
      </c>
      <c r="N3" s="1" t="s">
        <v>40</v>
      </c>
      <c r="O3" s="1" t="s">
        <v>40</v>
      </c>
      <c r="P3" s="1" t="s">
        <v>50</v>
      </c>
      <c r="Q3" s="1" t="s">
        <v>40</v>
      </c>
      <c r="R3" s="1" t="s">
        <v>50</v>
      </c>
      <c r="S3" s="1" t="s">
        <v>40</v>
      </c>
      <c r="T3" s="1" t="s">
        <v>40</v>
      </c>
      <c r="U3" s="1" t="s">
        <v>50</v>
      </c>
      <c r="V3" s="1" t="s">
        <v>50</v>
      </c>
      <c r="W3" s="1" t="s">
        <v>40</v>
      </c>
      <c r="X3" s="1" t="s">
        <v>40</v>
      </c>
      <c r="Y3" s="1" t="s">
        <v>50</v>
      </c>
      <c r="Z3" s="1" t="s">
        <v>50</v>
      </c>
      <c r="AA3" s="1" t="s">
        <v>40</v>
      </c>
      <c r="AB3" s="1" t="s">
        <v>50</v>
      </c>
      <c r="AC3" s="1" t="s">
        <v>50</v>
      </c>
      <c r="AD3" s="1" t="s">
        <v>50</v>
      </c>
      <c r="AE3" s="1" t="s">
        <v>50</v>
      </c>
      <c r="AF3" s="1" t="s">
        <v>40</v>
      </c>
      <c r="AG3" s="1" t="s">
        <v>2</v>
      </c>
      <c r="AH3" s="20" t="s">
        <v>40</v>
      </c>
      <c r="AI3" s="14">
        <f>COUNTIF(B3:AF3, "M")</f>
        <v>17</v>
      </c>
      <c r="AJ3" s="20" t="s">
        <v>50</v>
      </c>
      <c r="AK3" s="14">
        <f>COUNTIF(B3:AF3, "F")</f>
        <v>14</v>
      </c>
      <c r="AM3" s="15" t="s">
        <v>114</v>
      </c>
      <c r="AN3" s="15">
        <f>QUARTILE(B2:AF2, 1)</f>
        <v>59.5</v>
      </c>
      <c r="AO3" s="15">
        <f>QUARTILE(B2:AF2, 3)</f>
        <v>71</v>
      </c>
    </row>
    <row r="4" spans="1:41" s="6" customFormat="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22"/>
      <c r="AH4" s="10"/>
      <c r="AI4" s="22"/>
      <c r="AJ4" s="23"/>
      <c r="AK4" s="23"/>
      <c r="AL4" s="15"/>
      <c r="AM4" s="15" t="s">
        <v>115</v>
      </c>
      <c r="AN4" s="15" t="str">
        <f>AI3/GCD(AI3,AK3)&amp;":"&amp;AK3/GCD(AI3,AK3)</f>
        <v>17:14</v>
      </c>
      <c r="AO4" s="15"/>
    </row>
    <row r="5" spans="1:41">
      <c r="A5" s="3" t="s">
        <v>4</v>
      </c>
      <c r="B5" s="1" t="s">
        <v>42</v>
      </c>
      <c r="C5" s="1" t="s">
        <v>42</v>
      </c>
      <c r="D5" s="1" t="s">
        <v>41</v>
      </c>
      <c r="E5" s="1" t="s">
        <v>42</v>
      </c>
      <c r="F5" s="1" t="s">
        <v>41</v>
      </c>
      <c r="G5" s="1" t="s">
        <v>41</v>
      </c>
      <c r="H5" s="1" t="s">
        <v>41</v>
      </c>
      <c r="I5" s="1" t="s">
        <v>42</v>
      </c>
      <c r="J5" s="1" t="s">
        <v>41</v>
      </c>
      <c r="K5" s="1" t="s">
        <v>42</v>
      </c>
      <c r="L5" s="1" t="s">
        <v>41</v>
      </c>
      <c r="M5" s="1" t="s">
        <v>41</v>
      </c>
      <c r="N5" s="1" t="s">
        <v>41</v>
      </c>
      <c r="O5" s="1" t="s">
        <v>42</v>
      </c>
      <c r="P5" s="1" t="s">
        <v>41</v>
      </c>
      <c r="Q5" s="1" t="s">
        <v>42</v>
      </c>
      <c r="R5" s="1" t="s">
        <v>41</v>
      </c>
      <c r="S5" s="1" t="s">
        <v>42</v>
      </c>
      <c r="T5" s="1" t="s">
        <v>41</v>
      </c>
      <c r="U5" s="1" t="s">
        <v>42</v>
      </c>
      <c r="V5" s="1" t="s">
        <v>41</v>
      </c>
      <c r="W5" s="1" t="s">
        <v>41</v>
      </c>
      <c r="X5" s="1" t="s">
        <v>41</v>
      </c>
      <c r="Y5" s="1" t="s">
        <v>42</v>
      </c>
      <c r="Z5" s="1" t="s">
        <v>41</v>
      </c>
      <c r="AA5" s="1" t="s">
        <v>41</v>
      </c>
      <c r="AB5" s="1" t="s">
        <v>42</v>
      </c>
      <c r="AC5" s="1" t="s">
        <v>42</v>
      </c>
      <c r="AD5" s="1" t="s">
        <v>42</v>
      </c>
      <c r="AE5" s="1" t="s">
        <v>42</v>
      </c>
      <c r="AF5" s="1" t="s">
        <v>41</v>
      </c>
      <c r="AG5" s="3" t="s">
        <v>4</v>
      </c>
      <c r="AH5" s="14">
        <f>COUNTIF(B5:AF5,"Y")</f>
        <v>17</v>
      </c>
      <c r="AM5" s="15">
        <f>GCD(AI3,AK3)</f>
        <v>1</v>
      </c>
    </row>
    <row r="6" spans="1:41">
      <c r="A6" s="3" t="s">
        <v>5</v>
      </c>
      <c r="B6" s="1" t="s">
        <v>41</v>
      </c>
      <c r="C6" s="1" t="s">
        <v>42</v>
      </c>
      <c r="D6" s="1" t="s">
        <v>42</v>
      </c>
      <c r="E6" s="1" t="s">
        <v>42</v>
      </c>
      <c r="F6" s="1" t="s">
        <v>41</v>
      </c>
      <c r="G6" s="1" t="s">
        <v>42</v>
      </c>
      <c r="H6" s="1" t="s">
        <v>41</v>
      </c>
      <c r="I6" s="1" t="s">
        <v>42</v>
      </c>
      <c r="J6" s="1" t="s">
        <v>42</v>
      </c>
      <c r="K6" s="1" t="s">
        <v>41</v>
      </c>
      <c r="L6" s="1" t="s">
        <v>41</v>
      </c>
      <c r="M6" s="1" t="s">
        <v>42</v>
      </c>
      <c r="N6" s="1" t="s">
        <v>41</v>
      </c>
      <c r="O6" s="1" t="s">
        <v>42</v>
      </c>
      <c r="P6" s="1" t="s">
        <v>42</v>
      </c>
      <c r="Q6" s="1" t="s">
        <v>41</v>
      </c>
      <c r="R6" s="1" t="s">
        <v>42</v>
      </c>
      <c r="S6" s="1" t="s">
        <v>42</v>
      </c>
      <c r="T6" s="1" t="s">
        <v>42</v>
      </c>
      <c r="U6" s="1" t="s">
        <v>42</v>
      </c>
      <c r="V6" s="1" t="s">
        <v>42</v>
      </c>
      <c r="W6" s="1" t="s">
        <v>42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42</v>
      </c>
      <c r="AC6" s="1" t="s">
        <v>41</v>
      </c>
      <c r="AD6" s="1" t="s">
        <v>42</v>
      </c>
      <c r="AE6" s="1" t="s">
        <v>42</v>
      </c>
      <c r="AF6" s="1" t="s">
        <v>42</v>
      </c>
      <c r="AG6" s="3" t="s">
        <v>5</v>
      </c>
      <c r="AH6" s="14">
        <f t="shared" ref="AH6:AH11" si="0">COUNTIF(B6:AF6, "Y")</f>
        <v>12</v>
      </c>
    </row>
    <row r="7" spans="1:41">
      <c r="A7" s="3" t="s">
        <v>6</v>
      </c>
      <c r="B7" s="1" t="s">
        <v>41</v>
      </c>
      <c r="C7" s="1" t="s">
        <v>41</v>
      </c>
      <c r="D7" s="1" t="s">
        <v>42</v>
      </c>
      <c r="E7" s="1" t="s">
        <v>42</v>
      </c>
      <c r="F7" s="1" t="s">
        <v>41</v>
      </c>
      <c r="G7" s="1" t="s">
        <v>41</v>
      </c>
      <c r="H7" s="1" t="s">
        <v>42</v>
      </c>
      <c r="I7" s="1" t="s">
        <v>41</v>
      </c>
      <c r="J7" s="1" t="s">
        <v>42</v>
      </c>
      <c r="K7" s="1" t="s">
        <v>42</v>
      </c>
      <c r="L7" s="1" t="s">
        <v>41</v>
      </c>
      <c r="M7" s="1" t="s">
        <v>42</v>
      </c>
      <c r="N7" s="1" t="s">
        <v>42</v>
      </c>
      <c r="O7" s="1" t="s">
        <v>41</v>
      </c>
      <c r="P7" s="1" t="s">
        <v>41</v>
      </c>
      <c r="Q7" s="1" t="s">
        <v>42</v>
      </c>
      <c r="R7" s="1" t="s">
        <v>41</v>
      </c>
      <c r="S7" s="1" t="s">
        <v>42</v>
      </c>
      <c r="T7" s="1" t="s">
        <v>41</v>
      </c>
      <c r="U7" s="1" t="s">
        <v>42</v>
      </c>
      <c r="V7" s="1" t="s">
        <v>41</v>
      </c>
      <c r="W7" s="1" t="s">
        <v>42</v>
      </c>
      <c r="X7" s="1" t="s">
        <v>41</v>
      </c>
      <c r="Y7" s="1" t="s">
        <v>41</v>
      </c>
      <c r="Z7" s="1" t="s">
        <v>42</v>
      </c>
      <c r="AA7" s="1" t="s">
        <v>41</v>
      </c>
      <c r="AB7" s="1" t="s">
        <v>42</v>
      </c>
      <c r="AC7" s="1" t="s">
        <v>41</v>
      </c>
      <c r="AD7" s="1" t="s">
        <v>41</v>
      </c>
      <c r="AE7" s="1" t="s">
        <v>42</v>
      </c>
      <c r="AF7" s="1" t="s">
        <v>41</v>
      </c>
      <c r="AG7" s="3" t="s">
        <v>6</v>
      </c>
      <c r="AH7" s="14">
        <f t="shared" si="0"/>
        <v>17</v>
      </c>
    </row>
    <row r="8" spans="1:41">
      <c r="A8" s="3" t="s">
        <v>7</v>
      </c>
      <c r="B8" s="1" t="s">
        <v>42</v>
      </c>
      <c r="C8" s="1" t="s">
        <v>42</v>
      </c>
      <c r="D8" s="1" t="s">
        <v>42</v>
      </c>
      <c r="E8" s="1" t="s">
        <v>42</v>
      </c>
      <c r="F8" s="1" t="s">
        <v>42</v>
      </c>
      <c r="G8" s="1" t="s">
        <v>42</v>
      </c>
      <c r="H8" s="1" t="s">
        <v>42</v>
      </c>
      <c r="I8" s="1" t="s">
        <v>42</v>
      </c>
      <c r="J8" s="1" t="s">
        <v>42</v>
      </c>
      <c r="K8" s="1" t="s">
        <v>42</v>
      </c>
      <c r="L8" s="1" t="s">
        <v>42</v>
      </c>
      <c r="M8" s="1" t="s">
        <v>42</v>
      </c>
      <c r="N8" s="1" t="s">
        <v>42</v>
      </c>
      <c r="O8" s="1" t="s">
        <v>42</v>
      </c>
      <c r="P8" s="1" t="s">
        <v>42</v>
      </c>
      <c r="Q8" s="1" t="s">
        <v>42</v>
      </c>
      <c r="R8" s="1" t="s">
        <v>42</v>
      </c>
      <c r="S8" s="1" t="s">
        <v>42</v>
      </c>
      <c r="T8" s="1" t="s">
        <v>42</v>
      </c>
      <c r="U8" s="1" t="s">
        <v>42</v>
      </c>
      <c r="V8" s="1" t="s">
        <v>42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41</v>
      </c>
      <c r="AC8" s="1" t="s">
        <v>42</v>
      </c>
      <c r="AD8" s="1" t="s">
        <v>41</v>
      </c>
      <c r="AE8" s="1" t="s">
        <v>42</v>
      </c>
      <c r="AF8" s="1" t="s">
        <v>42</v>
      </c>
      <c r="AG8" s="3" t="s">
        <v>7</v>
      </c>
      <c r="AH8" s="14">
        <f t="shared" si="0"/>
        <v>2</v>
      </c>
    </row>
    <row r="9" spans="1:41">
      <c r="A9" s="3" t="s">
        <v>34</v>
      </c>
      <c r="B9" s="1" t="s">
        <v>41</v>
      </c>
      <c r="C9" s="1" t="s">
        <v>41</v>
      </c>
      <c r="D9" s="1" t="s">
        <v>42</v>
      </c>
      <c r="E9" s="1" t="s">
        <v>41</v>
      </c>
      <c r="F9" s="1" t="s">
        <v>42</v>
      </c>
      <c r="G9" s="1" t="s">
        <v>41</v>
      </c>
      <c r="H9" s="1" t="s">
        <v>41</v>
      </c>
      <c r="I9" s="1" t="s">
        <v>42</v>
      </c>
      <c r="J9" s="1" t="s">
        <v>41</v>
      </c>
      <c r="K9" s="1" t="s">
        <v>41</v>
      </c>
      <c r="L9" s="1" t="s">
        <v>41</v>
      </c>
      <c r="M9" s="1" t="s">
        <v>41</v>
      </c>
      <c r="N9" s="1" t="s">
        <v>42</v>
      </c>
      <c r="O9" s="1" t="s">
        <v>41</v>
      </c>
      <c r="P9" s="1" t="s">
        <v>42</v>
      </c>
      <c r="Q9" s="1" t="s">
        <v>41</v>
      </c>
      <c r="R9" s="1" t="s">
        <v>42</v>
      </c>
      <c r="S9" s="1" t="s">
        <v>41</v>
      </c>
      <c r="T9" s="1" t="s">
        <v>42</v>
      </c>
      <c r="U9" s="1" t="s">
        <v>42</v>
      </c>
      <c r="V9" s="1" t="s">
        <v>42</v>
      </c>
      <c r="W9" s="1" t="s">
        <v>41</v>
      </c>
      <c r="X9" s="1" t="s">
        <v>42</v>
      </c>
      <c r="Y9" s="1" t="s">
        <v>41</v>
      </c>
      <c r="Z9" s="1" t="s">
        <v>42</v>
      </c>
      <c r="AA9" s="1" t="s">
        <v>41</v>
      </c>
      <c r="AB9" s="1" t="s">
        <v>41</v>
      </c>
      <c r="AC9" s="1" t="s">
        <v>41</v>
      </c>
      <c r="AD9" s="1" t="s">
        <v>42</v>
      </c>
      <c r="AE9" s="1" t="s">
        <v>42</v>
      </c>
      <c r="AF9" s="1" t="s">
        <v>41</v>
      </c>
      <c r="AG9" s="3" t="s">
        <v>34</v>
      </c>
      <c r="AH9" s="14">
        <f t="shared" si="0"/>
        <v>18</v>
      </c>
    </row>
    <row r="10" spans="1:41">
      <c r="A10" s="3" t="s">
        <v>8</v>
      </c>
      <c r="B10" s="1" t="s">
        <v>42</v>
      </c>
      <c r="C10" s="1" t="s">
        <v>42</v>
      </c>
      <c r="D10" s="1" t="s">
        <v>42</v>
      </c>
      <c r="E10" s="1" t="s">
        <v>42</v>
      </c>
      <c r="F10" s="1" t="s">
        <v>41</v>
      </c>
      <c r="G10" s="1" t="s">
        <v>42</v>
      </c>
      <c r="H10" s="1" t="s">
        <v>42</v>
      </c>
      <c r="I10" s="1" t="s">
        <v>42</v>
      </c>
      <c r="J10" s="1" t="s">
        <v>41</v>
      </c>
      <c r="K10" s="1" t="s">
        <v>41</v>
      </c>
      <c r="L10" s="1" t="s">
        <v>42</v>
      </c>
      <c r="M10" s="1" t="s">
        <v>42</v>
      </c>
      <c r="N10" s="1" t="s">
        <v>42</v>
      </c>
      <c r="O10" s="1" t="s">
        <v>42</v>
      </c>
      <c r="P10" s="1" t="s">
        <v>42</v>
      </c>
      <c r="Q10" s="1" t="s">
        <v>42</v>
      </c>
      <c r="R10" s="1" t="s">
        <v>42</v>
      </c>
      <c r="S10" s="1" t="s">
        <v>42</v>
      </c>
      <c r="T10" s="1" t="s">
        <v>42</v>
      </c>
      <c r="U10" s="1" t="s">
        <v>42</v>
      </c>
      <c r="V10" s="1" t="s">
        <v>42</v>
      </c>
      <c r="W10" s="1" t="s">
        <v>42</v>
      </c>
      <c r="X10" s="1" t="s">
        <v>41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42</v>
      </c>
      <c r="AD10" s="1" t="s">
        <v>42</v>
      </c>
      <c r="AE10" s="1" t="s">
        <v>42</v>
      </c>
      <c r="AF10" s="1" t="s">
        <v>41</v>
      </c>
      <c r="AG10" s="3" t="s">
        <v>8</v>
      </c>
      <c r="AH10" s="14">
        <f t="shared" si="0"/>
        <v>5</v>
      </c>
    </row>
    <row r="11" spans="1:41">
      <c r="A11" s="3" t="s">
        <v>9</v>
      </c>
      <c r="B11" s="1" t="s">
        <v>42</v>
      </c>
      <c r="C11" s="1" t="s">
        <v>42</v>
      </c>
      <c r="D11" s="1" t="s">
        <v>42</v>
      </c>
      <c r="E11" s="1" t="s">
        <v>42</v>
      </c>
      <c r="F11" s="1" t="s">
        <v>42</v>
      </c>
      <c r="G11" s="1" t="s">
        <v>42</v>
      </c>
      <c r="H11" s="1" t="s">
        <v>42</v>
      </c>
      <c r="I11" s="1" t="s">
        <v>42</v>
      </c>
      <c r="J11" s="1" t="s">
        <v>42</v>
      </c>
      <c r="K11" s="1" t="s">
        <v>42</v>
      </c>
      <c r="L11" s="1" t="s">
        <v>42</v>
      </c>
      <c r="M11" s="1" t="s">
        <v>42</v>
      </c>
      <c r="N11" s="1" t="s">
        <v>42</v>
      </c>
      <c r="O11" s="1" t="s">
        <v>41</v>
      </c>
      <c r="P11" s="1" t="s">
        <v>42</v>
      </c>
      <c r="Q11" s="1" t="s">
        <v>42</v>
      </c>
      <c r="R11" s="1" t="s">
        <v>42</v>
      </c>
      <c r="S11" s="1" t="s">
        <v>42</v>
      </c>
      <c r="T11" s="1" t="s">
        <v>42</v>
      </c>
      <c r="U11" s="1" t="s">
        <v>41</v>
      </c>
      <c r="V11" s="1" t="s">
        <v>42</v>
      </c>
      <c r="W11" s="1" t="s">
        <v>42</v>
      </c>
      <c r="X11" s="1" t="s">
        <v>42</v>
      </c>
      <c r="Y11" s="1" t="s">
        <v>42</v>
      </c>
      <c r="Z11" s="1" t="s">
        <v>42</v>
      </c>
      <c r="AA11" s="1" t="s">
        <v>42</v>
      </c>
      <c r="AB11" s="1" t="s">
        <v>42</v>
      </c>
      <c r="AC11" s="1" t="s">
        <v>41</v>
      </c>
      <c r="AD11" s="1" t="s">
        <v>41</v>
      </c>
      <c r="AE11" s="1" t="s">
        <v>42</v>
      </c>
      <c r="AF11" s="1" t="s">
        <v>42</v>
      </c>
      <c r="AG11" s="3" t="s">
        <v>9</v>
      </c>
      <c r="AH11" s="14">
        <f t="shared" si="0"/>
        <v>4</v>
      </c>
    </row>
    <row r="12" spans="1:41">
      <c r="A12" s="3" t="s">
        <v>53</v>
      </c>
      <c r="B12" s="1" t="s">
        <v>42</v>
      </c>
      <c r="C12" s="1" t="s">
        <v>42</v>
      </c>
      <c r="D12" s="1" t="s">
        <v>41</v>
      </c>
      <c r="E12" s="1" t="s">
        <v>42</v>
      </c>
      <c r="F12" s="1" t="s">
        <v>42</v>
      </c>
      <c r="G12" s="1" t="s">
        <v>41</v>
      </c>
      <c r="H12" s="1" t="s">
        <v>42</v>
      </c>
      <c r="I12" s="1" t="s">
        <v>42</v>
      </c>
      <c r="J12" s="1" t="s">
        <v>42</v>
      </c>
      <c r="K12" s="1" t="s">
        <v>41</v>
      </c>
      <c r="L12" s="1" t="s">
        <v>42</v>
      </c>
      <c r="M12" s="1" t="s">
        <v>42</v>
      </c>
      <c r="N12" s="1" t="s">
        <v>42</v>
      </c>
      <c r="O12" s="1" t="s">
        <v>42</v>
      </c>
      <c r="P12" s="1" t="s">
        <v>42</v>
      </c>
      <c r="Q12" s="1" t="s">
        <v>42</v>
      </c>
      <c r="R12" s="1" t="s">
        <v>42</v>
      </c>
      <c r="S12" s="1" t="s">
        <v>42</v>
      </c>
      <c r="T12" s="1" t="s">
        <v>42</v>
      </c>
      <c r="U12" s="1" t="s">
        <v>42</v>
      </c>
      <c r="V12" s="1" t="s">
        <v>42</v>
      </c>
      <c r="W12" s="1" t="s">
        <v>42</v>
      </c>
      <c r="X12" s="1" t="s">
        <v>42</v>
      </c>
      <c r="Y12" s="1" t="s">
        <v>42</v>
      </c>
      <c r="Z12" s="1" t="s">
        <v>42</v>
      </c>
      <c r="AA12" s="1" t="s">
        <v>41</v>
      </c>
      <c r="AB12" s="1" t="s">
        <v>42</v>
      </c>
      <c r="AC12" s="1" t="s">
        <v>42</v>
      </c>
      <c r="AD12" s="1" t="s">
        <v>42</v>
      </c>
      <c r="AE12" s="1" t="s">
        <v>42</v>
      </c>
      <c r="AF12" s="1" t="s">
        <v>42</v>
      </c>
      <c r="AG12" s="3" t="s">
        <v>53</v>
      </c>
      <c r="AH12" s="14">
        <f>COUNTIF(B12:AF12,"Y")</f>
        <v>4</v>
      </c>
    </row>
    <row r="13" spans="1:41">
      <c r="A13" s="3" t="s">
        <v>10</v>
      </c>
      <c r="B13" s="1" t="s">
        <v>42</v>
      </c>
      <c r="C13" s="1" t="s">
        <v>42</v>
      </c>
      <c r="D13" s="1" t="s">
        <v>41</v>
      </c>
      <c r="E13" s="1" t="s">
        <v>42</v>
      </c>
      <c r="F13" s="1" t="s">
        <v>42</v>
      </c>
      <c r="G13" s="1" t="s">
        <v>42</v>
      </c>
      <c r="H13" s="1" t="s">
        <v>42</v>
      </c>
      <c r="I13" s="1" t="s">
        <v>42</v>
      </c>
      <c r="J13" s="1" t="s">
        <v>42</v>
      </c>
      <c r="K13" s="1" t="s">
        <v>42</v>
      </c>
      <c r="L13" s="1" t="s">
        <v>42</v>
      </c>
      <c r="M13" s="1" t="s">
        <v>42</v>
      </c>
      <c r="N13" s="1" t="s">
        <v>42</v>
      </c>
      <c r="O13" s="1" t="s">
        <v>41</v>
      </c>
      <c r="P13" s="1" t="s">
        <v>42</v>
      </c>
      <c r="Q13" s="1" t="s">
        <v>42</v>
      </c>
      <c r="R13" s="1" t="s">
        <v>42</v>
      </c>
      <c r="S13" s="1" t="s">
        <v>42</v>
      </c>
      <c r="T13" s="1" t="s">
        <v>42</v>
      </c>
      <c r="U13" s="1" t="s">
        <v>42</v>
      </c>
      <c r="V13" s="1" t="s">
        <v>42</v>
      </c>
      <c r="W13" s="1" t="s">
        <v>42</v>
      </c>
      <c r="X13" s="1" t="s">
        <v>42</v>
      </c>
      <c r="Y13" s="1" t="s">
        <v>42</v>
      </c>
      <c r="Z13" s="1" t="s">
        <v>42</v>
      </c>
      <c r="AA13" s="1" t="s">
        <v>42</v>
      </c>
      <c r="AB13" s="1" t="s">
        <v>42</v>
      </c>
      <c r="AC13" s="1" t="s">
        <v>42</v>
      </c>
      <c r="AD13" s="1" t="s">
        <v>42</v>
      </c>
      <c r="AE13" s="1" t="s">
        <v>42</v>
      </c>
      <c r="AF13" s="1" t="s">
        <v>42</v>
      </c>
      <c r="AG13" s="3" t="s">
        <v>10</v>
      </c>
      <c r="AH13" s="14">
        <f>COUNTIF(B13:AF13, "Y")</f>
        <v>2</v>
      </c>
    </row>
    <row r="14" spans="1:41">
      <c r="A14" s="3" t="s">
        <v>11</v>
      </c>
      <c r="B14" s="1" t="s">
        <v>42</v>
      </c>
      <c r="C14" s="1" t="s">
        <v>42</v>
      </c>
      <c r="D14" s="1" t="s">
        <v>42</v>
      </c>
      <c r="E14" s="1" t="s">
        <v>42</v>
      </c>
      <c r="F14" s="1" t="s">
        <v>42</v>
      </c>
      <c r="G14" s="1" t="s">
        <v>42</v>
      </c>
      <c r="H14" s="1" t="s">
        <v>42</v>
      </c>
      <c r="I14" s="1" t="s">
        <v>42</v>
      </c>
      <c r="J14" s="1" t="s">
        <v>42</v>
      </c>
      <c r="K14" s="1" t="s">
        <v>41</v>
      </c>
      <c r="L14" s="1" t="s">
        <v>42</v>
      </c>
      <c r="M14" s="1" t="s">
        <v>42</v>
      </c>
      <c r="N14" s="1" t="s">
        <v>42</v>
      </c>
      <c r="O14" s="1" t="s">
        <v>42</v>
      </c>
      <c r="P14" s="1" t="s">
        <v>42</v>
      </c>
      <c r="Q14" s="1" t="s">
        <v>42</v>
      </c>
      <c r="R14" s="1" t="s">
        <v>42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41</v>
      </c>
      <c r="AC14" s="1" t="s">
        <v>42</v>
      </c>
      <c r="AD14" s="1" t="s">
        <v>42</v>
      </c>
      <c r="AE14" s="1" t="s">
        <v>42</v>
      </c>
      <c r="AF14" s="1" t="s">
        <v>42</v>
      </c>
      <c r="AG14" s="3" t="s">
        <v>11</v>
      </c>
      <c r="AH14" s="14">
        <f>COUNTIF(B14:AF14, "Y")</f>
        <v>2</v>
      </c>
    </row>
    <row r="15" spans="1:41">
      <c r="A15" s="3" t="s">
        <v>12</v>
      </c>
      <c r="B15" s="1" t="s">
        <v>42</v>
      </c>
      <c r="C15" s="1" t="s">
        <v>42</v>
      </c>
      <c r="D15" s="1" t="s">
        <v>42</v>
      </c>
      <c r="E15" s="1" t="s">
        <v>42</v>
      </c>
      <c r="F15" s="1" t="s">
        <v>58</v>
      </c>
      <c r="G15" s="1" t="s">
        <v>42</v>
      </c>
      <c r="H15" s="1" t="s">
        <v>58</v>
      </c>
      <c r="I15" s="1" t="s">
        <v>42</v>
      </c>
      <c r="J15" s="1" t="s">
        <v>62</v>
      </c>
      <c r="K15" s="1" t="s">
        <v>63</v>
      </c>
      <c r="L15" s="1" t="s">
        <v>42</v>
      </c>
      <c r="M15" s="1" t="s">
        <v>42</v>
      </c>
      <c r="N15" s="1" t="s">
        <v>42</v>
      </c>
      <c r="O15" s="1" t="s">
        <v>42</v>
      </c>
      <c r="P15" s="1" t="s">
        <v>42</v>
      </c>
      <c r="Q15" s="1" t="s">
        <v>68</v>
      </c>
      <c r="R15" s="1" t="s">
        <v>42</v>
      </c>
      <c r="S15" s="1" t="s">
        <v>69</v>
      </c>
      <c r="T15" s="1" t="s">
        <v>42</v>
      </c>
      <c r="U15" s="1" t="s">
        <v>42</v>
      </c>
      <c r="V15" s="1" t="s">
        <v>42</v>
      </c>
      <c r="W15" s="1" t="s">
        <v>42</v>
      </c>
      <c r="X15" s="1" t="s">
        <v>42</v>
      </c>
      <c r="Y15" s="1" t="s">
        <v>42</v>
      </c>
      <c r="Z15" s="1" t="s">
        <v>72</v>
      </c>
      <c r="AA15" s="1" t="s">
        <v>42</v>
      </c>
      <c r="AB15" s="1" t="s">
        <v>73</v>
      </c>
      <c r="AC15" s="1" t="s">
        <v>74</v>
      </c>
      <c r="AD15" s="1" t="s">
        <v>42</v>
      </c>
      <c r="AE15" s="1" t="s">
        <v>42</v>
      </c>
      <c r="AF15" s="1" t="s">
        <v>42</v>
      </c>
      <c r="AG15" s="3" t="s">
        <v>12</v>
      </c>
    </row>
    <row r="16" spans="1:41" s="23" customFormat="1">
      <c r="A16" s="2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22"/>
      <c r="AI16" s="22"/>
    </row>
    <row r="17" spans="1:41" s="9" customFormat="1">
      <c r="A17" s="7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20" t="s">
        <v>13</v>
      </c>
      <c r="AH17" s="14" t="s">
        <v>14</v>
      </c>
      <c r="AI17" s="14" t="s">
        <v>15</v>
      </c>
      <c r="AJ17" s="14" t="s">
        <v>16</v>
      </c>
      <c r="AK17" s="15"/>
      <c r="AL17" s="15"/>
      <c r="AM17" s="15"/>
      <c r="AN17" s="15"/>
      <c r="AO17" s="15"/>
    </row>
    <row r="18" spans="1:41">
      <c r="A18" s="1" t="s">
        <v>134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4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1</v>
      </c>
      <c r="Y18" s="1">
        <v>0</v>
      </c>
      <c r="Z18" s="1">
        <v>3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20" t="s">
        <v>81</v>
      </c>
      <c r="AH18" s="14">
        <f>COUNTIF(B18:AF18, "&lt;2")</f>
        <v>29</v>
      </c>
      <c r="AI18" s="20">
        <f>COUNTIF(B19:AF19, "&lt;3")</f>
        <v>2</v>
      </c>
      <c r="AJ18" s="15">
        <f>COUNTIF(B20:AF20, "&lt;3")</f>
        <v>7</v>
      </c>
    </row>
    <row r="19" spans="1:41">
      <c r="A19" s="1" t="s">
        <v>15</v>
      </c>
      <c r="B19" s="1">
        <v>5</v>
      </c>
      <c r="C19" s="1">
        <v>5</v>
      </c>
      <c r="D19" s="1">
        <v>5</v>
      </c>
      <c r="E19" s="1">
        <v>5</v>
      </c>
      <c r="F19" s="1">
        <v>4</v>
      </c>
      <c r="G19" s="1">
        <v>1</v>
      </c>
      <c r="H19" s="1">
        <v>4</v>
      </c>
      <c r="I19" s="1">
        <v>5</v>
      </c>
      <c r="J19" s="1">
        <v>5</v>
      </c>
      <c r="K19" s="1">
        <v>5</v>
      </c>
      <c r="L19" s="1">
        <v>5</v>
      </c>
      <c r="M19" s="1">
        <v>4</v>
      </c>
      <c r="N19" s="1">
        <v>5</v>
      </c>
      <c r="O19" s="1">
        <v>5</v>
      </c>
      <c r="P19" s="1">
        <v>0</v>
      </c>
      <c r="Q19" s="1">
        <v>4</v>
      </c>
      <c r="R19" s="1">
        <v>5</v>
      </c>
      <c r="S19" s="1">
        <v>4</v>
      </c>
      <c r="T19" s="1">
        <v>5</v>
      </c>
      <c r="U19" s="1">
        <v>4</v>
      </c>
      <c r="V19" s="1">
        <v>5</v>
      </c>
      <c r="W19" s="1">
        <v>5</v>
      </c>
      <c r="X19" s="1">
        <v>5</v>
      </c>
      <c r="Y19" s="1">
        <v>5</v>
      </c>
      <c r="Z19" s="1">
        <v>4</v>
      </c>
      <c r="AA19" s="1">
        <v>5</v>
      </c>
      <c r="AB19" s="1">
        <v>5</v>
      </c>
      <c r="AC19" s="1">
        <v>5</v>
      </c>
      <c r="AD19" s="1">
        <v>5</v>
      </c>
      <c r="AE19" s="1">
        <v>5</v>
      </c>
      <c r="AF19" s="1">
        <v>5</v>
      </c>
      <c r="AG19" s="21" t="s">
        <v>82</v>
      </c>
      <c r="AH19" s="14">
        <f>COUNTIF(B18:AF18, "&gt;2")</f>
        <v>2</v>
      </c>
      <c r="AI19" s="20">
        <f>COUNTIF(B19:AF19, "&gt;2")</f>
        <v>29</v>
      </c>
      <c r="AJ19" s="15">
        <v>15</v>
      </c>
    </row>
    <row r="20" spans="1:41">
      <c r="A20" s="1" t="s">
        <v>16</v>
      </c>
      <c r="B20" s="1">
        <v>5</v>
      </c>
      <c r="C20" s="1">
        <v>0</v>
      </c>
      <c r="D20" s="29">
        <v>6</v>
      </c>
      <c r="E20" s="29">
        <v>6</v>
      </c>
      <c r="F20" s="1">
        <v>4</v>
      </c>
      <c r="G20" s="29">
        <v>6</v>
      </c>
      <c r="H20" s="1">
        <v>0</v>
      </c>
      <c r="I20" s="1">
        <v>4</v>
      </c>
      <c r="J20" s="1">
        <v>5</v>
      </c>
      <c r="K20" s="29">
        <v>6</v>
      </c>
      <c r="L20" s="1">
        <v>5</v>
      </c>
      <c r="M20" s="1">
        <v>5</v>
      </c>
      <c r="N20" s="1">
        <v>4</v>
      </c>
      <c r="O20" s="1">
        <v>4</v>
      </c>
      <c r="P20" s="1">
        <v>0</v>
      </c>
      <c r="Q20" s="1">
        <v>1</v>
      </c>
      <c r="R20" s="1">
        <v>5</v>
      </c>
      <c r="S20" s="1">
        <v>1</v>
      </c>
      <c r="T20" s="1">
        <v>4</v>
      </c>
      <c r="U20" s="1">
        <v>0</v>
      </c>
      <c r="V20" s="1">
        <v>5</v>
      </c>
      <c r="W20" s="29">
        <v>6</v>
      </c>
      <c r="X20" s="1">
        <v>3</v>
      </c>
      <c r="Y20" s="29">
        <v>6</v>
      </c>
      <c r="Z20" s="29">
        <v>6</v>
      </c>
      <c r="AA20" s="1">
        <v>4</v>
      </c>
      <c r="AB20" s="1">
        <v>4</v>
      </c>
      <c r="AC20" s="1">
        <v>4</v>
      </c>
      <c r="AD20" s="1">
        <v>1</v>
      </c>
      <c r="AE20" s="29">
        <v>6</v>
      </c>
      <c r="AF20" s="29">
        <v>6</v>
      </c>
      <c r="AG20" s="20">
        <v>6</v>
      </c>
      <c r="AH20" s="14">
        <v>0</v>
      </c>
      <c r="AI20" s="20">
        <v>0</v>
      </c>
      <c r="AJ20" s="15">
        <f>COUNTIF(B20:AF20, "6")</f>
        <v>9</v>
      </c>
      <c r="AM20" s="15" t="s">
        <v>23</v>
      </c>
      <c r="AN20" s="15" t="s">
        <v>107</v>
      </c>
      <c r="AO20" s="15" t="s">
        <v>108</v>
      </c>
    </row>
    <row r="21" spans="1:41" s="9" customFormat="1">
      <c r="A21" s="7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26"/>
      <c r="AH21" s="28" t="s">
        <v>95</v>
      </c>
      <c r="AI21" s="28" t="s">
        <v>83</v>
      </c>
      <c r="AJ21" s="25"/>
      <c r="AK21" s="25"/>
      <c r="AL21" s="15"/>
      <c r="AM21" s="51" t="s">
        <v>109</v>
      </c>
      <c r="AN21" s="15">
        <v>1</v>
      </c>
      <c r="AO21" s="15">
        <v>2</v>
      </c>
    </row>
    <row r="22" spans="1:41">
      <c r="A22" s="1" t="s">
        <v>18</v>
      </c>
      <c r="B22" s="1">
        <f>(187*0.0555)</f>
        <v>10.378500000000001</v>
      </c>
      <c r="C22" s="1">
        <f>(137*0.0555)</f>
        <v>7.6035000000000004</v>
      </c>
      <c r="D22" s="1">
        <f>(138*0.0555)</f>
        <v>7.6589999999999998</v>
      </c>
      <c r="E22" s="1">
        <f>(132*0.0555)</f>
        <v>7.3260000000000005</v>
      </c>
      <c r="F22" s="1">
        <f>(285*0.0555)</f>
        <v>15.817500000000001</v>
      </c>
      <c r="G22" s="1">
        <f>(267*0.0555)</f>
        <v>14.8185</v>
      </c>
      <c r="H22" s="1">
        <f>(243*0.0555)</f>
        <v>13.486499999999999</v>
      </c>
      <c r="I22" s="1">
        <f>(114*0.0555)</f>
        <v>6.327</v>
      </c>
      <c r="J22" s="1">
        <f>(138*0.0555)</f>
        <v>7.6589999999999998</v>
      </c>
      <c r="K22" s="1">
        <f>(161*0.0555)</f>
        <v>8.9354999999999993</v>
      </c>
      <c r="L22" s="1">
        <f>(296*0.0555)</f>
        <v>16.428000000000001</v>
      </c>
      <c r="M22" s="1">
        <f>(163*0.0555)</f>
        <v>9.0465</v>
      </c>
      <c r="N22" s="1">
        <f>(125*0.0555)</f>
        <v>6.9375</v>
      </c>
      <c r="O22" s="1">
        <f>(151*0.0555)</f>
        <v>8.3804999999999996</v>
      </c>
      <c r="P22" s="1">
        <f>(114*0.0555)</f>
        <v>6.327</v>
      </c>
      <c r="Q22" s="1">
        <f>(254*0.0555)</f>
        <v>14.097</v>
      </c>
      <c r="R22" s="1">
        <f>(107*0.0555)</f>
        <v>5.9385000000000003</v>
      </c>
      <c r="S22" s="1">
        <f>(82*0.0555)</f>
        <v>4.5510000000000002</v>
      </c>
      <c r="T22" s="1">
        <f>(131*0.0555)</f>
        <v>7.2705000000000002</v>
      </c>
      <c r="U22" s="1">
        <f>(117*0.0555)</f>
        <v>6.4935</v>
      </c>
      <c r="V22" s="1">
        <f>(119*0.0555)</f>
        <v>6.6044999999999998</v>
      </c>
      <c r="W22" s="1">
        <f>(149*0.0555)</f>
        <v>8.2695000000000007</v>
      </c>
      <c r="X22" s="1">
        <f>(87*0.0555)</f>
        <v>4.8285</v>
      </c>
      <c r="Y22" s="1">
        <f>(200*0.0555)</f>
        <v>11.1</v>
      </c>
      <c r="Z22" s="1">
        <f>(108*0.0555)</f>
        <v>5.9939999999999998</v>
      </c>
      <c r="AA22" s="1">
        <f>(152*0.0555)</f>
        <v>8.4359999999999999</v>
      </c>
      <c r="AB22" s="1">
        <f>(100*0.0555)</f>
        <v>5.55</v>
      </c>
      <c r="AC22" s="1">
        <f>(126*0.0555)</f>
        <v>6.9930000000000003</v>
      </c>
      <c r="AD22" s="1">
        <f>(152*0.0555)</f>
        <v>8.4359999999999999</v>
      </c>
      <c r="AE22" s="1">
        <f>(128*0.0555)</f>
        <v>7.1040000000000001</v>
      </c>
      <c r="AF22" s="1">
        <f>(133*0.0555)</f>
        <v>7.3815</v>
      </c>
      <c r="AG22" s="1" t="s">
        <v>18</v>
      </c>
      <c r="AH22" s="15">
        <f>MEDIAN(B22:AF22)</f>
        <v>7.6035000000000004</v>
      </c>
      <c r="AI22" s="20">
        <f>QUARTILE(B22:AF22, 1)</f>
        <v>6.5489999999999995</v>
      </c>
      <c r="AJ22" s="15">
        <f>QUARTILE(B22:AF22, 3)</f>
        <v>8.9909999999999997</v>
      </c>
      <c r="AK22" s="15">
        <f>AJ22-AI22</f>
        <v>2.4420000000000002</v>
      </c>
      <c r="AM22" s="15" t="s">
        <v>110</v>
      </c>
      <c r="AN22" s="15">
        <v>17</v>
      </c>
      <c r="AO22" s="15">
        <v>15</v>
      </c>
    </row>
    <row r="23" spans="1:41">
      <c r="A23" s="1" t="s">
        <v>75</v>
      </c>
      <c r="B23" s="1">
        <v>170</v>
      </c>
      <c r="C23" s="1">
        <v>130</v>
      </c>
      <c r="D23" s="1">
        <v>110</v>
      </c>
      <c r="E23" s="1">
        <v>140</v>
      </c>
      <c r="F23" s="1">
        <v>130</v>
      </c>
      <c r="G23" s="1">
        <v>200</v>
      </c>
      <c r="H23" s="1">
        <v>200</v>
      </c>
      <c r="I23" s="1">
        <v>170</v>
      </c>
      <c r="J23" s="1">
        <v>170</v>
      </c>
      <c r="K23" s="1">
        <v>190</v>
      </c>
      <c r="L23" s="1">
        <v>170</v>
      </c>
      <c r="M23" s="1">
        <v>120</v>
      </c>
      <c r="N23" s="1">
        <v>110</v>
      </c>
      <c r="O23" s="1">
        <v>110</v>
      </c>
      <c r="P23" s="1">
        <v>150</v>
      </c>
      <c r="Q23" s="1">
        <v>140</v>
      </c>
      <c r="R23" s="1">
        <v>170</v>
      </c>
      <c r="S23" s="1">
        <v>110</v>
      </c>
      <c r="T23" s="1">
        <v>150</v>
      </c>
      <c r="U23" s="1">
        <v>130</v>
      </c>
      <c r="V23" s="1">
        <v>140</v>
      </c>
      <c r="W23" s="1">
        <v>130</v>
      </c>
      <c r="X23" s="1">
        <v>130</v>
      </c>
      <c r="Y23" s="1">
        <v>200</v>
      </c>
      <c r="Z23" s="1">
        <v>110</v>
      </c>
      <c r="AA23" s="1">
        <v>110</v>
      </c>
      <c r="AB23" s="1">
        <v>160</v>
      </c>
      <c r="AC23" s="1">
        <v>110</v>
      </c>
      <c r="AD23" s="1">
        <v>140</v>
      </c>
      <c r="AE23" s="1">
        <v>160</v>
      </c>
      <c r="AF23" s="1">
        <v>160</v>
      </c>
      <c r="AG23" s="1" t="s">
        <v>75</v>
      </c>
      <c r="AH23" s="15">
        <f>MEDIAN(B23:AF23)</f>
        <v>140</v>
      </c>
      <c r="AI23" s="20">
        <f t="shared" ref="AI23:AI24" si="1">QUARTILE(B23:AF23, 1)</f>
        <v>125</v>
      </c>
      <c r="AJ23" s="15">
        <f t="shared" ref="AJ23:AJ24" si="2">QUARTILE(B23:AF23, 3)</f>
        <v>170</v>
      </c>
      <c r="AK23" s="15">
        <f t="shared" ref="AK23:AK24" si="3">AJ23-AI23</f>
        <v>45</v>
      </c>
      <c r="AM23" s="15" t="s">
        <v>111</v>
      </c>
      <c r="AN23" s="15">
        <v>7</v>
      </c>
      <c r="AO23" s="15">
        <v>7</v>
      </c>
    </row>
    <row r="24" spans="1:41">
      <c r="A24" s="1" t="s">
        <v>76</v>
      </c>
      <c r="B24" s="1">
        <v>100</v>
      </c>
      <c r="C24" s="1">
        <v>80</v>
      </c>
      <c r="D24" s="1">
        <v>80</v>
      </c>
      <c r="E24" s="1">
        <v>60</v>
      </c>
      <c r="F24" s="1">
        <v>70</v>
      </c>
      <c r="G24" s="1">
        <v>140</v>
      </c>
      <c r="H24" s="1">
        <v>120</v>
      </c>
      <c r="I24" s="1">
        <v>90</v>
      </c>
      <c r="J24" s="1">
        <v>100</v>
      </c>
      <c r="K24" s="1">
        <v>80</v>
      </c>
      <c r="L24" s="1">
        <v>100</v>
      </c>
      <c r="M24" s="1">
        <v>70</v>
      </c>
      <c r="N24" s="1">
        <v>80</v>
      </c>
      <c r="O24" s="1">
        <v>60</v>
      </c>
      <c r="P24" s="1">
        <v>70</v>
      </c>
      <c r="Q24" s="1">
        <v>70</v>
      </c>
      <c r="R24" s="1">
        <v>90</v>
      </c>
      <c r="S24" s="1">
        <v>70</v>
      </c>
      <c r="T24" s="1">
        <v>90</v>
      </c>
      <c r="U24" s="1">
        <v>80</v>
      </c>
      <c r="V24" s="1">
        <v>80</v>
      </c>
      <c r="W24" s="1">
        <v>80</v>
      </c>
      <c r="X24" s="1">
        <v>90</v>
      </c>
      <c r="Y24" s="1">
        <v>120</v>
      </c>
      <c r="Z24" s="1">
        <v>70</v>
      </c>
      <c r="AA24" s="1">
        <v>80</v>
      </c>
      <c r="AB24" s="1">
        <v>80</v>
      </c>
      <c r="AC24" s="1">
        <v>70</v>
      </c>
      <c r="AD24" s="1">
        <v>80</v>
      </c>
      <c r="AE24" s="1">
        <v>80</v>
      </c>
      <c r="AF24" s="1">
        <v>80</v>
      </c>
      <c r="AG24" s="1" t="s">
        <v>76</v>
      </c>
      <c r="AH24" s="15">
        <f>MEDIAN(B24:AF24)</f>
        <v>80</v>
      </c>
      <c r="AI24" s="20">
        <f t="shared" si="1"/>
        <v>70</v>
      </c>
      <c r="AJ24" s="15">
        <f t="shared" si="2"/>
        <v>90</v>
      </c>
      <c r="AK24" s="15">
        <f t="shared" si="3"/>
        <v>20</v>
      </c>
      <c r="AM24" s="15" t="s">
        <v>112</v>
      </c>
      <c r="AN24" s="15">
        <v>6</v>
      </c>
      <c r="AO24" s="15">
        <v>7</v>
      </c>
    </row>
    <row r="25" spans="1:41">
      <c r="A25" s="4" t="s">
        <v>77</v>
      </c>
      <c r="B25" s="1" t="s">
        <v>42</v>
      </c>
      <c r="C25" s="1" t="s">
        <v>42</v>
      </c>
      <c r="D25" s="1" t="s">
        <v>41</v>
      </c>
      <c r="E25" s="1" t="s">
        <v>42</v>
      </c>
      <c r="F25" s="1" t="s">
        <v>42</v>
      </c>
      <c r="G25" s="1" t="s">
        <v>41</v>
      </c>
      <c r="H25" s="1" t="s">
        <v>42</v>
      </c>
      <c r="I25" s="1" t="s">
        <v>42</v>
      </c>
      <c r="J25" s="1" t="s">
        <v>41</v>
      </c>
      <c r="K25" s="1" t="s">
        <v>41</v>
      </c>
      <c r="L25" s="1" t="s">
        <v>42</v>
      </c>
      <c r="M25" s="1" t="s">
        <v>42</v>
      </c>
      <c r="N25" s="1" t="s">
        <v>42</v>
      </c>
      <c r="O25" s="1" t="s">
        <v>41</v>
      </c>
      <c r="P25" s="1" t="s">
        <v>42</v>
      </c>
      <c r="Q25" s="1" t="s">
        <v>41</v>
      </c>
      <c r="R25" s="1" t="s">
        <v>42</v>
      </c>
      <c r="S25" s="1" t="s">
        <v>42</v>
      </c>
      <c r="T25" s="1" t="s">
        <v>42</v>
      </c>
      <c r="U25" s="1" t="s">
        <v>42</v>
      </c>
      <c r="V25" s="1" t="s">
        <v>41</v>
      </c>
      <c r="W25" s="1" t="s">
        <v>42</v>
      </c>
      <c r="X25" s="1" t="s">
        <v>42</v>
      </c>
      <c r="Y25" s="1" t="s">
        <v>42</v>
      </c>
      <c r="Z25" s="1" t="s">
        <v>42</v>
      </c>
      <c r="AA25" s="1" t="s">
        <v>41</v>
      </c>
      <c r="AB25" s="1" t="s">
        <v>42</v>
      </c>
      <c r="AC25" s="1" t="s">
        <v>41</v>
      </c>
      <c r="AD25" s="1" t="s">
        <v>42</v>
      </c>
      <c r="AE25" s="1" t="s">
        <v>42</v>
      </c>
      <c r="AF25" s="1" t="s">
        <v>42</v>
      </c>
      <c r="AG25" s="24" t="s">
        <v>77</v>
      </c>
      <c r="AH25" s="25">
        <f>COUNTIF(B25:AF25, "Y")</f>
        <v>9</v>
      </c>
      <c r="AI25" s="26"/>
      <c r="AJ25" s="25"/>
      <c r="AK25" s="25"/>
    </row>
    <row r="26" spans="1:41">
      <c r="A26" s="1" t="s">
        <v>78</v>
      </c>
      <c r="B26" s="1" t="s">
        <v>42</v>
      </c>
      <c r="C26" s="1" t="s">
        <v>42</v>
      </c>
      <c r="D26" s="1" t="s">
        <v>41</v>
      </c>
      <c r="E26" s="1" t="s">
        <v>42</v>
      </c>
      <c r="F26" s="1" t="s">
        <v>42</v>
      </c>
      <c r="G26" s="1" t="s">
        <v>41</v>
      </c>
      <c r="H26" s="1" t="s">
        <v>42</v>
      </c>
      <c r="I26" s="1" t="s">
        <v>42</v>
      </c>
      <c r="J26" s="1" t="s">
        <v>41</v>
      </c>
      <c r="K26" s="1" t="s">
        <v>42</v>
      </c>
      <c r="L26" s="1" t="s">
        <v>42</v>
      </c>
      <c r="M26" s="1" t="s">
        <v>42</v>
      </c>
      <c r="N26" s="1" t="s">
        <v>41</v>
      </c>
      <c r="O26" s="1" t="s">
        <v>42</v>
      </c>
      <c r="P26" s="1" t="s">
        <v>42</v>
      </c>
      <c r="Q26" s="1" t="s">
        <v>42</v>
      </c>
      <c r="R26" s="1" t="s">
        <v>42</v>
      </c>
      <c r="S26" s="1" t="s">
        <v>42</v>
      </c>
      <c r="T26" s="1" t="s">
        <v>42</v>
      </c>
      <c r="U26" s="1" t="s">
        <v>41</v>
      </c>
      <c r="V26" s="1" t="s">
        <v>42</v>
      </c>
      <c r="W26" s="1" t="s">
        <v>42</v>
      </c>
      <c r="X26" s="1" t="s">
        <v>41</v>
      </c>
      <c r="Y26" s="1" t="s">
        <v>42</v>
      </c>
      <c r="Z26" s="1" t="s">
        <v>41</v>
      </c>
      <c r="AA26" s="1" t="s">
        <v>42</v>
      </c>
      <c r="AB26" s="1" t="s">
        <v>42</v>
      </c>
      <c r="AC26" s="1" t="s">
        <v>42</v>
      </c>
      <c r="AD26" s="1" t="s">
        <v>42</v>
      </c>
      <c r="AE26" s="1" t="s">
        <v>42</v>
      </c>
      <c r="AF26" s="1" t="s">
        <v>42</v>
      </c>
      <c r="AG26" s="1" t="s">
        <v>78</v>
      </c>
      <c r="AH26" s="15">
        <f>COUNTIF(B26:AF26, "Y")</f>
        <v>7</v>
      </c>
    </row>
    <row r="27" spans="1:41">
      <c r="A27" s="1" t="s">
        <v>19</v>
      </c>
      <c r="B27" s="1" t="s">
        <v>48</v>
      </c>
      <c r="C27" s="1" t="s">
        <v>48</v>
      </c>
      <c r="D27" s="1" t="s">
        <v>54</v>
      </c>
      <c r="E27" s="1" t="s">
        <v>54</v>
      </c>
      <c r="F27" s="1" t="s">
        <v>48</v>
      </c>
      <c r="G27" s="1" t="s">
        <v>48</v>
      </c>
      <c r="H27" s="1" t="s">
        <v>48</v>
      </c>
      <c r="I27" s="1" t="s">
        <v>54</v>
      </c>
      <c r="J27" s="1" t="s">
        <v>54</v>
      </c>
      <c r="K27" s="1" t="s">
        <v>54</v>
      </c>
      <c r="L27" s="1" t="s">
        <v>54</v>
      </c>
      <c r="M27" s="1" t="s">
        <v>48</v>
      </c>
      <c r="N27" s="1" t="s">
        <v>54</v>
      </c>
      <c r="O27" s="1" t="s">
        <v>54</v>
      </c>
      <c r="P27" s="1" t="s">
        <v>48</v>
      </c>
      <c r="Q27" s="1" t="s">
        <v>48</v>
      </c>
      <c r="R27" s="1" t="s">
        <v>54</v>
      </c>
      <c r="S27" s="1" t="s">
        <v>54</v>
      </c>
      <c r="T27" s="1" t="s">
        <v>54</v>
      </c>
      <c r="U27" s="1" t="s">
        <v>54</v>
      </c>
      <c r="V27" s="1" t="s">
        <v>54</v>
      </c>
      <c r="W27" s="1" t="s">
        <v>54</v>
      </c>
      <c r="X27" s="1" t="s">
        <v>48</v>
      </c>
      <c r="Y27" s="1" t="s">
        <v>54</v>
      </c>
      <c r="Z27" s="1" t="s">
        <v>54</v>
      </c>
      <c r="AA27" s="1" t="s">
        <v>54</v>
      </c>
      <c r="AB27" s="1" t="s">
        <v>54</v>
      </c>
      <c r="AC27" s="1" t="s">
        <v>54</v>
      </c>
      <c r="AD27" s="1" t="s">
        <v>48</v>
      </c>
      <c r="AE27" s="1" t="s">
        <v>48</v>
      </c>
      <c r="AF27" s="1" t="s">
        <v>54</v>
      </c>
      <c r="AG27" s="16" t="s">
        <v>19</v>
      </c>
      <c r="AH27" s="28" t="s">
        <v>54</v>
      </c>
      <c r="AI27" s="28">
        <f>COUNTIF(B27:AF27, "CT")</f>
        <v>20</v>
      </c>
      <c r="AJ27" s="28" t="s">
        <v>48</v>
      </c>
      <c r="AK27" s="28">
        <f>COUNTIF(B27:AF27, "MRI")</f>
        <v>11</v>
      </c>
    </row>
    <row r="28" spans="1:41" s="12" customFormat="1">
      <c r="A28" s="11" t="s">
        <v>20</v>
      </c>
      <c r="B28" s="13" t="s">
        <v>47</v>
      </c>
      <c r="C28" s="13" t="s">
        <v>51</v>
      </c>
      <c r="D28" s="13" t="s">
        <v>47</v>
      </c>
      <c r="E28" s="13" t="s">
        <v>47</v>
      </c>
      <c r="F28" s="13" t="s">
        <v>51</v>
      </c>
      <c r="G28" s="13" t="s">
        <v>51</v>
      </c>
      <c r="H28" s="11" t="s">
        <v>47</v>
      </c>
      <c r="I28" s="11" t="s">
        <v>51</v>
      </c>
      <c r="J28" s="11" t="s">
        <v>51</v>
      </c>
      <c r="K28" s="11" t="s">
        <v>47</v>
      </c>
      <c r="L28" s="11" t="s">
        <v>47</v>
      </c>
      <c r="M28" s="11" t="s">
        <v>47</v>
      </c>
      <c r="N28" s="11" t="s">
        <v>66</v>
      </c>
      <c r="O28" s="11" t="s">
        <v>47</v>
      </c>
      <c r="P28" s="11" t="s">
        <v>47</v>
      </c>
      <c r="Q28" s="11" t="s">
        <v>51</v>
      </c>
      <c r="R28" s="11" t="s">
        <v>47</v>
      </c>
      <c r="S28" s="11" t="s">
        <v>51</v>
      </c>
      <c r="T28" s="11" t="s">
        <v>47</v>
      </c>
      <c r="U28" s="11" t="s">
        <v>47</v>
      </c>
      <c r="V28" s="11" t="s">
        <v>47</v>
      </c>
      <c r="W28" s="11" t="s">
        <v>47</v>
      </c>
      <c r="X28" s="11" t="s">
        <v>47</v>
      </c>
      <c r="Y28" s="11" t="s">
        <v>51</v>
      </c>
      <c r="Z28" s="11" t="s">
        <v>47</v>
      </c>
      <c r="AA28" s="11" t="s">
        <v>51</v>
      </c>
      <c r="AB28" s="11" t="s">
        <v>47</v>
      </c>
      <c r="AC28" s="11" t="s">
        <v>51</v>
      </c>
      <c r="AD28" s="11" t="s">
        <v>47</v>
      </c>
      <c r="AE28" s="11" t="s">
        <v>47</v>
      </c>
      <c r="AF28" s="11" t="s">
        <v>47</v>
      </c>
      <c r="AG28" s="13" t="s">
        <v>20</v>
      </c>
      <c r="AH28" s="13" t="s">
        <v>21</v>
      </c>
      <c r="AI28" s="13">
        <v>11</v>
      </c>
      <c r="AJ28" s="13" t="s">
        <v>22</v>
      </c>
      <c r="AK28" s="13">
        <f>COUNTIF(B28:AF28, "N")</f>
        <v>20</v>
      </c>
    </row>
    <row r="29" spans="1:41" s="9" customFormat="1">
      <c r="A29" s="7" t="s">
        <v>23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26"/>
      <c r="AH29" s="28" t="s">
        <v>95</v>
      </c>
      <c r="AI29" s="28" t="s">
        <v>83</v>
      </c>
      <c r="AJ29" s="25"/>
      <c r="AK29" s="25"/>
      <c r="AL29" s="15"/>
      <c r="AO29" s="15"/>
    </row>
    <row r="30" spans="1:41">
      <c r="A30" s="1" t="s">
        <v>24</v>
      </c>
      <c r="B30" s="1">
        <v>12</v>
      </c>
      <c r="C30" s="1">
        <v>7</v>
      </c>
      <c r="D30" s="1">
        <v>18</v>
      </c>
      <c r="E30" s="1">
        <v>24</v>
      </c>
      <c r="F30" s="1">
        <v>13</v>
      </c>
      <c r="G30" s="1">
        <v>8</v>
      </c>
      <c r="H30" s="1">
        <v>11</v>
      </c>
      <c r="I30" s="1">
        <v>9</v>
      </c>
      <c r="J30" s="1">
        <v>23</v>
      </c>
      <c r="K30" s="1">
        <v>12</v>
      </c>
      <c r="L30" s="1">
        <v>18</v>
      </c>
      <c r="M30" s="1">
        <v>13</v>
      </c>
      <c r="N30" s="1">
        <v>8</v>
      </c>
      <c r="O30" s="1">
        <v>19</v>
      </c>
      <c r="P30" s="1">
        <v>1</v>
      </c>
      <c r="Q30" s="1">
        <v>9</v>
      </c>
      <c r="R30" s="1">
        <v>19</v>
      </c>
      <c r="S30" s="1">
        <v>6</v>
      </c>
      <c r="T30" s="1">
        <v>24</v>
      </c>
      <c r="U30" s="1">
        <v>11</v>
      </c>
      <c r="V30" s="1">
        <v>16</v>
      </c>
      <c r="W30" s="1">
        <v>20</v>
      </c>
      <c r="X30" s="1">
        <v>14</v>
      </c>
      <c r="Y30" s="1">
        <v>22</v>
      </c>
      <c r="Z30" s="1">
        <v>25</v>
      </c>
      <c r="AA30" s="1">
        <v>16</v>
      </c>
      <c r="AB30" s="1">
        <v>12</v>
      </c>
      <c r="AC30" s="1">
        <v>19</v>
      </c>
      <c r="AD30" s="1">
        <v>13</v>
      </c>
      <c r="AE30" s="1">
        <v>19</v>
      </c>
      <c r="AF30" s="1">
        <v>23</v>
      </c>
      <c r="AG30" s="1" t="s">
        <v>24</v>
      </c>
      <c r="AH30" s="15">
        <f>MEDIAN(B30:AF30)</f>
        <v>14</v>
      </c>
      <c r="AI30" s="20">
        <f>QUARTILE(B30:AF30, 1)</f>
        <v>11</v>
      </c>
      <c r="AJ30" s="20">
        <f>QUARTILE(C30:AG30, 3)</f>
        <v>19</v>
      </c>
      <c r="AK30" s="15">
        <f>AJ30-AI30</f>
        <v>8</v>
      </c>
    </row>
    <row r="31" spans="1:41">
      <c r="A31" s="1" t="s">
        <v>25</v>
      </c>
      <c r="B31" s="1">
        <v>12</v>
      </c>
      <c r="C31" s="1">
        <v>7</v>
      </c>
      <c r="D31" s="1">
        <v>26</v>
      </c>
      <c r="E31" s="1">
        <v>19</v>
      </c>
      <c r="F31" s="1">
        <v>15</v>
      </c>
      <c r="G31" s="1">
        <v>23</v>
      </c>
      <c r="H31" s="1">
        <v>9</v>
      </c>
      <c r="I31" s="1">
        <v>9</v>
      </c>
      <c r="J31" s="1">
        <v>18</v>
      </c>
      <c r="K31" s="1">
        <v>13</v>
      </c>
      <c r="L31" s="1">
        <v>20</v>
      </c>
      <c r="M31" s="1">
        <v>13</v>
      </c>
      <c r="N31" s="1">
        <v>7</v>
      </c>
      <c r="O31" s="1">
        <v>24</v>
      </c>
      <c r="P31" s="1">
        <v>1</v>
      </c>
      <c r="Q31" s="1">
        <v>7</v>
      </c>
      <c r="R31" s="1">
        <v>17</v>
      </c>
      <c r="S31" s="1">
        <v>8</v>
      </c>
      <c r="T31" s="1">
        <v>21</v>
      </c>
      <c r="U31" s="1">
        <v>9</v>
      </c>
      <c r="V31" s="1">
        <v>18</v>
      </c>
      <c r="W31" s="1">
        <v>38</v>
      </c>
      <c r="X31" s="1">
        <v>3</v>
      </c>
      <c r="Y31" s="1">
        <v>24</v>
      </c>
      <c r="Z31" s="1">
        <v>17</v>
      </c>
      <c r="AA31" s="1">
        <v>15</v>
      </c>
      <c r="AB31" s="1">
        <v>7</v>
      </c>
      <c r="AC31" s="1">
        <v>22</v>
      </c>
      <c r="AD31" s="1">
        <v>8</v>
      </c>
      <c r="AE31" s="1">
        <v>11</v>
      </c>
      <c r="AF31" s="1">
        <v>23</v>
      </c>
      <c r="AG31" s="1" t="s">
        <v>25</v>
      </c>
      <c r="AH31" s="15">
        <f t="shared" ref="AH31:AH32" si="4">MEDIAN(B31:AF31)</f>
        <v>15</v>
      </c>
      <c r="AI31" s="20">
        <f t="shared" ref="AI31:AI32" si="5">QUARTILE(B31:AF31, 1)</f>
        <v>8.5</v>
      </c>
      <c r="AJ31" s="20">
        <f t="shared" ref="AJ31:AJ32" si="6">QUARTILE(C31:AG31, 3)</f>
        <v>20.75</v>
      </c>
      <c r="AK31" s="15">
        <f t="shared" ref="AK31:AK32" si="7">AJ31-AI31</f>
        <v>12.25</v>
      </c>
    </row>
    <row r="32" spans="1:41">
      <c r="A32" s="1" t="s">
        <v>16</v>
      </c>
      <c r="B32" s="1">
        <v>11</v>
      </c>
      <c r="C32" s="1">
        <v>0</v>
      </c>
      <c r="D32" s="29" t="s">
        <v>55</v>
      </c>
      <c r="E32" s="29" t="s">
        <v>55</v>
      </c>
      <c r="F32" s="1">
        <v>18</v>
      </c>
      <c r="G32" s="29" t="s">
        <v>55</v>
      </c>
      <c r="H32" s="1">
        <v>0</v>
      </c>
      <c r="I32" s="1">
        <v>8</v>
      </c>
      <c r="J32" s="1">
        <v>10</v>
      </c>
      <c r="K32" s="29" t="s">
        <v>55</v>
      </c>
      <c r="L32" s="1">
        <v>8</v>
      </c>
      <c r="M32" s="1">
        <v>10</v>
      </c>
      <c r="N32" s="1">
        <v>3</v>
      </c>
      <c r="O32" s="1">
        <v>9</v>
      </c>
      <c r="P32" s="1">
        <v>1</v>
      </c>
      <c r="Q32" s="1">
        <v>1</v>
      </c>
      <c r="R32" s="1">
        <v>13</v>
      </c>
      <c r="S32" s="1">
        <v>1</v>
      </c>
      <c r="T32" s="1">
        <v>17</v>
      </c>
      <c r="U32" s="1">
        <v>1</v>
      </c>
      <c r="V32" s="1">
        <v>16</v>
      </c>
      <c r="W32" s="29" t="s">
        <v>55</v>
      </c>
      <c r="X32" s="1">
        <v>3</v>
      </c>
      <c r="Y32" s="29" t="s">
        <v>55</v>
      </c>
      <c r="Z32" s="29" t="s">
        <v>55</v>
      </c>
      <c r="AA32" s="1">
        <v>7</v>
      </c>
      <c r="AB32" s="1">
        <v>6</v>
      </c>
      <c r="AC32" s="1">
        <v>14</v>
      </c>
      <c r="AD32" s="1">
        <v>3</v>
      </c>
      <c r="AE32" s="29" t="s">
        <v>55</v>
      </c>
      <c r="AF32" s="29" t="s">
        <v>55</v>
      </c>
      <c r="AG32" s="1" t="s">
        <v>16</v>
      </c>
      <c r="AH32" s="15">
        <f t="shared" si="4"/>
        <v>7.5</v>
      </c>
      <c r="AI32" s="20">
        <f t="shared" si="5"/>
        <v>1.5</v>
      </c>
      <c r="AJ32" s="20">
        <f t="shared" si="6"/>
        <v>10</v>
      </c>
      <c r="AK32" s="15">
        <f t="shared" si="7"/>
        <v>8.5</v>
      </c>
    </row>
    <row r="33" spans="1:47">
      <c r="A33" s="2" t="s">
        <v>26</v>
      </c>
      <c r="B33" s="1" t="s">
        <v>49</v>
      </c>
      <c r="C33" s="1" t="s">
        <v>52</v>
      </c>
      <c r="D33" s="1" t="s">
        <v>56</v>
      </c>
      <c r="E33" s="1" t="s">
        <v>57</v>
      </c>
      <c r="F33" s="1" t="s">
        <v>57</v>
      </c>
      <c r="G33" s="1" t="s">
        <v>60</v>
      </c>
      <c r="H33" s="1" t="s">
        <v>52</v>
      </c>
      <c r="I33" s="1" t="s">
        <v>52</v>
      </c>
      <c r="J33" s="1" t="s">
        <v>52</v>
      </c>
      <c r="K33" s="1" t="s">
        <v>60</v>
      </c>
      <c r="L33" s="1" t="s">
        <v>90</v>
      </c>
      <c r="M33" s="1" t="s">
        <v>52</v>
      </c>
      <c r="N33" s="1" t="s">
        <v>91</v>
      </c>
      <c r="O33" s="1" t="s">
        <v>67</v>
      </c>
      <c r="P33" s="1" t="s">
        <v>57</v>
      </c>
      <c r="Q33" s="1" t="s">
        <v>60</v>
      </c>
      <c r="R33" s="1" t="s">
        <v>67</v>
      </c>
      <c r="S33" s="1" t="s">
        <v>49</v>
      </c>
      <c r="T33" s="1" t="s">
        <v>67</v>
      </c>
      <c r="U33" s="1" t="s">
        <v>52</v>
      </c>
      <c r="V33" s="1" t="s">
        <v>57</v>
      </c>
      <c r="W33" s="1" t="s">
        <v>71</v>
      </c>
      <c r="X33" s="1" t="s">
        <v>60</v>
      </c>
      <c r="Y33" s="1" t="s">
        <v>67</v>
      </c>
      <c r="Z33" s="1" t="s">
        <v>67</v>
      </c>
      <c r="AA33" s="1" t="s">
        <v>57</v>
      </c>
      <c r="AB33" s="1" t="s">
        <v>60</v>
      </c>
      <c r="AC33" s="1" t="s">
        <v>57</v>
      </c>
      <c r="AD33" s="1" t="s">
        <v>52</v>
      </c>
      <c r="AE33" s="1" t="s">
        <v>56</v>
      </c>
      <c r="AF33" s="1" t="s">
        <v>67</v>
      </c>
      <c r="AG33" s="35" t="s">
        <v>26</v>
      </c>
      <c r="AH33" s="46" t="s">
        <v>85</v>
      </c>
      <c r="AI33" s="36">
        <v>13</v>
      </c>
      <c r="AJ33" s="46" t="s">
        <v>84</v>
      </c>
      <c r="AK33" s="36">
        <v>4</v>
      </c>
      <c r="AL33" s="45" t="s">
        <v>92</v>
      </c>
      <c r="AM33" s="36">
        <v>1</v>
      </c>
      <c r="AN33" s="44" t="s">
        <v>93</v>
      </c>
      <c r="AO33" s="36">
        <v>0</v>
      </c>
      <c r="AP33" s="43" t="s">
        <v>86</v>
      </c>
      <c r="AQ33" s="38">
        <v>11</v>
      </c>
      <c r="AR33" s="43" t="s">
        <v>87</v>
      </c>
      <c r="AS33" s="38">
        <v>1</v>
      </c>
      <c r="AT33" s="43" t="s">
        <v>71</v>
      </c>
      <c r="AU33" s="38">
        <v>1</v>
      </c>
    </row>
    <row r="34" spans="1:47">
      <c r="A34" s="2" t="s">
        <v>27</v>
      </c>
      <c r="B34" s="1">
        <v>14</v>
      </c>
      <c r="C34" s="1">
        <v>6</v>
      </c>
      <c r="D34" s="1">
        <v>6</v>
      </c>
      <c r="E34" s="1">
        <v>9</v>
      </c>
      <c r="F34" s="1">
        <v>5</v>
      </c>
      <c r="G34" s="1">
        <v>7</v>
      </c>
      <c r="H34" s="1">
        <v>5</v>
      </c>
      <c r="I34" s="1">
        <v>8</v>
      </c>
      <c r="J34" s="1">
        <v>7</v>
      </c>
      <c r="K34" s="1">
        <v>6</v>
      </c>
      <c r="L34" s="29" t="s">
        <v>55</v>
      </c>
      <c r="M34" s="1">
        <v>5</v>
      </c>
      <c r="N34" s="29" t="s">
        <v>55</v>
      </c>
      <c r="O34" s="1">
        <v>5</v>
      </c>
      <c r="P34" s="1">
        <v>10</v>
      </c>
      <c r="Q34" s="1">
        <v>9</v>
      </c>
      <c r="R34" s="1">
        <v>6</v>
      </c>
      <c r="S34" s="1">
        <v>6</v>
      </c>
      <c r="T34" s="1">
        <v>5</v>
      </c>
      <c r="U34" s="1">
        <v>9</v>
      </c>
      <c r="V34" s="1">
        <v>5</v>
      </c>
      <c r="W34" s="29" t="s">
        <v>55</v>
      </c>
      <c r="X34" s="1">
        <v>9</v>
      </c>
      <c r="Y34" s="1">
        <v>4</v>
      </c>
      <c r="Z34" s="1">
        <v>7</v>
      </c>
      <c r="AA34" s="1">
        <v>6</v>
      </c>
      <c r="AB34" s="1">
        <v>4</v>
      </c>
      <c r="AC34" s="1">
        <v>5</v>
      </c>
      <c r="AD34" s="29" t="s">
        <v>55</v>
      </c>
      <c r="AE34" s="29" t="s">
        <v>55</v>
      </c>
      <c r="AF34" s="1">
        <v>6</v>
      </c>
      <c r="AG34" s="35" t="s">
        <v>27</v>
      </c>
      <c r="AH34" s="25">
        <f>MEDIAN(B34:AF34)</f>
        <v>6</v>
      </c>
      <c r="AI34" s="26">
        <f>QUARTILE(B34:AF34, 1)</f>
        <v>5</v>
      </c>
      <c r="AJ34" s="26">
        <f>QUARTILE(C34:AG34, 3)</f>
        <v>7</v>
      </c>
      <c r="AK34" s="25">
        <f>AJ34-AI34</f>
        <v>2</v>
      </c>
    </row>
    <row r="35" spans="1:47">
      <c r="A35" s="2" t="s">
        <v>28</v>
      </c>
      <c r="B35" s="1">
        <v>14</v>
      </c>
      <c r="C35" s="1">
        <v>6</v>
      </c>
      <c r="D35" s="1">
        <v>7</v>
      </c>
      <c r="E35" s="1">
        <v>10</v>
      </c>
      <c r="F35" s="1">
        <v>8</v>
      </c>
      <c r="G35" s="1">
        <v>7</v>
      </c>
      <c r="H35" s="1">
        <v>7</v>
      </c>
      <c r="I35" s="1">
        <v>9</v>
      </c>
      <c r="J35" s="1">
        <v>9</v>
      </c>
      <c r="K35" s="1">
        <v>7</v>
      </c>
      <c r="L35" s="29" t="s">
        <v>55</v>
      </c>
      <c r="M35" s="1">
        <v>6</v>
      </c>
      <c r="N35" s="29" t="s">
        <v>55</v>
      </c>
      <c r="O35" s="1">
        <v>6</v>
      </c>
      <c r="P35" s="1">
        <v>10</v>
      </c>
      <c r="Q35" s="1">
        <v>9</v>
      </c>
      <c r="R35" s="1">
        <v>8</v>
      </c>
      <c r="S35" s="1">
        <v>7</v>
      </c>
      <c r="T35" s="1">
        <v>7</v>
      </c>
      <c r="U35" s="1">
        <v>10</v>
      </c>
      <c r="V35" s="1">
        <v>7</v>
      </c>
      <c r="W35" s="29" t="s">
        <v>55</v>
      </c>
      <c r="X35" s="1">
        <v>9</v>
      </c>
      <c r="Y35" s="1">
        <v>5</v>
      </c>
      <c r="Z35" s="1">
        <v>8</v>
      </c>
      <c r="AA35" s="1">
        <v>9</v>
      </c>
      <c r="AB35" s="1">
        <v>5</v>
      </c>
      <c r="AC35" s="1">
        <v>6</v>
      </c>
      <c r="AD35" s="29" t="s">
        <v>55</v>
      </c>
      <c r="AE35" s="29" t="s">
        <v>55</v>
      </c>
      <c r="AF35" s="1">
        <v>6</v>
      </c>
      <c r="AG35" s="32" t="s">
        <v>28</v>
      </c>
      <c r="AH35" s="39">
        <f>MEDIAN(B35:AF35)</f>
        <v>7</v>
      </c>
      <c r="AI35" s="40">
        <f>QUARTILE(B35:AF35, 1)</f>
        <v>6.25</v>
      </c>
      <c r="AJ35" s="40">
        <f>QUARTILE(C35:AG35, 3)</f>
        <v>9</v>
      </c>
      <c r="AK35" s="41">
        <f>AJ35-AI35</f>
        <v>2.75</v>
      </c>
    </row>
    <row r="36" spans="1:47" s="9" customFormat="1">
      <c r="A36" s="7" t="s">
        <v>29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26"/>
      <c r="AH36" s="28" t="s">
        <v>41</v>
      </c>
      <c r="AI36" s="28" t="s">
        <v>47</v>
      </c>
      <c r="AJ36" s="28" t="s">
        <v>94</v>
      </c>
      <c r="AK36" s="39"/>
      <c r="AL36" s="15"/>
      <c r="AM36" s="15"/>
      <c r="AN36" s="15"/>
      <c r="AO36" s="15"/>
    </row>
    <row r="37" spans="1:47">
      <c r="A37" s="3" t="s">
        <v>97</v>
      </c>
      <c r="B37" s="32" t="s">
        <v>42</v>
      </c>
      <c r="C37" s="1" t="s">
        <v>41</v>
      </c>
      <c r="D37" s="1" t="s">
        <v>41</v>
      </c>
      <c r="E37" s="1" t="s">
        <v>41</v>
      </c>
      <c r="F37" s="1" t="s">
        <v>41</v>
      </c>
      <c r="G37" s="32" t="s">
        <v>42</v>
      </c>
      <c r="H37" s="1" t="s">
        <v>42</v>
      </c>
      <c r="I37" s="1" t="s">
        <v>41</v>
      </c>
      <c r="J37" s="1" t="s">
        <v>41</v>
      </c>
      <c r="K37" s="32" t="s">
        <v>42</v>
      </c>
      <c r="L37" s="1" t="s">
        <v>42</v>
      </c>
      <c r="M37" s="1" t="s">
        <v>41</v>
      </c>
      <c r="N37" s="1" t="s">
        <v>42</v>
      </c>
      <c r="O37" s="1" t="s">
        <v>42</v>
      </c>
      <c r="P37" s="1" t="s">
        <v>41</v>
      </c>
      <c r="Q37" s="1" t="s">
        <v>41</v>
      </c>
      <c r="R37" s="1" t="s">
        <v>41</v>
      </c>
      <c r="S37" s="1" t="s">
        <v>41</v>
      </c>
      <c r="T37" s="32" t="s">
        <v>42</v>
      </c>
      <c r="U37" s="1" t="s">
        <v>41</v>
      </c>
      <c r="V37" s="1" t="s">
        <v>41</v>
      </c>
      <c r="W37" s="1" t="s">
        <v>42</v>
      </c>
      <c r="X37" s="1" t="s">
        <v>41</v>
      </c>
      <c r="Y37" s="1" t="s">
        <v>41</v>
      </c>
      <c r="Z37" s="1" t="s">
        <v>41</v>
      </c>
      <c r="AA37" s="1" t="s">
        <v>42</v>
      </c>
      <c r="AB37" s="32" t="s">
        <v>42</v>
      </c>
      <c r="AC37" s="1" t="s">
        <v>41</v>
      </c>
      <c r="AD37" s="1" t="s">
        <v>41</v>
      </c>
      <c r="AE37" s="1" t="s">
        <v>42</v>
      </c>
      <c r="AF37" s="1" t="s">
        <v>41</v>
      </c>
      <c r="AG37" s="3" t="s">
        <v>97</v>
      </c>
      <c r="AH37" s="15">
        <f>COUNTIF(B37:AF37, "Y")</f>
        <v>19</v>
      </c>
      <c r="AI37" s="15">
        <f>COUNTIF(B37:AG37, "/")</f>
        <v>12</v>
      </c>
      <c r="AJ37" s="15">
        <f>SUM(AH37+AI37)</f>
        <v>31</v>
      </c>
    </row>
    <row r="38" spans="1:47">
      <c r="A38" s="3" t="s">
        <v>98</v>
      </c>
      <c r="B38" s="32" t="s">
        <v>42</v>
      </c>
      <c r="C38" s="1" t="s">
        <v>42</v>
      </c>
      <c r="D38" s="1" t="s">
        <v>42</v>
      </c>
      <c r="E38" s="1" t="s">
        <v>42</v>
      </c>
      <c r="F38" s="1" t="s">
        <v>42</v>
      </c>
      <c r="G38" s="32" t="s">
        <v>42</v>
      </c>
      <c r="H38" s="1" t="s">
        <v>41</v>
      </c>
      <c r="I38" s="1" t="s">
        <v>42</v>
      </c>
      <c r="J38" s="1" t="s">
        <v>42</v>
      </c>
      <c r="K38" s="32" t="s">
        <v>42</v>
      </c>
      <c r="L38" s="1" t="s">
        <v>42</v>
      </c>
      <c r="M38" s="1" t="s">
        <v>42</v>
      </c>
      <c r="N38" s="1" t="s">
        <v>42</v>
      </c>
      <c r="O38" s="1" t="s">
        <v>41</v>
      </c>
      <c r="P38" s="1" t="s">
        <v>42</v>
      </c>
      <c r="Q38" s="1" t="s">
        <v>42</v>
      </c>
      <c r="R38" s="1" t="s">
        <v>42</v>
      </c>
      <c r="S38" s="1" t="s">
        <v>42</v>
      </c>
      <c r="T38" s="32" t="s">
        <v>42</v>
      </c>
      <c r="U38" s="1" t="s">
        <v>42</v>
      </c>
      <c r="V38" s="1" t="s">
        <v>42</v>
      </c>
      <c r="W38" s="1" t="s">
        <v>42</v>
      </c>
      <c r="X38" s="1" t="s">
        <v>42</v>
      </c>
      <c r="Y38" s="1" t="s">
        <v>42</v>
      </c>
      <c r="Z38" s="1" t="s">
        <v>42</v>
      </c>
      <c r="AA38" s="1" t="s">
        <v>41</v>
      </c>
      <c r="AB38" s="32" t="s">
        <v>42</v>
      </c>
      <c r="AC38" s="1" t="s">
        <v>42</v>
      </c>
      <c r="AD38" s="1" t="s">
        <v>42</v>
      </c>
      <c r="AE38" s="1" t="s">
        <v>42</v>
      </c>
      <c r="AF38" s="1" t="s">
        <v>42</v>
      </c>
      <c r="AG38" s="3" t="s">
        <v>98</v>
      </c>
      <c r="AH38" s="15">
        <f t="shared" ref="AH38:AI42" si="8">COUNTIF(B38:AF38, "Y")</f>
        <v>3</v>
      </c>
      <c r="AI38" s="15">
        <f>COUNTIF(B38:AG38, "/")</f>
        <v>28</v>
      </c>
      <c r="AJ38" s="15">
        <f t="shared" ref="AJ38:AJ42" si="9">SUM(AH38+AI38)</f>
        <v>31</v>
      </c>
    </row>
    <row r="39" spans="1:47">
      <c r="A39" s="3" t="s">
        <v>96</v>
      </c>
      <c r="B39" s="32" t="s">
        <v>41</v>
      </c>
      <c r="C39" s="1" t="s">
        <v>42</v>
      </c>
      <c r="D39" s="1" t="s">
        <v>42</v>
      </c>
      <c r="E39" s="1" t="s">
        <v>42</v>
      </c>
      <c r="F39" s="1" t="s">
        <v>42</v>
      </c>
      <c r="G39" s="32" t="s">
        <v>41</v>
      </c>
      <c r="H39" s="1" t="s">
        <v>42</v>
      </c>
      <c r="I39" s="1" t="s">
        <v>42</v>
      </c>
      <c r="J39" s="1" t="s">
        <v>42</v>
      </c>
      <c r="K39" s="32" t="s">
        <v>41</v>
      </c>
      <c r="L39" s="1" t="s">
        <v>42</v>
      </c>
      <c r="M39" s="1" t="s">
        <v>42</v>
      </c>
      <c r="N39" s="1" t="s">
        <v>42</v>
      </c>
      <c r="O39" s="1" t="s">
        <v>42</v>
      </c>
      <c r="P39" s="1" t="s">
        <v>42</v>
      </c>
      <c r="Q39" s="1" t="s">
        <v>42</v>
      </c>
      <c r="R39" s="1" t="s">
        <v>42</v>
      </c>
      <c r="S39" s="1" t="s">
        <v>42</v>
      </c>
      <c r="T39" s="32" t="s">
        <v>41</v>
      </c>
      <c r="U39" s="1" t="s">
        <v>42</v>
      </c>
      <c r="V39" s="1" t="s">
        <v>42</v>
      </c>
      <c r="W39" s="1" t="s">
        <v>42</v>
      </c>
      <c r="X39" s="1" t="s">
        <v>42</v>
      </c>
      <c r="Y39" s="1" t="s">
        <v>42</v>
      </c>
      <c r="Z39" s="1" t="s">
        <v>42</v>
      </c>
      <c r="AA39" s="1" t="s">
        <v>42</v>
      </c>
      <c r="AB39" s="32" t="s">
        <v>41</v>
      </c>
      <c r="AC39" s="1" t="s">
        <v>42</v>
      </c>
      <c r="AD39" s="1" t="s">
        <v>42</v>
      </c>
      <c r="AE39" s="1" t="s">
        <v>42</v>
      </c>
      <c r="AF39" s="1" t="s">
        <v>42</v>
      </c>
      <c r="AG39" s="3" t="s">
        <v>96</v>
      </c>
      <c r="AH39" s="15">
        <f t="shared" si="8"/>
        <v>5</v>
      </c>
      <c r="AI39" s="15">
        <f>COUNTIF(B39:AG39, "/")</f>
        <v>26</v>
      </c>
      <c r="AJ39" s="15">
        <f t="shared" si="9"/>
        <v>31</v>
      </c>
    </row>
    <row r="40" spans="1:47">
      <c r="A40" s="3" t="s">
        <v>30</v>
      </c>
      <c r="B40" s="1" t="s">
        <v>42</v>
      </c>
      <c r="C40" s="1" t="s">
        <v>42</v>
      </c>
      <c r="D40" s="1" t="s">
        <v>42</v>
      </c>
      <c r="E40" s="1" t="s">
        <v>42</v>
      </c>
      <c r="F40" s="1" t="s">
        <v>42</v>
      </c>
      <c r="G40" s="1" t="s">
        <v>42</v>
      </c>
      <c r="H40" s="1" t="s">
        <v>42</v>
      </c>
      <c r="I40" s="1" t="s">
        <v>42</v>
      </c>
      <c r="J40" s="1" t="s">
        <v>42</v>
      </c>
      <c r="K40" s="1" t="s">
        <v>42</v>
      </c>
      <c r="L40" s="1" t="s">
        <v>42</v>
      </c>
      <c r="M40" s="1" t="s">
        <v>42</v>
      </c>
      <c r="N40" s="1" t="s">
        <v>42</v>
      </c>
      <c r="O40" s="1" t="s">
        <v>42</v>
      </c>
      <c r="P40" s="1" t="s">
        <v>42</v>
      </c>
      <c r="Q40" s="1" t="s">
        <v>42</v>
      </c>
      <c r="R40" s="1" t="s">
        <v>42</v>
      </c>
      <c r="S40" s="1" t="s">
        <v>42</v>
      </c>
      <c r="T40" s="1" t="s">
        <v>42</v>
      </c>
      <c r="U40" s="1" t="s">
        <v>42</v>
      </c>
      <c r="V40" s="1" t="s">
        <v>42</v>
      </c>
      <c r="W40" s="1" t="s">
        <v>42</v>
      </c>
      <c r="X40" s="1" t="s">
        <v>42</v>
      </c>
      <c r="Y40" s="1" t="s">
        <v>42</v>
      </c>
      <c r="Z40" s="1" t="s">
        <v>42</v>
      </c>
      <c r="AA40" s="1" t="s">
        <v>42</v>
      </c>
      <c r="AB40" s="1" t="s">
        <v>42</v>
      </c>
      <c r="AC40" s="1" t="s">
        <v>42</v>
      </c>
      <c r="AD40" s="1" t="s">
        <v>42</v>
      </c>
      <c r="AE40" s="1" t="s">
        <v>42</v>
      </c>
      <c r="AF40" s="1" t="s">
        <v>42</v>
      </c>
      <c r="AG40" s="3" t="s">
        <v>30</v>
      </c>
      <c r="AH40" s="15">
        <f t="shared" si="8"/>
        <v>0</v>
      </c>
      <c r="AI40" s="15">
        <f t="shared" si="8"/>
        <v>0</v>
      </c>
      <c r="AJ40" s="15">
        <f t="shared" si="9"/>
        <v>0</v>
      </c>
    </row>
    <row r="41" spans="1:47">
      <c r="A41" s="3" t="s">
        <v>31</v>
      </c>
      <c r="B41" s="1" t="s">
        <v>42</v>
      </c>
      <c r="C41" s="1" t="s">
        <v>42</v>
      </c>
      <c r="D41" s="1" t="s">
        <v>42</v>
      </c>
      <c r="E41" s="1" t="s">
        <v>42</v>
      </c>
      <c r="F41" s="1" t="s">
        <v>42</v>
      </c>
      <c r="G41" s="1" t="s">
        <v>42</v>
      </c>
      <c r="H41" s="1" t="s">
        <v>42</v>
      </c>
      <c r="I41" s="1" t="s">
        <v>42</v>
      </c>
      <c r="J41" s="1" t="s">
        <v>42</v>
      </c>
      <c r="K41" s="1" t="s">
        <v>42</v>
      </c>
      <c r="L41" s="1" t="s">
        <v>41</v>
      </c>
      <c r="M41" s="1" t="s">
        <v>42</v>
      </c>
      <c r="N41" s="1" t="s">
        <v>41</v>
      </c>
      <c r="O41" s="1" t="s">
        <v>42</v>
      </c>
      <c r="P41" s="1" t="s">
        <v>42</v>
      </c>
      <c r="Q41" s="1" t="s">
        <v>42</v>
      </c>
      <c r="R41" s="1" t="s">
        <v>42</v>
      </c>
      <c r="S41" s="1" t="s">
        <v>42</v>
      </c>
      <c r="T41" s="1" t="s">
        <v>42</v>
      </c>
      <c r="U41" s="1" t="s">
        <v>42</v>
      </c>
      <c r="V41" s="1" t="s">
        <v>42</v>
      </c>
      <c r="W41" s="1" t="s">
        <v>42</v>
      </c>
      <c r="X41" s="1" t="s">
        <v>42</v>
      </c>
      <c r="Y41" s="1" t="s">
        <v>42</v>
      </c>
      <c r="Z41" s="1" t="s">
        <v>42</v>
      </c>
      <c r="AA41" s="1" t="s">
        <v>42</v>
      </c>
      <c r="AB41" s="1" t="s">
        <v>42</v>
      </c>
      <c r="AC41" s="1" t="s">
        <v>42</v>
      </c>
      <c r="AD41" s="1" t="s">
        <v>42</v>
      </c>
      <c r="AE41" s="1" t="s">
        <v>42</v>
      </c>
      <c r="AF41" s="1" t="s">
        <v>42</v>
      </c>
      <c r="AG41" s="3" t="s">
        <v>31</v>
      </c>
      <c r="AH41" s="15">
        <f t="shared" si="8"/>
        <v>2</v>
      </c>
      <c r="AI41" s="15">
        <f>COUNTIF(B41:AG41, "/")</f>
        <v>29</v>
      </c>
      <c r="AJ41" s="15">
        <f t="shared" si="9"/>
        <v>31</v>
      </c>
    </row>
    <row r="42" spans="1:47">
      <c r="A42" s="3" t="s">
        <v>99</v>
      </c>
      <c r="B42" s="1" t="s">
        <v>42</v>
      </c>
      <c r="C42" s="1" t="s">
        <v>42</v>
      </c>
      <c r="D42" s="1" t="s">
        <v>42</v>
      </c>
      <c r="E42" s="1" t="s">
        <v>42</v>
      </c>
      <c r="F42" s="1" t="s">
        <v>42</v>
      </c>
      <c r="G42" s="1" t="s">
        <v>42</v>
      </c>
      <c r="H42" s="1" t="s">
        <v>42</v>
      </c>
      <c r="I42" s="1" t="s">
        <v>42</v>
      </c>
      <c r="J42" s="1" t="s">
        <v>42</v>
      </c>
      <c r="K42" s="1" t="s">
        <v>42</v>
      </c>
      <c r="L42" s="1" t="s">
        <v>42</v>
      </c>
      <c r="M42" s="1" t="s">
        <v>42</v>
      </c>
      <c r="N42" s="1" t="s">
        <v>42</v>
      </c>
      <c r="O42" s="1" t="s">
        <v>42</v>
      </c>
      <c r="P42" s="1" t="s">
        <v>42</v>
      </c>
      <c r="Q42" s="1" t="s">
        <v>42</v>
      </c>
      <c r="R42" s="1" t="s">
        <v>42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41</v>
      </c>
      <c r="X42" s="1" t="s">
        <v>42</v>
      </c>
      <c r="Y42" s="1" t="s">
        <v>42</v>
      </c>
      <c r="Z42" s="1" t="s">
        <v>42</v>
      </c>
      <c r="AA42" s="1" t="s">
        <v>42</v>
      </c>
      <c r="AB42" s="1" t="s">
        <v>42</v>
      </c>
      <c r="AC42" s="1" t="s">
        <v>42</v>
      </c>
      <c r="AD42" s="1" t="s">
        <v>42</v>
      </c>
      <c r="AE42" s="1" t="s">
        <v>41</v>
      </c>
      <c r="AF42" s="1" t="s">
        <v>42</v>
      </c>
      <c r="AG42" s="42" t="s">
        <v>99</v>
      </c>
      <c r="AH42" s="12">
        <f t="shared" si="8"/>
        <v>2</v>
      </c>
      <c r="AI42" s="15">
        <f>COUNTIF(B42:AG42, "/")</f>
        <v>29</v>
      </c>
      <c r="AJ42" s="15">
        <f t="shared" si="9"/>
        <v>31</v>
      </c>
      <c r="AL42" s="19" t="s">
        <v>100</v>
      </c>
      <c r="AM42" s="12">
        <f>SUM(AH37:AH41)</f>
        <v>29</v>
      </c>
    </row>
    <row r="43" spans="1:47">
      <c r="A43" s="2" t="s">
        <v>101</v>
      </c>
      <c r="B43" s="1">
        <v>3</v>
      </c>
      <c r="C43" s="1">
        <v>3</v>
      </c>
      <c r="D43" s="1">
        <v>3</v>
      </c>
      <c r="E43" s="1">
        <v>3</v>
      </c>
      <c r="F43" s="1" t="s">
        <v>59</v>
      </c>
      <c r="G43" s="33" t="s">
        <v>61</v>
      </c>
      <c r="H43" s="1">
        <v>3</v>
      </c>
      <c r="I43" s="1">
        <v>3</v>
      </c>
      <c r="J43" s="1">
        <v>3</v>
      </c>
      <c r="K43" s="1">
        <v>3</v>
      </c>
      <c r="L43" s="33" t="s">
        <v>31</v>
      </c>
      <c r="M43" s="1" t="s">
        <v>65</v>
      </c>
      <c r="N43" s="33" t="s">
        <v>31</v>
      </c>
      <c r="O43" s="1">
        <v>3</v>
      </c>
      <c r="P43" s="1">
        <v>3</v>
      </c>
      <c r="Q43" s="1">
        <v>3</v>
      </c>
      <c r="R43" s="1">
        <v>3</v>
      </c>
      <c r="S43" s="1">
        <v>3</v>
      </c>
      <c r="T43" s="1" t="s">
        <v>65</v>
      </c>
      <c r="U43" s="1">
        <v>3</v>
      </c>
      <c r="V43" s="1">
        <v>3</v>
      </c>
      <c r="W43" s="33" t="s">
        <v>61</v>
      </c>
      <c r="X43" s="1">
        <v>3</v>
      </c>
      <c r="Y43" s="1">
        <v>3</v>
      </c>
      <c r="Z43" s="1" t="s">
        <v>65</v>
      </c>
      <c r="AA43" s="1">
        <v>3</v>
      </c>
      <c r="AB43" s="1">
        <v>3</v>
      </c>
      <c r="AC43" s="1" t="s">
        <v>65</v>
      </c>
      <c r="AD43" s="1">
        <v>3</v>
      </c>
      <c r="AE43" s="33" t="s">
        <v>61</v>
      </c>
      <c r="AF43" s="1" t="s">
        <v>59</v>
      </c>
      <c r="AG43" s="26" t="s">
        <v>101</v>
      </c>
      <c r="AH43" s="47">
        <v>1</v>
      </c>
      <c r="AI43" s="36">
        <v>0</v>
      </c>
      <c r="AJ43" s="44" t="s">
        <v>102</v>
      </c>
      <c r="AK43" s="36">
        <v>2</v>
      </c>
      <c r="AL43" s="44" t="s">
        <v>103</v>
      </c>
      <c r="AM43" s="36">
        <v>4</v>
      </c>
      <c r="AN43" s="47">
        <v>3</v>
      </c>
      <c r="AO43" s="36">
        <v>20</v>
      </c>
      <c r="AP43" s="43" t="s">
        <v>61</v>
      </c>
      <c r="AQ43" s="36">
        <v>3</v>
      </c>
      <c r="AR43" s="43" t="s">
        <v>31</v>
      </c>
      <c r="AS43" s="36">
        <v>2</v>
      </c>
    </row>
    <row r="44" spans="1:47">
      <c r="A44" s="2"/>
      <c r="G44" s="33"/>
      <c r="L44" s="33"/>
      <c r="N44" s="33"/>
      <c r="W44" s="33"/>
      <c r="AE44" s="33"/>
      <c r="AG44" s="26"/>
      <c r="AH44" s="28" t="s">
        <v>41</v>
      </c>
      <c r="AI44" s="28" t="s">
        <v>47</v>
      </c>
      <c r="AJ44" s="28" t="s">
        <v>94</v>
      </c>
      <c r="AK44" s="48"/>
      <c r="AL44" s="40"/>
      <c r="AM44" s="48"/>
      <c r="AN44" s="39"/>
      <c r="AO44" s="48"/>
      <c r="AP44" s="49"/>
      <c r="AQ44" s="48"/>
      <c r="AR44" s="49"/>
      <c r="AS44" s="48"/>
    </row>
    <row r="45" spans="1:47">
      <c r="A45" s="2" t="s">
        <v>32</v>
      </c>
      <c r="B45" s="1" t="s">
        <v>42</v>
      </c>
      <c r="C45" s="1" t="s">
        <v>42</v>
      </c>
      <c r="D45" s="1" t="s">
        <v>41</v>
      </c>
      <c r="E45" s="1" t="s">
        <v>41</v>
      </c>
      <c r="F45" s="1" t="s">
        <v>42</v>
      </c>
      <c r="G45" s="1" t="s">
        <v>42</v>
      </c>
      <c r="H45" s="1" t="s">
        <v>41</v>
      </c>
      <c r="I45" s="1" t="s">
        <v>41</v>
      </c>
      <c r="J45" s="1" t="s">
        <v>42</v>
      </c>
      <c r="K45" s="1" t="s">
        <v>41</v>
      </c>
      <c r="L45" s="1" t="s">
        <v>42</v>
      </c>
      <c r="M45" s="1" t="s">
        <v>41</v>
      </c>
      <c r="N45" s="1" t="s">
        <v>42</v>
      </c>
      <c r="O45" s="1" t="s">
        <v>42</v>
      </c>
      <c r="P45" s="1" t="s">
        <v>41</v>
      </c>
      <c r="Q45" s="1" t="s">
        <v>41</v>
      </c>
      <c r="R45" s="1" t="s">
        <v>42</v>
      </c>
      <c r="S45" s="1" t="s">
        <v>41</v>
      </c>
      <c r="T45" s="1" t="s">
        <v>41</v>
      </c>
      <c r="U45" s="1" t="s">
        <v>41</v>
      </c>
      <c r="V45" s="1" t="s">
        <v>42</v>
      </c>
      <c r="W45" s="1" t="s">
        <v>42</v>
      </c>
      <c r="X45" s="1" t="s">
        <v>41</v>
      </c>
      <c r="Y45" s="1" t="s">
        <v>41</v>
      </c>
      <c r="Z45" s="1" t="s">
        <v>42</v>
      </c>
      <c r="AA45" s="1" t="s">
        <v>41</v>
      </c>
      <c r="AB45" s="1" t="s">
        <v>42</v>
      </c>
      <c r="AC45" s="1" t="s">
        <v>41</v>
      </c>
      <c r="AD45" s="1" t="s">
        <v>42</v>
      </c>
      <c r="AE45" s="1" t="s">
        <v>42</v>
      </c>
      <c r="AF45" s="1" t="s">
        <v>41</v>
      </c>
      <c r="AG45" s="2" t="s">
        <v>32</v>
      </c>
      <c r="AH45" s="15">
        <f>COUNTIF(B45:AF45, "Y")</f>
        <v>16</v>
      </c>
      <c r="AI45" s="15">
        <f>COUNTIF(B45:AG45, "/")</f>
        <v>15</v>
      </c>
      <c r="AJ45" s="15">
        <f>SUM(AH45:AI45)</f>
        <v>31</v>
      </c>
    </row>
    <row r="46" spans="1:47">
      <c r="A46" s="2" t="s">
        <v>33</v>
      </c>
      <c r="B46" s="1" t="s">
        <v>43</v>
      </c>
      <c r="C46" s="1" t="s">
        <v>44</v>
      </c>
      <c r="D46" s="1" t="s">
        <v>42</v>
      </c>
      <c r="E46" s="1" t="s">
        <v>42</v>
      </c>
      <c r="F46" s="1" t="s">
        <v>45</v>
      </c>
      <c r="G46" s="1" t="s">
        <v>46</v>
      </c>
      <c r="H46" s="1" t="s">
        <v>42</v>
      </c>
      <c r="I46" s="1" t="s">
        <v>42</v>
      </c>
      <c r="J46" s="1" t="s">
        <v>45</v>
      </c>
      <c r="K46" s="1" t="s">
        <v>42</v>
      </c>
      <c r="L46" s="1" t="s">
        <v>42</v>
      </c>
      <c r="M46" s="1" t="s">
        <v>42</v>
      </c>
      <c r="N46" s="1" t="s">
        <v>42</v>
      </c>
      <c r="O46" s="1" t="s">
        <v>45</v>
      </c>
      <c r="P46" s="1" t="s">
        <v>42</v>
      </c>
      <c r="Q46" s="1" t="s">
        <v>42</v>
      </c>
      <c r="R46" s="1" t="s">
        <v>45</v>
      </c>
      <c r="S46" s="1" t="s">
        <v>42</v>
      </c>
      <c r="T46" s="1" t="s">
        <v>42</v>
      </c>
      <c r="U46" s="1" t="s">
        <v>42</v>
      </c>
      <c r="V46" s="1" t="s">
        <v>46</v>
      </c>
      <c r="W46" s="1" t="s">
        <v>42</v>
      </c>
      <c r="X46" s="1" t="s">
        <v>42</v>
      </c>
      <c r="Y46" s="1" t="s">
        <v>42</v>
      </c>
      <c r="Z46" s="1" t="s">
        <v>44</v>
      </c>
      <c r="AA46" s="1" t="s">
        <v>42</v>
      </c>
      <c r="AB46" s="1" t="s">
        <v>45</v>
      </c>
      <c r="AC46" s="1" t="s">
        <v>42</v>
      </c>
      <c r="AD46" s="1" t="s">
        <v>45</v>
      </c>
      <c r="AE46" s="1" t="s">
        <v>42</v>
      </c>
      <c r="AF46" s="1" t="s">
        <v>42</v>
      </c>
      <c r="AG46" s="2" t="s">
        <v>33</v>
      </c>
      <c r="AH46" s="15">
        <v>11</v>
      </c>
      <c r="AI46" s="15">
        <f>COUNTIF(B46:AG46, "/")</f>
        <v>20</v>
      </c>
      <c r="AJ46" s="15">
        <f>SUM(AH46:AI46)</f>
        <v>31</v>
      </c>
    </row>
    <row r="47" spans="1:47" s="15" customFormat="1">
      <c r="A47" s="11" t="s">
        <v>35</v>
      </c>
      <c r="B47" s="14" t="s">
        <v>41</v>
      </c>
      <c r="C47" s="14" t="s">
        <v>47</v>
      </c>
      <c r="D47" s="14" t="s">
        <v>41</v>
      </c>
      <c r="E47" s="14" t="s">
        <v>41</v>
      </c>
      <c r="F47" s="14" t="s">
        <v>47</v>
      </c>
      <c r="G47" s="14" t="s">
        <v>47</v>
      </c>
      <c r="H47" s="14" t="s">
        <v>47</v>
      </c>
      <c r="I47" s="14" t="s">
        <v>41</v>
      </c>
      <c r="J47" s="14" t="s">
        <v>47</v>
      </c>
      <c r="K47" s="14" t="s">
        <v>47</v>
      </c>
      <c r="L47" s="14" t="s">
        <v>47</v>
      </c>
      <c r="M47" s="14" t="s">
        <v>47</v>
      </c>
      <c r="N47" s="14" t="s">
        <v>47</v>
      </c>
      <c r="O47" s="14" t="s">
        <v>47</v>
      </c>
      <c r="P47" s="14" t="s">
        <v>47</v>
      </c>
      <c r="Q47" s="14" t="s">
        <v>47</v>
      </c>
      <c r="R47" s="14" t="s">
        <v>41</v>
      </c>
      <c r="S47" s="14" t="s">
        <v>41</v>
      </c>
      <c r="T47" s="14" t="s">
        <v>47</v>
      </c>
      <c r="U47" s="14" t="s">
        <v>47</v>
      </c>
      <c r="V47" s="14" t="s">
        <v>41</v>
      </c>
      <c r="W47" s="14" t="s">
        <v>47</v>
      </c>
      <c r="X47" s="14" t="s">
        <v>47</v>
      </c>
      <c r="Y47" s="14" t="s">
        <v>47</v>
      </c>
      <c r="Z47" s="14" t="s">
        <v>47</v>
      </c>
      <c r="AA47" s="14" t="s">
        <v>47</v>
      </c>
      <c r="AB47" s="14" t="s">
        <v>47</v>
      </c>
      <c r="AC47" s="14" t="s">
        <v>41</v>
      </c>
      <c r="AD47" s="14" t="s">
        <v>47</v>
      </c>
      <c r="AE47" s="14" t="s">
        <v>104</v>
      </c>
      <c r="AF47" s="14" t="s">
        <v>41</v>
      </c>
      <c r="AG47" s="50" t="s">
        <v>35</v>
      </c>
      <c r="AH47" s="26" t="s">
        <v>41</v>
      </c>
      <c r="AI47" s="26">
        <f>COUNTIF(B47:AF47, "Y")</f>
        <v>9</v>
      </c>
      <c r="AJ47" s="26" t="s">
        <v>47</v>
      </c>
      <c r="AK47" s="26">
        <f>COUNTIF(B47:AF47, "N")</f>
        <v>21</v>
      </c>
      <c r="AL47" s="26" t="s">
        <v>104</v>
      </c>
      <c r="AM47" s="26">
        <f>COUNTIF(B47:AF47, "NO EVIDENCE")</f>
        <v>1</v>
      </c>
    </row>
    <row r="48" spans="1:47">
      <c r="A48" s="3" t="s">
        <v>36</v>
      </c>
      <c r="B48" s="1" t="s">
        <v>42</v>
      </c>
      <c r="C48" s="1" t="s">
        <v>42</v>
      </c>
      <c r="D48" s="1" t="s">
        <v>42</v>
      </c>
      <c r="E48" s="1" t="s">
        <v>42</v>
      </c>
      <c r="F48" s="1" t="s">
        <v>42</v>
      </c>
      <c r="G48" s="1" t="s">
        <v>42</v>
      </c>
      <c r="H48" s="1" t="s">
        <v>42</v>
      </c>
      <c r="I48" s="1" t="s">
        <v>42</v>
      </c>
      <c r="J48" s="1" t="s">
        <v>42</v>
      </c>
      <c r="K48" s="1" t="s">
        <v>42</v>
      </c>
      <c r="L48" s="1" t="s">
        <v>42</v>
      </c>
      <c r="M48" s="1" t="s">
        <v>42</v>
      </c>
      <c r="N48" s="1" t="s">
        <v>42</v>
      </c>
      <c r="O48" s="1" t="s">
        <v>42</v>
      </c>
      <c r="P48" s="1" t="s">
        <v>42</v>
      </c>
      <c r="Q48" s="1" t="s">
        <v>42</v>
      </c>
      <c r="R48" s="1" t="s">
        <v>41</v>
      </c>
      <c r="S48" s="1" t="s">
        <v>41</v>
      </c>
      <c r="T48" s="1" t="s">
        <v>42</v>
      </c>
      <c r="U48" s="1" t="s">
        <v>42</v>
      </c>
      <c r="V48" s="1" t="s">
        <v>42</v>
      </c>
      <c r="W48" s="1" t="s">
        <v>42</v>
      </c>
      <c r="X48" s="1" t="s">
        <v>42</v>
      </c>
      <c r="Y48" s="1" t="s">
        <v>42</v>
      </c>
      <c r="Z48" s="1" t="s">
        <v>42</v>
      </c>
      <c r="AA48" s="1" t="s">
        <v>42</v>
      </c>
      <c r="AB48" s="1" t="s">
        <v>42</v>
      </c>
      <c r="AC48" s="1" t="s">
        <v>42</v>
      </c>
      <c r="AD48" s="1" t="s">
        <v>42</v>
      </c>
      <c r="AE48" s="1" t="s">
        <v>42</v>
      </c>
      <c r="AF48" s="1" t="s">
        <v>42</v>
      </c>
      <c r="AG48" s="3" t="s">
        <v>36</v>
      </c>
      <c r="AH48" s="15">
        <f>COUNTIF(B48:AF48, "Y")</f>
        <v>2</v>
      </c>
    </row>
    <row r="49" spans="1:39">
      <c r="A49" s="3" t="s">
        <v>37</v>
      </c>
      <c r="B49" s="1" t="s">
        <v>42</v>
      </c>
      <c r="C49" s="1" t="s">
        <v>42</v>
      </c>
      <c r="D49" s="1" t="s">
        <v>42</v>
      </c>
      <c r="E49" s="1" t="s">
        <v>42</v>
      </c>
      <c r="F49" s="1" t="s">
        <v>42</v>
      </c>
      <c r="G49" s="1" t="s">
        <v>42</v>
      </c>
      <c r="H49" s="1" t="s">
        <v>42</v>
      </c>
      <c r="I49" s="1" t="s">
        <v>41</v>
      </c>
      <c r="J49" s="1" t="s">
        <v>42</v>
      </c>
      <c r="K49" s="1" t="s">
        <v>42</v>
      </c>
      <c r="L49" s="1" t="s">
        <v>42</v>
      </c>
      <c r="M49" s="1" t="s">
        <v>42</v>
      </c>
      <c r="N49" s="1" t="s">
        <v>42</v>
      </c>
      <c r="O49" s="1" t="s">
        <v>42</v>
      </c>
      <c r="P49" s="1" t="s">
        <v>42</v>
      </c>
      <c r="Q49" s="1" t="s">
        <v>42</v>
      </c>
      <c r="R49" s="1" t="s">
        <v>42</v>
      </c>
      <c r="S49" s="1" t="s">
        <v>42</v>
      </c>
      <c r="T49" s="1" t="s">
        <v>42</v>
      </c>
      <c r="U49" s="1" t="s">
        <v>42</v>
      </c>
      <c r="V49" s="1" t="s">
        <v>42</v>
      </c>
      <c r="W49" s="1" t="s">
        <v>42</v>
      </c>
      <c r="X49" s="1" t="s">
        <v>42</v>
      </c>
      <c r="Y49" s="1" t="s">
        <v>42</v>
      </c>
      <c r="Z49" s="1" t="s">
        <v>42</v>
      </c>
      <c r="AA49" s="1" t="s">
        <v>42</v>
      </c>
      <c r="AB49" s="1" t="s">
        <v>42</v>
      </c>
      <c r="AC49" s="1" t="s">
        <v>41</v>
      </c>
      <c r="AD49" s="1" t="s">
        <v>42</v>
      </c>
      <c r="AE49" s="1" t="s">
        <v>42</v>
      </c>
      <c r="AF49" s="1" t="s">
        <v>42</v>
      </c>
      <c r="AG49" s="3" t="s">
        <v>37</v>
      </c>
      <c r="AH49" s="15">
        <f t="shared" ref="AH49:AH53" si="10">COUNTIF(B49:AF49, "Y")</f>
        <v>2</v>
      </c>
    </row>
    <row r="50" spans="1:39">
      <c r="A50" s="3" t="s">
        <v>38</v>
      </c>
      <c r="B50" s="1" t="s">
        <v>41</v>
      </c>
      <c r="C50" s="1" t="s">
        <v>42</v>
      </c>
      <c r="D50" s="1" t="s">
        <v>41</v>
      </c>
      <c r="E50" s="1" t="s">
        <v>41</v>
      </c>
      <c r="F50" s="1" t="s">
        <v>42</v>
      </c>
      <c r="G50" s="1" t="s">
        <v>42</v>
      </c>
      <c r="H50" s="1" t="s">
        <v>42</v>
      </c>
      <c r="I50" s="1" t="s">
        <v>42</v>
      </c>
      <c r="J50" s="1" t="s">
        <v>42</v>
      </c>
      <c r="K50" s="1" t="s">
        <v>42</v>
      </c>
      <c r="L50" s="1" t="s">
        <v>42</v>
      </c>
      <c r="M50" s="1" t="s">
        <v>42</v>
      </c>
      <c r="N50" s="1" t="s">
        <v>42</v>
      </c>
      <c r="O50" s="1" t="s">
        <v>42</v>
      </c>
      <c r="P50" s="1" t="s">
        <v>42</v>
      </c>
      <c r="Q50" s="1" t="s">
        <v>42</v>
      </c>
      <c r="R50" s="1" t="s">
        <v>42</v>
      </c>
      <c r="S50" s="1" t="s">
        <v>42</v>
      </c>
      <c r="T50" s="1" t="s">
        <v>42</v>
      </c>
      <c r="U50" s="1" t="s">
        <v>42</v>
      </c>
      <c r="V50" s="1" t="s">
        <v>41</v>
      </c>
      <c r="W50" s="1" t="s">
        <v>42</v>
      </c>
      <c r="X50" s="1" t="s">
        <v>42</v>
      </c>
      <c r="Y50" s="1" t="s">
        <v>42</v>
      </c>
      <c r="Z50" s="1" t="s">
        <v>42</v>
      </c>
      <c r="AA50" s="1" t="s">
        <v>42</v>
      </c>
      <c r="AB50" s="1" t="s">
        <v>42</v>
      </c>
      <c r="AC50" s="1" t="s">
        <v>42</v>
      </c>
      <c r="AD50" s="1" t="s">
        <v>42</v>
      </c>
      <c r="AE50" s="1" t="s">
        <v>42</v>
      </c>
      <c r="AF50" s="1" t="s">
        <v>42</v>
      </c>
      <c r="AG50" s="3" t="s">
        <v>38</v>
      </c>
      <c r="AH50" s="15">
        <f t="shared" si="10"/>
        <v>4</v>
      </c>
    </row>
    <row r="51" spans="1:39">
      <c r="A51" s="3" t="s">
        <v>39</v>
      </c>
      <c r="B51" s="1" t="s">
        <v>42</v>
      </c>
      <c r="C51" s="1" t="s">
        <v>42</v>
      </c>
      <c r="D51" s="1" t="s">
        <v>42</v>
      </c>
      <c r="E51" s="1" t="s">
        <v>42</v>
      </c>
      <c r="F51" s="1" t="s">
        <v>42</v>
      </c>
      <c r="G51" s="1" t="s">
        <v>42</v>
      </c>
      <c r="H51" s="1" t="s">
        <v>42</v>
      </c>
      <c r="I51" s="1" t="s">
        <v>42</v>
      </c>
      <c r="J51" s="1" t="s">
        <v>42</v>
      </c>
      <c r="K51" s="1" t="s">
        <v>42</v>
      </c>
      <c r="L51" s="1" t="s">
        <v>42</v>
      </c>
      <c r="M51" s="1" t="s">
        <v>42</v>
      </c>
      <c r="N51" s="1" t="s">
        <v>42</v>
      </c>
      <c r="O51" s="1" t="s">
        <v>42</v>
      </c>
      <c r="P51" s="1" t="s">
        <v>42</v>
      </c>
      <c r="Q51" s="1" t="s">
        <v>42</v>
      </c>
      <c r="R51" s="1" t="s">
        <v>42</v>
      </c>
      <c r="S51" s="1" t="s">
        <v>42</v>
      </c>
      <c r="T51" s="1" t="s">
        <v>42</v>
      </c>
      <c r="U51" s="1" t="s">
        <v>42</v>
      </c>
      <c r="V51" s="1" t="s">
        <v>42</v>
      </c>
      <c r="W51" s="1" t="s">
        <v>42</v>
      </c>
      <c r="X51" s="1" t="s">
        <v>42</v>
      </c>
      <c r="Y51" s="1" t="s">
        <v>42</v>
      </c>
      <c r="Z51" s="1" t="s">
        <v>42</v>
      </c>
      <c r="AA51" s="1" t="s">
        <v>42</v>
      </c>
      <c r="AB51" s="1" t="s">
        <v>42</v>
      </c>
      <c r="AC51" s="1" t="s">
        <v>42</v>
      </c>
      <c r="AD51" s="1" t="s">
        <v>42</v>
      </c>
      <c r="AE51" s="1" t="s">
        <v>42</v>
      </c>
      <c r="AF51" s="1" t="s">
        <v>41</v>
      </c>
      <c r="AG51" s="3" t="s">
        <v>39</v>
      </c>
      <c r="AH51" s="15">
        <f t="shared" si="10"/>
        <v>1</v>
      </c>
    </row>
    <row r="52" spans="1:39">
      <c r="A52" s="3" t="s">
        <v>105</v>
      </c>
      <c r="B52" s="1" t="s">
        <v>41</v>
      </c>
      <c r="C52" s="1" t="s">
        <v>42</v>
      </c>
      <c r="D52" s="1" t="s">
        <v>41</v>
      </c>
      <c r="E52" s="1" t="s">
        <v>41</v>
      </c>
      <c r="F52" s="1" t="s">
        <v>42</v>
      </c>
      <c r="G52" s="1" t="s">
        <v>42</v>
      </c>
      <c r="H52" s="1" t="s">
        <v>42</v>
      </c>
      <c r="I52" s="1" t="s">
        <v>42</v>
      </c>
      <c r="J52" s="1" t="s">
        <v>42</v>
      </c>
      <c r="K52" s="1" t="s">
        <v>42</v>
      </c>
      <c r="L52" s="1" t="s">
        <v>42</v>
      </c>
      <c r="M52" s="1" t="s">
        <v>42</v>
      </c>
      <c r="N52" s="1" t="s">
        <v>42</v>
      </c>
      <c r="O52" s="1" t="s">
        <v>42</v>
      </c>
      <c r="P52" s="1" t="s">
        <v>42</v>
      </c>
      <c r="Q52" s="1" t="s">
        <v>42</v>
      </c>
      <c r="R52" s="1" t="s">
        <v>42</v>
      </c>
      <c r="S52" s="1" t="s">
        <v>42</v>
      </c>
      <c r="T52" s="1" t="s">
        <v>42</v>
      </c>
      <c r="U52" s="1" t="s">
        <v>42</v>
      </c>
      <c r="V52" s="1" t="s">
        <v>41</v>
      </c>
      <c r="W52" s="1" t="s">
        <v>42</v>
      </c>
      <c r="X52" s="1" t="s">
        <v>42</v>
      </c>
      <c r="Y52" s="1" t="s">
        <v>42</v>
      </c>
      <c r="Z52" s="1" t="s">
        <v>42</v>
      </c>
      <c r="AA52" s="1" t="s">
        <v>42</v>
      </c>
      <c r="AB52" s="1" t="s">
        <v>42</v>
      </c>
      <c r="AC52" s="1" t="s">
        <v>42</v>
      </c>
      <c r="AD52" s="1" t="s">
        <v>42</v>
      </c>
      <c r="AE52" s="1" t="s">
        <v>42</v>
      </c>
      <c r="AF52" s="1" t="s">
        <v>41</v>
      </c>
      <c r="AG52" s="37" t="s">
        <v>105</v>
      </c>
      <c r="AH52" s="25">
        <f t="shared" si="10"/>
        <v>5</v>
      </c>
      <c r="AI52" s="26"/>
      <c r="AJ52" s="25"/>
      <c r="AK52" s="25"/>
      <c r="AL52" s="25"/>
      <c r="AM52" s="25"/>
    </row>
    <row r="53" spans="1:39">
      <c r="A53" s="49" t="s">
        <v>106</v>
      </c>
      <c r="B53" s="17" t="s">
        <v>42</v>
      </c>
      <c r="C53" s="17" t="s">
        <v>42</v>
      </c>
      <c r="D53" s="17" t="s">
        <v>42</v>
      </c>
      <c r="E53" s="17" t="s">
        <v>42</v>
      </c>
      <c r="F53" s="17" t="s">
        <v>42</v>
      </c>
      <c r="G53" s="17" t="s">
        <v>42</v>
      </c>
      <c r="H53" s="1" t="s">
        <v>42</v>
      </c>
      <c r="I53" s="1" t="s">
        <v>41</v>
      </c>
      <c r="J53" s="1" t="s">
        <v>42</v>
      </c>
      <c r="K53" s="1" t="s">
        <v>42</v>
      </c>
      <c r="L53" s="1" t="s">
        <v>42</v>
      </c>
      <c r="M53" s="1" t="s">
        <v>42</v>
      </c>
      <c r="N53" s="1" t="s">
        <v>42</v>
      </c>
      <c r="O53" s="1" t="s">
        <v>42</v>
      </c>
      <c r="P53" s="1" t="s">
        <v>42</v>
      </c>
      <c r="Q53" s="1" t="s">
        <v>42</v>
      </c>
      <c r="R53" s="1" t="s">
        <v>41</v>
      </c>
      <c r="S53" s="1" t="s">
        <v>41</v>
      </c>
      <c r="T53" s="1" t="s">
        <v>42</v>
      </c>
      <c r="U53" s="1" t="s">
        <v>42</v>
      </c>
      <c r="V53" s="1" t="s">
        <v>42</v>
      </c>
      <c r="W53" s="1" t="s">
        <v>42</v>
      </c>
      <c r="X53" s="1" t="s">
        <v>42</v>
      </c>
      <c r="Y53" s="1" t="s">
        <v>42</v>
      </c>
      <c r="Z53" s="1" t="s">
        <v>42</v>
      </c>
      <c r="AA53" s="1" t="s">
        <v>42</v>
      </c>
      <c r="AB53" s="1" t="s">
        <v>42</v>
      </c>
      <c r="AC53" s="1" t="s">
        <v>41</v>
      </c>
      <c r="AD53" s="1" t="s">
        <v>42</v>
      </c>
      <c r="AE53" s="1" t="s">
        <v>42</v>
      </c>
      <c r="AF53" s="1" t="s">
        <v>42</v>
      </c>
      <c r="AG53" s="49" t="s">
        <v>106</v>
      </c>
      <c r="AH53" s="39">
        <f t="shared" si="10"/>
        <v>4</v>
      </c>
      <c r="AI53" s="40"/>
      <c r="AJ53" s="39"/>
      <c r="AK53" s="39"/>
      <c r="AL53" s="39"/>
      <c r="AM53" s="39"/>
    </row>
    <row r="54" spans="1:39">
      <c r="A54" s="18"/>
      <c r="B54" s="17"/>
      <c r="C54" s="17"/>
      <c r="D54" s="17"/>
      <c r="E54" s="17"/>
      <c r="F54" s="17"/>
      <c r="G54" s="17"/>
    </row>
    <row r="55" spans="1:39">
      <c r="A55" s="17"/>
      <c r="B55" s="17"/>
      <c r="C55" s="17"/>
      <c r="D55" s="17"/>
      <c r="E55" s="17"/>
      <c r="F55" s="17"/>
      <c r="G55" s="17"/>
    </row>
    <row r="56" spans="1:39">
      <c r="A56" s="54" t="s">
        <v>121</v>
      </c>
      <c r="B56" s="16"/>
      <c r="C56" s="16"/>
      <c r="D56" s="16"/>
      <c r="E56" s="55"/>
      <c r="F56" s="17"/>
      <c r="G56" s="17"/>
    </row>
    <row r="57" spans="1:39">
      <c r="A57" s="56" t="s">
        <v>42</v>
      </c>
      <c r="B57" s="17" t="s">
        <v>122</v>
      </c>
      <c r="C57" s="17"/>
      <c r="D57" s="17"/>
      <c r="E57" s="57"/>
      <c r="F57" s="17"/>
      <c r="G57" s="17"/>
    </row>
    <row r="58" spans="1:39">
      <c r="A58" s="56" t="s">
        <v>41</v>
      </c>
      <c r="B58" s="17" t="s">
        <v>123</v>
      </c>
      <c r="C58" s="17"/>
      <c r="D58" s="17"/>
      <c r="E58" s="57"/>
    </row>
    <row r="59" spans="1:39">
      <c r="A59" s="56" t="s">
        <v>47</v>
      </c>
      <c r="B59" s="17" t="s">
        <v>124</v>
      </c>
      <c r="C59" s="17"/>
      <c r="D59" s="17"/>
      <c r="E59" s="57"/>
    </row>
    <row r="60" spans="1:39">
      <c r="A60" s="56" t="s">
        <v>125</v>
      </c>
      <c r="B60" s="17" t="s">
        <v>85</v>
      </c>
      <c r="C60" s="17" t="s">
        <v>84</v>
      </c>
      <c r="D60" s="17" t="s">
        <v>92</v>
      </c>
      <c r="E60" s="57" t="s">
        <v>93</v>
      </c>
    </row>
    <row r="61" spans="1:39">
      <c r="A61" s="56" t="s">
        <v>126</v>
      </c>
      <c r="B61" s="17" t="s">
        <v>127</v>
      </c>
      <c r="C61" s="17"/>
      <c r="D61" s="17"/>
      <c r="E61" s="57"/>
    </row>
    <row r="62" spans="1:39">
      <c r="A62" s="56" t="s">
        <v>86</v>
      </c>
      <c r="B62" s="17" t="s">
        <v>128</v>
      </c>
      <c r="C62" s="17"/>
      <c r="D62" s="17"/>
      <c r="E62" s="57"/>
    </row>
    <row r="63" spans="1:39">
      <c r="A63" s="56" t="s">
        <v>129</v>
      </c>
      <c r="B63" s="17" t="s">
        <v>131</v>
      </c>
      <c r="C63" s="17"/>
      <c r="D63" s="17"/>
      <c r="E63" s="57"/>
    </row>
    <row r="64" spans="1:39">
      <c r="A64" s="56" t="s">
        <v>130</v>
      </c>
      <c r="B64" s="17" t="s">
        <v>132</v>
      </c>
      <c r="C64" s="17"/>
      <c r="D64" s="17"/>
      <c r="E64" s="57"/>
    </row>
    <row r="65" spans="1:5">
      <c r="A65" s="58" t="s">
        <v>31</v>
      </c>
      <c r="B65" s="59" t="s">
        <v>133</v>
      </c>
      <c r="C65" s="59"/>
      <c r="D65" s="59"/>
      <c r="E65" s="6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7"/>
  <sheetViews>
    <sheetView topLeftCell="A2" workbookViewId="0">
      <selection activeCell="V27" sqref="V27"/>
    </sheetView>
  </sheetViews>
  <sheetFormatPr baseColWidth="10" defaultRowHeight="15" x14ac:dyDescent="0"/>
  <cols>
    <col min="1" max="1" width="38.5" customWidth="1"/>
  </cols>
  <sheetData>
    <row r="1" spans="1:41">
      <c r="A1" s="4" t="s">
        <v>16</v>
      </c>
      <c r="B1" s="4">
        <v>11</v>
      </c>
      <c r="C1" s="4">
        <v>0</v>
      </c>
      <c r="D1" s="4">
        <v>18</v>
      </c>
      <c r="E1" s="4">
        <v>0</v>
      </c>
      <c r="F1" s="4">
        <v>8</v>
      </c>
      <c r="G1" s="4">
        <v>10</v>
      </c>
      <c r="H1" s="4">
        <v>8</v>
      </c>
      <c r="I1" s="4">
        <v>10</v>
      </c>
      <c r="J1" s="4">
        <v>3</v>
      </c>
      <c r="K1" s="4">
        <v>9</v>
      </c>
      <c r="L1" s="4">
        <v>1</v>
      </c>
      <c r="M1" s="4">
        <v>1</v>
      </c>
      <c r="N1" s="4">
        <v>13</v>
      </c>
      <c r="O1" s="4">
        <v>1</v>
      </c>
      <c r="P1" s="4">
        <v>17</v>
      </c>
      <c r="Q1" s="4">
        <v>1</v>
      </c>
      <c r="R1" s="4">
        <v>16</v>
      </c>
      <c r="S1" s="4">
        <v>3</v>
      </c>
      <c r="T1" s="4">
        <v>7</v>
      </c>
      <c r="U1" s="4">
        <v>6</v>
      </c>
      <c r="V1" s="4">
        <v>14</v>
      </c>
      <c r="W1" s="4">
        <v>3</v>
      </c>
      <c r="X1" s="4" t="s">
        <v>16</v>
      </c>
      <c r="Y1" s="30">
        <f>MEDIAN(B1:W1)</f>
        <v>7.5</v>
      </c>
      <c r="Z1" s="31"/>
      <c r="AA1" s="30"/>
      <c r="AB1" s="30"/>
      <c r="AC1" s="30"/>
      <c r="AD1" s="30"/>
      <c r="AE1" s="30"/>
      <c r="AF1" s="30"/>
    </row>
    <row r="3" spans="1:41">
      <c r="A3" s="2" t="s">
        <v>26</v>
      </c>
      <c r="B3" s="1" t="s">
        <v>84</v>
      </c>
      <c r="C3" s="1" t="s">
        <v>85</v>
      </c>
      <c r="D3" s="1" t="s">
        <v>84</v>
      </c>
      <c r="E3" s="1" t="s">
        <v>85</v>
      </c>
      <c r="F3" s="1" t="s">
        <v>85</v>
      </c>
      <c r="G3" s="1" t="s">
        <v>86</v>
      </c>
      <c r="H3" s="1" t="s">
        <v>85</v>
      </c>
      <c r="I3" s="1" t="s">
        <v>85</v>
      </c>
      <c r="J3" s="1" t="s">
        <v>85</v>
      </c>
      <c r="K3" s="1" t="s">
        <v>86</v>
      </c>
      <c r="L3" s="1" t="s">
        <v>87</v>
      </c>
      <c r="M3" s="1" t="s">
        <v>85</v>
      </c>
      <c r="N3" s="1" t="s">
        <v>55</v>
      </c>
      <c r="O3" s="1" t="s">
        <v>86</v>
      </c>
      <c r="P3" s="1" t="s">
        <v>88</v>
      </c>
      <c r="Q3" s="1" t="s">
        <v>86</v>
      </c>
      <c r="R3" s="1" t="s">
        <v>86</v>
      </c>
      <c r="S3" s="1" t="s">
        <v>89</v>
      </c>
      <c r="T3" s="1" t="s">
        <v>86</v>
      </c>
      <c r="U3" s="1" t="s">
        <v>85</v>
      </c>
      <c r="V3" s="1" t="s">
        <v>85</v>
      </c>
      <c r="W3" s="1" t="s">
        <v>71</v>
      </c>
      <c r="X3" s="1" t="s">
        <v>86</v>
      </c>
      <c r="Y3" s="1" t="s">
        <v>86</v>
      </c>
      <c r="Z3" s="1" t="s">
        <v>86</v>
      </c>
      <c r="AA3" s="1" t="s">
        <v>85</v>
      </c>
      <c r="AB3" s="1" t="s">
        <v>86</v>
      </c>
      <c r="AC3" s="1" t="s">
        <v>85</v>
      </c>
      <c r="AD3" s="1" t="s">
        <v>85</v>
      </c>
      <c r="AE3" s="1" t="s">
        <v>84</v>
      </c>
      <c r="AF3" s="1" t="s">
        <v>86</v>
      </c>
      <c r="AG3" s="32"/>
      <c r="AH3" s="15"/>
      <c r="AI3" s="20"/>
      <c r="AJ3" s="15"/>
      <c r="AK3" s="15"/>
      <c r="AL3" s="15"/>
      <c r="AM3" s="15"/>
      <c r="AN3" s="15"/>
      <c r="AO3" s="15"/>
    </row>
    <row r="4" spans="1:41">
      <c r="A4" s="2" t="s">
        <v>26</v>
      </c>
      <c r="B4" s="1" t="s">
        <v>49</v>
      </c>
      <c r="C4" s="1" t="s">
        <v>52</v>
      </c>
      <c r="D4" s="1" t="s">
        <v>56</v>
      </c>
      <c r="E4" s="1" t="s">
        <v>57</v>
      </c>
      <c r="F4" s="1" t="s">
        <v>57</v>
      </c>
      <c r="G4" s="1" t="s">
        <v>60</v>
      </c>
      <c r="H4" s="1" t="s">
        <v>52</v>
      </c>
      <c r="I4" s="1" t="s">
        <v>52</v>
      </c>
      <c r="J4" s="1" t="s">
        <v>52</v>
      </c>
      <c r="K4" s="1" t="s">
        <v>60</v>
      </c>
      <c r="L4" s="1" t="s">
        <v>64</v>
      </c>
      <c r="M4" s="1" t="s">
        <v>52</v>
      </c>
      <c r="N4" s="1" t="s">
        <v>55</v>
      </c>
      <c r="O4" s="1" t="s">
        <v>67</v>
      </c>
      <c r="P4" s="1" t="s">
        <v>57</v>
      </c>
      <c r="Q4" s="1" t="s">
        <v>60</v>
      </c>
      <c r="R4" s="1" t="s">
        <v>67</v>
      </c>
      <c r="S4" s="1" t="s">
        <v>70</v>
      </c>
      <c r="T4" s="1" t="s">
        <v>67</v>
      </c>
      <c r="U4" s="1" t="s">
        <v>52</v>
      </c>
      <c r="V4" s="1" t="s">
        <v>57</v>
      </c>
      <c r="W4" s="1" t="s">
        <v>71</v>
      </c>
      <c r="X4" s="1" t="s">
        <v>60</v>
      </c>
      <c r="Y4" s="1" t="s">
        <v>67</v>
      </c>
      <c r="Z4" s="1" t="s">
        <v>67</v>
      </c>
      <c r="AA4" s="1" t="s">
        <v>57</v>
      </c>
      <c r="AB4" s="1" t="s">
        <v>60</v>
      </c>
      <c r="AC4" s="1" t="s">
        <v>57</v>
      </c>
      <c r="AD4" s="1" t="s">
        <v>52</v>
      </c>
      <c r="AE4" s="1" t="s">
        <v>56</v>
      </c>
      <c r="AF4" s="1" t="s">
        <v>67</v>
      </c>
      <c r="AG4" s="32"/>
      <c r="AH4" s="15"/>
      <c r="AI4" s="20"/>
      <c r="AJ4" s="15"/>
      <c r="AK4" s="15"/>
      <c r="AL4" s="15"/>
      <c r="AM4" s="15"/>
      <c r="AN4" s="15"/>
      <c r="AO4" s="15"/>
    </row>
    <row r="6" spans="1:41">
      <c r="A6" s="1" t="s">
        <v>84</v>
      </c>
      <c r="B6" s="1" t="s">
        <v>85</v>
      </c>
      <c r="C6" s="1" t="s">
        <v>84</v>
      </c>
      <c r="D6" s="1" t="s">
        <v>85</v>
      </c>
      <c r="E6" s="1" t="s">
        <v>85</v>
      </c>
      <c r="F6" s="1" t="s">
        <v>86</v>
      </c>
      <c r="G6" s="1" t="s">
        <v>85</v>
      </c>
      <c r="H6" s="1" t="s">
        <v>85</v>
      </c>
      <c r="I6" s="1" t="s">
        <v>85</v>
      </c>
      <c r="J6" s="1" t="s">
        <v>86</v>
      </c>
      <c r="K6" s="1" t="s">
        <v>87</v>
      </c>
      <c r="L6" s="1" t="s">
        <v>85</v>
      </c>
      <c r="M6" s="29" t="s">
        <v>92</v>
      </c>
      <c r="N6" s="1" t="s">
        <v>86</v>
      </c>
      <c r="O6" s="1" t="s">
        <v>88</v>
      </c>
      <c r="P6" s="1" t="s">
        <v>86</v>
      </c>
      <c r="Q6" s="1" t="s">
        <v>86</v>
      </c>
      <c r="R6" s="29" t="s">
        <v>84</v>
      </c>
      <c r="S6" s="1" t="s">
        <v>86</v>
      </c>
      <c r="T6" s="1" t="s">
        <v>85</v>
      </c>
      <c r="U6" s="1" t="s">
        <v>85</v>
      </c>
      <c r="V6" s="1" t="s">
        <v>71</v>
      </c>
      <c r="W6" s="1" t="s">
        <v>86</v>
      </c>
      <c r="X6" s="1" t="s">
        <v>86</v>
      </c>
      <c r="Y6" s="1" t="s">
        <v>86</v>
      </c>
      <c r="Z6" s="1" t="s">
        <v>85</v>
      </c>
      <c r="AA6" s="1" t="s">
        <v>86</v>
      </c>
      <c r="AB6" s="1" t="s">
        <v>85</v>
      </c>
      <c r="AC6" s="1" t="s">
        <v>85</v>
      </c>
      <c r="AD6" s="1" t="s">
        <v>84</v>
      </c>
      <c r="AE6" s="1" t="s">
        <v>86</v>
      </c>
    </row>
    <row r="8" spans="1:41">
      <c r="A8" s="3" t="s">
        <v>85</v>
      </c>
      <c r="B8">
        <v>13</v>
      </c>
    </row>
    <row r="9" spans="1:41">
      <c r="A9" s="3" t="s">
        <v>84</v>
      </c>
      <c r="B9">
        <f>COUNTIF(A6:AE6, "M2")</f>
        <v>4</v>
      </c>
    </row>
    <row r="10" spans="1:41">
      <c r="A10" s="3" t="s">
        <v>92</v>
      </c>
      <c r="B10">
        <f>COUNTIF(A6:AE6, "M3")</f>
        <v>1</v>
      </c>
    </row>
    <row r="11" spans="1:41">
      <c r="A11" s="3" t="s">
        <v>93</v>
      </c>
      <c r="B11">
        <f>COUNTIF(A6:AE6, "M4")</f>
        <v>0</v>
      </c>
    </row>
    <row r="12" spans="1:41">
      <c r="A12" s="3" t="s">
        <v>86</v>
      </c>
      <c r="B12">
        <f>COUNTIF(A6:AE6, "ICA")</f>
        <v>11</v>
      </c>
    </row>
    <row r="13" spans="1:41">
      <c r="A13" s="3" t="s">
        <v>87</v>
      </c>
      <c r="B13">
        <f>COUNTIF(A6:AE6, "PCA")</f>
        <v>1</v>
      </c>
    </row>
    <row r="14" spans="1:41">
      <c r="A14" s="3" t="s">
        <v>71</v>
      </c>
      <c r="B14">
        <f>COUNTIF(A6:AE6, "Basilar")</f>
        <v>1</v>
      </c>
    </row>
    <row r="16" spans="1:41">
      <c r="A16" s="3" t="s">
        <v>94</v>
      </c>
      <c r="B16">
        <f>SUM(B8:B14)</f>
        <v>31</v>
      </c>
    </row>
    <row r="18" spans="1:41">
      <c r="A18" s="2" t="s">
        <v>101</v>
      </c>
      <c r="B18" s="1">
        <v>3</v>
      </c>
      <c r="C18" s="1">
        <v>3</v>
      </c>
      <c r="D18" s="1">
        <v>3</v>
      </c>
      <c r="E18" s="1">
        <v>3</v>
      </c>
      <c r="F18" s="1" t="s">
        <v>59</v>
      </c>
      <c r="G18" s="33" t="s">
        <v>61</v>
      </c>
      <c r="H18" s="1">
        <v>3</v>
      </c>
      <c r="I18" s="1">
        <v>3</v>
      </c>
      <c r="J18" s="1">
        <v>3</v>
      </c>
      <c r="K18" s="1">
        <v>3</v>
      </c>
      <c r="L18" s="33" t="s">
        <v>31</v>
      </c>
      <c r="M18" s="1" t="s">
        <v>65</v>
      </c>
      <c r="N18" s="33" t="s">
        <v>31</v>
      </c>
      <c r="O18" s="1">
        <v>3</v>
      </c>
      <c r="P18" s="1">
        <v>3</v>
      </c>
      <c r="Q18" s="1">
        <v>3</v>
      </c>
      <c r="R18" s="1">
        <v>3</v>
      </c>
      <c r="S18" s="1">
        <v>3</v>
      </c>
      <c r="T18" s="1" t="s">
        <v>65</v>
      </c>
      <c r="U18" s="1">
        <v>3</v>
      </c>
      <c r="V18" s="1">
        <v>3</v>
      </c>
      <c r="W18" s="33" t="s">
        <v>61</v>
      </c>
      <c r="X18" s="1">
        <v>3</v>
      </c>
      <c r="Y18" s="1">
        <v>3</v>
      </c>
      <c r="Z18" s="1" t="s">
        <v>65</v>
      </c>
      <c r="AA18" s="1">
        <v>3</v>
      </c>
      <c r="AB18" s="1">
        <v>3</v>
      </c>
      <c r="AC18" s="1" t="s">
        <v>65</v>
      </c>
      <c r="AD18" s="1">
        <v>3</v>
      </c>
      <c r="AE18" s="33" t="s">
        <v>61</v>
      </c>
      <c r="AF18" s="1" t="s">
        <v>59</v>
      </c>
      <c r="AG18" s="40"/>
      <c r="AH18" s="39"/>
      <c r="AI18" s="40"/>
      <c r="AJ18" s="39"/>
      <c r="AK18" s="39"/>
      <c r="AL18" s="39"/>
      <c r="AM18" s="39"/>
      <c r="AN18" s="15"/>
      <c r="AO18" s="15"/>
    </row>
    <row r="19" spans="1:41">
      <c r="A19" s="3">
        <v>1</v>
      </c>
      <c r="B19">
        <f>COUNTIF(B18:AF18, "1")</f>
        <v>0</v>
      </c>
    </row>
    <row r="20" spans="1:41">
      <c r="A20" s="3" t="s">
        <v>102</v>
      </c>
      <c r="B20">
        <f>COUNTIF(B18:AF18, "2A")</f>
        <v>2</v>
      </c>
    </row>
    <row r="21" spans="1:41">
      <c r="A21" s="3" t="s">
        <v>103</v>
      </c>
      <c r="B21">
        <f>COUNTIF(B18:AF18, "2B")</f>
        <v>4</v>
      </c>
    </row>
    <row r="22" spans="1:41">
      <c r="A22" s="3">
        <v>3</v>
      </c>
      <c r="B22">
        <f>COUNTIF(B18:AF18, "3")</f>
        <v>20</v>
      </c>
    </row>
    <row r="23" spans="1:41">
      <c r="A23" s="3" t="s">
        <v>61</v>
      </c>
      <c r="B23">
        <f>COUNTIF(B18:AF18, "TERMINATED")</f>
        <v>3</v>
      </c>
    </row>
    <row r="24" spans="1:41">
      <c r="A24" s="3" t="s">
        <v>31</v>
      </c>
      <c r="B24">
        <f>COUNTIF(B18:AF18, "IA-rTPA")</f>
        <v>2</v>
      </c>
    </row>
    <row r="26" spans="1:41">
      <c r="A26" s="1">
        <v>12</v>
      </c>
      <c r="B26" s="1">
        <v>7</v>
      </c>
      <c r="C26" s="1">
        <v>18</v>
      </c>
      <c r="D26" s="1">
        <v>24</v>
      </c>
      <c r="E26" s="1">
        <v>13</v>
      </c>
      <c r="F26" s="1">
        <v>8</v>
      </c>
      <c r="G26" s="1">
        <v>11</v>
      </c>
      <c r="H26" s="1">
        <v>9</v>
      </c>
      <c r="I26" s="1">
        <v>23</v>
      </c>
      <c r="J26" s="1">
        <v>12</v>
      </c>
      <c r="K26" s="1">
        <v>18</v>
      </c>
      <c r="L26" s="1">
        <v>13</v>
      </c>
      <c r="M26" s="1">
        <v>8</v>
      </c>
      <c r="N26" s="1">
        <v>19</v>
      </c>
      <c r="O26" s="1">
        <v>1</v>
      </c>
      <c r="P26" s="1">
        <v>9</v>
      </c>
      <c r="Q26" s="1">
        <v>19</v>
      </c>
      <c r="R26" s="1">
        <v>6</v>
      </c>
      <c r="S26" s="1">
        <v>24</v>
      </c>
      <c r="T26" s="1">
        <v>11</v>
      </c>
      <c r="U26" s="1">
        <v>16</v>
      </c>
      <c r="V26" s="1">
        <v>20</v>
      </c>
      <c r="W26" s="1">
        <v>14</v>
      </c>
      <c r="X26" s="1">
        <v>22</v>
      </c>
      <c r="Y26" s="1">
        <v>25</v>
      </c>
      <c r="Z26" s="1">
        <v>16</v>
      </c>
      <c r="AA26" s="1">
        <v>12</v>
      </c>
      <c r="AB26" s="1">
        <v>19</v>
      </c>
      <c r="AC26" s="1">
        <v>13</v>
      </c>
      <c r="AD26" s="1">
        <v>19</v>
      </c>
      <c r="AE26" s="1">
        <v>23</v>
      </c>
    </row>
    <row r="27" spans="1:41">
      <c r="A27" s="1">
        <v>12</v>
      </c>
      <c r="B27" s="1">
        <v>7</v>
      </c>
      <c r="C27" s="1">
        <v>26</v>
      </c>
      <c r="D27" s="1">
        <v>19</v>
      </c>
      <c r="E27" s="1">
        <v>15</v>
      </c>
      <c r="F27" s="1">
        <v>23</v>
      </c>
      <c r="G27" s="1">
        <v>9</v>
      </c>
      <c r="H27" s="1">
        <v>9</v>
      </c>
      <c r="I27" s="1">
        <v>18</v>
      </c>
      <c r="J27" s="1">
        <v>13</v>
      </c>
      <c r="K27" s="1">
        <v>20</v>
      </c>
      <c r="L27" s="1">
        <v>13</v>
      </c>
      <c r="M27" s="1">
        <v>7</v>
      </c>
      <c r="N27" s="1">
        <v>24</v>
      </c>
      <c r="O27" s="1">
        <v>1</v>
      </c>
      <c r="P27" s="1">
        <v>7</v>
      </c>
      <c r="Q27" s="1">
        <v>17</v>
      </c>
      <c r="R27" s="1">
        <v>8</v>
      </c>
      <c r="S27" s="1">
        <v>21</v>
      </c>
      <c r="T27" s="1">
        <v>9</v>
      </c>
      <c r="U27" s="1">
        <v>18</v>
      </c>
      <c r="V27" s="1">
        <v>38</v>
      </c>
      <c r="W27" s="1">
        <v>3</v>
      </c>
      <c r="X27" s="1">
        <v>24</v>
      </c>
      <c r="Y27" s="1">
        <v>17</v>
      </c>
      <c r="Z27" s="1">
        <v>15</v>
      </c>
      <c r="AA27" s="1">
        <v>7</v>
      </c>
      <c r="AB27" s="1">
        <v>22</v>
      </c>
      <c r="AC27" s="1">
        <v>8</v>
      </c>
      <c r="AD27" s="1">
        <v>11</v>
      </c>
      <c r="AE27" s="1">
        <v>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"/>
  <sheetViews>
    <sheetView tabSelected="1" workbookViewId="0">
      <selection activeCell="AI1" sqref="AI1:AQ4"/>
    </sheetView>
  </sheetViews>
  <sheetFormatPr baseColWidth="10" defaultRowHeight="15" x14ac:dyDescent="0"/>
  <cols>
    <col min="1" max="1" width="19" bestFit="1" customWidth="1"/>
    <col min="7" max="7" width="21.6640625" customWidth="1"/>
  </cols>
  <sheetData>
    <row r="1" spans="1:43" s="9" customFormat="1">
      <c r="A1" s="7" t="s">
        <v>13</v>
      </c>
      <c r="B1" s="8">
        <v>1</v>
      </c>
      <c r="C1" s="8">
        <v>2</v>
      </c>
      <c r="D1" s="8"/>
      <c r="E1" s="8"/>
      <c r="F1" s="8">
        <v>3</v>
      </c>
      <c r="G1" s="8">
        <v>4</v>
      </c>
      <c r="H1" s="8">
        <v>5</v>
      </c>
      <c r="I1" s="8">
        <v>6</v>
      </c>
      <c r="J1" s="8">
        <v>7</v>
      </c>
      <c r="K1" s="8">
        <v>8</v>
      </c>
      <c r="L1" s="8">
        <v>9</v>
      </c>
      <c r="M1" s="8">
        <v>10</v>
      </c>
      <c r="N1" s="8">
        <v>11</v>
      </c>
      <c r="O1" s="8">
        <v>12</v>
      </c>
      <c r="P1" s="8">
        <v>13</v>
      </c>
      <c r="Q1" s="8">
        <v>14</v>
      </c>
      <c r="R1" s="8">
        <v>15</v>
      </c>
      <c r="S1" s="8">
        <v>17</v>
      </c>
      <c r="T1" s="8">
        <v>18</v>
      </c>
      <c r="AI1" s="20"/>
      <c r="AJ1" s="14"/>
      <c r="AK1" s="14"/>
      <c r="AL1" s="14"/>
      <c r="AM1" s="15"/>
      <c r="AN1" s="15"/>
      <c r="AO1" s="15"/>
      <c r="AP1" s="15"/>
      <c r="AQ1" s="15"/>
    </row>
    <row r="2" spans="1:43">
      <c r="A2" s="1" t="s">
        <v>134</v>
      </c>
      <c r="B2" s="1">
        <v>0</v>
      </c>
      <c r="C2" s="1">
        <v>0</v>
      </c>
      <c r="D2" s="1"/>
      <c r="E2" s="1"/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4</v>
      </c>
      <c r="M2" s="1">
        <v>1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AI2" s="20"/>
      <c r="AJ2" s="14"/>
      <c r="AK2" s="20"/>
      <c r="AL2" s="15"/>
      <c r="AM2" s="15"/>
      <c r="AN2" s="15"/>
      <c r="AO2" s="15"/>
      <c r="AP2" s="15"/>
      <c r="AQ2" s="15"/>
    </row>
    <row r="3" spans="1:43">
      <c r="A3" s="1" t="s">
        <v>15</v>
      </c>
      <c r="B3" s="1">
        <v>5</v>
      </c>
      <c r="C3" s="1">
        <v>5</v>
      </c>
      <c r="D3" s="1"/>
      <c r="E3" s="1"/>
      <c r="F3" s="1">
        <v>5</v>
      </c>
      <c r="G3" s="1">
        <v>5</v>
      </c>
      <c r="H3" s="1">
        <v>4</v>
      </c>
      <c r="I3" s="1">
        <v>1</v>
      </c>
      <c r="J3" s="1">
        <v>4</v>
      </c>
      <c r="K3" s="1">
        <v>5</v>
      </c>
      <c r="L3" s="1">
        <v>5</v>
      </c>
      <c r="M3" s="1">
        <v>5</v>
      </c>
      <c r="N3" s="1">
        <v>5</v>
      </c>
      <c r="O3" s="1">
        <v>4</v>
      </c>
      <c r="P3" s="1">
        <v>5</v>
      </c>
      <c r="Q3" s="1">
        <v>5</v>
      </c>
      <c r="R3" s="1">
        <v>0</v>
      </c>
      <c r="S3" s="1">
        <v>4</v>
      </c>
      <c r="T3" s="1">
        <v>5</v>
      </c>
      <c r="AI3" s="21"/>
      <c r="AJ3" s="14"/>
      <c r="AK3" s="20"/>
      <c r="AL3" s="15"/>
      <c r="AM3" s="15"/>
      <c r="AN3" s="15"/>
      <c r="AO3" s="15"/>
      <c r="AP3" s="15"/>
      <c r="AQ3" s="15"/>
    </row>
    <row r="4" spans="1:43">
      <c r="A4" s="1" t="s">
        <v>16</v>
      </c>
      <c r="B4" s="1">
        <v>5</v>
      </c>
      <c r="C4" s="1">
        <v>0</v>
      </c>
      <c r="D4" s="1"/>
      <c r="E4" s="1"/>
      <c r="F4" s="29">
        <v>6</v>
      </c>
      <c r="G4" s="29">
        <v>6</v>
      </c>
      <c r="H4" s="1">
        <v>4</v>
      </c>
      <c r="I4" s="29">
        <v>6</v>
      </c>
      <c r="J4" s="1">
        <v>0</v>
      </c>
      <c r="K4" s="1">
        <v>4</v>
      </c>
      <c r="L4" s="1">
        <v>5</v>
      </c>
      <c r="M4" s="29">
        <v>6</v>
      </c>
      <c r="N4" s="1">
        <v>5</v>
      </c>
      <c r="O4" s="1">
        <v>5</v>
      </c>
      <c r="P4" s="1">
        <v>4</v>
      </c>
      <c r="Q4" s="1">
        <v>4</v>
      </c>
      <c r="R4" s="1">
        <v>0</v>
      </c>
      <c r="S4" s="1">
        <v>1</v>
      </c>
      <c r="T4" s="1">
        <v>5</v>
      </c>
      <c r="AI4" s="20"/>
      <c r="AJ4" s="14"/>
      <c r="AK4" s="20"/>
      <c r="AL4" s="15"/>
      <c r="AM4" s="15"/>
      <c r="AN4" s="15"/>
      <c r="AO4" s="15"/>
      <c r="AP4" s="15"/>
      <c r="AQ4" s="15"/>
    </row>
    <row r="6" spans="1:43">
      <c r="F6" s="8">
        <v>19</v>
      </c>
      <c r="G6" s="8">
        <v>20</v>
      </c>
      <c r="H6" s="8">
        <v>21</v>
      </c>
      <c r="I6" s="8">
        <v>22</v>
      </c>
      <c r="J6" s="8">
        <v>23</v>
      </c>
      <c r="K6" s="8">
        <v>24</v>
      </c>
      <c r="L6" s="8">
        <v>25</v>
      </c>
      <c r="M6" s="8">
        <v>26</v>
      </c>
      <c r="N6" s="8">
        <v>27</v>
      </c>
      <c r="O6" s="8">
        <v>28</v>
      </c>
      <c r="P6" s="8">
        <v>29</v>
      </c>
      <c r="Q6" s="8">
        <v>30</v>
      </c>
      <c r="R6" s="8">
        <v>31</v>
      </c>
      <c r="S6" s="8">
        <v>32</v>
      </c>
    </row>
    <row r="7" spans="1:43">
      <c r="A7" s="1" t="s">
        <v>135</v>
      </c>
      <c r="B7" s="1" t="s">
        <v>136</v>
      </c>
      <c r="C7" s="1" t="s">
        <v>16</v>
      </c>
      <c r="D7" s="1" t="s">
        <v>137</v>
      </c>
      <c r="E7" s="1"/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3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</row>
    <row r="8" spans="1:43">
      <c r="A8" s="1">
        <v>1</v>
      </c>
      <c r="B8">
        <v>0</v>
      </c>
      <c r="C8">
        <v>0</v>
      </c>
      <c r="D8">
        <f>B8-C8</f>
        <v>0</v>
      </c>
      <c r="F8" s="1">
        <v>4</v>
      </c>
      <c r="G8" s="1">
        <v>5</v>
      </c>
      <c r="H8" s="1">
        <v>4</v>
      </c>
      <c r="I8" s="1">
        <v>5</v>
      </c>
      <c r="J8" s="1">
        <v>5</v>
      </c>
      <c r="K8" s="1">
        <v>5</v>
      </c>
      <c r="L8" s="1">
        <v>5</v>
      </c>
      <c r="M8" s="1">
        <v>4</v>
      </c>
      <c r="N8" s="1">
        <v>5</v>
      </c>
      <c r="O8" s="1">
        <v>5</v>
      </c>
      <c r="P8" s="1">
        <v>5</v>
      </c>
      <c r="Q8" s="1">
        <v>5</v>
      </c>
      <c r="R8" s="1">
        <v>5</v>
      </c>
      <c r="S8" s="1">
        <v>5</v>
      </c>
    </row>
    <row r="9" spans="1:43">
      <c r="A9" s="1">
        <v>2</v>
      </c>
      <c r="B9">
        <v>0</v>
      </c>
      <c r="C9">
        <v>1</v>
      </c>
      <c r="D9">
        <f t="shared" ref="D9:D29" si="0">B9-C9</f>
        <v>-1</v>
      </c>
      <c r="F9" s="1">
        <v>1</v>
      </c>
      <c r="G9" s="1">
        <v>4</v>
      </c>
      <c r="H9" s="1">
        <v>0</v>
      </c>
      <c r="I9" s="1">
        <v>5</v>
      </c>
      <c r="J9" s="29">
        <v>6</v>
      </c>
      <c r="K9" s="1">
        <v>3</v>
      </c>
      <c r="L9" s="29">
        <v>6</v>
      </c>
      <c r="M9" s="29">
        <v>6</v>
      </c>
      <c r="N9" s="1">
        <v>4</v>
      </c>
      <c r="O9" s="1">
        <v>4</v>
      </c>
      <c r="P9" s="1">
        <v>4</v>
      </c>
      <c r="Q9" s="1">
        <v>1</v>
      </c>
      <c r="R9" s="29">
        <v>6</v>
      </c>
      <c r="S9" s="29">
        <v>6</v>
      </c>
    </row>
    <row r="10" spans="1:43">
      <c r="A10" s="1">
        <v>5</v>
      </c>
      <c r="B10">
        <v>0</v>
      </c>
      <c r="C10">
        <v>0</v>
      </c>
      <c r="D10">
        <f t="shared" si="0"/>
        <v>0</v>
      </c>
    </row>
    <row r="11" spans="1:43">
      <c r="A11" s="1">
        <v>7</v>
      </c>
      <c r="B11">
        <v>0</v>
      </c>
      <c r="C11">
        <v>1</v>
      </c>
      <c r="D11">
        <f t="shared" si="0"/>
        <v>-1</v>
      </c>
    </row>
    <row r="12" spans="1:43">
      <c r="A12" s="1">
        <v>8</v>
      </c>
      <c r="B12">
        <v>0</v>
      </c>
      <c r="C12">
        <v>0</v>
      </c>
      <c r="D12">
        <f t="shared" si="0"/>
        <v>0</v>
      </c>
      <c r="G12" t="s">
        <v>138</v>
      </c>
      <c r="H12">
        <f>COUNTIF($D$8:$D$29, "=-1")</f>
        <v>6</v>
      </c>
    </row>
    <row r="13" spans="1:43">
      <c r="A13" s="1">
        <v>9</v>
      </c>
      <c r="B13">
        <v>0</v>
      </c>
      <c r="C13">
        <v>0</v>
      </c>
      <c r="D13">
        <f t="shared" si="0"/>
        <v>0</v>
      </c>
      <c r="G13" t="s">
        <v>139</v>
      </c>
      <c r="H13">
        <f>COUNTIF($D$8:$D$29, "=1")</f>
        <v>0</v>
      </c>
    </row>
    <row r="14" spans="1:43">
      <c r="A14" s="1">
        <v>11</v>
      </c>
      <c r="B14">
        <v>0</v>
      </c>
      <c r="C14">
        <v>0</v>
      </c>
      <c r="D14">
        <f t="shared" si="0"/>
        <v>0</v>
      </c>
    </row>
    <row r="15" spans="1:43">
      <c r="A15" s="1">
        <v>12</v>
      </c>
      <c r="B15">
        <v>0</v>
      </c>
      <c r="C15">
        <v>0</v>
      </c>
      <c r="D15">
        <f t="shared" si="0"/>
        <v>0</v>
      </c>
      <c r="G15" t="s">
        <v>140</v>
      </c>
      <c r="H15">
        <f>(ABS(H12-H13)-1)^2/(H12+H13)</f>
        <v>4.166666666666667</v>
      </c>
    </row>
    <row r="16" spans="1:43">
      <c r="A16" s="1">
        <v>13</v>
      </c>
      <c r="B16">
        <v>0</v>
      </c>
      <c r="C16">
        <v>0</v>
      </c>
      <c r="D16">
        <f t="shared" si="0"/>
        <v>0</v>
      </c>
    </row>
    <row r="17" spans="1:8">
      <c r="A17" s="1">
        <v>14</v>
      </c>
      <c r="B17">
        <v>0</v>
      </c>
      <c r="C17">
        <v>0</v>
      </c>
      <c r="D17">
        <f t="shared" si="0"/>
        <v>0</v>
      </c>
      <c r="G17" t="s">
        <v>141</v>
      </c>
      <c r="H17">
        <v>0.05</v>
      </c>
    </row>
    <row r="18" spans="1:8">
      <c r="A18" s="1">
        <v>15</v>
      </c>
      <c r="B18">
        <v>1</v>
      </c>
      <c r="C18">
        <v>1</v>
      </c>
      <c r="D18">
        <f t="shared" si="0"/>
        <v>0</v>
      </c>
      <c r="G18" t="s">
        <v>142</v>
      </c>
      <c r="H18">
        <f>CHIINV(H17,1)</f>
        <v>3.8414588206941236</v>
      </c>
    </row>
    <row r="19" spans="1:8">
      <c r="A19" s="1">
        <v>17</v>
      </c>
      <c r="B19">
        <v>0</v>
      </c>
      <c r="C19">
        <v>1</v>
      </c>
      <c r="D19">
        <f t="shared" si="0"/>
        <v>-1</v>
      </c>
    </row>
    <row r="20" spans="1:8">
      <c r="A20" s="1">
        <v>18</v>
      </c>
      <c r="B20">
        <v>0</v>
      </c>
      <c r="C20">
        <v>0</v>
      </c>
      <c r="D20">
        <f t="shared" si="0"/>
        <v>0</v>
      </c>
      <c r="G20" t="s">
        <v>143</v>
      </c>
      <c r="H20">
        <f>_xlfn.CHISQ.DIST.RT(H15,1)</f>
        <v>4.1226833337163669E-2</v>
      </c>
    </row>
    <row r="21" spans="1:8">
      <c r="A21" s="1">
        <v>19</v>
      </c>
      <c r="B21">
        <v>0</v>
      </c>
      <c r="C21">
        <v>1</v>
      </c>
      <c r="D21">
        <f t="shared" si="0"/>
        <v>-1</v>
      </c>
    </row>
    <row r="22" spans="1:8">
      <c r="A22" s="1">
        <v>20</v>
      </c>
      <c r="B22">
        <v>0</v>
      </c>
      <c r="C22">
        <v>0</v>
      </c>
      <c r="D22">
        <f t="shared" si="0"/>
        <v>0</v>
      </c>
    </row>
    <row r="23" spans="1:8">
      <c r="A23" s="1">
        <v>21</v>
      </c>
      <c r="B23">
        <v>0</v>
      </c>
      <c r="C23">
        <v>1</v>
      </c>
      <c r="D23">
        <f t="shared" si="0"/>
        <v>-1</v>
      </c>
    </row>
    <row r="24" spans="1:8">
      <c r="A24" s="1">
        <v>22</v>
      </c>
      <c r="B24">
        <v>0</v>
      </c>
      <c r="C24">
        <v>0</v>
      </c>
      <c r="D24">
        <f t="shared" si="0"/>
        <v>0</v>
      </c>
    </row>
    <row r="25" spans="1:8">
      <c r="A25" s="1">
        <v>24</v>
      </c>
      <c r="B25">
        <v>0</v>
      </c>
      <c r="C25">
        <v>0</v>
      </c>
      <c r="D25">
        <f t="shared" si="0"/>
        <v>0</v>
      </c>
    </row>
    <row r="26" spans="1:8">
      <c r="A26" s="1">
        <v>27</v>
      </c>
      <c r="B26" s="61">
        <v>0</v>
      </c>
      <c r="C26" s="61">
        <v>0</v>
      </c>
      <c r="D26">
        <f t="shared" si="0"/>
        <v>0</v>
      </c>
      <c r="E26" s="61"/>
    </row>
    <row r="27" spans="1:8">
      <c r="A27" s="1">
        <v>28</v>
      </c>
      <c r="B27" s="61">
        <v>0</v>
      </c>
      <c r="C27" s="61">
        <v>0</v>
      </c>
      <c r="D27">
        <f t="shared" si="0"/>
        <v>0</v>
      </c>
      <c r="E27" s="61"/>
    </row>
    <row r="28" spans="1:8">
      <c r="A28" s="1">
        <v>29</v>
      </c>
      <c r="B28" s="61">
        <v>0</v>
      </c>
      <c r="C28" s="61">
        <v>0</v>
      </c>
      <c r="D28">
        <f t="shared" si="0"/>
        <v>0</v>
      </c>
      <c r="E28" s="61"/>
    </row>
    <row r="29" spans="1:8">
      <c r="A29" s="1">
        <v>30</v>
      </c>
      <c r="B29" s="61">
        <v>0</v>
      </c>
      <c r="C29" s="61">
        <v>1</v>
      </c>
      <c r="D29">
        <f t="shared" si="0"/>
        <v>-1</v>
      </c>
      <c r="E29" s="6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Draft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Anthony Constantino</dc:creator>
  <cp:lastModifiedBy>Glenn Anthony Constantino</cp:lastModifiedBy>
  <dcterms:created xsi:type="dcterms:W3CDTF">2021-08-23T11:41:30Z</dcterms:created>
  <dcterms:modified xsi:type="dcterms:W3CDTF">2021-09-29T12:05:07Z</dcterms:modified>
</cp:coreProperties>
</file>