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cuments during graduate school\Project during graduate school\Research subjects\synthesis vinyl chloride\photocatalytic synthesis\TEA\"/>
    </mc:Choice>
  </mc:AlternateContent>
  <xr:revisionPtr revIDLastSave="0" documentId="13_ncr:1_{ECABC664-DC2B-41C2-9D61-8BF19D2F5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 S1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3" l="1"/>
  <c r="B14" i="3"/>
  <c r="E7" i="3" l="1"/>
  <c r="D7" i="3"/>
  <c r="C7" i="3"/>
  <c r="E26" i="3"/>
  <c r="E19" i="3"/>
  <c r="E22" i="3" s="1"/>
  <c r="E14" i="3"/>
  <c r="E10" i="3"/>
  <c r="D26" i="3"/>
  <c r="D19" i="3"/>
  <c r="D22" i="3" s="1"/>
  <c r="D14" i="3"/>
  <c r="D10" i="3"/>
  <c r="C26" i="3"/>
  <c r="C19" i="3"/>
  <c r="C22" i="3" s="1"/>
  <c r="C14" i="3"/>
  <c r="C10" i="3"/>
  <c r="B7" i="3"/>
  <c r="B3" i="3"/>
  <c r="B4" i="3" s="1"/>
  <c r="B17" i="3" s="1"/>
  <c r="C3" i="3"/>
  <c r="C4" i="3" s="1"/>
  <c r="C17" i="3" s="1"/>
  <c r="D3" i="3"/>
  <c r="D4" i="3" s="1"/>
  <c r="D17" i="3" s="1"/>
  <c r="E3" i="3"/>
  <c r="E4" i="3" s="1"/>
  <c r="E17" i="3" s="1"/>
  <c r="B10" i="3"/>
  <c r="B22" i="3"/>
  <c r="B26" i="3"/>
  <c r="C9" i="3" l="1"/>
  <c r="C11" i="3" s="1"/>
  <c r="C12" i="3" s="1"/>
  <c r="B9" i="3"/>
  <c r="B11" i="3" s="1"/>
  <c r="D9" i="3"/>
  <c r="D20" i="3" s="1"/>
  <c r="E9" i="3"/>
  <c r="E11" i="3" s="1"/>
  <c r="E12" i="3" s="1"/>
  <c r="D5" i="3"/>
  <c r="B5" i="3"/>
  <c r="B15" i="3" s="1"/>
  <c r="E5" i="3"/>
  <c r="E15" i="3" s="1"/>
  <c r="C5" i="3"/>
  <c r="C15" i="3" s="1"/>
  <c r="C20" i="3" l="1"/>
  <c r="D16" i="3"/>
  <c r="D15" i="3"/>
  <c r="D11" i="3"/>
  <c r="D12" i="3" s="1"/>
  <c r="D23" i="3" s="1"/>
  <c r="D6" i="3"/>
  <c r="B12" i="3"/>
  <c r="E20" i="3"/>
  <c r="D18" i="3"/>
  <c r="B6" i="3"/>
  <c r="B16" i="3"/>
  <c r="E24" i="3"/>
  <c r="E21" i="3"/>
  <c r="E23" i="3"/>
  <c r="E16" i="3"/>
  <c r="E6" i="3"/>
  <c r="D21" i="3"/>
  <c r="C24" i="3"/>
  <c r="C23" i="3"/>
  <c r="C21" i="3"/>
  <c r="C6" i="3"/>
  <c r="C16" i="3"/>
  <c r="B20" i="3"/>
  <c r="D24" i="3" l="1"/>
  <c r="D25" i="3" s="1"/>
  <c r="D27" i="3" s="1"/>
  <c r="B24" i="3"/>
  <c r="B21" i="3"/>
  <c r="B23" i="3"/>
  <c r="E18" i="3"/>
  <c r="E25" i="3" s="1"/>
  <c r="E27" i="3" s="1"/>
  <c r="C18" i="3"/>
  <c r="C25" i="3" s="1"/>
  <c r="C27" i="3" s="1"/>
  <c r="B18" i="3"/>
  <c r="B25" i="3" l="1"/>
  <c r="B27" i="3" s="1"/>
  <c r="BD102" i="3"/>
  <c r="BA102" i="3"/>
  <c r="BB102" i="3" s="1"/>
  <c r="BC102" i="3" s="1"/>
  <c r="BD101" i="3"/>
  <c r="BA101" i="3"/>
  <c r="BB101" i="3" s="1"/>
  <c r="BC101" i="3" s="1"/>
  <c r="BD100" i="3"/>
  <c r="BA100" i="3"/>
  <c r="BB100" i="3" s="1"/>
  <c r="BC100" i="3" s="1"/>
  <c r="BD99" i="3"/>
  <c r="BA99" i="3"/>
  <c r="BB99" i="3" s="1"/>
  <c r="BC99" i="3" s="1"/>
  <c r="BD98" i="3"/>
  <c r="BA98" i="3"/>
  <c r="BB98" i="3" s="1"/>
  <c r="BC98" i="3" s="1"/>
  <c r="BD97" i="3"/>
  <c r="BA97" i="3"/>
  <c r="BB97" i="3" s="1"/>
  <c r="BC97" i="3" s="1"/>
  <c r="BD96" i="3"/>
  <c r="BA96" i="3"/>
  <c r="BB96" i="3" s="1"/>
  <c r="BC96" i="3" s="1"/>
  <c r="BD95" i="3"/>
  <c r="BA95" i="3"/>
  <c r="BB95" i="3" s="1"/>
  <c r="BC95" i="3" s="1"/>
  <c r="BD94" i="3"/>
  <c r="BA94" i="3"/>
  <c r="BB94" i="3" s="1"/>
  <c r="BC94" i="3" s="1"/>
  <c r="BD93" i="3"/>
  <c r="BA93" i="3"/>
  <c r="BB93" i="3" s="1"/>
  <c r="BC93" i="3" s="1"/>
  <c r="BD92" i="3"/>
  <c r="BA92" i="3"/>
  <c r="BB92" i="3" s="1"/>
  <c r="BC92" i="3" s="1"/>
  <c r="BD91" i="3"/>
  <c r="BA91" i="3"/>
  <c r="BB91" i="3" s="1"/>
  <c r="BC91" i="3" s="1"/>
  <c r="BD90" i="3"/>
  <c r="BA90" i="3"/>
  <c r="BB90" i="3" s="1"/>
  <c r="BC90" i="3" s="1"/>
  <c r="BD89" i="3"/>
  <c r="BA89" i="3"/>
  <c r="BB89" i="3" s="1"/>
  <c r="BC89" i="3" s="1"/>
  <c r="BD88" i="3"/>
  <c r="BA88" i="3"/>
  <c r="BB88" i="3" s="1"/>
  <c r="BC88" i="3" s="1"/>
  <c r="BD87" i="3"/>
  <c r="BA87" i="3"/>
  <c r="BB87" i="3" s="1"/>
  <c r="BC87" i="3" s="1"/>
  <c r="BD86" i="3"/>
  <c r="BA86" i="3"/>
  <c r="BB86" i="3" s="1"/>
  <c r="BC86" i="3" s="1"/>
  <c r="BD85" i="3"/>
  <c r="BA85" i="3"/>
  <c r="BB85" i="3" s="1"/>
  <c r="BC85" i="3" s="1"/>
  <c r="BD84" i="3"/>
  <c r="BA84" i="3"/>
  <c r="BB84" i="3" s="1"/>
  <c r="BC84" i="3" s="1"/>
  <c r="BD83" i="3"/>
  <c r="BA83" i="3"/>
  <c r="BB83" i="3" s="1"/>
  <c r="BC83" i="3" s="1"/>
  <c r="BD82" i="3"/>
  <c r="BA82" i="3"/>
  <c r="BB82" i="3" s="1"/>
  <c r="BC82" i="3" s="1"/>
  <c r="BD81" i="3"/>
  <c r="BA81" i="3"/>
  <c r="BB81" i="3" s="1"/>
  <c r="BC81" i="3" s="1"/>
  <c r="BD80" i="3"/>
  <c r="BA80" i="3"/>
  <c r="BB80" i="3" s="1"/>
  <c r="BC80" i="3" s="1"/>
  <c r="BD79" i="3"/>
  <c r="BA79" i="3"/>
  <c r="BB79" i="3" s="1"/>
  <c r="BC79" i="3" s="1"/>
  <c r="BD78" i="3"/>
  <c r="BA78" i="3"/>
  <c r="BB78" i="3" s="1"/>
  <c r="BC78" i="3" s="1"/>
  <c r="BD77" i="3"/>
  <c r="BA77" i="3"/>
  <c r="BB77" i="3" s="1"/>
  <c r="BC77" i="3" s="1"/>
  <c r="BD76" i="3"/>
  <c r="BA76" i="3"/>
  <c r="BB76" i="3" s="1"/>
  <c r="BC76" i="3" s="1"/>
  <c r="BD75" i="3"/>
  <c r="BA75" i="3"/>
  <c r="BB75" i="3" s="1"/>
  <c r="BC75" i="3" s="1"/>
  <c r="BD74" i="3"/>
  <c r="BA74" i="3"/>
  <c r="BB74" i="3" s="1"/>
  <c r="BC74" i="3" s="1"/>
  <c r="BD73" i="3"/>
  <c r="BC73" i="3"/>
  <c r="BA73" i="3"/>
  <c r="BD72" i="3"/>
  <c r="BE72" i="3" s="1"/>
  <c r="BD68" i="3"/>
  <c r="BA68" i="3"/>
  <c r="BB68" i="3" s="1"/>
  <c r="BC68" i="3" s="1"/>
  <c r="BD67" i="3"/>
  <c r="BA67" i="3"/>
  <c r="BB67" i="3" s="1"/>
  <c r="BC67" i="3" s="1"/>
  <c r="BD66" i="3"/>
  <c r="BA66" i="3"/>
  <c r="BB66" i="3" s="1"/>
  <c r="BC66" i="3" s="1"/>
  <c r="BD65" i="3"/>
  <c r="BA65" i="3"/>
  <c r="BB65" i="3" s="1"/>
  <c r="BC65" i="3" s="1"/>
  <c r="BD64" i="3"/>
  <c r="BA64" i="3"/>
  <c r="BB64" i="3" s="1"/>
  <c r="BC64" i="3" s="1"/>
  <c r="BD63" i="3"/>
  <c r="BA63" i="3"/>
  <c r="BB63" i="3" s="1"/>
  <c r="BC63" i="3" s="1"/>
  <c r="BD62" i="3"/>
  <c r="BA62" i="3"/>
  <c r="BB62" i="3" s="1"/>
  <c r="BC62" i="3" s="1"/>
  <c r="BD61" i="3"/>
  <c r="BA61" i="3"/>
  <c r="BB61" i="3" s="1"/>
  <c r="BC61" i="3" s="1"/>
  <c r="BD60" i="3"/>
  <c r="BA60" i="3"/>
  <c r="BB60" i="3" s="1"/>
  <c r="BC60" i="3" s="1"/>
  <c r="BD59" i="3"/>
  <c r="BA59" i="3"/>
  <c r="BB59" i="3" s="1"/>
  <c r="BC59" i="3" s="1"/>
  <c r="BD58" i="3"/>
  <c r="BA58" i="3"/>
  <c r="BB58" i="3" s="1"/>
  <c r="BC58" i="3" s="1"/>
  <c r="BD57" i="3"/>
  <c r="BA57" i="3"/>
  <c r="BB57" i="3" s="1"/>
  <c r="BC57" i="3" s="1"/>
  <c r="BD56" i="3"/>
  <c r="BA56" i="3"/>
  <c r="BB56" i="3" s="1"/>
  <c r="BC56" i="3" s="1"/>
  <c r="BD55" i="3"/>
  <c r="BA55" i="3"/>
  <c r="BB55" i="3" s="1"/>
  <c r="BC55" i="3" s="1"/>
  <c r="BD54" i="3"/>
  <c r="BA54" i="3"/>
  <c r="BB54" i="3" s="1"/>
  <c r="BC54" i="3" s="1"/>
  <c r="BD53" i="3"/>
  <c r="BA53" i="3"/>
  <c r="BB53" i="3" s="1"/>
  <c r="BC53" i="3" s="1"/>
  <c r="BD52" i="3"/>
  <c r="BA52" i="3"/>
  <c r="BB52" i="3" s="1"/>
  <c r="BC52" i="3" s="1"/>
  <c r="BD51" i="3"/>
  <c r="BA51" i="3"/>
  <c r="BB51" i="3" s="1"/>
  <c r="BC51" i="3" s="1"/>
  <c r="BD50" i="3"/>
  <c r="BA50" i="3"/>
  <c r="BB50" i="3" s="1"/>
  <c r="BC50" i="3" s="1"/>
  <c r="BD49" i="3"/>
  <c r="BA49" i="3"/>
  <c r="BB49" i="3" s="1"/>
  <c r="BC49" i="3" s="1"/>
  <c r="BD48" i="3"/>
  <c r="BA48" i="3"/>
  <c r="BB48" i="3" s="1"/>
  <c r="BC48" i="3" s="1"/>
  <c r="BD47" i="3"/>
  <c r="BA47" i="3"/>
  <c r="BB47" i="3" s="1"/>
  <c r="BC47" i="3" s="1"/>
  <c r="BD46" i="3"/>
  <c r="BA46" i="3"/>
  <c r="BB46" i="3" s="1"/>
  <c r="BC46" i="3" s="1"/>
  <c r="BD45" i="3"/>
  <c r="BA45" i="3"/>
  <c r="BB45" i="3" s="1"/>
  <c r="BC45" i="3" s="1"/>
  <c r="BD44" i="3"/>
  <c r="BA44" i="3"/>
  <c r="BB44" i="3" s="1"/>
  <c r="BC44" i="3" s="1"/>
  <c r="BD43" i="3"/>
  <c r="BA43" i="3"/>
  <c r="BB43" i="3" s="1"/>
  <c r="BC43" i="3" s="1"/>
  <c r="BD42" i="3"/>
  <c r="BA42" i="3"/>
  <c r="BB42" i="3" s="1"/>
  <c r="BC42" i="3" s="1"/>
  <c r="BD41" i="3"/>
  <c r="BA41" i="3"/>
  <c r="BB41" i="3" s="1"/>
  <c r="BC41" i="3" s="1"/>
  <c r="BD40" i="3"/>
  <c r="BA40" i="3"/>
  <c r="BB40" i="3" s="1"/>
  <c r="BC40" i="3" s="1"/>
  <c r="BD39" i="3"/>
  <c r="BC39" i="3"/>
  <c r="BA39" i="3"/>
  <c r="BD38" i="3"/>
  <c r="BE38" i="3" s="1"/>
  <c r="BD34" i="3"/>
  <c r="BA34" i="3"/>
  <c r="BB34" i="3" s="1"/>
  <c r="BC34" i="3" s="1"/>
  <c r="BD33" i="3"/>
  <c r="BA33" i="3"/>
  <c r="BB33" i="3" s="1"/>
  <c r="BC33" i="3" s="1"/>
  <c r="BD32" i="3"/>
  <c r="BA32" i="3"/>
  <c r="BB32" i="3" s="1"/>
  <c r="BC32" i="3" s="1"/>
  <c r="BD31" i="3"/>
  <c r="BA31" i="3"/>
  <c r="BB31" i="3" s="1"/>
  <c r="BC31" i="3" s="1"/>
  <c r="BD30" i="3"/>
  <c r="BA30" i="3"/>
  <c r="BB30" i="3" s="1"/>
  <c r="BC30" i="3" s="1"/>
  <c r="BD29" i="3"/>
  <c r="BA29" i="3"/>
  <c r="BB29" i="3" s="1"/>
  <c r="BC29" i="3" s="1"/>
  <c r="BD28" i="3"/>
  <c r="BA28" i="3"/>
  <c r="BB28" i="3" s="1"/>
  <c r="BC28" i="3" s="1"/>
  <c r="BD27" i="3"/>
  <c r="BA27" i="3"/>
  <c r="BB27" i="3" s="1"/>
  <c r="BC27" i="3" s="1"/>
  <c r="BD26" i="3"/>
  <c r="BA26" i="3"/>
  <c r="BB26" i="3" s="1"/>
  <c r="BC26" i="3" s="1"/>
  <c r="BD25" i="3"/>
  <c r="BA25" i="3"/>
  <c r="BB25" i="3" s="1"/>
  <c r="BC25" i="3" s="1"/>
  <c r="BD24" i="3"/>
  <c r="BA24" i="3"/>
  <c r="BB24" i="3" s="1"/>
  <c r="BC24" i="3" s="1"/>
  <c r="BD23" i="3"/>
  <c r="BA23" i="3"/>
  <c r="BB23" i="3" s="1"/>
  <c r="BC23" i="3" s="1"/>
  <c r="BD22" i="3"/>
  <c r="BA22" i="3"/>
  <c r="BB22" i="3" s="1"/>
  <c r="BC22" i="3" s="1"/>
  <c r="BD21" i="3"/>
  <c r="BA21" i="3"/>
  <c r="BB21" i="3" s="1"/>
  <c r="BC21" i="3" s="1"/>
  <c r="BD20" i="3"/>
  <c r="BA20" i="3"/>
  <c r="BB20" i="3" s="1"/>
  <c r="BC20" i="3" s="1"/>
  <c r="BD19" i="3"/>
  <c r="BA19" i="3"/>
  <c r="BB19" i="3" s="1"/>
  <c r="BC19" i="3" s="1"/>
  <c r="BD18" i="3"/>
  <c r="BA18" i="3"/>
  <c r="BB18" i="3" s="1"/>
  <c r="BC18" i="3" s="1"/>
  <c r="BD17" i="3"/>
  <c r="BA17" i="3"/>
  <c r="BB17" i="3" s="1"/>
  <c r="BC17" i="3" s="1"/>
  <c r="BD16" i="3"/>
  <c r="BA16" i="3"/>
  <c r="BB16" i="3" s="1"/>
  <c r="BC16" i="3" s="1"/>
  <c r="BD15" i="3"/>
  <c r="BA15" i="3"/>
  <c r="BB15" i="3" s="1"/>
  <c r="BC15" i="3" s="1"/>
  <c r="BD14" i="3"/>
  <c r="BA14" i="3"/>
  <c r="BB14" i="3" s="1"/>
  <c r="BC14" i="3" s="1"/>
  <c r="BD13" i="3"/>
  <c r="BA13" i="3"/>
  <c r="BB13" i="3" s="1"/>
  <c r="BC13" i="3" s="1"/>
  <c r="BD12" i="3"/>
  <c r="BA12" i="3"/>
  <c r="BB12" i="3" s="1"/>
  <c r="BC12" i="3" s="1"/>
  <c r="BD11" i="3"/>
  <c r="BA11" i="3"/>
  <c r="BB11" i="3" s="1"/>
  <c r="BC11" i="3" s="1"/>
  <c r="BD10" i="3"/>
  <c r="BA10" i="3"/>
  <c r="BB10" i="3" s="1"/>
  <c r="BC10" i="3" s="1"/>
  <c r="BD9" i="3"/>
  <c r="BA9" i="3"/>
  <c r="BB9" i="3" s="1"/>
  <c r="BC9" i="3" s="1"/>
  <c r="BD8" i="3"/>
  <c r="BA8" i="3"/>
  <c r="BB8" i="3" s="1"/>
  <c r="BC8" i="3" s="1"/>
  <c r="BD7" i="3"/>
  <c r="BA7" i="3"/>
  <c r="BB7" i="3" s="1"/>
  <c r="BC7" i="3" s="1"/>
  <c r="BD6" i="3"/>
  <c r="BA6" i="3"/>
  <c r="BB6" i="3" s="1"/>
  <c r="BC6" i="3" s="1"/>
  <c r="BD5" i="3"/>
  <c r="BC5" i="3"/>
  <c r="BA5" i="3"/>
  <c r="BD4" i="3"/>
  <c r="BE4" i="3" s="1"/>
  <c r="AT102" i="3"/>
  <c r="AQ102" i="3"/>
  <c r="AR102" i="3" s="1"/>
  <c r="AS102" i="3" s="1"/>
  <c r="AT101" i="3"/>
  <c r="AQ101" i="3"/>
  <c r="AR101" i="3" s="1"/>
  <c r="AS101" i="3" s="1"/>
  <c r="AT100" i="3"/>
  <c r="AQ100" i="3"/>
  <c r="AR100" i="3" s="1"/>
  <c r="AS100" i="3" s="1"/>
  <c r="AT99" i="3"/>
  <c r="AQ99" i="3"/>
  <c r="AR99" i="3" s="1"/>
  <c r="AS99" i="3" s="1"/>
  <c r="AT98" i="3"/>
  <c r="AQ98" i="3"/>
  <c r="AR98" i="3" s="1"/>
  <c r="AS98" i="3" s="1"/>
  <c r="AT97" i="3"/>
  <c r="AQ97" i="3"/>
  <c r="AR97" i="3" s="1"/>
  <c r="AS97" i="3" s="1"/>
  <c r="AT96" i="3"/>
  <c r="AQ96" i="3"/>
  <c r="AR96" i="3" s="1"/>
  <c r="AS96" i="3" s="1"/>
  <c r="AT95" i="3"/>
  <c r="AQ95" i="3"/>
  <c r="AR95" i="3" s="1"/>
  <c r="AS95" i="3" s="1"/>
  <c r="AT94" i="3"/>
  <c r="AQ94" i="3"/>
  <c r="AR94" i="3" s="1"/>
  <c r="AS94" i="3" s="1"/>
  <c r="AT93" i="3"/>
  <c r="AQ93" i="3"/>
  <c r="AR93" i="3" s="1"/>
  <c r="AS93" i="3" s="1"/>
  <c r="AT92" i="3"/>
  <c r="AQ92" i="3"/>
  <c r="AR92" i="3" s="1"/>
  <c r="AS92" i="3" s="1"/>
  <c r="AT91" i="3"/>
  <c r="AQ91" i="3"/>
  <c r="AR91" i="3" s="1"/>
  <c r="AS91" i="3" s="1"/>
  <c r="AT90" i="3"/>
  <c r="AQ90" i="3"/>
  <c r="AR90" i="3" s="1"/>
  <c r="AS90" i="3" s="1"/>
  <c r="AT89" i="3"/>
  <c r="AQ89" i="3"/>
  <c r="AR89" i="3" s="1"/>
  <c r="AS89" i="3" s="1"/>
  <c r="AT88" i="3"/>
  <c r="AQ88" i="3"/>
  <c r="AR88" i="3" s="1"/>
  <c r="AS88" i="3" s="1"/>
  <c r="AT87" i="3"/>
  <c r="AQ87" i="3"/>
  <c r="AR87" i="3" s="1"/>
  <c r="AS87" i="3" s="1"/>
  <c r="AT86" i="3"/>
  <c r="AQ86" i="3"/>
  <c r="AR86" i="3" s="1"/>
  <c r="AS86" i="3" s="1"/>
  <c r="AT85" i="3"/>
  <c r="AQ85" i="3"/>
  <c r="AR85" i="3" s="1"/>
  <c r="AS85" i="3" s="1"/>
  <c r="AT84" i="3"/>
  <c r="AQ84" i="3"/>
  <c r="AR84" i="3" s="1"/>
  <c r="AS84" i="3" s="1"/>
  <c r="AT83" i="3"/>
  <c r="AQ83" i="3"/>
  <c r="AR83" i="3" s="1"/>
  <c r="AS83" i="3" s="1"/>
  <c r="AT82" i="3"/>
  <c r="AQ82" i="3"/>
  <c r="AR82" i="3" s="1"/>
  <c r="AS82" i="3" s="1"/>
  <c r="AT81" i="3"/>
  <c r="AQ81" i="3"/>
  <c r="AR81" i="3" s="1"/>
  <c r="AS81" i="3" s="1"/>
  <c r="AT80" i="3"/>
  <c r="AQ80" i="3"/>
  <c r="AR80" i="3" s="1"/>
  <c r="AS80" i="3" s="1"/>
  <c r="AT79" i="3"/>
  <c r="AQ79" i="3"/>
  <c r="AR79" i="3" s="1"/>
  <c r="AS79" i="3" s="1"/>
  <c r="AT78" i="3"/>
  <c r="AQ78" i="3"/>
  <c r="AR78" i="3" s="1"/>
  <c r="AS78" i="3" s="1"/>
  <c r="AT77" i="3"/>
  <c r="AQ77" i="3"/>
  <c r="AR77" i="3" s="1"/>
  <c r="AS77" i="3" s="1"/>
  <c r="AT76" i="3"/>
  <c r="AQ76" i="3"/>
  <c r="AR76" i="3" s="1"/>
  <c r="AS76" i="3" s="1"/>
  <c r="AT75" i="3"/>
  <c r="AQ75" i="3"/>
  <c r="AR75" i="3" s="1"/>
  <c r="AS75" i="3" s="1"/>
  <c r="AT74" i="3"/>
  <c r="AQ74" i="3"/>
  <c r="AR74" i="3" s="1"/>
  <c r="AS74" i="3" s="1"/>
  <c r="AT73" i="3"/>
  <c r="AS73" i="3"/>
  <c r="AQ73" i="3"/>
  <c r="AT72" i="3"/>
  <c r="AU72" i="3" s="1"/>
  <c r="AT68" i="3"/>
  <c r="AQ68" i="3"/>
  <c r="AR68" i="3" s="1"/>
  <c r="AS68" i="3" s="1"/>
  <c r="AT67" i="3"/>
  <c r="AQ67" i="3"/>
  <c r="AR67" i="3" s="1"/>
  <c r="AS67" i="3" s="1"/>
  <c r="AT66" i="3"/>
  <c r="AQ66" i="3"/>
  <c r="AR66" i="3" s="1"/>
  <c r="AS66" i="3" s="1"/>
  <c r="AT65" i="3"/>
  <c r="AQ65" i="3"/>
  <c r="AR65" i="3" s="1"/>
  <c r="AS65" i="3" s="1"/>
  <c r="AT64" i="3"/>
  <c r="AQ64" i="3"/>
  <c r="AR64" i="3" s="1"/>
  <c r="AS64" i="3" s="1"/>
  <c r="AT63" i="3"/>
  <c r="AQ63" i="3"/>
  <c r="AR63" i="3" s="1"/>
  <c r="AS63" i="3" s="1"/>
  <c r="AT62" i="3"/>
  <c r="AQ62" i="3"/>
  <c r="AR62" i="3" s="1"/>
  <c r="AS62" i="3" s="1"/>
  <c r="AT61" i="3"/>
  <c r="AQ61" i="3"/>
  <c r="AR61" i="3" s="1"/>
  <c r="AS61" i="3" s="1"/>
  <c r="AT60" i="3"/>
  <c r="AQ60" i="3"/>
  <c r="AR60" i="3" s="1"/>
  <c r="AS60" i="3" s="1"/>
  <c r="AT59" i="3"/>
  <c r="AQ59" i="3"/>
  <c r="AR59" i="3" s="1"/>
  <c r="AS59" i="3" s="1"/>
  <c r="AT58" i="3"/>
  <c r="AQ58" i="3"/>
  <c r="AR58" i="3" s="1"/>
  <c r="AS58" i="3" s="1"/>
  <c r="AT57" i="3"/>
  <c r="AQ57" i="3"/>
  <c r="AR57" i="3" s="1"/>
  <c r="AS57" i="3" s="1"/>
  <c r="AT56" i="3"/>
  <c r="AQ56" i="3"/>
  <c r="AR56" i="3" s="1"/>
  <c r="AS56" i="3" s="1"/>
  <c r="AT55" i="3"/>
  <c r="AQ55" i="3"/>
  <c r="AR55" i="3" s="1"/>
  <c r="AS55" i="3" s="1"/>
  <c r="AT54" i="3"/>
  <c r="AQ54" i="3"/>
  <c r="AR54" i="3" s="1"/>
  <c r="AS54" i="3" s="1"/>
  <c r="AT53" i="3"/>
  <c r="AQ53" i="3"/>
  <c r="AR53" i="3" s="1"/>
  <c r="AS53" i="3" s="1"/>
  <c r="AT52" i="3"/>
  <c r="AQ52" i="3"/>
  <c r="AR52" i="3" s="1"/>
  <c r="AS52" i="3" s="1"/>
  <c r="AT51" i="3"/>
  <c r="AQ51" i="3"/>
  <c r="AR51" i="3" s="1"/>
  <c r="AS51" i="3" s="1"/>
  <c r="AT50" i="3"/>
  <c r="AQ50" i="3"/>
  <c r="AR50" i="3" s="1"/>
  <c r="AS50" i="3" s="1"/>
  <c r="AT49" i="3"/>
  <c r="AQ49" i="3"/>
  <c r="AR49" i="3" s="1"/>
  <c r="AS49" i="3" s="1"/>
  <c r="AT48" i="3"/>
  <c r="AQ48" i="3"/>
  <c r="AR48" i="3" s="1"/>
  <c r="AS48" i="3" s="1"/>
  <c r="AT47" i="3"/>
  <c r="AQ47" i="3"/>
  <c r="AR47" i="3" s="1"/>
  <c r="AS47" i="3" s="1"/>
  <c r="AT46" i="3"/>
  <c r="AQ46" i="3"/>
  <c r="AR46" i="3" s="1"/>
  <c r="AS46" i="3" s="1"/>
  <c r="AT45" i="3"/>
  <c r="AQ45" i="3"/>
  <c r="AR45" i="3" s="1"/>
  <c r="AS45" i="3" s="1"/>
  <c r="AT44" i="3"/>
  <c r="AQ44" i="3"/>
  <c r="AR44" i="3" s="1"/>
  <c r="AS44" i="3" s="1"/>
  <c r="AT43" i="3"/>
  <c r="AQ43" i="3"/>
  <c r="AR43" i="3" s="1"/>
  <c r="AS43" i="3" s="1"/>
  <c r="AT42" i="3"/>
  <c r="AQ42" i="3"/>
  <c r="AR42" i="3" s="1"/>
  <c r="AS42" i="3" s="1"/>
  <c r="AT41" i="3"/>
  <c r="AQ41" i="3"/>
  <c r="AR41" i="3" s="1"/>
  <c r="AS41" i="3" s="1"/>
  <c r="AT40" i="3"/>
  <c r="AQ40" i="3"/>
  <c r="AR40" i="3" s="1"/>
  <c r="AS40" i="3" s="1"/>
  <c r="AT39" i="3"/>
  <c r="AS39" i="3"/>
  <c r="AQ39" i="3"/>
  <c r="AT38" i="3"/>
  <c r="AU38" i="3" s="1"/>
  <c r="AT34" i="3"/>
  <c r="AQ34" i="3"/>
  <c r="AR34" i="3" s="1"/>
  <c r="AS34" i="3" s="1"/>
  <c r="AT33" i="3"/>
  <c r="AQ33" i="3"/>
  <c r="AR33" i="3" s="1"/>
  <c r="AS33" i="3" s="1"/>
  <c r="AT32" i="3"/>
  <c r="AQ32" i="3"/>
  <c r="AR32" i="3" s="1"/>
  <c r="AS32" i="3" s="1"/>
  <c r="AT31" i="3"/>
  <c r="AQ31" i="3"/>
  <c r="AR31" i="3" s="1"/>
  <c r="AS31" i="3" s="1"/>
  <c r="AT30" i="3"/>
  <c r="AQ30" i="3"/>
  <c r="AR30" i="3" s="1"/>
  <c r="AS30" i="3" s="1"/>
  <c r="AT29" i="3"/>
  <c r="AQ29" i="3"/>
  <c r="AR29" i="3" s="1"/>
  <c r="AS29" i="3" s="1"/>
  <c r="AT28" i="3"/>
  <c r="AQ28" i="3"/>
  <c r="AR28" i="3" s="1"/>
  <c r="AS28" i="3" s="1"/>
  <c r="AT27" i="3"/>
  <c r="AQ27" i="3"/>
  <c r="AR27" i="3" s="1"/>
  <c r="AS27" i="3" s="1"/>
  <c r="AT26" i="3"/>
  <c r="AQ26" i="3"/>
  <c r="AR26" i="3" s="1"/>
  <c r="AS26" i="3" s="1"/>
  <c r="AT25" i="3"/>
  <c r="AQ25" i="3"/>
  <c r="AR25" i="3" s="1"/>
  <c r="AS25" i="3" s="1"/>
  <c r="AT24" i="3"/>
  <c r="AQ24" i="3"/>
  <c r="AR24" i="3" s="1"/>
  <c r="AS24" i="3" s="1"/>
  <c r="AT23" i="3"/>
  <c r="AQ23" i="3"/>
  <c r="AR23" i="3" s="1"/>
  <c r="AS23" i="3" s="1"/>
  <c r="AT22" i="3"/>
  <c r="AQ22" i="3"/>
  <c r="AR22" i="3" s="1"/>
  <c r="AS22" i="3" s="1"/>
  <c r="AT21" i="3"/>
  <c r="AQ21" i="3"/>
  <c r="AR21" i="3" s="1"/>
  <c r="AS21" i="3" s="1"/>
  <c r="AT20" i="3"/>
  <c r="AQ20" i="3"/>
  <c r="AR20" i="3" s="1"/>
  <c r="AS20" i="3" s="1"/>
  <c r="AT19" i="3"/>
  <c r="AQ19" i="3"/>
  <c r="AR19" i="3" s="1"/>
  <c r="AS19" i="3" s="1"/>
  <c r="AT18" i="3"/>
  <c r="AQ18" i="3"/>
  <c r="AR18" i="3" s="1"/>
  <c r="AS18" i="3" s="1"/>
  <c r="AT17" i="3"/>
  <c r="AQ17" i="3"/>
  <c r="AR17" i="3" s="1"/>
  <c r="AS17" i="3" s="1"/>
  <c r="AT16" i="3"/>
  <c r="AQ16" i="3"/>
  <c r="AR16" i="3" s="1"/>
  <c r="AS16" i="3" s="1"/>
  <c r="AT15" i="3"/>
  <c r="AQ15" i="3"/>
  <c r="AR15" i="3" s="1"/>
  <c r="AS15" i="3" s="1"/>
  <c r="AT14" i="3"/>
  <c r="AQ14" i="3"/>
  <c r="AR14" i="3" s="1"/>
  <c r="AS14" i="3" s="1"/>
  <c r="AT13" i="3"/>
  <c r="AQ13" i="3"/>
  <c r="AR13" i="3" s="1"/>
  <c r="AS13" i="3" s="1"/>
  <c r="AT12" i="3"/>
  <c r="AQ12" i="3"/>
  <c r="AR12" i="3" s="1"/>
  <c r="AS12" i="3" s="1"/>
  <c r="AT11" i="3"/>
  <c r="AQ11" i="3"/>
  <c r="AR11" i="3" s="1"/>
  <c r="AS11" i="3" s="1"/>
  <c r="AT10" i="3"/>
  <c r="AQ10" i="3"/>
  <c r="AR10" i="3" s="1"/>
  <c r="AS10" i="3" s="1"/>
  <c r="AT9" i="3"/>
  <c r="AQ9" i="3"/>
  <c r="AR9" i="3" s="1"/>
  <c r="AS9" i="3" s="1"/>
  <c r="AT8" i="3"/>
  <c r="AQ8" i="3"/>
  <c r="AR8" i="3" s="1"/>
  <c r="AS8" i="3" s="1"/>
  <c r="AT7" i="3"/>
  <c r="AQ7" i="3"/>
  <c r="AR7" i="3" s="1"/>
  <c r="AS7" i="3" s="1"/>
  <c r="AT6" i="3"/>
  <c r="AQ6" i="3"/>
  <c r="AR6" i="3" s="1"/>
  <c r="AS6" i="3" s="1"/>
  <c r="AT5" i="3"/>
  <c r="AS5" i="3"/>
  <c r="AQ5" i="3"/>
  <c r="AT4" i="3"/>
  <c r="AU4" i="3" s="1"/>
  <c r="AJ102" i="3"/>
  <c r="AG102" i="3"/>
  <c r="AH102" i="3" s="1"/>
  <c r="AI102" i="3" s="1"/>
  <c r="AJ101" i="3"/>
  <c r="AG101" i="3"/>
  <c r="AH101" i="3" s="1"/>
  <c r="AI101" i="3" s="1"/>
  <c r="AJ100" i="3"/>
  <c r="AG100" i="3"/>
  <c r="AH100" i="3" s="1"/>
  <c r="AI100" i="3" s="1"/>
  <c r="AJ99" i="3"/>
  <c r="AG99" i="3"/>
  <c r="AH99" i="3" s="1"/>
  <c r="AI99" i="3" s="1"/>
  <c r="AJ98" i="3"/>
  <c r="AG98" i="3"/>
  <c r="AH98" i="3" s="1"/>
  <c r="AI98" i="3" s="1"/>
  <c r="AJ97" i="3"/>
  <c r="AG97" i="3"/>
  <c r="AH97" i="3" s="1"/>
  <c r="AI97" i="3" s="1"/>
  <c r="AJ96" i="3"/>
  <c r="AG96" i="3"/>
  <c r="AH96" i="3" s="1"/>
  <c r="AI96" i="3" s="1"/>
  <c r="AJ95" i="3"/>
  <c r="AG95" i="3"/>
  <c r="AH95" i="3" s="1"/>
  <c r="AI95" i="3" s="1"/>
  <c r="AJ94" i="3"/>
  <c r="AG94" i="3"/>
  <c r="AH94" i="3" s="1"/>
  <c r="AI94" i="3" s="1"/>
  <c r="AJ93" i="3"/>
  <c r="AG93" i="3"/>
  <c r="AH93" i="3" s="1"/>
  <c r="AI93" i="3" s="1"/>
  <c r="AJ92" i="3"/>
  <c r="AG92" i="3"/>
  <c r="AH92" i="3" s="1"/>
  <c r="AI92" i="3" s="1"/>
  <c r="AJ91" i="3"/>
  <c r="AG91" i="3"/>
  <c r="AH91" i="3" s="1"/>
  <c r="AI91" i="3" s="1"/>
  <c r="AJ90" i="3"/>
  <c r="AG90" i="3"/>
  <c r="AH90" i="3" s="1"/>
  <c r="AI90" i="3" s="1"/>
  <c r="AJ89" i="3"/>
  <c r="AG89" i="3"/>
  <c r="AH89" i="3" s="1"/>
  <c r="AI89" i="3" s="1"/>
  <c r="AJ88" i="3"/>
  <c r="AG88" i="3"/>
  <c r="AH88" i="3" s="1"/>
  <c r="AI88" i="3" s="1"/>
  <c r="AJ87" i="3"/>
  <c r="AG87" i="3"/>
  <c r="AH87" i="3" s="1"/>
  <c r="AI87" i="3" s="1"/>
  <c r="AJ86" i="3"/>
  <c r="AG86" i="3"/>
  <c r="AH86" i="3" s="1"/>
  <c r="AI86" i="3" s="1"/>
  <c r="AJ85" i="3"/>
  <c r="AG85" i="3"/>
  <c r="AH85" i="3" s="1"/>
  <c r="AI85" i="3" s="1"/>
  <c r="AJ84" i="3"/>
  <c r="AG84" i="3"/>
  <c r="AH84" i="3" s="1"/>
  <c r="AI84" i="3" s="1"/>
  <c r="AJ83" i="3"/>
  <c r="AG83" i="3"/>
  <c r="AH83" i="3" s="1"/>
  <c r="AI83" i="3" s="1"/>
  <c r="AJ82" i="3"/>
  <c r="AG82" i="3"/>
  <c r="AH82" i="3" s="1"/>
  <c r="AI82" i="3" s="1"/>
  <c r="AJ81" i="3"/>
  <c r="AG81" i="3"/>
  <c r="AH81" i="3" s="1"/>
  <c r="AI81" i="3" s="1"/>
  <c r="AJ80" i="3"/>
  <c r="AG80" i="3"/>
  <c r="AH80" i="3" s="1"/>
  <c r="AI80" i="3" s="1"/>
  <c r="AJ79" i="3"/>
  <c r="AG79" i="3"/>
  <c r="AH79" i="3" s="1"/>
  <c r="AI79" i="3" s="1"/>
  <c r="AJ78" i="3"/>
  <c r="AG78" i="3"/>
  <c r="AH78" i="3" s="1"/>
  <c r="AI78" i="3" s="1"/>
  <c r="AJ77" i="3"/>
  <c r="AG77" i="3"/>
  <c r="AH77" i="3" s="1"/>
  <c r="AI77" i="3" s="1"/>
  <c r="AJ76" i="3"/>
  <c r="AG76" i="3"/>
  <c r="AH76" i="3" s="1"/>
  <c r="AI76" i="3" s="1"/>
  <c r="AJ75" i="3"/>
  <c r="AG75" i="3"/>
  <c r="AH75" i="3" s="1"/>
  <c r="AI75" i="3" s="1"/>
  <c r="AJ74" i="3"/>
  <c r="AG74" i="3"/>
  <c r="AH74" i="3" s="1"/>
  <c r="AI74" i="3" s="1"/>
  <c r="AJ73" i="3"/>
  <c r="AI73" i="3"/>
  <c r="AG73" i="3"/>
  <c r="AJ72" i="3"/>
  <c r="AK72" i="3" s="1"/>
  <c r="AJ68" i="3"/>
  <c r="AG68" i="3"/>
  <c r="AH68" i="3" s="1"/>
  <c r="AI68" i="3" s="1"/>
  <c r="AJ67" i="3"/>
  <c r="AG67" i="3"/>
  <c r="AH67" i="3" s="1"/>
  <c r="AI67" i="3" s="1"/>
  <c r="AJ66" i="3"/>
  <c r="AG66" i="3"/>
  <c r="AH66" i="3" s="1"/>
  <c r="AI66" i="3" s="1"/>
  <c r="AJ65" i="3"/>
  <c r="AG65" i="3"/>
  <c r="AH65" i="3" s="1"/>
  <c r="AI65" i="3" s="1"/>
  <c r="AJ64" i="3"/>
  <c r="AG64" i="3"/>
  <c r="AH64" i="3" s="1"/>
  <c r="AI64" i="3" s="1"/>
  <c r="AJ63" i="3"/>
  <c r="AG63" i="3"/>
  <c r="AH63" i="3" s="1"/>
  <c r="AI63" i="3" s="1"/>
  <c r="AJ62" i="3"/>
  <c r="AG62" i="3"/>
  <c r="AH62" i="3" s="1"/>
  <c r="AI62" i="3" s="1"/>
  <c r="AJ61" i="3"/>
  <c r="AG61" i="3"/>
  <c r="AH61" i="3" s="1"/>
  <c r="AI61" i="3" s="1"/>
  <c r="AJ60" i="3"/>
  <c r="AG60" i="3"/>
  <c r="AH60" i="3" s="1"/>
  <c r="AI60" i="3" s="1"/>
  <c r="AJ59" i="3"/>
  <c r="AG59" i="3"/>
  <c r="AH59" i="3" s="1"/>
  <c r="AI59" i="3" s="1"/>
  <c r="AJ58" i="3"/>
  <c r="AG58" i="3"/>
  <c r="AH58" i="3" s="1"/>
  <c r="AI58" i="3" s="1"/>
  <c r="AJ57" i="3"/>
  <c r="AG57" i="3"/>
  <c r="AH57" i="3" s="1"/>
  <c r="AI57" i="3" s="1"/>
  <c r="AJ56" i="3"/>
  <c r="AG56" i="3"/>
  <c r="AH56" i="3" s="1"/>
  <c r="AI56" i="3" s="1"/>
  <c r="AJ55" i="3"/>
  <c r="AG55" i="3"/>
  <c r="AH55" i="3" s="1"/>
  <c r="AI55" i="3" s="1"/>
  <c r="AJ54" i="3"/>
  <c r="AG54" i="3"/>
  <c r="AH54" i="3" s="1"/>
  <c r="AI54" i="3" s="1"/>
  <c r="AJ53" i="3"/>
  <c r="AG53" i="3"/>
  <c r="AH53" i="3" s="1"/>
  <c r="AI53" i="3" s="1"/>
  <c r="AJ52" i="3"/>
  <c r="AG52" i="3"/>
  <c r="AH52" i="3" s="1"/>
  <c r="AI52" i="3" s="1"/>
  <c r="AJ51" i="3"/>
  <c r="AG51" i="3"/>
  <c r="AH51" i="3" s="1"/>
  <c r="AI51" i="3" s="1"/>
  <c r="AJ50" i="3"/>
  <c r="AG50" i="3"/>
  <c r="AH50" i="3" s="1"/>
  <c r="AI50" i="3" s="1"/>
  <c r="AJ49" i="3"/>
  <c r="AG49" i="3"/>
  <c r="AH49" i="3" s="1"/>
  <c r="AI49" i="3" s="1"/>
  <c r="AJ48" i="3"/>
  <c r="AG48" i="3"/>
  <c r="AH48" i="3" s="1"/>
  <c r="AI48" i="3" s="1"/>
  <c r="AJ47" i="3"/>
  <c r="AG47" i="3"/>
  <c r="AH47" i="3" s="1"/>
  <c r="AI47" i="3" s="1"/>
  <c r="AJ46" i="3"/>
  <c r="AG46" i="3"/>
  <c r="AH46" i="3" s="1"/>
  <c r="AI46" i="3" s="1"/>
  <c r="AJ45" i="3"/>
  <c r="AG45" i="3"/>
  <c r="AH45" i="3" s="1"/>
  <c r="AI45" i="3" s="1"/>
  <c r="AJ44" i="3"/>
  <c r="AG44" i="3"/>
  <c r="AH44" i="3" s="1"/>
  <c r="AI44" i="3" s="1"/>
  <c r="AJ43" i="3"/>
  <c r="AG43" i="3"/>
  <c r="AH43" i="3" s="1"/>
  <c r="AI43" i="3" s="1"/>
  <c r="AJ42" i="3"/>
  <c r="AG42" i="3"/>
  <c r="AH42" i="3" s="1"/>
  <c r="AI42" i="3" s="1"/>
  <c r="AJ41" i="3"/>
  <c r="AG41" i="3"/>
  <c r="AH41" i="3" s="1"/>
  <c r="AI41" i="3" s="1"/>
  <c r="AJ40" i="3"/>
  <c r="AG40" i="3"/>
  <c r="AH40" i="3" s="1"/>
  <c r="AI40" i="3" s="1"/>
  <c r="AJ39" i="3"/>
  <c r="AI39" i="3"/>
  <c r="AG39" i="3"/>
  <c r="AJ38" i="3"/>
  <c r="AK38" i="3" s="1"/>
  <c r="AJ34" i="3"/>
  <c r="AG34" i="3"/>
  <c r="AH34" i="3" s="1"/>
  <c r="AI34" i="3" s="1"/>
  <c r="AJ33" i="3"/>
  <c r="AG33" i="3"/>
  <c r="AH33" i="3" s="1"/>
  <c r="AI33" i="3" s="1"/>
  <c r="AJ32" i="3"/>
  <c r="AG32" i="3"/>
  <c r="AH32" i="3" s="1"/>
  <c r="AI32" i="3" s="1"/>
  <c r="AJ31" i="3"/>
  <c r="AG31" i="3"/>
  <c r="AH31" i="3" s="1"/>
  <c r="AI31" i="3" s="1"/>
  <c r="AJ30" i="3"/>
  <c r="AG30" i="3"/>
  <c r="AH30" i="3" s="1"/>
  <c r="AI30" i="3" s="1"/>
  <c r="AJ29" i="3"/>
  <c r="AG29" i="3"/>
  <c r="AH29" i="3" s="1"/>
  <c r="AI29" i="3" s="1"/>
  <c r="AJ28" i="3"/>
  <c r="AG28" i="3"/>
  <c r="AH28" i="3" s="1"/>
  <c r="AI28" i="3" s="1"/>
  <c r="AJ27" i="3"/>
  <c r="AG27" i="3"/>
  <c r="AH27" i="3" s="1"/>
  <c r="AI27" i="3" s="1"/>
  <c r="AJ26" i="3"/>
  <c r="AG26" i="3"/>
  <c r="AH26" i="3" s="1"/>
  <c r="AI26" i="3" s="1"/>
  <c r="AJ25" i="3"/>
  <c r="AG25" i="3"/>
  <c r="AH25" i="3" s="1"/>
  <c r="AI25" i="3" s="1"/>
  <c r="AJ24" i="3"/>
  <c r="AG24" i="3"/>
  <c r="AH24" i="3" s="1"/>
  <c r="AI24" i="3" s="1"/>
  <c r="AJ23" i="3"/>
  <c r="AG23" i="3"/>
  <c r="AH23" i="3" s="1"/>
  <c r="AI23" i="3" s="1"/>
  <c r="AJ22" i="3"/>
  <c r="AG22" i="3"/>
  <c r="AH22" i="3" s="1"/>
  <c r="AI22" i="3" s="1"/>
  <c r="AJ21" i="3"/>
  <c r="AG21" i="3"/>
  <c r="AH21" i="3" s="1"/>
  <c r="AI21" i="3" s="1"/>
  <c r="AJ20" i="3"/>
  <c r="AG20" i="3"/>
  <c r="AH20" i="3" s="1"/>
  <c r="AI20" i="3" s="1"/>
  <c r="AJ19" i="3"/>
  <c r="AG19" i="3"/>
  <c r="AH19" i="3" s="1"/>
  <c r="AI19" i="3" s="1"/>
  <c r="AJ18" i="3"/>
  <c r="AG18" i="3"/>
  <c r="AH18" i="3" s="1"/>
  <c r="AI18" i="3" s="1"/>
  <c r="AJ17" i="3"/>
  <c r="AG17" i="3"/>
  <c r="AH17" i="3" s="1"/>
  <c r="AI17" i="3" s="1"/>
  <c r="AJ16" i="3"/>
  <c r="AG16" i="3"/>
  <c r="AH16" i="3" s="1"/>
  <c r="AI16" i="3" s="1"/>
  <c r="AJ15" i="3"/>
  <c r="AG15" i="3"/>
  <c r="AH15" i="3" s="1"/>
  <c r="AI15" i="3" s="1"/>
  <c r="AJ14" i="3"/>
  <c r="AG14" i="3"/>
  <c r="AH14" i="3" s="1"/>
  <c r="AI14" i="3" s="1"/>
  <c r="AJ13" i="3"/>
  <c r="AG13" i="3"/>
  <c r="AH13" i="3" s="1"/>
  <c r="AI13" i="3" s="1"/>
  <c r="AJ12" i="3"/>
  <c r="AG12" i="3"/>
  <c r="AH12" i="3" s="1"/>
  <c r="AI12" i="3" s="1"/>
  <c r="AJ11" i="3"/>
  <c r="AG11" i="3"/>
  <c r="AH11" i="3" s="1"/>
  <c r="AI11" i="3" s="1"/>
  <c r="AJ10" i="3"/>
  <c r="AG10" i="3"/>
  <c r="AH10" i="3" s="1"/>
  <c r="AI10" i="3" s="1"/>
  <c r="AJ9" i="3"/>
  <c r="AG9" i="3"/>
  <c r="AH9" i="3" s="1"/>
  <c r="AI9" i="3" s="1"/>
  <c r="AJ8" i="3"/>
  <c r="AG8" i="3"/>
  <c r="AH8" i="3" s="1"/>
  <c r="AI8" i="3" s="1"/>
  <c r="AJ7" i="3"/>
  <c r="AG7" i="3"/>
  <c r="AH7" i="3" s="1"/>
  <c r="AI7" i="3" s="1"/>
  <c r="AJ6" i="3"/>
  <c r="AG6" i="3"/>
  <c r="AH6" i="3" s="1"/>
  <c r="AI6" i="3" s="1"/>
  <c r="AJ5" i="3"/>
  <c r="AI5" i="3"/>
  <c r="AG5" i="3"/>
  <c r="AJ4" i="3"/>
  <c r="AK4" i="3" s="1"/>
  <c r="Z102" i="3"/>
  <c r="W102" i="3"/>
  <c r="X102" i="3" s="1"/>
  <c r="Y102" i="3" s="1"/>
  <c r="Z101" i="3"/>
  <c r="W101" i="3"/>
  <c r="X101" i="3" s="1"/>
  <c r="Y101" i="3" s="1"/>
  <c r="Z100" i="3"/>
  <c r="W100" i="3"/>
  <c r="X100" i="3" s="1"/>
  <c r="Y100" i="3" s="1"/>
  <c r="Z99" i="3"/>
  <c r="W99" i="3"/>
  <c r="X99" i="3" s="1"/>
  <c r="Y99" i="3" s="1"/>
  <c r="Z98" i="3"/>
  <c r="W98" i="3"/>
  <c r="X98" i="3" s="1"/>
  <c r="Y98" i="3" s="1"/>
  <c r="Z97" i="3"/>
  <c r="W97" i="3"/>
  <c r="X97" i="3" s="1"/>
  <c r="Y97" i="3" s="1"/>
  <c r="Z96" i="3"/>
  <c r="W96" i="3"/>
  <c r="X96" i="3" s="1"/>
  <c r="Y96" i="3" s="1"/>
  <c r="Z95" i="3"/>
  <c r="W95" i="3"/>
  <c r="X95" i="3" s="1"/>
  <c r="Y95" i="3" s="1"/>
  <c r="Z94" i="3"/>
  <c r="W94" i="3"/>
  <c r="X94" i="3" s="1"/>
  <c r="Y94" i="3" s="1"/>
  <c r="Z93" i="3"/>
  <c r="W93" i="3"/>
  <c r="X93" i="3" s="1"/>
  <c r="Y93" i="3" s="1"/>
  <c r="Z92" i="3"/>
  <c r="W92" i="3"/>
  <c r="X92" i="3" s="1"/>
  <c r="Y92" i="3" s="1"/>
  <c r="Z91" i="3"/>
  <c r="W91" i="3"/>
  <c r="X91" i="3" s="1"/>
  <c r="Y91" i="3" s="1"/>
  <c r="Z90" i="3"/>
  <c r="W90" i="3"/>
  <c r="X90" i="3" s="1"/>
  <c r="Y90" i="3" s="1"/>
  <c r="Z89" i="3"/>
  <c r="W89" i="3"/>
  <c r="X89" i="3" s="1"/>
  <c r="Y89" i="3" s="1"/>
  <c r="Z88" i="3"/>
  <c r="W88" i="3"/>
  <c r="X88" i="3" s="1"/>
  <c r="Y88" i="3" s="1"/>
  <c r="Z87" i="3"/>
  <c r="W87" i="3"/>
  <c r="X87" i="3" s="1"/>
  <c r="Y87" i="3" s="1"/>
  <c r="Z86" i="3"/>
  <c r="W86" i="3"/>
  <c r="X86" i="3" s="1"/>
  <c r="Y86" i="3" s="1"/>
  <c r="Z85" i="3"/>
  <c r="W85" i="3"/>
  <c r="X85" i="3" s="1"/>
  <c r="Y85" i="3" s="1"/>
  <c r="Z84" i="3"/>
  <c r="W84" i="3"/>
  <c r="X84" i="3" s="1"/>
  <c r="Y84" i="3" s="1"/>
  <c r="Z83" i="3"/>
  <c r="W83" i="3"/>
  <c r="X83" i="3" s="1"/>
  <c r="Y83" i="3" s="1"/>
  <c r="Z82" i="3"/>
  <c r="W82" i="3"/>
  <c r="X82" i="3" s="1"/>
  <c r="Y82" i="3" s="1"/>
  <c r="Z81" i="3"/>
  <c r="W81" i="3"/>
  <c r="X81" i="3" s="1"/>
  <c r="Y81" i="3" s="1"/>
  <c r="Z80" i="3"/>
  <c r="W80" i="3"/>
  <c r="X80" i="3" s="1"/>
  <c r="Y80" i="3" s="1"/>
  <c r="Z79" i="3"/>
  <c r="W79" i="3"/>
  <c r="X79" i="3" s="1"/>
  <c r="Y79" i="3" s="1"/>
  <c r="Z78" i="3"/>
  <c r="W78" i="3"/>
  <c r="X78" i="3" s="1"/>
  <c r="Y78" i="3" s="1"/>
  <c r="Z77" i="3"/>
  <c r="W77" i="3"/>
  <c r="X77" i="3" s="1"/>
  <c r="Y77" i="3" s="1"/>
  <c r="Z76" i="3"/>
  <c r="W76" i="3"/>
  <c r="X76" i="3" s="1"/>
  <c r="Y76" i="3" s="1"/>
  <c r="Z75" i="3"/>
  <c r="W75" i="3"/>
  <c r="X75" i="3" s="1"/>
  <c r="Y75" i="3" s="1"/>
  <c r="Z74" i="3"/>
  <c r="W74" i="3"/>
  <c r="X74" i="3" s="1"/>
  <c r="Y74" i="3" s="1"/>
  <c r="Z73" i="3"/>
  <c r="Y73" i="3"/>
  <c r="W73" i="3"/>
  <c r="Z72" i="3"/>
  <c r="AA72" i="3" s="1"/>
  <c r="Z34" i="3"/>
  <c r="W34" i="3"/>
  <c r="X34" i="3" s="1"/>
  <c r="Y34" i="3" s="1"/>
  <c r="Z33" i="3"/>
  <c r="W33" i="3"/>
  <c r="X33" i="3" s="1"/>
  <c r="Y33" i="3" s="1"/>
  <c r="Z32" i="3"/>
  <c r="W32" i="3"/>
  <c r="X32" i="3" s="1"/>
  <c r="Y32" i="3" s="1"/>
  <c r="Z31" i="3"/>
  <c r="W31" i="3"/>
  <c r="X31" i="3" s="1"/>
  <c r="Y31" i="3" s="1"/>
  <c r="Z30" i="3"/>
  <c r="W30" i="3"/>
  <c r="X30" i="3" s="1"/>
  <c r="Y30" i="3" s="1"/>
  <c r="Z29" i="3"/>
  <c r="W29" i="3"/>
  <c r="X29" i="3" s="1"/>
  <c r="Y29" i="3" s="1"/>
  <c r="Z28" i="3"/>
  <c r="W28" i="3"/>
  <c r="X28" i="3" s="1"/>
  <c r="Y28" i="3" s="1"/>
  <c r="Z27" i="3"/>
  <c r="W27" i="3"/>
  <c r="X27" i="3" s="1"/>
  <c r="Y27" i="3" s="1"/>
  <c r="Z26" i="3"/>
  <c r="W26" i="3"/>
  <c r="X26" i="3" s="1"/>
  <c r="Y26" i="3" s="1"/>
  <c r="Z25" i="3"/>
  <c r="W25" i="3"/>
  <c r="X25" i="3" s="1"/>
  <c r="Y25" i="3" s="1"/>
  <c r="Z24" i="3"/>
  <c r="W24" i="3"/>
  <c r="X24" i="3" s="1"/>
  <c r="Y24" i="3" s="1"/>
  <c r="Z23" i="3"/>
  <c r="W23" i="3"/>
  <c r="X23" i="3" s="1"/>
  <c r="Y23" i="3" s="1"/>
  <c r="Z22" i="3"/>
  <c r="W22" i="3"/>
  <c r="X22" i="3" s="1"/>
  <c r="Y22" i="3" s="1"/>
  <c r="Z21" i="3"/>
  <c r="W21" i="3"/>
  <c r="X21" i="3" s="1"/>
  <c r="Y21" i="3" s="1"/>
  <c r="Z20" i="3"/>
  <c r="W20" i="3"/>
  <c r="X20" i="3" s="1"/>
  <c r="Y20" i="3" s="1"/>
  <c r="Z19" i="3"/>
  <c r="W19" i="3"/>
  <c r="X19" i="3" s="1"/>
  <c r="Y19" i="3" s="1"/>
  <c r="Z18" i="3"/>
  <c r="W18" i="3"/>
  <c r="X18" i="3" s="1"/>
  <c r="Y18" i="3" s="1"/>
  <c r="Z17" i="3"/>
  <c r="W17" i="3"/>
  <c r="X17" i="3" s="1"/>
  <c r="Y17" i="3" s="1"/>
  <c r="Z16" i="3"/>
  <c r="W16" i="3"/>
  <c r="X16" i="3" s="1"/>
  <c r="Y16" i="3" s="1"/>
  <c r="Z15" i="3"/>
  <c r="W15" i="3"/>
  <c r="X15" i="3" s="1"/>
  <c r="Y15" i="3" s="1"/>
  <c r="Z14" i="3"/>
  <c r="W14" i="3"/>
  <c r="X14" i="3" s="1"/>
  <c r="Y14" i="3" s="1"/>
  <c r="Z13" i="3"/>
  <c r="W13" i="3"/>
  <c r="X13" i="3" s="1"/>
  <c r="Y13" i="3" s="1"/>
  <c r="Z12" i="3"/>
  <c r="W12" i="3"/>
  <c r="X12" i="3" s="1"/>
  <c r="Y12" i="3" s="1"/>
  <c r="Z11" i="3"/>
  <c r="W11" i="3"/>
  <c r="X11" i="3" s="1"/>
  <c r="Y11" i="3" s="1"/>
  <c r="Z10" i="3"/>
  <c r="W10" i="3"/>
  <c r="X10" i="3" s="1"/>
  <c r="Y10" i="3" s="1"/>
  <c r="Z9" i="3"/>
  <c r="W9" i="3"/>
  <c r="X9" i="3" s="1"/>
  <c r="Y9" i="3" s="1"/>
  <c r="Z8" i="3"/>
  <c r="W8" i="3"/>
  <c r="X8" i="3" s="1"/>
  <c r="Y8" i="3" s="1"/>
  <c r="Z7" i="3"/>
  <c r="W7" i="3"/>
  <c r="X7" i="3" s="1"/>
  <c r="Y7" i="3" s="1"/>
  <c r="Z6" i="3"/>
  <c r="W6" i="3"/>
  <c r="X6" i="3" s="1"/>
  <c r="Y6" i="3" s="1"/>
  <c r="Z5" i="3"/>
  <c r="Y5" i="3"/>
  <c r="W5" i="3"/>
  <c r="Z4" i="3"/>
  <c r="AA4" i="3" s="1"/>
  <c r="Z68" i="3"/>
  <c r="W68" i="3"/>
  <c r="X68" i="3" s="1"/>
  <c r="Y68" i="3" s="1"/>
  <c r="Z67" i="3"/>
  <c r="W67" i="3"/>
  <c r="X67" i="3" s="1"/>
  <c r="Y67" i="3" s="1"/>
  <c r="Z66" i="3"/>
  <c r="W66" i="3"/>
  <c r="X66" i="3" s="1"/>
  <c r="Y66" i="3" s="1"/>
  <c r="Z65" i="3"/>
  <c r="W65" i="3"/>
  <c r="X65" i="3" s="1"/>
  <c r="Y65" i="3" s="1"/>
  <c r="Z64" i="3"/>
  <c r="W64" i="3"/>
  <c r="X64" i="3" s="1"/>
  <c r="Y64" i="3" s="1"/>
  <c r="Z63" i="3"/>
  <c r="W63" i="3"/>
  <c r="X63" i="3" s="1"/>
  <c r="Y63" i="3" s="1"/>
  <c r="Z62" i="3"/>
  <c r="W62" i="3"/>
  <c r="X62" i="3" s="1"/>
  <c r="Y62" i="3" s="1"/>
  <c r="Z61" i="3"/>
  <c r="W61" i="3"/>
  <c r="X61" i="3" s="1"/>
  <c r="Y61" i="3" s="1"/>
  <c r="Z60" i="3"/>
  <c r="W60" i="3"/>
  <c r="X60" i="3" s="1"/>
  <c r="Y60" i="3" s="1"/>
  <c r="Z59" i="3"/>
  <c r="W59" i="3"/>
  <c r="X59" i="3" s="1"/>
  <c r="Y59" i="3" s="1"/>
  <c r="Z58" i="3"/>
  <c r="W58" i="3"/>
  <c r="X58" i="3" s="1"/>
  <c r="Y58" i="3" s="1"/>
  <c r="Z57" i="3"/>
  <c r="W57" i="3"/>
  <c r="X57" i="3" s="1"/>
  <c r="Y57" i="3" s="1"/>
  <c r="Z56" i="3"/>
  <c r="W56" i="3"/>
  <c r="X56" i="3" s="1"/>
  <c r="Y56" i="3" s="1"/>
  <c r="Z55" i="3"/>
  <c r="W55" i="3"/>
  <c r="X55" i="3" s="1"/>
  <c r="Y55" i="3" s="1"/>
  <c r="Z54" i="3"/>
  <c r="W54" i="3"/>
  <c r="X54" i="3" s="1"/>
  <c r="Y54" i="3" s="1"/>
  <c r="Z53" i="3"/>
  <c r="W53" i="3"/>
  <c r="X53" i="3" s="1"/>
  <c r="Y53" i="3" s="1"/>
  <c r="Z52" i="3"/>
  <c r="W52" i="3"/>
  <c r="X52" i="3" s="1"/>
  <c r="Y52" i="3" s="1"/>
  <c r="Z51" i="3"/>
  <c r="W51" i="3"/>
  <c r="X51" i="3" s="1"/>
  <c r="Y51" i="3" s="1"/>
  <c r="Z50" i="3"/>
  <c r="W50" i="3"/>
  <c r="X50" i="3" s="1"/>
  <c r="Y50" i="3" s="1"/>
  <c r="Z49" i="3"/>
  <c r="W49" i="3"/>
  <c r="X49" i="3" s="1"/>
  <c r="Y49" i="3" s="1"/>
  <c r="Z48" i="3"/>
  <c r="W48" i="3"/>
  <c r="X48" i="3" s="1"/>
  <c r="Y48" i="3" s="1"/>
  <c r="Z47" i="3"/>
  <c r="W47" i="3"/>
  <c r="X47" i="3" s="1"/>
  <c r="Y47" i="3" s="1"/>
  <c r="Z46" i="3"/>
  <c r="W46" i="3"/>
  <c r="X46" i="3" s="1"/>
  <c r="Y46" i="3" s="1"/>
  <c r="Z45" i="3"/>
  <c r="W45" i="3"/>
  <c r="X45" i="3" s="1"/>
  <c r="Y45" i="3" s="1"/>
  <c r="Z44" i="3"/>
  <c r="W44" i="3"/>
  <c r="X44" i="3" s="1"/>
  <c r="Y44" i="3" s="1"/>
  <c r="Z43" i="3"/>
  <c r="W43" i="3"/>
  <c r="X43" i="3" s="1"/>
  <c r="Y43" i="3" s="1"/>
  <c r="Z42" i="3"/>
  <c r="W42" i="3"/>
  <c r="X42" i="3" s="1"/>
  <c r="Y42" i="3" s="1"/>
  <c r="Z41" i="3"/>
  <c r="W41" i="3"/>
  <c r="X41" i="3" s="1"/>
  <c r="Y41" i="3" s="1"/>
  <c r="Z40" i="3"/>
  <c r="W40" i="3"/>
  <c r="X40" i="3" s="1"/>
  <c r="Y40" i="3" s="1"/>
  <c r="Z39" i="3"/>
  <c r="Y39" i="3"/>
  <c r="W39" i="3"/>
  <c r="Z38" i="3"/>
  <c r="AA38" i="3" s="1"/>
  <c r="P102" i="3"/>
  <c r="M102" i="3"/>
  <c r="N102" i="3" s="1"/>
  <c r="O102" i="3" s="1"/>
  <c r="P101" i="3"/>
  <c r="M101" i="3"/>
  <c r="N101" i="3" s="1"/>
  <c r="O101" i="3" s="1"/>
  <c r="P100" i="3"/>
  <c r="M100" i="3"/>
  <c r="N100" i="3" s="1"/>
  <c r="O100" i="3" s="1"/>
  <c r="P99" i="3"/>
  <c r="M99" i="3"/>
  <c r="N99" i="3" s="1"/>
  <c r="O99" i="3" s="1"/>
  <c r="P98" i="3"/>
  <c r="M98" i="3"/>
  <c r="N98" i="3" s="1"/>
  <c r="O98" i="3" s="1"/>
  <c r="P97" i="3"/>
  <c r="M97" i="3"/>
  <c r="N97" i="3" s="1"/>
  <c r="O97" i="3" s="1"/>
  <c r="P96" i="3"/>
  <c r="M96" i="3"/>
  <c r="N96" i="3" s="1"/>
  <c r="O96" i="3" s="1"/>
  <c r="P95" i="3"/>
  <c r="M95" i="3"/>
  <c r="N95" i="3" s="1"/>
  <c r="O95" i="3" s="1"/>
  <c r="P94" i="3"/>
  <c r="M94" i="3"/>
  <c r="N94" i="3" s="1"/>
  <c r="O94" i="3" s="1"/>
  <c r="P93" i="3"/>
  <c r="M93" i="3"/>
  <c r="N93" i="3" s="1"/>
  <c r="O93" i="3" s="1"/>
  <c r="P92" i="3"/>
  <c r="M92" i="3"/>
  <c r="N92" i="3" s="1"/>
  <c r="O92" i="3" s="1"/>
  <c r="P91" i="3"/>
  <c r="M91" i="3"/>
  <c r="N91" i="3" s="1"/>
  <c r="O91" i="3" s="1"/>
  <c r="P90" i="3"/>
  <c r="M90" i="3"/>
  <c r="N90" i="3" s="1"/>
  <c r="O90" i="3" s="1"/>
  <c r="P89" i="3"/>
  <c r="M89" i="3"/>
  <c r="N89" i="3" s="1"/>
  <c r="O89" i="3" s="1"/>
  <c r="P88" i="3"/>
  <c r="M88" i="3"/>
  <c r="N88" i="3" s="1"/>
  <c r="O88" i="3" s="1"/>
  <c r="P87" i="3"/>
  <c r="M87" i="3"/>
  <c r="N87" i="3" s="1"/>
  <c r="O87" i="3" s="1"/>
  <c r="P86" i="3"/>
  <c r="M86" i="3"/>
  <c r="N86" i="3" s="1"/>
  <c r="O86" i="3" s="1"/>
  <c r="P85" i="3"/>
  <c r="M85" i="3"/>
  <c r="N85" i="3" s="1"/>
  <c r="O85" i="3" s="1"/>
  <c r="P84" i="3"/>
  <c r="M84" i="3"/>
  <c r="N84" i="3" s="1"/>
  <c r="O84" i="3" s="1"/>
  <c r="P83" i="3"/>
  <c r="M83" i="3"/>
  <c r="N83" i="3" s="1"/>
  <c r="O83" i="3" s="1"/>
  <c r="P82" i="3"/>
  <c r="M82" i="3"/>
  <c r="N82" i="3" s="1"/>
  <c r="O82" i="3" s="1"/>
  <c r="P81" i="3"/>
  <c r="M81" i="3"/>
  <c r="N81" i="3" s="1"/>
  <c r="O81" i="3" s="1"/>
  <c r="P80" i="3"/>
  <c r="M80" i="3"/>
  <c r="N80" i="3" s="1"/>
  <c r="O80" i="3" s="1"/>
  <c r="P79" i="3"/>
  <c r="M79" i="3"/>
  <c r="N79" i="3" s="1"/>
  <c r="O79" i="3" s="1"/>
  <c r="P78" i="3"/>
  <c r="M78" i="3"/>
  <c r="N78" i="3" s="1"/>
  <c r="O78" i="3" s="1"/>
  <c r="P77" i="3"/>
  <c r="M77" i="3"/>
  <c r="N77" i="3" s="1"/>
  <c r="O77" i="3" s="1"/>
  <c r="P76" i="3"/>
  <c r="M76" i="3"/>
  <c r="N76" i="3" s="1"/>
  <c r="O76" i="3" s="1"/>
  <c r="P75" i="3"/>
  <c r="M75" i="3"/>
  <c r="N75" i="3" s="1"/>
  <c r="O75" i="3" s="1"/>
  <c r="P74" i="3"/>
  <c r="M74" i="3"/>
  <c r="N74" i="3" s="1"/>
  <c r="O74" i="3" s="1"/>
  <c r="P73" i="3"/>
  <c r="O73" i="3"/>
  <c r="M73" i="3"/>
  <c r="P72" i="3"/>
  <c r="Q72" i="3" s="1"/>
  <c r="O39" i="3"/>
  <c r="P68" i="3"/>
  <c r="M68" i="3"/>
  <c r="N68" i="3" s="1"/>
  <c r="O68" i="3" s="1"/>
  <c r="P67" i="3"/>
  <c r="M67" i="3"/>
  <c r="N67" i="3" s="1"/>
  <c r="O67" i="3" s="1"/>
  <c r="P66" i="3"/>
  <c r="M66" i="3"/>
  <c r="N66" i="3" s="1"/>
  <c r="O66" i="3" s="1"/>
  <c r="P65" i="3"/>
  <c r="M65" i="3"/>
  <c r="N65" i="3" s="1"/>
  <c r="O65" i="3" s="1"/>
  <c r="P64" i="3"/>
  <c r="M64" i="3"/>
  <c r="N64" i="3" s="1"/>
  <c r="O64" i="3" s="1"/>
  <c r="P63" i="3"/>
  <c r="M63" i="3"/>
  <c r="N63" i="3" s="1"/>
  <c r="O63" i="3" s="1"/>
  <c r="P62" i="3"/>
  <c r="M62" i="3"/>
  <c r="N62" i="3" s="1"/>
  <c r="O62" i="3" s="1"/>
  <c r="P61" i="3"/>
  <c r="M61" i="3"/>
  <c r="N61" i="3" s="1"/>
  <c r="O61" i="3" s="1"/>
  <c r="P60" i="3"/>
  <c r="M60" i="3"/>
  <c r="N60" i="3" s="1"/>
  <c r="O60" i="3" s="1"/>
  <c r="P59" i="3"/>
  <c r="M59" i="3"/>
  <c r="N59" i="3" s="1"/>
  <c r="O59" i="3" s="1"/>
  <c r="P58" i="3"/>
  <c r="M58" i="3"/>
  <c r="N58" i="3" s="1"/>
  <c r="O58" i="3" s="1"/>
  <c r="P57" i="3"/>
  <c r="M57" i="3"/>
  <c r="N57" i="3" s="1"/>
  <c r="O57" i="3" s="1"/>
  <c r="P56" i="3"/>
  <c r="M56" i="3"/>
  <c r="N56" i="3" s="1"/>
  <c r="O56" i="3" s="1"/>
  <c r="P55" i="3"/>
  <c r="M55" i="3"/>
  <c r="N55" i="3" s="1"/>
  <c r="O55" i="3" s="1"/>
  <c r="P54" i="3"/>
  <c r="M54" i="3"/>
  <c r="N54" i="3" s="1"/>
  <c r="O54" i="3" s="1"/>
  <c r="P53" i="3"/>
  <c r="M53" i="3"/>
  <c r="N53" i="3" s="1"/>
  <c r="O53" i="3" s="1"/>
  <c r="P52" i="3"/>
  <c r="M52" i="3"/>
  <c r="N52" i="3" s="1"/>
  <c r="O52" i="3" s="1"/>
  <c r="P51" i="3"/>
  <c r="M51" i="3"/>
  <c r="N51" i="3" s="1"/>
  <c r="O51" i="3" s="1"/>
  <c r="P50" i="3"/>
  <c r="M50" i="3"/>
  <c r="N50" i="3" s="1"/>
  <c r="O50" i="3" s="1"/>
  <c r="P49" i="3"/>
  <c r="M49" i="3"/>
  <c r="N49" i="3" s="1"/>
  <c r="O49" i="3" s="1"/>
  <c r="P48" i="3"/>
  <c r="M48" i="3"/>
  <c r="N48" i="3" s="1"/>
  <c r="O48" i="3" s="1"/>
  <c r="P47" i="3"/>
  <c r="M47" i="3"/>
  <c r="N47" i="3" s="1"/>
  <c r="O47" i="3" s="1"/>
  <c r="P46" i="3"/>
  <c r="M46" i="3"/>
  <c r="N46" i="3" s="1"/>
  <c r="O46" i="3" s="1"/>
  <c r="P45" i="3"/>
  <c r="M45" i="3"/>
  <c r="N45" i="3" s="1"/>
  <c r="O45" i="3" s="1"/>
  <c r="P44" i="3"/>
  <c r="M44" i="3"/>
  <c r="N44" i="3" s="1"/>
  <c r="O44" i="3" s="1"/>
  <c r="P43" i="3"/>
  <c r="M43" i="3"/>
  <c r="N43" i="3" s="1"/>
  <c r="O43" i="3" s="1"/>
  <c r="P42" i="3"/>
  <c r="M42" i="3"/>
  <c r="N42" i="3" s="1"/>
  <c r="O42" i="3" s="1"/>
  <c r="P41" i="3"/>
  <c r="M41" i="3"/>
  <c r="N41" i="3" s="1"/>
  <c r="O41" i="3" s="1"/>
  <c r="P40" i="3"/>
  <c r="M40" i="3"/>
  <c r="N40" i="3" s="1"/>
  <c r="O40" i="3" s="1"/>
  <c r="P39" i="3"/>
  <c r="M39" i="3"/>
  <c r="P38" i="3"/>
  <c r="Q38" i="3" s="1"/>
  <c r="P34" i="3"/>
  <c r="P33" i="3"/>
  <c r="P32" i="3"/>
  <c r="P31" i="3"/>
  <c r="P30" i="3"/>
  <c r="P29" i="3"/>
  <c r="P28" i="3"/>
  <c r="P27" i="3"/>
  <c r="P26" i="3"/>
  <c r="P25" i="3"/>
  <c r="M25" i="3"/>
  <c r="N25" i="3" s="1"/>
  <c r="O25" i="3" s="1"/>
  <c r="M26" i="3"/>
  <c r="N26" i="3" s="1"/>
  <c r="O26" i="3" s="1"/>
  <c r="M27" i="3"/>
  <c r="N27" i="3" s="1"/>
  <c r="O27" i="3" s="1"/>
  <c r="M28" i="3"/>
  <c r="N28" i="3" s="1"/>
  <c r="O28" i="3" s="1"/>
  <c r="M29" i="3"/>
  <c r="N29" i="3" s="1"/>
  <c r="O29" i="3" s="1"/>
  <c r="M30" i="3"/>
  <c r="N30" i="3" s="1"/>
  <c r="O30" i="3" s="1"/>
  <c r="M31" i="3"/>
  <c r="N31" i="3" s="1"/>
  <c r="O31" i="3" s="1"/>
  <c r="M32" i="3"/>
  <c r="N32" i="3" s="1"/>
  <c r="O32" i="3" s="1"/>
  <c r="M33" i="3"/>
  <c r="N33" i="3" s="1"/>
  <c r="O33" i="3" s="1"/>
  <c r="M34" i="3"/>
  <c r="N34" i="3" s="1"/>
  <c r="O34" i="3" s="1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N24" i="3" s="1"/>
  <c r="P9" i="3"/>
  <c r="BE27" i="3" l="1"/>
  <c r="BE42" i="3"/>
  <c r="BE46" i="3"/>
  <c r="BE77" i="3"/>
  <c r="BE81" i="3"/>
  <c r="BE93" i="3"/>
  <c r="BE9" i="3"/>
  <c r="BE78" i="3"/>
  <c r="BE86" i="3"/>
  <c r="BE10" i="3"/>
  <c r="AU32" i="3"/>
  <c r="AU47" i="3"/>
  <c r="AU51" i="3"/>
  <c r="AU68" i="3"/>
  <c r="AK67" i="3"/>
  <c r="AU21" i="3"/>
  <c r="AU25" i="3"/>
  <c r="AU29" i="3"/>
  <c r="BE7" i="3"/>
  <c r="BE18" i="3"/>
  <c r="BE30" i="3"/>
  <c r="BE57" i="3"/>
  <c r="BE65" i="3"/>
  <c r="BE76" i="3"/>
  <c r="BE80" i="3"/>
  <c r="BE84" i="3"/>
  <c r="BE92" i="3"/>
  <c r="BE96" i="3"/>
  <c r="BE100" i="3"/>
  <c r="BE97" i="3"/>
  <c r="AA27" i="3"/>
  <c r="AA31" i="3"/>
  <c r="AA96" i="3"/>
  <c r="AA100" i="3"/>
  <c r="AU7" i="3"/>
  <c r="AU57" i="3"/>
  <c r="AU61" i="3"/>
  <c r="AK83" i="3"/>
  <c r="AK87" i="3"/>
  <c r="AK91" i="3"/>
  <c r="AK95" i="3"/>
  <c r="AK99" i="3"/>
  <c r="AU31" i="3"/>
  <c r="BE102" i="3"/>
  <c r="AA41" i="3"/>
  <c r="AA45" i="3"/>
  <c r="AA53" i="3"/>
  <c r="AA57" i="3"/>
  <c r="AU73" i="3"/>
  <c r="AU77" i="3"/>
  <c r="AU81" i="3"/>
  <c r="AK10" i="3"/>
  <c r="AK14" i="3"/>
  <c r="AK18" i="3"/>
  <c r="AK22" i="3"/>
  <c r="AK26" i="3"/>
  <c r="AK30" i="3"/>
  <c r="AK34" i="3"/>
  <c r="AK61" i="3"/>
  <c r="AU12" i="3"/>
  <c r="AU16" i="3"/>
  <c r="BE21" i="3"/>
  <c r="BE25" i="3"/>
  <c r="BE29" i="3"/>
  <c r="AA6" i="3"/>
  <c r="AA10" i="3"/>
  <c r="AA14" i="3"/>
  <c r="AA18" i="3"/>
  <c r="AU28" i="3"/>
  <c r="AK8" i="3"/>
  <c r="AK39" i="3"/>
  <c r="AK43" i="3"/>
  <c r="AK47" i="3"/>
  <c r="AK51" i="3"/>
  <c r="AK63" i="3"/>
  <c r="AK85" i="3"/>
  <c r="AK89" i="3"/>
  <c r="AK93" i="3"/>
  <c r="AK97" i="3"/>
  <c r="AK101" i="3"/>
  <c r="AU9" i="3"/>
  <c r="AU85" i="3"/>
  <c r="AU89" i="3"/>
  <c r="AU93" i="3"/>
  <c r="BE50" i="3"/>
  <c r="AK9" i="3"/>
  <c r="AK40" i="3"/>
  <c r="AK44" i="3"/>
  <c r="AK48" i="3"/>
  <c r="AK52" i="3"/>
  <c r="AK56" i="3"/>
  <c r="AK86" i="3"/>
  <c r="AU14" i="3"/>
  <c r="AU55" i="3"/>
  <c r="AU63" i="3"/>
  <c r="AU67" i="3"/>
  <c r="AA74" i="3"/>
  <c r="AA78" i="3"/>
  <c r="AA82" i="3"/>
  <c r="AA94" i="3"/>
  <c r="AU34" i="3"/>
  <c r="AU41" i="3"/>
  <c r="AU45" i="3"/>
  <c r="AU49" i="3"/>
  <c r="AU83" i="3"/>
  <c r="AU87" i="3"/>
  <c r="AU91" i="3"/>
  <c r="AU95" i="3"/>
  <c r="AU99" i="3"/>
  <c r="BE40" i="3"/>
  <c r="BE44" i="3"/>
  <c r="BE34" i="3"/>
  <c r="AK7" i="3"/>
  <c r="AK11" i="3"/>
  <c r="AK15" i="3"/>
  <c r="AK19" i="3"/>
  <c r="AK23" i="3"/>
  <c r="AK27" i="3"/>
  <c r="AK31" i="3"/>
  <c r="AK62" i="3"/>
  <c r="AU46" i="3"/>
  <c r="AU50" i="3"/>
  <c r="AU76" i="3"/>
  <c r="BE22" i="3"/>
  <c r="BE51" i="3"/>
  <c r="BE58" i="3"/>
  <c r="BE62" i="3"/>
  <c r="AA11" i="3"/>
  <c r="AA15" i="3"/>
  <c r="AA75" i="3"/>
  <c r="AA79" i="3"/>
  <c r="AA83" i="3"/>
  <c r="AA87" i="3"/>
  <c r="AA95" i="3"/>
  <c r="AK73" i="3"/>
  <c r="AK77" i="3"/>
  <c r="AK81" i="3"/>
  <c r="AU8" i="3"/>
  <c r="AU22" i="3"/>
  <c r="AU58" i="3"/>
  <c r="AU62" i="3"/>
  <c r="AU66" i="3"/>
  <c r="AU100" i="3"/>
  <c r="BE19" i="3"/>
  <c r="BE26" i="3"/>
  <c r="BE33" i="3"/>
  <c r="BE101" i="3"/>
  <c r="AA73" i="3"/>
  <c r="AK60" i="3"/>
  <c r="AK90" i="3"/>
  <c r="AK94" i="3"/>
  <c r="AK98" i="3"/>
  <c r="AK102" i="3"/>
  <c r="AU6" i="3"/>
  <c r="AU13" i="3"/>
  <c r="AU20" i="3"/>
  <c r="AU33" i="3"/>
  <c r="AU40" i="3"/>
  <c r="AU82" i="3"/>
  <c r="AU86" i="3"/>
  <c r="AU90" i="3"/>
  <c r="AU94" i="3"/>
  <c r="AU98" i="3"/>
  <c r="BE13" i="3"/>
  <c r="BE31" i="3"/>
  <c r="BE41" i="3"/>
  <c r="BE49" i="3"/>
  <c r="BE75" i="3"/>
  <c r="AA62" i="3"/>
  <c r="AK68" i="3"/>
  <c r="AU10" i="3"/>
  <c r="AU17" i="3"/>
  <c r="AU24" i="3"/>
  <c r="AU52" i="3"/>
  <c r="AU56" i="3"/>
  <c r="AU60" i="3"/>
  <c r="BE17" i="3"/>
  <c r="BE28" i="3"/>
  <c r="BE79" i="3"/>
  <c r="BE83" i="3"/>
  <c r="BE91" i="3"/>
  <c r="BE95" i="3"/>
  <c r="BE99" i="3"/>
  <c r="BE8" i="3"/>
  <c r="AA52" i="3"/>
  <c r="AA56" i="3"/>
  <c r="AA60" i="3"/>
  <c r="AA64" i="3"/>
  <c r="AA22" i="3"/>
  <c r="AA26" i="3"/>
  <c r="AA30" i="3"/>
  <c r="AA34" i="3"/>
  <c r="AA98" i="3"/>
  <c r="AK6" i="3"/>
  <c r="AK13" i="3"/>
  <c r="AK17" i="3"/>
  <c r="AK21" i="3"/>
  <c r="AK25" i="3"/>
  <c r="AK29" i="3"/>
  <c r="AK33" i="3"/>
  <c r="AK42" i="3"/>
  <c r="AK46" i="3"/>
  <c r="AK50" i="3"/>
  <c r="AK54" i="3"/>
  <c r="AK58" i="3"/>
  <c r="AK65" i="3"/>
  <c r="AK75" i="3"/>
  <c r="AK79" i="3"/>
  <c r="AU27" i="3"/>
  <c r="AU39" i="3"/>
  <c r="AU43" i="3"/>
  <c r="AU54" i="3"/>
  <c r="AU65" i="3"/>
  <c r="AU75" i="3"/>
  <c r="AU79" i="3"/>
  <c r="AU102" i="3"/>
  <c r="BE6" i="3"/>
  <c r="BE12" i="3"/>
  <c r="BE15" i="3"/>
  <c r="BE56" i="3"/>
  <c r="BE60" i="3"/>
  <c r="BE64" i="3"/>
  <c r="BE68" i="3"/>
  <c r="BE85" i="3"/>
  <c r="BE89" i="3"/>
  <c r="BE32" i="3"/>
  <c r="AK55" i="3"/>
  <c r="AK59" i="3"/>
  <c r="AK76" i="3"/>
  <c r="AK80" i="3"/>
  <c r="AU44" i="3"/>
  <c r="AU80" i="3"/>
  <c r="AA42" i="3"/>
  <c r="AA8" i="3"/>
  <c r="AA12" i="3"/>
  <c r="AA16" i="3"/>
  <c r="AK66" i="3"/>
  <c r="AK84" i="3"/>
  <c r="AK88" i="3"/>
  <c r="AK92" i="3"/>
  <c r="AK96" i="3"/>
  <c r="AK100" i="3"/>
  <c r="AU19" i="3"/>
  <c r="AU23" i="3"/>
  <c r="AU26" i="3"/>
  <c r="AU48" i="3"/>
  <c r="AU59" i="3"/>
  <c r="AU84" i="3"/>
  <c r="AU88" i="3"/>
  <c r="AU92" i="3"/>
  <c r="AU96" i="3"/>
  <c r="BE24" i="3"/>
  <c r="BE39" i="3"/>
  <c r="BE43" i="3"/>
  <c r="BE47" i="3"/>
  <c r="BE54" i="3"/>
  <c r="BE94" i="3"/>
  <c r="BE66" i="3"/>
  <c r="BE87" i="3"/>
  <c r="AA43" i="3"/>
  <c r="AA85" i="3"/>
  <c r="AA89" i="3"/>
  <c r="AA93" i="3"/>
  <c r="AU5" i="3"/>
  <c r="AU97" i="3"/>
  <c r="BE16" i="3"/>
  <c r="BE48" i="3"/>
  <c r="AA67" i="3"/>
  <c r="AA25" i="3"/>
  <c r="AA29" i="3"/>
  <c r="AA33" i="3"/>
  <c r="AK5" i="3"/>
  <c r="AK12" i="3"/>
  <c r="AK16" i="3"/>
  <c r="AK20" i="3"/>
  <c r="AK24" i="3"/>
  <c r="AK28" i="3"/>
  <c r="AK32" i="3"/>
  <c r="AK41" i="3"/>
  <c r="AK45" i="3"/>
  <c r="AK49" i="3"/>
  <c r="AK53" i="3"/>
  <c r="AK57" i="3"/>
  <c r="AK64" i="3"/>
  <c r="AK74" i="3"/>
  <c r="AK78" i="3"/>
  <c r="AK82" i="3"/>
  <c r="AU11" i="3"/>
  <c r="AU15" i="3"/>
  <c r="AU18" i="3"/>
  <c r="AU30" i="3"/>
  <c r="AU42" i="3"/>
  <c r="AU53" i="3"/>
  <c r="AU64" i="3"/>
  <c r="AU74" i="3"/>
  <c r="AU78" i="3"/>
  <c r="AU101" i="3"/>
  <c r="BE5" i="3"/>
  <c r="BE11" i="3"/>
  <c r="BE14" i="3"/>
  <c r="BE20" i="3"/>
  <c r="BE23" i="3"/>
  <c r="BE52" i="3"/>
  <c r="BE55" i="3"/>
  <c r="BE59" i="3"/>
  <c r="BE63" i="3"/>
  <c r="BE67" i="3"/>
  <c r="BE88" i="3"/>
  <c r="BE74" i="3"/>
  <c r="BE98" i="3"/>
  <c r="BE82" i="3"/>
  <c r="BE90" i="3"/>
  <c r="BE73" i="3"/>
  <c r="BE61" i="3"/>
  <c r="BE53" i="3"/>
  <c r="BE45" i="3"/>
  <c r="AA49" i="3"/>
  <c r="AA68" i="3"/>
  <c r="AA97" i="3"/>
  <c r="AA86" i="3"/>
  <c r="AA50" i="3"/>
  <c r="AA19" i="3"/>
  <c r="AA91" i="3"/>
  <c r="AA47" i="3"/>
  <c r="AA66" i="3"/>
  <c r="AA99" i="3"/>
  <c r="AA40" i="3"/>
  <c r="AA44" i="3"/>
  <c r="AA55" i="3"/>
  <c r="AA59" i="3"/>
  <c r="AA9" i="3"/>
  <c r="AA13" i="3"/>
  <c r="AA17" i="3"/>
  <c r="AA20" i="3"/>
  <c r="AA24" i="3"/>
  <c r="AA28" i="3"/>
  <c r="AA32" i="3"/>
  <c r="AA76" i="3"/>
  <c r="AA80" i="3"/>
  <c r="AA84" i="3"/>
  <c r="AA101" i="3"/>
  <c r="AA48" i="3"/>
  <c r="AA61" i="3"/>
  <c r="AA90" i="3"/>
  <c r="AA51" i="3"/>
  <c r="AA54" i="3"/>
  <c r="AA58" i="3"/>
  <c r="AA65" i="3"/>
  <c r="AA7" i="3"/>
  <c r="AA23" i="3"/>
  <c r="AA102" i="3"/>
  <c r="Q73" i="3"/>
  <c r="Q77" i="3"/>
  <c r="Q81" i="3"/>
  <c r="AA46" i="3"/>
  <c r="AA63" i="3"/>
  <c r="AA5" i="3"/>
  <c r="AA21" i="3"/>
  <c r="AA77" i="3"/>
  <c r="AA81" i="3"/>
  <c r="AA88" i="3"/>
  <c r="AA92" i="3"/>
  <c r="AA39" i="3"/>
  <c r="Q34" i="3"/>
  <c r="Q26" i="3"/>
  <c r="Q76" i="3"/>
  <c r="Q80" i="3"/>
  <c r="Q84" i="3"/>
  <c r="Q88" i="3"/>
  <c r="Q92" i="3"/>
  <c r="Q96" i="3"/>
  <c r="Q100" i="3"/>
  <c r="Q33" i="3"/>
  <c r="Q40" i="3"/>
  <c r="Q44" i="3"/>
  <c r="Q48" i="3"/>
  <c r="Q52" i="3"/>
  <c r="Q56" i="3"/>
  <c r="Q64" i="3"/>
  <c r="Q68" i="3"/>
  <c r="Q74" i="3"/>
  <c r="Q78" i="3"/>
  <c r="Q82" i="3"/>
  <c r="Q86" i="3"/>
  <c r="Q90" i="3"/>
  <c r="Q94" i="3"/>
  <c r="Q98" i="3"/>
  <c r="Q85" i="3"/>
  <c r="Q89" i="3"/>
  <c r="Q93" i="3"/>
  <c r="Q97" i="3"/>
  <c r="Q101" i="3"/>
  <c r="Q102" i="3"/>
  <c r="Q75" i="3"/>
  <c r="Q28" i="3"/>
  <c r="Q83" i="3"/>
  <c r="Q91" i="3"/>
  <c r="Q99" i="3"/>
  <c r="Q87" i="3"/>
  <c r="Q95" i="3"/>
  <c r="Q79" i="3"/>
  <c r="Q27" i="3"/>
  <c r="Q42" i="3"/>
  <c r="Q46" i="3"/>
  <c r="Q66" i="3"/>
  <c r="Q43" i="3"/>
  <c r="Q47" i="3"/>
  <c r="Q51" i="3"/>
  <c r="Q55" i="3"/>
  <c r="Q59" i="3"/>
  <c r="Q63" i="3"/>
  <c r="Q67" i="3"/>
  <c r="Q32" i="3"/>
  <c r="Q29" i="3"/>
  <c r="Q41" i="3"/>
  <c r="Q65" i="3"/>
  <c r="Q25" i="3"/>
  <c r="Q60" i="3"/>
  <c r="Q45" i="3"/>
  <c r="Q49" i="3"/>
  <c r="Q53" i="3"/>
  <c r="Q57" i="3"/>
  <c r="Q39" i="3"/>
  <c r="Q50" i="3"/>
  <c r="Q54" i="3"/>
  <c r="Q58" i="3"/>
  <c r="Q62" i="3"/>
  <c r="Q61" i="3"/>
  <c r="Q30" i="3"/>
  <c r="Q31" i="3"/>
  <c r="BE36" i="3" l="1"/>
  <c r="AK70" i="3"/>
  <c r="AU104" i="3"/>
  <c r="AK35" i="3"/>
  <c r="AK69" i="3"/>
  <c r="AA104" i="3"/>
  <c r="AU36" i="3"/>
  <c r="BE70" i="3"/>
  <c r="AK103" i="3"/>
  <c r="AU103" i="3"/>
  <c r="BE104" i="3"/>
  <c r="AU70" i="3"/>
  <c r="AK104" i="3"/>
  <c r="AU69" i="3"/>
  <c r="AK36" i="3"/>
  <c r="BE69" i="3"/>
  <c r="BE35" i="3"/>
  <c r="BE103" i="3"/>
  <c r="AA103" i="3"/>
  <c r="AA70" i="3"/>
  <c r="AA36" i="3"/>
  <c r="AU35" i="3"/>
  <c r="AA35" i="3"/>
  <c r="AA69" i="3"/>
  <c r="Q70" i="3"/>
  <c r="Q103" i="3"/>
  <c r="Q104" i="3"/>
  <c r="Q69" i="3"/>
  <c r="P24" i="3" l="1"/>
  <c r="O24" i="3"/>
  <c r="P23" i="3"/>
  <c r="N23" i="3"/>
  <c r="O23" i="3" s="1"/>
  <c r="P22" i="3"/>
  <c r="N22" i="3"/>
  <c r="O22" i="3" s="1"/>
  <c r="P21" i="3"/>
  <c r="N21" i="3"/>
  <c r="O21" i="3" s="1"/>
  <c r="P20" i="3"/>
  <c r="N20" i="3"/>
  <c r="O20" i="3" s="1"/>
  <c r="P19" i="3"/>
  <c r="N19" i="3"/>
  <c r="O19" i="3" s="1"/>
  <c r="P18" i="3"/>
  <c r="N18" i="3"/>
  <c r="O18" i="3" s="1"/>
  <c r="P17" i="3"/>
  <c r="N17" i="3"/>
  <c r="O17" i="3" s="1"/>
  <c r="P16" i="3"/>
  <c r="N16" i="3"/>
  <c r="O16" i="3" s="1"/>
  <c r="P15" i="3"/>
  <c r="N15" i="3"/>
  <c r="O15" i="3" s="1"/>
  <c r="P14" i="3"/>
  <c r="N14" i="3"/>
  <c r="O14" i="3" s="1"/>
  <c r="P13" i="3"/>
  <c r="N13" i="3"/>
  <c r="O13" i="3" s="1"/>
  <c r="P12" i="3"/>
  <c r="N12" i="3"/>
  <c r="O12" i="3" s="1"/>
  <c r="P11" i="3"/>
  <c r="N11" i="3"/>
  <c r="O11" i="3" s="1"/>
  <c r="P10" i="3"/>
  <c r="N10" i="3"/>
  <c r="O10" i="3" s="1"/>
  <c r="N9" i="3"/>
  <c r="O9" i="3" s="1"/>
  <c r="P8" i="3"/>
  <c r="N8" i="3"/>
  <c r="O8" i="3" s="1"/>
  <c r="P7" i="3"/>
  <c r="P6" i="3"/>
  <c r="N6" i="3"/>
  <c r="O6" i="3" s="1"/>
  <c r="P5" i="3"/>
  <c r="O5" i="3"/>
  <c r="M5" i="3"/>
  <c r="P4" i="3"/>
  <c r="Q4" i="3" s="1"/>
  <c r="N7" i="3" l="1"/>
  <c r="O7" i="3" s="1"/>
  <c r="Q7" i="3" s="1"/>
  <c r="Q5" i="3"/>
  <c r="Q21" i="3"/>
  <c r="Q22" i="3"/>
  <c r="Q10" i="3"/>
  <c r="Q17" i="3"/>
  <c r="Q18" i="3"/>
  <c r="Q23" i="3"/>
  <c r="Q6" i="3"/>
  <c r="Q24" i="3"/>
  <c r="Q19" i="3"/>
  <c r="Q14" i="3"/>
  <c r="Q11" i="3"/>
  <c r="Q15" i="3"/>
  <c r="Q20" i="3"/>
  <c r="Q8" i="3"/>
  <c r="Q12" i="3"/>
  <c r="Q16" i="3"/>
  <c r="Q9" i="3"/>
  <c r="Q13" i="3"/>
  <c r="Q36" i="3" l="1"/>
  <c r="Q35" i="3"/>
</calcChain>
</file>

<file path=xl/sharedStrings.xml><?xml version="1.0" encoding="utf-8"?>
<sst xmlns="http://schemas.openxmlformats.org/spreadsheetml/2006/main" count="226" uniqueCount="57">
  <si>
    <t>DMF</t>
    <phoneticPr fontId="1" type="noConversion"/>
  </si>
  <si>
    <t>Units</t>
  </si>
  <si>
    <t>Capital recover factor</t>
    <phoneticPr fontId="1" type="noConversion"/>
  </si>
  <si>
    <t>Total</t>
    <phoneticPr fontId="1" type="noConversion"/>
  </si>
  <si>
    <t>Catalysts</t>
    <phoneticPr fontId="1" type="noConversion"/>
  </si>
  <si>
    <t>Acetylene</t>
    <phoneticPr fontId="1" type="noConversion"/>
  </si>
  <si>
    <t>4. Bag-type reactor number</t>
    <phoneticPr fontId="1" type="noConversion"/>
  </si>
  <si>
    <t>mL</t>
    <phoneticPr fontId="1" type="noConversion"/>
  </si>
  <si>
    <t>5. Bag-type reactor weight</t>
    <phoneticPr fontId="1" type="noConversion"/>
  </si>
  <si>
    <t>Hydrochloric acid</t>
    <phoneticPr fontId="1" type="noConversion"/>
  </si>
  <si>
    <t>g</t>
    <phoneticPr fontId="1" type="noConversion"/>
  </si>
  <si>
    <t>3. DMF volume</t>
    <phoneticPr fontId="1" type="noConversion"/>
  </si>
  <si>
    <t>2. Catalysts weight</t>
    <phoneticPr fontId="1" type="noConversion"/>
  </si>
  <si>
    <t>$/tonne</t>
    <phoneticPr fontId="1" type="noConversion"/>
  </si>
  <si>
    <t>Ethylene profit</t>
    <phoneticPr fontId="1" type="noConversion"/>
  </si>
  <si>
    <t>Total profit</t>
    <phoneticPr fontId="1" type="noConversion"/>
  </si>
  <si>
    <t>Capital costs</t>
    <phoneticPr fontId="1" type="noConversion"/>
  </si>
  <si>
    <t>Operating costs</t>
    <phoneticPr fontId="1" type="noConversion"/>
  </si>
  <si>
    <t>Cash flow (CF) calculation for sensitivity analysis (Assume the rate of corporate income tax is 25% and taxes must be paid based on the previous year’s income; Interest rate of 12%)</t>
    <phoneticPr fontId="1" type="noConversion"/>
  </si>
  <si>
    <t>Variation from base value</t>
    <phoneticPr fontId="1" type="noConversion"/>
  </si>
  <si>
    <t>Year</t>
    <phoneticPr fontId="1" type="noConversion"/>
  </si>
  <si>
    <t>Discount Factor</t>
    <phoneticPr fontId="1" type="noConversion"/>
  </si>
  <si>
    <t>Total Net present value</t>
    <phoneticPr fontId="1" type="noConversion"/>
  </si>
  <si>
    <t>DCFROR</t>
  </si>
  <si>
    <t>Gross Profit ($/tonne)</t>
    <phoneticPr fontId="1" type="noConversion"/>
  </si>
  <si>
    <t>(1) Chemicals cost</t>
    <phoneticPr fontId="1" type="noConversion"/>
  </si>
  <si>
    <t>(2) Electricity cost</t>
    <phoneticPr fontId="1" type="noConversion"/>
  </si>
  <si>
    <t>(3) Balance of plant cost</t>
    <phoneticPr fontId="1" type="noConversion"/>
  </si>
  <si>
    <t>(1) Bag-type reactor cost</t>
    <phoneticPr fontId="1" type="noConversion"/>
  </si>
  <si>
    <t>(2) Separation equipment cost</t>
    <phoneticPr fontId="1" type="noConversion"/>
  </si>
  <si>
    <t>(4) Installation cost</t>
    <phoneticPr fontId="1" type="noConversion"/>
  </si>
  <si>
    <t>(5) Product separation cost</t>
    <phoneticPr fontId="1" type="noConversion"/>
  </si>
  <si>
    <t>(7) Maintenance cost</t>
    <phoneticPr fontId="1" type="noConversion"/>
  </si>
  <si>
    <t>Taxable Income ($/tonne)</t>
    <phoneticPr fontId="1" type="noConversion"/>
  </si>
  <si>
    <t>Taxes Paid ($/tonne)</t>
    <phoneticPr fontId="1" type="noConversion"/>
  </si>
  <si>
    <t>Crash Flow ($/tonne)</t>
    <phoneticPr fontId="1" type="noConversion"/>
  </si>
  <si>
    <t>Present Value of CF ($/tonne)</t>
    <phoneticPr fontId="1" type="noConversion"/>
  </si>
  <si>
    <t>1 year</t>
    <phoneticPr fontId="1" type="noConversion"/>
  </si>
  <si>
    <t>2 year</t>
    <phoneticPr fontId="1" type="noConversion"/>
  </si>
  <si>
    <r>
      <t>1. RuO</t>
    </r>
    <r>
      <rPr>
        <b/>
        <sz val="6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/TNS lifetime (years)</t>
    </r>
    <phoneticPr fontId="1" type="noConversion"/>
  </si>
  <si>
    <t>0.5 year</t>
    <phoneticPr fontId="1" type="noConversion"/>
  </si>
  <si>
    <t>(6) Depreciation charge</t>
    <phoneticPr fontId="1" type="noConversion"/>
  </si>
  <si>
    <r>
      <t>2. RuO</t>
    </r>
    <r>
      <rPr>
        <b/>
        <sz val="6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loading (wt.%)</t>
    </r>
    <phoneticPr fontId="1" type="noConversion"/>
  </si>
  <si>
    <t>3. Acetylene price ($/tonne)</t>
    <phoneticPr fontId="1" type="noConversion"/>
  </si>
  <si>
    <t>4. DMF price ($/tonne)</t>
    <phoneticPr fontId="1" type="noConversion"/>
  </si>
  <si>
    <t>5. Electricity price ($/kWh)</t>
    <phoneticPr fontId="1" type="noConversion"/>
  </si>
  <si>
    <t>DCFROR</t>
    <phoneticPr fontId="1" type="noConversion"/>
  </si>
  <si>
    <r>
      <t>g/g</t>
    </r>
    <r>
      <rPr>
        <sz val="8"/>
        <color theme="1"/>
        <rFont val="Arial"/>
        <family val="2"/>
      </rPr>
      <t>cat</t>
    </r>
    <r>
      <rPr>
        <sz val="11"/>
        <color theme="1"/>
        <rFont val="Arial"/>
        <family val="2"/>
      </rPr>
      <t>/day</t>
    </r>
    <phoneticPr fontId="1" type="noConversion"/>
  </si>
  <si>
    <r>
      <t>g</t>
    </r>
    <r>
      <rPr>
        <sz val="8"/>
        <color theme="1"/>
        <rFont val="Arial"/>
        <family val="2"/>
      </rPr>
      <t>cat</t>
    </r>
  </si>
  <si>
    <t>Depreciation Charge (CNY)</t>
    <phoneticPr fontId="1" type="noConversion"/>
  </si>
  <si>
    <r>
      <t>53.93 mmol/g</t>
    </r>
    <r>
      <rPr>
        <b/>
        <sz val="8"/>
        <color theme="4"/>
        <rFont val="Arial"/>
        <family val="2"/>
      </rPr>
      <t>cat</t>
    </r>
    <r>
      <rPr>
        <b/>
        <sz val="11"/>
        <color theme="4"/>
        <rFont val="Arial"/>
        <family val="2"/>
      </rPr>
      <t>/h</t>
    </r>
    <phoneticPr fontId="1" type="noConversion"/>
  </si>
  <si>
    <r>
      <t>49.72 mmol/g</t>
    </r>
    <r>
      <rPr>
        <b/>
        <sz val="8"/>
        <color theme="4"/>
        <rFont val="Arial"/>
        <family val="2"/>
      </rPr>
      <t>cat</t>
    </r>
    <r>
      <rPr>
        <b/>
        <sz val="11"/>
        <color theme="4"/>
        <rFont val="Arial"/>
        <family val="2"/>
      </rPr>
      <t>/h</t>
    </r>
    <phoneticPr fontId="1" type="noConversion"/>
  </si>
  <si>
    <r>
      <t>40.78 mmol/g</t>
    </r>
    <r>
      <rPr>
        <b/>
        <sz val="8"/>
        <color theme="4"/>
        <rFont val="Arial"/>
        <family val="2"/>
      </rPr>
      <t>cat</t>
    </r>
    <r>
      <rPr>
        <b/>
        <sz val="11"/>
        <color theme="4"/>
        <rFont val="Arial"/>
        <family val="2"/>
      </rPr>
      <t>/h</t>
    </r>
    <phoneticPr fontId="1" type="noConversion"/>
  </si>
  <si>
    <r>
      <t>30.55 mmol/g</t>
    </r>
    <r>
      <rPr>
        <b/>
        <sz val="8"/>
        <color theme="4"/>
        <rFont val="Arial"/>
        <family val="2"/>
      </rPr>
      <t>cat</t>
    </r>
    <r>
      <rPr>
        <b/>
        <sz val="11"/>
        <color theme="4"/>
        <rFont val="Arial"/>
        <family val="2"/>
      </rPr>
      <t>/h</t>
    </r>
    <phoneticPr fontId="1" type="noConversion"/>
  </si>
  <si>
    <t>1. VCM production rate</t>
    <phoneticPr fontId="1" type="noConversion"/>
  </si>
  <si>
    <t>1.08*133.1/101.1=1.42</t>
    <phoneticPr fontId="1" type="noConversion"/>
  </si>
  <si>
    <t>Techno-economic Analysis Model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</si>
</sst>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00000_);[Red]\(#,##0.000000\)"/>
    <numFmt numFmtId="177" formatCode="#,##0.00_);\(#,##0.00\)"/>
    <numFmt numFmtId="178" formatCode="#,##0.0000"/>
    <numFmt numFmtId="179" formatCode="#,##0.00000"/>
    <numFmt numFmtId="180" formatCode="0.00_ "/>
    <numFmt numFmtId="181" formatCode="#,##0.00_ "/>
    <numFmt numFmtId="182" formatCode="#,##0.00000_);[Red]\(#,##0.00000\)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70C0"/>
      <name val="Arial"/>
      <family val="2"/>
    </font>
    <font>
      <sz val="11"/>
      <color rgb="FFFF0000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b/>
      <sz val="11"/>
      <color theme="4"/>
      <name val="Arial"/>
      <family val="2"/>
    </font>
    <font>
      <b/>
      <sz val="8"/>
      <color theme="4"/>
      <name val="Arial"/>
      <family val="2"/>
    </font>
    <font>
      <b/>
      <sz val="11"/>
      <color theme="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6" xfId="0" applyFont="1" applyBorder="1"/>
    <xf numFmtId="4" fontId="2" fillId="0" borderId="0" xfId="0" applyNumberFormat="1" applyFont="1"/>
    <xf numFmtId="177" fontId="2" fillId="0" borderId="5" xfId="0" applyNumberFormat="1" applyFont="1" applyBorder="1"/>
    <xf numFmtId="4" fontId="2" fillId="0" borderId="0" xfId="0" applyNumberFormat="1" applyFont="1" applyAlignment="1">
      <alignment horizontal="center" vertical="center"/>
    </xf>
    <xf numFmtId="4" fontId="2" fillId="0" borderId="2" xfId="0" applyNumberFormat="1" applyFont="1" applyBorder="1"/>
    <xf numFmtId="177" fontId="2" fillId="0" borderId="7" xfId="0" applyNumberFormat="1" applyFont="1" applyBorder="1"/>
    <xf numFmtId="3" fontId="2" fillId="0" borderId="0" xfId="0" applyNumberFormat="1" applyFont="1"/>
    <xf numFmtId="4" fontId="2" fillId="0" borderId="7" xfId="0" applyNumberFormat="1" applyFont="1" applyBorder="1"/>
    <xf numFmtId="177" fontId="5" fillId="0" borderId="7" xfId="0" applyNumberFormat="1" applyFont="1" applyBorder="1"/>
    <xf numFmtId="3" fontId="2" fillId="0" borderId="6" xfId="0" applyNumberFormat="1" applyFont="1" applyBorder="1"/>
    <xf numFmtId="177" fontId="4" fillId="0" borderId="0" xfId="0" applyNumberFormat="1" applyFont="1"/>
    <xf numFmtId="4" fontId="4" fillId="0" borderId="8" xfId="0" applyNumberFormat="1" applyFont="1" applyBorder="1"/>
    <xf numFmtId="3" fontId="2" fillId="0" borderId="9" xfId="0" applyNumberFormat="1" applyFont="1" applyBorder="1"/>
    <xf numFmtId="4" fontId="2" fillId="0" borderId="13" xfId="0" applyNumberFormat="1" applyFont="1" applyBorder="1"/>
    <xf numFmtId="177" fontId="2" fillId="0" borderId="10" xfId="0" applyNumberFormat="1" applyFont="1" applyBorder="1"/>
    <xf numFmtId="178" fontId="2" fillId="0" borderId="0" xfId="0" applyNumberFormat="1" applyFont="1"/>
    <xf numFmtId="179" fontId="2" fillId="0" borderId="0" xfId="0" applyNumberFormat="1" applyFont="1"/>
    <xf numFmtId="178" fontId="2" fillId="0" borderId="8" xfId="0" applyNumberFormat="1" applyFont="1" applyBorder="1"/>
    <xf numFmtId="177" fontId="4" fillId="0" borderId="13" xfId="0" applyNumberFormat="1" applyFont="1" applyBorder="1"/>
    <xf numFmtId="180" fontId="4" fillId="0" borderId="11" xfId="0" applyNumberFormat="1" applyFont="1" applyBorder="1"/>
    <xf numFmtId="179" fontId="2" fillId="0" borderId="8" xfId="0" applyNumberFormat="1" applyFont="1" applyBorder="1"/>
    <xf numFmtId="181" fontId="4" fillId="0" borderId="8" xfId="0" applyNumberFormat="1" applyFont="1" applyBorder="1"/>
    <xf numFmtId="181" fontId="4" fillId="0" borderId="11" xfId="0" applyNumberFormat="1" applyFont="1" applyBorder="1"/>
    <xf numFmtId="176" fontId="2" fillId="0" borderId="0" xfId="0" applyNumberFormat="1" applyFont="1"/>
    <xf numFmtId="0" fontId="2" fillId="0" borderId="8" xfId="0" applyFont="1" applyBorder="1"/>
    <xf numFmtId="0" fontId="8" fillId="0" borderId="6" xfId="0" applyFont="1" applyBorder="1"/>
    <xf numFmtId="0" fontId="10" fillId="0" borderId="0" xfId="0" applyFont="1"/>
    <xf numFmtId="4" fontId="10" fillId="0" borderId="0" xfId="0" applyNumberFormat="1" applyFont="1"/>
    <xf numFmtId="182" fontId="2" fillId="0" borderId="6" xfId="0" applyNumberFormat="1" applyFont="1" applyBorder="1"/>
    <xf numFmtId="182" fontId="2" fillId="0" borderId="1" xfId="0" applyNumberFormat="1" applyFont="1" applyBorder="1"/>
    <xf numFmtId="182" fontId="2" fillId="0" borderId="14" xfId="0" applyNumberFormat="1" applyFont="1" applyBorder="1"/>
    <xf numFmtId="182" fontId="2" fillId="0" borderId="2" xfId="0" applyNumberFormat="1" applyFont="1" applyBorder="1"/>
    <xf numFmtId="0" fontId="2" fillId="0" borderId="2" xfId="0" applyFont="1" applyBorder="1"/>
    <xf numFmtId="0" fontId="8" fillId="0" borderId="3" xfId="0" applyFont="1" applyBorder="1"/>
    <xf numFmtId="0" fontId="2" fillId="0" borderId="4" xfId="0" applyFont="1" applyBorder="1"/>
    <xf numFmtId="176" fontId="8" fillId="2" borderId="1" xfId="0" applyNumberFormat="1" applyFont="1" applyFill="1" applyBorder="1"/>
    <xf numFmtId="176" fontId="8" fillId="2" borderId="14" xfId="0" applyNumberFormat="1" applyFont="1" applyFill="1" applyBorder="1"/>
    <xf numFmtId="176" fontId="8" fillId="2" borderId="2" xfId="0" applyNumberFormat="1" applyFont="1" applyFill="1" applyBorder="1"/>
    <xf numFmtId="0" fontId="8" fillId="2" borderId="2" xfId="0" applyFont="1" applyFill="1" applyBorder="1"/>
    <xf numFmtId="182" fontId="2" fillId="3" borderId="4" xfId="0" applyNumberFormat="1" applyFont="1" applyFill="1" applyBorder="1"/>
    <xf numFmtId="182" fontId="2" fillId="4" borderId="12" xfId="0" applyNumberFormat="1" applyFont="1" applyFill="1" applyBorder="1"/>
    <xf numFmtId="182" fontId="2" fillId="5" borderId="12" xfId="0" applyNumberFormat="1" applyFont="1" applyFill="1" applyBorder="1"/>
    <xf numFmtId="182" fontId="2" fillId="6" borderId="3" xfId="0" applyNumberFormat="1" applyFont="1" applyFill="1" applyBorder="1"/>
    <xf numFmtId="4" fontId="3" fillId="3" borderId="3" xfId="0" applyNumberFormat="1" applyFont="1" applyFill="1" applyBorder="1" applyAlignment="1">
      <alignment horizontal="center"/>
    </xf>
    <xf numFmtId="4" fontId="3" fillId="3" borderId="12" xfId="0" applyNumberFormat="1" applyFont="1" applyFill="1" applyBorder="1" applyAlignment="1">
      <alignment horizontal="center"/>
    </xf>
    <xf numFmtId="4" fontId="3" fillId="3" borderId="4" xfId="0" applyNumberFormat="1" applyFont="1" applyFill="1" applyBorder="1" applyAlignment="1">
      <alignment horizontal="center"/>
    </xf>
    <xf numFmtId="4" fontId="3" fillId="7" borderId="3" xfId="0" applyNumberFormat="1" applyFont="1" applyFill="1" applyBorder="1" applyAlignment="1">
      <alignment horizontal="center"/>
    </xf>
    <xf numFmtId="4" fontId="3" fillId="7" borderId="12" xfId="0" applyNumberFormat="1" applyFont="1" applyFill="1" applyBorder="1" applyAlignment="1">
      <alignment horizontal="center"/>
    </xf>
    <xf numFmtId="4" fontId="3" fillId="7" borderId="4" xfId="0" applyNumberFormat="1" applyFont="1" applyFill="1" applyBorder="1" applyAlignment="1">
      <alignment horizontal="center"/>
    </xf>
    <xf numFmtId="4" fontId="3" fillId="6" borderId="3" xfId="0" applyNumberFormat="1" applyFont="1" applyFill="1" applyBorder="1" applyAlignment="1">
      <alignment horizontal="center"/>
    </xf>
    <xf numFmtId="4" fontId="3" fillId="6" borderId="12" xfId="0" applyNumberFormat="1" applyFont="1" applyFill="1" applyBorder="1" applyAlignment="1">
      <alignment horizontal="center"/>
    </xf>
    <xf numFmtId="4" fontId="3" fillId="6" borderId="4" xfId="0" applyNumberFormat="1" applyFont="1" applyFill="1" applyBorder="1" applyAlignment="1">
      <alignment horizontal="center"/>
    </xf>
    <xf numFmtId="4" fontId="3" fillId="5" borderId="3" xfId="0" applyNumberFormat="1" applyFont="1" applyFill="1" applyBorder="1" applyAlignment="1">
      <alignment horizontal="center"/>
    </xf>
    <xf numFmtId="4" fontId="3" fillId="5" borderId="12" xfId="0" applyNumberFormat="1" applyFont="1" applyFill="1" applyBorder="1" applyAlignment="1">
      <alignment horizontal="center"/>
    </xf>
    <xf numFmtId="4" fontId="3" fillId="5" borderId="4" xfId="0" applyNumberFormat="1" applyFont="1" applyFill="1" applyBorder="1" applyAlignment="1">
      <alignment horizontal="center"/>
    </xf>
    <xf numFmtId="4" fontId="3" fillId="4" borderId="3" xfId="0" applyNumberFormat="1" applyFont="1" applyFill="1" applyBorder="1" applyAlignment="1">
      <alignment horizontal="center"/>
    </xf>
    <xf numFmtId="4" fontId="3" fillId="4" borderId="12" xfId="0" applyNumberFormat="1" applyFont="1" applyFill="1" applyBorder="1" applyAlignment="1">
      <alignment horizontal="center"/>
    </xf>
    <xf numFmtId="4" fontId="3" fillId="4" borderId="4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1BAC-883E-4E06-9619-71D2BC2CFB6A}">
  <dimension ref="A1:BE104"/>
  <sheetViews>
    <sheetView tabSelected="1" zoomScale="25" zoomScaleNormal="25" workbookViewId="0">
      <selection activeCell="A30" sqref="A30"/>
    </sheetView>
  </sheetViews>
  <sheetFormatPr defaultRowHeight="13.8" x14ac:dyDescent="0.25"/>
  <cols>
    <col min="1" max="1" width="31.33203125" style="1" bestFit="1" customWidth="1"/>
    <col min="2" max="4" width="21" style="26" bestFit="1" customWidth="1"/>
    <col min="5" max="5" width="18.6640625" style="26" customWidth="1"/>
    <col min="6" max="6" width="10.6640625" style="1" bestFit="1" customWidth="1"/>
    <col min="7" max="8" width="8.88671875" style="1"/>
    <col min="9" max="9" width="23.88671875" style="1" customWidth="1"/>
    <col min="10" max="10" width="8.88671875" style="1"/>
    <col min="11" max="11" width="22.33203125" style="1" bestFit="1" customWidth="1"/>
    <col min="12" max="12" width="28.5546875" style="1" bestFit="1" customWidth="1"/>
    <col min="13" max="13" width="26.109375" style="1" bestFit="1" customWidth="1"/>
    <col min="14" max="15" width="21.6640625" style="1" bestFit="1" customWidth="1"/>
    <col min="16" max="16" width="26.88671875" style="1" bestFit="1" customWidth="1"/>
    <col min="17" max="17" width="31.33203125" style="1" customWidth="1"/>
    <col min="18" max="18" width="8.88671875" style="1"/>
    <col min="19" max="19" width="26.5546875" style="1" bestFit="1" customWidth="1"/>
    <col min="20" max="20" width="8.88671875" style="1"/>
    <col min="21" max="21" width="22.77734375" style="1" bestFit="1" customWidth="1"/>
    <col min="22" max="22" width="28.5546875" style="1" bestFit="1" customWidth="1"/>
    <col min="23" max="23" width="26.77734375" style="1" bestFit="1" customWidth="1"/>
    <col min="24" max="25" width="22.21875" style="1" bestFit="1" customWidth="1"/>
    <col min="26" max="26" width="26.88671875" style="1" bestFit="1" customWidth="1"/>
    <col min="27" max="27" width="31.33203125" style="1" bestFit="1" customWidth="1"/>
    <col min="28" max="28" width="8.88671875" style="1"/>
    <col min="29" max="29" width="26.6640625" style="1" bestFit="1" customWidth="1"/>
    <col min="30" max="30" width="8.88671875" style="1"/>
    <col min="31" max="31" width="22.77734375" style="1" bestFit="1" customWidth="1"/>
    <col min="32" max="32" width="28.5546875" style="1" bestFit="1" customWidth="1"/>
    <col min="33" max="33" width="26.77734375" style="1" bestFit="1" customWidth="1"/>
    <col min="34" max="35" width="22.21875" style="1" bestFit="1" customWidth="1"/>
    <col min="36" max="36" width="26.88671875" style="1" bestFit="1" customWidth="1"/>
    <col min="37" max="37" width="31.33203125" style="1" bestFit="1" customWidth="1"/>
    <col min="38" max="38" width="8.88671875" style="1"/>
    <col min="39" max="39" width="26.5546875" style="1" bestFit="1" customWidth="1"/>
    <col min="40" max="40" width="6.109375" style="1" bestFit="1" customWidth="1"/>
    <col min="41" max="41" width="22.77734375" style="1" bestFit="1" customWidth="1"/>
    <col min="42" max="42" width="28.5546875" style="1" bestFit="1" customWidth="1"/>
    <col min="43" max="43" width="26.77734375" style="1" bestFit="1" customWidth="1"/>
    <col min="44" max="45" width="22.21875" style="1" bestFit="1" customWidth="1"/>
    <col min="46" max="46" width="26.88671875" style="1" bestFit="1" customWidth="1"/>
    <col min="47" max="47" width="31.33203125" style="1" bestFit="1" customWidth="1"/>
    <col min="48" max="48" width="8.88671875" style="1"/>
    <col min="49" max="49" width="26.6640625" style="1" bestFit="1" customWidth="1"/>
    <col min="50" max="50" width="6.109375" style="1" bestFit="1" customWidth="1"/>
    <col min="51" max="51" width="22.77734375" style="1" bestFit="1" customWidth="1"/>
    <col min="52" max="52" width="28.5546875" style="1" bestFit="1" customWidth="1"/>
    <col min="53" max="53" width="26.77734375" style="1" bestFit="1" customWidth="1"/>
    <col min="54" max="55" width="22.21875" style="1" bestFit="1" customWidth="1"/>
    <col min="56" max="56" width="26.88671875" style="1" bestFit="1" customWidth="1"/>
    <col min="57" max="57" width="31.33203125" style="1" bestFit="1" customWidth="1"/>
    <col min="58" max="16384" width="8.88671875" style="1"/>
  </cols>
  <sheetData>
    <row r="1" spans="1:57" x14ac:dyDescent="0.25">
      <c r="A1" s="29" t="s">
        <v>56</v>
      </c>
      <c r="B1" s="1"/>
      <c r="C1" s="1"/>
      <c r="D1" s="1"/>
      <c r="E1" s="1"/>
      <c r="H1" s="4"/>
      <c r="I1" s="30" t="s">
        <v>18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57" x14ac:dyDescent="0.25">
      <c r="A2" s="2"/>
      <c r="B2" s="38" t="s">
        <v>50</v>
      </c>
      <c r="C2" s="39" t="s">
        <v>51</v>
      </c>
      <c r="D2" s="39" t="s">
        <v>52</v>
      </c>
      <c r="E2" s="40" t="s">
        <v>53</v>
      </c>
      <c r="F2" s="41" t="s">
        <v>1</v>
      </c>
      <c r="H2" s="4"/>
      <c r="I2" s="49" t="s">
        <v>39</v>
      </c>
      <c r="J2" s="50"/>
      <c r="K2" s="50"/>
      <c r="L2" s="50"/>
      <c r="M2" s="50"/>
      <c r="N2" s="50"/>
      <c r="O2" s="50"/>
      <c r="P2" s="50"/>
      <c r="Q2" s="51"/>
      <c r="R2" s="4"/>
      <c r="S2" s="52" t="s">
        <v>42</v>
      </c>
      <c r="T2" s="53"/>
      <c r="U2" s="53"/>
      <c r="V2" s="53"/>
      <c r="W2" s="53"/>
      <c r="X2" s="53"/>
      <c r="Y2" s="53"/>
      <c r="Z2" s="53"/>
      <c r="AA2" s="54"/>
      <c r="AB2" s="4"/>
      <c r="AC2" s="55" t="s">
        <v>43</v>
      </c>
      <c r="AD2" s="56"/>
      <c r="AE2" s="56"/>
      <c r="AF2" s="56"/>
      <c r="AG2" s="56"/>
      <c r="AH2" s="56"/>
      <c r="AI2" s="56"/>
      <c r="AJ2" s="56"/>
      <c r="AK2" s="57"/>
      <c r="AM2" s="58" t="s">
        <v>44</v>
      </c>
      <c r="AN2" s="59"/>
      <c r="AO2" s="59"/>
      <c r="AP2" s="59"/>
      <c r="AQ2" s="59"/>
      <c r="AR2" s="59"/>
      <c r="AS2" s="59"/>
      <c r="AT2" s="59"/>
      <c r="AU2" s="60"/>
      <c r="AW2" s="46" t="s">
        <v>45</v>
      </c>
      <c r="AX2" s="47"/>
      <c r="AY2" s="47"/>
      <c r="AZ2" s="47"/>
      <c r="BA2" s="47"/>
      <c r="BB2" s="47"/>
      <c r="BC2" s="47"/>
      <c r="BD2" s="47"/>
      <c r="BE2" s="48"/>
    </row>
    <row r="3" spans="1:57" x14ac:dyDescent="0.25">
      <c r="A3" s="2" t="s">
        <v>54</v>
      </c>
      <c r="B3" s="32">
        <f>53.93*62.5*1000^-1*10</f>
        <v>33.706249999999997</v>
      </c>
      <c r="C3" s="33">
        <f>49.72*62.5*1000^-1*10</f>
        <v>31.074999999999999</v>
      </c>
      <c r="D3" s="33">
        <f>40.78*62.5*1000^-1*10</f>
        <v>25.487500000000001</v>
      </c>
      <c r="E3" s="34">
        <f>30.55*62.5*1000^-1*10</f>
        <v>19.09375</v>
      </c>
      <c r="F3" s="35" t="s">
        <v>47</v>
      </c>
      <c r="H3" s="4"/>
      <c r="I3" s="5" t="s">
        <v>19</v>
      </c>
      <c r="J3" s="6" t="s">
        <v>20</v>
      </c>
      <c r="K3" s="4" t="s">
        <v>24</v>
      </c>
      <c r="L3" s="4" t="s">
        <v>49</v>
      </c>
      <c r="M3" s="4" t="s">
        <v>33</v>
      </c>
      <c r="N3" s="4" t="s">
        <v>34</v>
      </c>
      <c r="O3" s="4" t="s">
        <v>35</v>
      </c>
      <c r="P3" s="4" t="s">
        <v>21</v>
      </c>
      <c r="Q3" s="7" t="s">
        <v>36</v>
      </c>
      <c r="R3" s="4"/>
      <c r="S3" s="5" t="s">
        <v>19</v>
      </c>
      <c r="T3" s="6" t="s">
        <v>20</v>
      </c>
      <c r="U3" s="4" t="s">
        <v>24</v>
      </c>
      <c r="V3" s="4" t="s">
        <v>49</v>
      </c>
      <c r="W3" s="4" t="s">
        <v>33</v>
      </c>
      <c r="X3" s="4" t="s">
        <v>34</v>
      </c>
      <c r="Y3" s="4" t="s">
        <v>35</v>
      </c>
      <c r="Z3" s="4" t="s">
        <v>21</v>
      </c>
      <c r="AA3" s="7" t="s">
        <v>36</v>
      </c>
      <c r="AB3" s="4"/>
      <c r="AC3" s="5" t="s">
        <v>19</v>
      </c>
      <c r="AD3" s="6" t="s">
        <v>20</v>
      </c>
      <c r="AE3" s="4" t="s">
        <v>24</v>
      </c>
      <c r="AF3" s="4" t="s">
        <v>49</v>
      </c>
      <c r="AG3" s="4" t="s">
        <v>33</v>
      </c>
      <c r="AH3" s="4" t="s">
        <v>34</v>
      </c>
      <c r="AI3" s="4" t="s">
        <v>35</v>
      </c>
      <c r="AJ3" s="4" t="s">
        <v>21</v>
      </c>
      <c r="AK3" s="7" t="s">
        <v>36</v>
      </c>
      <c r="AM3" s="5" t="s">
        <v>19</v>
      </c>
      <c r="AN3" s="6" t="s">
        <v>20</v>
      </c>
      <c r="AO3" s="4" t="s">
        <v>24</v>
      </c>
      <c r="AP3" s="4" t="s">
        <v>49</v>
      </c>
      <c r="AQ3" s="4" t="s">
        <v>33</v>
      </c>
      <c r="AR3" s="4" t="s">
        <v>34</v>
      </c>
      <c r="AS3" s="4" t="s">
        <v>35</v>
      </c>
      <c r="AT3" s="4" t="s">
        <v>21</v>
      </c>
      <c r="AU3" s="7" t="s">
        <v>36</v>
      </c>
      <c r="AW3" s="5" t="s">
        <v>19</v>
      </c>
      <c r="AX3" s="6" t="s">
        <v>20</v>
      </c>
      <c r="AY3" s="4" t="s">
        <v>24</v>
      </c>
      <c r="AZ3" s="4" t="s">
        <v>49</v>
      </c>
      <c r="BA3" s="4" t="s">
        <v>33</v>
      </c>
      <c r="BB3" s="4" t="s">
        <v>34</v>
      </c>
      <c r="BC3" s="4" t="s">
        <v>35</v>
      </c>
      <c r="BD3" s="4" t="s">
        <v>21</v>
      </c>
      <c r="BE3" s="7" t="s">
        <v>36</v>
      </c>
    </row>
    <row r="4" spans="1:57" x14ac:dyDescent="0.25">
      <c r="A4" s="3" t="s">
        <v>12</v>
      </c>
      <c r="B4" s="31">
        <f>20/(B3*10^-6)</f>
        <v>593361.76525125164</v>
      </c>
      <c r="C4" s="31">
        <f>20/(C3*10^-6)</f>
        <v>643604.18342719239</v>
      </c>
      <c r="D4" s="31">
        <f>20/(D3*10^-6)</f>
        <v>784698.38155958802</v>
      </c>
      <c r="E4" s="31">
        <f>20/(E3*10^-6)</f>
        <v>1047463.1751227496</v>
      </c>
      <c r="F4" s="27" t="s">
        <v>48</v>
      </c>
      <c r="H4" s="4"/>
      <c r="I4" s="8" t="s">
        <v>37</v>
      </c>
      <c r="J4" s="9">
        <v>0</v>
      </c>
      <c r="K4" s="19">
        <v>0</v>
      </c>
      <c r="L4" s="19">
        <v>0</v>
      </c>
      <c r="M4" s="19">
        <v>0</v>
      </c>
      <c r="N4" s="19">
        <v>0</v>
      </c>
      <c r="O4" s="19">
        <v>-4.2486122775497098E-4</v>
      </c>
      <c r="P4" s="19">
        <f>1/(1+0.12)^0</f>
        <v>1</v>
      </c>
      <c r="Q4" s="23">
        <f>O4*P4</f>
        <v>-4.2486122775497098E-4</v>
      </c>
      <c r="R4" s="4"/>
      <c r="S4" s="8" t="s">
        <v>55</v>
      </c>
      <c r="T4" s="9">
        <v>0</v>
      </c>
      <c r="U4" s="19">
        <v>0</v>
      </c>
      <c r="V4" s="19">
        <v>0</v>
      </c>
      <c r="W4" s="19">
        <v>0</v>
      </c>
      <c r="X4" s="19">
        <v>0</v>
      </c>
      <c r="Y4" s="19">
        <v>-4.2486122775497098E-4</v>
      </c>
      <c r="Z4" s="19">
        <f>1/(1+0.12)^0</f>
        <v>1</v>
      </c>
      <c r="AA4" s="23">
        <f>Y4*Z4</f>
        <v>-4.2486122775497098E-4</v>
      </c>
      <c r="AB4" s="4"/>
      <c r="AC4" s="8">
        <v>949.73</v>
      </c>
      <c r="AD4" s="9">
        <v>0</v>
      </c>
      <c r="AE4" s="19">
        <v>0</v>
      </c>
      <c r="AF4" s="19">
        <v>0</v>
      </c>
      <c r="AG4" s="19">
        <v>0</v>
      </c>
      <c r="AH4" s="19">
        <v>0</v>
      </c>
      <c r="AI4" s="19">
        <v>-4.2486122775497098E-4</v>
      </c>
      <c r="AJ4" s="19">
        <f>1/(1+0.12)^0</f>
        <v>1</v>
      </c>
      <c r="AK4" s="23">
        <f>AI4*AJ4</f>
        <v>-4.2486122775497098E-4</v>
      </c>
      <c r="AM4" s="8">
        <v>560</v>
      </c>
      <c r="AN4" s="9">
        <v>0</v>
      </c>
      <c r="AO4" s="19">
        <v>0</v>
      </c>
      <c r="AP4" s="19">
        <v>0</v>
      </c>
      <c r="AQ4" s="19">
        <v>0</v>
      </c>
      <c r="AR4" s="19">
        <v>0</v>
      </c>
      <c r="AS4" s="19">
        <v>-4.2486122775497098E-4</v>
      </c>
      <c r="AT4" s="19">
        <f>1/(1+0.12)^0</f>
        <v>1</v>
      </c>
      <c r="AU4" s="23">
        <f>AS4*AT4</f>
        <v>-4.2486122775497098E-4</v>
      </c>
      <c r="AW4" s="8">
        <v>8.6999999999999994E-2</v>
      </c>
      <c r="AX4" s="9">
        <v>0</v>
      </c>
      <c r="AY4" s="19">
        <v>0</v>
      </c>
      <c r="AZ4" s="19">
        <v>0</v>
      </c>
      <c r="BA4" s="19">
        <v>0</v>
      </c>
      <c r="BB4" s="19">
        <v>0</v>
      </c>
      <c r="BC4" s="19">
        <v>-4.2486122775497098E-4</v>
      </c>
      <c r="BD4" s="19">
        <f>1/(1+0.12)^0</f>
        <v>1</v>
      </c>
      <c r="BE4" s="23">
        <f>BC4*BD4</f>
        <v>-4.2486122775497098E-4</v>
      </c>
    </row>
    <row r="5" spans="1:57" x14ac:dyDescent="0.25">
      <c r="A5" s="3" t="s">
        <v>11</v>
      </c>
      <c r="B5" s="31">
        <f>B4*10/10</f>
        <v>593361.76525125164</v>
      </c>
      <c r="C5" s="31">
        <f>C4*10/10</f>
        <v>643604.18342719239</v>
      </c>
      <c r="D5" s="31">
        <f>D4*10/10</f>
        <v>784698.38155958802</v>
      </c>
      <c r="E5" s="31">
        <f>E4*10/10</f>
        <v>1047463.1751227496</v>
      </c>
      <c r="F5" s="27" t="s">
        <v>7</v>
      </c>
      <c r="H5" s="4"/>
      <c r="I5" s="10"/>
      <c r="J5" s="9">
        <v>1</v>
      </c>
      <c r="K5" s="19">
        <v>214.97627889492617</v>
      </c>
      <c r="L5" s="19">
        <v>1.3453938878907409E-5</v>
      </c>
      <c r="M5" s="19">
        <f>K5-L5</f>
        <v>214.97626544098728</v>
      </c>
      <c r="N5" s="19">
        <v>0</v>
      </c>
      <c r="O5" s="19">
        <f>K5-N5</f>
        <v>214.97627889492617</v>
      </c>
      <c r="P5" s="19">
        <f>1/(1+0.12)^1</f>
        <v>0.89285714285714279</v>
      </c>
      <c r="Q5" s="23">
        <f t="shared" ref="Q5:Q34" si="0">O5*P5</f>
        <v>191.94310615618406</v>
      </c>
      <c r="R5" s="4"/>
      <c r="S5" s="10"/>
      <c r="T5" s="9">
        <v>1</v>
      </c>
      <c r="U5" s="19">
        <v>214.97627889492617</v>
      </c>
      <c r="V5" s="19">
        <v>1.3453938878907409E-5</v>
      </c>
      <c r="W5" s="19">
        <f>U5-V5</f>
        <v>214.97626544098728</v>
      </c>
      <c r="X5" s="19">
        <v>0</v>
      </c>
      <c r="Y5" s="19">
        <f>U5-X5</f>
        <v>214.97627889492617</v>
      </c>
      <c r="Z5" s="19">
        <f>1/(1+0.12)^1</f>
        <v>0.89285714285714279</v>
      </c>
      <c r="AA5" s="23">
        <f t="shared" ref="AA5:AA34" si="1">Y5*Z5</f>
        <v>191.94310615618406</v>
      </c>
      <c r="AB5" s="4"/>
      <c r="AC5" s="10"/>
      <c r="AD5" s="9">
        <v>1</v>
      </c>
      <c r="AE5" s="19">
        <v>214.97627889492617</v>
      </c>
      <c r="AF5" s="19">
        <v>1.3453938878907409E-5</v>
      </c>
      <c r="AG5" s="19">
        <f>AE5-AF5</f>
        <v>214.97626544098728</v>
      </c>
      <c r="AH5" s="19">
        <v>0</v>
      </c>
      <c r="AI5" s="19">
        <f>AE5-AH5</f>
        <v>214.97627889492617</v>
      </c>
      <c r="AJ5" s="19">
        <f>1/(1+0.12)^1</f>
        <v>0.89285714285714279</v>
      </c>
      <c r="AK5" s="23">
        <f t="shared" ref="AK5:AK34" si="2">AI5*AJ5</f>
        <v>191.94310615618406</v>
      </c>
      <c r="AM5" s="10"/>
      <c r="AN5" s="9">
        <v>1</v>
      </c>
      <c r="AO5" s="19">
        <v>214.97627889492617</v>
      </c>
      <c r="AP5" s="19">
        <v>1.3453938878907409E-5</v>
      </c>
      <c r="AQ5" s="19">
        <f>AO5-AP5</f>
        <v>214.97626544098728</v>
      </c>
      <c r="AR5" s="19">
        <v>0</v>
      </c>
      <c r="AS5" s="19">
        <f>AO5-AR5</f>
        <v>214.97627889492617</v>
      </c>
      <c r="AT5" s="19">
        <f>1/(1+0.12)^1</f>
        <v>0.89285714285714279</v>
      </c>
      <c r="AU5" s="23">
        <f t="shared" ref="AU5:AU34" si="3">AS5*AT5</f>
        <v>191.94310615618406</v>
      </c>
      <c r="AW5" s="10"/>
      <c r="AX5" s="9">
        <v>1</v>
      </c>
      <c r="AY5" s="19">
        <v>214.97627889492617</v>
      </c>
      <c r="AZ5" s="19">
        <v>1.3453938878907409E-5</v>
      </c>
      <c r="BA5" s="19">
        <f>AY5-AZ5</f>
        <v>214.97626544098728</v>
      </c>
      <c r="BB5" s="19">
        <v>0</v>
      </c>
      <c r="BC5" s="19">
        <f>AY5-BB5</f>
        <v>214.97627889492617</v>
      </c>
      <c r="BD5" s="19">
        <f>1/(1+0.12)^1</f>
        <v>0.89285714285714279</v>
      </c>
      <c r="BE5" s="23">
        <f t="shared" ref="BE5:BE34" si="4">BC5*BD5</f>
        <v>191.94310615618406</v>
      </c>
    </row>
    <row r="6" spans="1:57" x14ac:dyDescent="0.25">
      <c r="A6" s="3" t="s">
        <v>6</v>
      </c>
      <c r="B6" s="31">
        <f>B5/10^3/(6.1*3.141593*(0.61/2)*(0.1/2))/70%</f>
        <v>2900.4936482008584</v>
      </c>
      <c r="C6" s="31">
        <f>C5/10^3/(6.1*3.141593*(0.61/2)*(0.1/2))/70%</f>
        <v>3146.0905560634014</v>
      </c>
      <c r="D6" s="31">
        <f>D5/10^3/(6.1*3.141593*(0.61/2)*(0.1/2))/70%</f>
        <v>3835.792605381861</v>
      </c>
      <c r="E6" s="31">
        <f>E5/10^3/(6.1*3.141593*(0.61/2)*(0.1/2))/70%</f>
        <v>5120.2495072822358</v>
      </c>
      <c r="F6" s="27"/>
      <c r="H6" s="4"/>
      <c r="I6" s="8"/>
      <c r="J6" s="9">
        <v>2</v>
      </c>
      <c r="K6" s="19">
        <v>214.97627889492617</v>
      </c>
      <c r="L6" s="19">
        <v>1.3453938878907409E-5</v>
      </c>
      <c r="M6" s="19">
        <f t="shared" ref="M6:M34" si="5">K6-L6</f>
        <v>214.97626544098728</v>
      </c>
      <c r="N6" s="19">
        <f t="shared" ref="N6:N34" si="6">M6*0.25</f>
        <v>53.744066360246819</v>
      </c>
      <c r="O6" s="19">
        <f t="shared" ref="O6:O34" si="7">K6-N6</f>
        <v>161.23221253467935</v>
      </c>
      <c r="P6" s="19">
        <f>1/(1+0.12)^2</f>
        <v>0.79719387755102034</v>
      </c>
      <c r="Q6" s="23">
        <f t="shared" si="0"/>
        <v>128.53333269665126</v>
      </c>
      <c r="R6" s="4"/>
      <c r="S6" s="8"/>
      <c r="T6" s="9">
        <v>2</v>
      </c>
      <c r="U6" s="19">
        <v>214.97627889492617</v>
      </c>
      <c r="V6" s="19">
        <v>1.3453938878907409E-5</v>
      </c>
      <c r="W6" s="19">
        <f t="shared" ref="W6:W24" si="8">U6-V6</f>
        <v>214.97626544098728</v>
      </c>
      <c r="X6" s="19">
        <f t="shared" ref="X6" si="9">W6*0.25</f>
        <v>53.744066360246819</v>
      </c>
      <c r="Y6" s="19">
        <f t="shared" ref="Y6:Y34" si="10">U6-X6</f>
        <v>161.23221253467935</v>
      </c>
      <c r="Z6" s="19">
        <f>1/(1+0.12)^2</f>
        <v>0.79719387755102034</v>
      </c>
      <c r="AA6" s="23">
        <f t="shared" si="1"/>
        <v>128.53333269665126</v>
      </c>
      <c r="AB6" s="4"/>
      <c r="AC6" s="8"/>
      <c r="AD6" s="9">
        <v>2</v>
      </c>
      <c r="AE6" s="19">
        <v>214.97627889492617</v>
      </c>
      <c r="AF6" s="19">
        <v>1.3453938878907409E-5</v>
      </c>
      <c r="AG6" s="19">
        <f t="shared" ref="AG6:AG24" si="11">AE6-AF6</f>
        <v>214.97626544098728</v>
      </c>
      <c r="AH6" s="19">
        <f t="shared" ref="AH6" si="12">AG6*0.25</f>
        <v>53.744066360246819</v>
      </c>
      <c r="AI6" s="19">
        <f t="shared" ref="AI6:AI34" si="13">AE6-AH6</f>
        <v>161.23221253467935</v>
      </c>
      <c r="AJ6" s="19">
        <f>1/(1+0.12)^2</f>
        <v>0.79719387755102034</v>
      </c>
      <c r="AK6" s="23">
        <f t="shared" si="2"/>
        <v>128.53333269665126</v>
      </c>
      <c r="AM6" s="8"/>
      <c r="AN6" s="9">
        <v>2</v>
      </c>
      <c r="AO6" s="19">
        <v>214.97627889492617</v>
      </c>
      <c r="AP6" s="19">
        <v>1.3453938878907409E-5</v>
      </c>
      <c r="AQ6" s="19">
        <f t="shared" ref="AQ6:AQ24" si="14">AO6-AP6</f>
        <v>214.97626544098728</v>
      </c>
      <c r="AR6" s="19">
        <f t="shared" ref="AR6" si="15">AQ6*0.25</f>
        <v>53.744066360246819</v>
      </c>
      <c r="AS6" s="19">
        <f t="shared" ref="AS6:AS34" si="16">AO6-AR6</f>
        <v>161.23221253467935</v>
      </c>
      <c r="AT6" s="19">
        <f>1/(1+0.12)^2</f>
        <v>0.79719387755102034</v>
      </c>
      <c r="AU6" s="23">
        <f t="shared" si="3"/>
        <v>128.53333269665126</v>
      </c>
      <c r="AW6" s="8"/>
      <c r="AX6" s="9">
        <v>2</v>
      </c>
      <c r="AY6" s="19">
        <v>214.97627889492617</v>
      </c>
      <c r="AZ6" s="19">
        <v>1.3453938878907409E-5</v>
      </c>
      <c r="BA6" s="19">
        <f t="shared" ref="BA6:BA24" si="17">AY6-AZ6</f>
        <v>214.97626544098728</v>
      </c>
      <c r="BB6" s="19">
        <f t="shared" ref="BB6" si="18">BA6*0.25</f>
        <v>53.744066360246819</v>
      </c>
      <c r="BC6" s="19">
        <f t="shared" ref="BC6:BC34" si="19">AY6-BB6</f>
        <v>161.23221253467935</v>
      </c>
      <c r="BD6" s="19">
        <f>1/(1+0.12)^2</f>
        <v>0.79719387755102034</v>
      </c>
      <c r="BE6" s="23">
        <f t="shared" si="4"/>
        <v>128.53333269665126</v>
      </c>
    </row>
    <row r="7" spans="1:57" x14ac:dyDescent="0.25">
      <c r="A7" s="3" t="s">
        <v>8</v>
      </c>
      <c r="B7" s="31">
        <f>2901*(6.1*(2*3.141593*0.1/2+4*(0.61/2-0.1/2))+2*3.141593*0.61/2*0.1/2)*0.5*10^-3*0.95*10^6</f>
        <v>11346508.401379086</v>
      </c>
      <c r="C7" s="31">
        <f>3147*(6.1*(2*3.141593*0.1/2+4*(0.61/2-0.1/2))+2*3.141593*0.61/2*0.1/2)*0.5*10^-3*0.95*10^6</f>
        <v>12308673.539862111</v>
      </c>
      <c r="D7" s="31">
        <f>3836*(6.1*(2*3.141593*0.1/2+4*(0.61/2-0.1/2))+2*3.141593*0.61/2*0.1/2)*0.5*10^-3*0.95*10^6</f>
        <v>15003518.175694648</v>
      </c>
      <c r="E7" s="31">
        <f>5121*(6.1*(2*3.141593*0.1/2+4*(0.61/2-0.1/2))+2*3.141593*0.61/2*0.1/2)*0.5*10^-3*0.95*10^6</f>
        <v>20029462.090128332</v>
      </c>
      <c r="F7" s="27" t="s">
        <v>10</v>
      </c>
      <c r="H7" s="4"/>
      <c r="I7" s="8"/>
      <c r="J7" s="9">
        <v>3</v>
      </c>
      <c r="K7" s="19">
        <v>214.97627889492617</v>
      </c>
      <c r="L7" s="19">
        <v>1.3453938878907409E-5</v>
      </c>
      <c r="M7" s="19">
        <f t="shared" si="5"/>
        <v>214.97626544098728</v>
      </c>
      <c r="N7" s="19">
        <f>M7*0.25</f>
        <v>53.744066360246819</v>
      </c>
      <c r="O7" s="19">
        <f t="shared" si="7"/>
        <v>161.23221253467935</v>
      </c>
      <c r="P7" s="19">
        <f>1/(1+0.12)^3</f>
        <v>0.71178024781341087</v>
      </c>
      <c r="Q7" s="23">
        <f t="shared" si="0"/>
        <v>114.7619041934386</v>
      </c>
      <c r="R7" s="4"/>
      <c r="S7" s="8"/>
      <c r="T7" s="9">
        <v>3</v>
      </c>
      <c r="U7" s="19">
        <v>214.97627889492617</v>
      </c>
      <c r="V7" s="19">
        <v>1.3453938878907409E-5</v>
      </c>
      <c r="W7" s="19">
        <f t="shared" si="8"/>
        <v>214.97626544098728</v>
      </c>
      <c r="X7" s="19">
        <f>W7*0.25</f>
        <v>53.744066360246819</v>
      </c>
      <c r="Y7" s="19">
        <f t="shared" si="10"/>
        <v>161.23221253467935</v>
      </c>
      <c r="Z7" s="19">
        <f>1/(1+0.12)^3</f>
        <v>0.71178024781341087</v>
      </c>
      <c r="AA7" s="23">
        <f t="shared" si="1"/>
        <v>114.7619041934386</v>
      </c>
      <c r="AB7" s="4"/>
      <c r="AC7" s="8"/>
      <c r="AD7" s="9">
        <v>3</v>
      </c>
      <c r="AE7" s="19">
        <v>214.97627889492617</v>
      </c>
      <c r="AF7" s="19">
        <v>1.3453938878907409E-5</v>
      </c>
      <c r="AG7" s="19">
        <f t="shared" si="11"/>
        <v>214.97626544098728</v>
      </c>
      <c r="AH7" s="19">
        <f>AG7*0.25</f>
        <v>53.744066360246819</v>
      </c>
      <c r="AI7" s="19">
        <f t="shared" si="13"/>
        <v>161.23221253467935</v>
      </c>
      <c r="AJ7" s="19">
        <f>1/(1+0.12)^3</f>
        <v>0.71178024781341087</v>
      </c>
      <c r="AK7" s="23">
        <f t="shared" si="2"/>
        <v>114.7619041934386</v>
      </c>
      <c r="AM7" s="8"/>
      <c r="AN7" s="9">
        <v>3</v>
      </c>
      <c r="AO7" s="19">
        <v>214.97627889492617</v>
      </c>
      <c r="AP7" s="19">
        <v>1.3453938878907409E-5</v>
      </c>
      <c r="AQ7" s="19">
        <f t="shared" si="14"/>
        <v>214.97626544098728</v>
      </c>
      <c r="AR7" s="19">
        <f>AQ7*0.25</f>
        <v>53.744066360246819</v>
      </c>
      <c r="AS7" s="19">
        <f t="shared" si="16"/>
        <v>161.23221253467935</v>
      </c>
      <c r="AT7" s="19">
        <f>1/(1+0.12)^3</f>
        <v>0.71178024781341087</v>
      </c>
      <c r="AU7" s="23">
        <f t="shared" si="3"/>
        <v>114.7619041934386</v>
      </c>
      <c r="AW7" s="8"/>
      <c r="AX7" s="9">
        <v>3</v>
      </c>
      <c r="AY7" s="19">
        <v>214.97627889492617</v>
      </c>
      <c r="AZ7" s="19">
        <v>1.3453938878907409E-5</v>
      </c>
      <c r="BA7" s="19">
        <f t="shared" si="17"/>
        <v>214.97626544098728</v>
      </c>
      <c r="BB7" s="19">
        <f>BA7*0.25</f>
        <v>53.744066360246819</v>
      </c>
      <c r="BC7" s="19">
        <f t="shared" si="19"/>
        <v>161.23221253467935</v>
      </c>
      <c r="BD7" s="19">
        <f>1/(1+0.12)^3</f>
        <v>0.71178024781341087</v>
      </c>
      <c r="BE7" s="23">
        <f t="shared" si="4"/>
        <v>114.7619041934386</v>
      </c>
    </row>
    <row r="8" spans="1:57" x14ac:dyDescent="0.25">
      <c r="A8" s="28" t="s">
        <v>16</v>
      </c>
      <c r="B8" s="31"/>
      <c r="C8" s="31"/>
      <c r="D8" s="31"/>
      <c r="E8" s="31"/>
      <c r="F8" s="27"/>
      <c r="H8" s="4"/>
      <c r="I8" s="8"/>
      <c r="J8" s="9">
        <v>4</v>
      </c>
      <c r="K8" s="19">
        <v>214.97627889492617</v>
      </c>
      <c r="L8" s="19">
        <v>1.3453938878907409E-5</v>
      </c>
      <c r="M8" s="19">
        <f t="shared" si="5"/>
        <v>214.97626544098728</v>
      </c>
      <c r="N8" s="19">
        <f t="shared" si="6"/>
        <v>53.744066360246819</v>
      </c>
      <c r="O8" s="19">
        <f t="shared" si="7"/>
        <v>161.23221253467935</v>
      </c>
      <c r="P8" s="19">
        <f>1/(1+0.12)^4</f>
        <v>0.63551807840483121</v>
      </c>
      <c r="Q8" s="23">
        <f t="shared" si="0"/>
        <v>102.46598588699877</v>
      </c>
      <c r="R8" s="4"/>
      <c r="S8" s="8"/>
      <c r="T8" s="9">
        <v>4</v>
      </c>
      <c r="U8" s="19">
        <v>214.97627889492617</v>
      </c>
      <c r="V8" s="19">
        <v>1.3453938878907409E-5</v>
      </c>
      <c r="W8" s="19">
        <f t="shared" si="8"/>
        <v>214.97626544098728</v>
      </c>
      <c r="X8" s="19">
        <f t="shared" ref="X8:X34" si="20">W8*0.25</f>
        <v>53.744066360246819</v>
      </c>
      <c r="Y8" s="19">
        <f t="shared" si="10"/>
        <v>161.23221253467935</v>
      </c>
      <c r="Z8" s="19">
        <f>1/(1+0.12)^4</f>
        <v>0.63551807840483121</v>
      </c>
      <c r="AA8" s="23">
        <f t="shared" si="1"/>
        <v>102.46598588699877</v>
      </c>
      <c r="AB8" s="4"/>
      <c r="AC8" s="8"/>
      <c r="AD8" s="9">
        <v>4</v>
      </c>
      <c r="AE8" s="19">
        <v>214.97627889492617</v>
      </c>
      <c r="AF8" s="19">
        <v>1.3453938878907409E-5</v>
      </c>
      <c r="AG8" s="19">
        <f t="shared" si="11"/>
        <v>214.97626544098728</v>
      </c>
      <c r="AH8" s="19">
        <f t="shared" ref="AH8:AH34" si="21">AG8*0.25</f>
        <v>53.744066360246819</v>
      </c>
      <c r="AI8" s="19">
        <f t="shared" si="13"/>
        <v>161.23221253467935</v>
      </c>
      <c r="AJ8" s="19">
        <f>1/(1+0.12)^4</f>
        <v>0.63551807840483121</v>
      </c>
      <c r="AK8" s="23">
        <f t="shared" si="2"/>
        <v>102.46598588699877</v>
      </c>
      <c r="AM8" s="8"/>
      <c r="AN8" s="9">
        <v>4</v>
      </c>
      <c r="AO8" s="19">
        <v>214.97627889492617</v>
      </c>
      <c r="AP8" s="19">
        <v>1.3453938878907409E-5</v>
      </c>
      <c r="AQ8" s="19">
        <f t="shared" si="14"/>
        <v>214.97626544098728</v>
      </c>
      <c r="AR8" s="19">
        <f t="shared" ref="AR8:AR34" si="22">AQ8*0.25</f>
        <v>53.744066360246819</v>
      </c>
      <c r="AS8" s="19">
        <f t="shared" si="16"/>
        <v>161.23221253467935</v>
      </c>
      <c r="AT8" s="19">
        <f>1/(1+0.12)^4</f>
        <v>0.63551807840483121</v>
      </c>
      <c r="AU8" s="23">
        <f t="shared" si="3"/>
        <v>102.46598588699877</v>
      </c>
      <c r="AW8" s="8"/>
      <c r="AX8" s="9">
        <v>4</v>
      </c>
      <c r="AY8" s="19">
        <v>214.97627889492617</v>
      </c>
      <c r="AZ8" s="19">
        <v>1.3453938878907409E-5</v>
      </c>
      <c r="BA8" s="19">
        <f t="shared" si="17"/>
        <v>214.97626544098728</v>
      </c>
      <c r="BB8" s="19">
        <f t="shared" ref="BB8:BB34" si="23">BA8*0.25</f>
        <v>53.744066360246819</v>
      </c>
      <c r="BC8" s="19">
        <f t="shared" si="19"/>
        <v>161.23221253467935</v>
      </c>
      <c r="BD8" s="19">
        <f>1/(1+0.12)^4</f>
        <v>0.63551807840483121</v>
      </c>
      <c r="BE8" s="23">
        <f t="shared" si="4"/>
        <v>102.46598588699877</v>
      </c>
    </row>
    <row r="9" spans="1:57" x14ac:dyDescent="0.25">
      <c r="A9" s="3" t="s">
        <v>28</v>
      </c>
      <c r="B9" s="31">
        <f>B7/10^6*1400*B10/(80%*360*20)</f>
        <v>0.3423673393658806</v>
      </c>
      <c r="C9" s="31">
        <f>C7/10^6*1400*C10/(80%*360*20)</f>
        <v>0.37139952326247028</v>
      </c>
      <c r="D9" s="31">
        <f>D7/10^6*1400*D10/(80%*360*20)</f>
        <v>0.45271324157446324</v>
      </c>
      <c r="E9" s="31">
        <f>E7/10^6*1400*E10/(80%*360*20)</f>
        <v>0.60436509648144587</v>
      </c>
      <c r="F9" s="27" t="s">
        <v>13</v>
      </c>
      <c r="H9" s="4"/>
      <c r="I9" s="8"/>
      <c r="J9" s="9">
        <v>5</v>
      </c>
      <c r="K9" s="19">
        <v>214.97627889492617</v>
      </c>
      <c r="L9" s="19">
        <v>1.3453938878907409E-5</v>
      </c>
      <c r="M9" s="19">
        <f t="shared" si="5"/>
        <v>214.97626544098728</v>
      </c>
      <c r="N9" s="19">
        <f t="shared" si="6"/>
        <v>53.744066360246819</v>
      </c>
      <c r="O9" s="19">
        <f t="shared" si="7"/>
        <v>161.23221253467935</v>
      </c>
      <c r="P9" s="19">
        <f>1/(1+0.12)^5</f>
        <v>0.56742685571859919</v>
      </c>
      <c r="Q9" s="23">
        <f t="shared" si="0"/>
        <v>91.487487399106016</v>
      </c>
      <c r="R9" s="4"/>
      <c r="S9" s="8"/>
      <c r="T9" s="9">
        <v>5</v>
      </c>
      <c r="U9" s="19">
        <v>214.97627889492617</v>
      </c>
      <c r="V9" s="19">
        <v>1.3453938878907409E-5</v>
      </c>
      <c r="W9" s="19">
        <f t="shared" si="8"/>
        <v>214.97626544098728</v>
      </c>
      <c r="X9" s="19">
        <f t="shared" si="20"/>
        <v>53.744066360246819</v>
      </c>
      <c r="Y9" s="19">
        <f t="shared" si="10"/>
        <v>161.23221253467935</v>
      </c>
      <c r="Z9" s="19">
        <f>1/(1+0.12)^5</f>
        <v>0.56742685571859919</v>
      </c>
      <c r="AA9" s="23">
        <f t="shared" si="1"/>
        <v>91.487487399106016</v>
      </c>
      <c r="AB9" s="4"/>
      <c r="AC9" s="8"/>
      <c r="AD9" s="9">
        <v>5</v>
      </c>
      <c r="AE9" s="19">
        <v>214.97627889492617</v>
      </c>
      <c r="AF9" s="19">
        <v>1.3453938878907409E-5</v>
      </c>
      <c r="AG9" s="19">
        <f t="shared" si="11"/>
        <v>214.97626544098728</v>
      </c>
      <c r="AH9" s="19">
        <f t="shared" si="21"/>
        <v>53.744066360246819</v>
      </c>
      <c r="AI9" s="19">
        <f t="shared" si="13"/>
        <v>161.23221253467935</v>
      </c>
      <c r="AJ9" s="19">
        <f>1/(1+0.12)^5</f>
        <v>0.56742685571859919</v>
      </c>
      <c r="AK9" s="23">
        <f t="shared" si="2"/>
        <v>91.487487399106016</v>
      </c>
      <c r="AM9" s="8"/>
      <c r="AN9" s="9">
        <v>5</v>
      </c>
      <c r="AO9" s="19">
        <v>214.97627889492617</v>
      </c>
      <c r="AP9" s="19">
        <v>1.3453938878907409E-5</v>
      </c>
      <c r="AQ9" s="19">
        <f t="shared" si="14"/>
        <v>214.97626544098728</v>
      </c>
      <c r="AR9" s="19">
        <f t="shared" si="22"/>
        <v>53.744066360246819</v>
      </c>
      <c r="AS9" s="19">
        <f t="shared" si="16"/>
        <v>161.23221253467935</v>
      </c>
      <c r="AT9" s="19">
        <f>1/(1+0.12)^5</f>
        <v>0.56742685571859919</v>
      </c>
      <c r="AU9" s="23">
        <f t="shared" si="3"/>
        <v>91.487487399106016</v>
      </c>
      <c r="AW9" s="8"/>
      <c r="AX9" s="9">
        <v>5</v>
      </c>
      <c r="AY9" s="19">
        <v>214.97627889492617</v>
      </c>
      <c r="AZ9" s="19">
        <v>1.3453938878907409E-5</v>
      </c>
      <c r="BA9" s="19">
        <f t="shared" si="17"/>
        <v>214.97626544098728</v>
      </c>
      <c r="BB9" s="19">
        <f t="shared" si="23"/>
        <v>53.744066360246819</v>
      </c>
      <c r="BC9" s="19">
        <f t="shared" si="19"/>
        <v>161.23221253467935</v>
      </c>
      <c r="BD9" s="19">
        <f>1/(1+0.12)^5</f>
        <v>0.56742685571859919</v>
      </c>
      <c r="BE9" s="23">
        <f t="shared" si="4"/>
        <v>91.487487399106016</v>
      </c>
    </row>
    <row r="10" spans="1:57" x14ac:dyDescent="0.25">
      <c r="A10" s="3" t="s">
        <v>2</v>
      </c>
      <c r="B10" s="31">
        <f>12%*1.12^30/(1.12^30-1)</f>
        <v>0.12414365755194319</v>
      </c>
      <c r="C10" s="31">
        <f>12%*1.12^30/(1.12^30-1)</f>
        <v>0.12414365755194319</v>
      </c>
      <c r="D10" s="31">
        <f>12%*1.12^30/(1.12^30-1)</f>
        <v>0.12414365755194319</v>
      </c>
      <c r="E10" s="31">
        <f>12%*1.12^30/(1.12^30-1)</f>
        <v>0.12414365755194319</v>
      </c>
      <c r="F10" s="27"/>
      <c r="H10" s="4"/>
      <c r="I10" s="8"/>
      <c r="J10" s="9">
        <v>6</v>
      </c>
      <c r="K10" s="19">
        <v>214.97627889492617</v>
      </c>
      <c r="L10" s="19">
        <v>1.3453938878907409E-5</v>
      </c>
      <c r="M10" s="19">
        <f t="shared" si="5"/>
        <v>214.97626544098728</v>
      </c>
      <c r="N10" s="19">
        <f t="shared" si="6"/>
        <v>53.744066360246819</v>
      </c>
      <c r="O10" s="19">
        <f t="shared" si="7"/>
        <v>161.23221253467935</v>
      </c>
      <c r="P10" s="19">
        <f>1/(1+0.12)^6</f>
        <v>0.50663112117732068</v>
      </c>
      <c r="Q10" s="23">
        <f t="shared" si="0"/>
        <v>81.685256606344652</v>
      </c>
      <c r="R10" s="4"/>
      <c r="S10" s="8"/>
      <c r="T10" s="9">
        <v>6</v>
      </c>
      <c r="U10" s="19">
        <v>214.97627889492617</v>
      </c>
      <c r="V10" s="19">
        <v>1.3453938878907409E-5</v>
      </c>
      <c r="W10" s="19">
        <f t="shared" si="8"/>
        <v>214.97626544098728</v>
      </c>
      <c r="X10" s="19">
        <f t="shared" si="20"/>
        <v>53.744066360246819</v>
      </c>
      <c r="Y10" s="19">
        <f t="shared" si="10"/>
        <v>161.23221253467935</v>
      </c>
      <c r="Z10" s="19">
        <f>1/(1+0.12)^6</f>
        <v>0.50663112117732068</v>
      </c>
      <c r="AA10" s="23">
        <f t="shared" si="1"/>
        <v>81.685256606344652</v>
      </c>
      <c r="AB10" s="4"/>
      <c r="AC10" s="8"/>
      <c r="AD10" s="9">
        <v>6</v>
      </c>
      <c r="AE10" s="19">
        <v>214.97627889492617</v>
      </c>
      <c r="AF10" s="19">
        <v>1.3453938878907409E-5</v>
      </c>
      <c r="AG10" s="19">
        <f t="shared" si="11"/>
        <v>214.97626544098728</v>
      </c>
      <c r="AH10" s="19">
        <f t="shared" si="21"/>
        <v>53.744066360246819</v>
      </c>
      <c r="AI10" s="19">
        <f t="shared" si="13"/>
        <v>161.23221253467935</v>
      </c>
      <c r="AJ10" s="19">
        <f>1/(1+0.12)^6</f>
        <v>0.50663112117732068</v>
      </c>
      <c r="AK10" s="23">
        <f t="shared" si="2"/>
        <v>81.685256606344652</v>
      </c>
      <c r="AM10" s="8"/>
      <c r="AN10" s="9">
        <v>6</v>
      </c>
      <c r="AO10" s="19">
        <v>214.97627889492617</v>
      </c>
      <c r="AP10" s="19">
        <v>1.3453938878907409E-5</v>
      </c>
      <c r="AQ10" s="19">
        <f t="shared" si="14"/>
        <v>214.97626544098728</v>
      </c>
      <c r="AR10" s="19">
        <f t="shared" si="22"/>
        <v>53.744066360246819</v>
      </c>
      <c r="AS10" s="19">
        <f t="shared" si="16"/>
        <v>161.23221253467935</v>
      </c>
      <c r="AT10" s="19">
        <f>1/(1+0.12)^6</f>
        <v>0.50663112117732068</v>
      </c>
      <c r="AU10" s="23">
        <f t="shared" si="3"/>
        <v>81.685256606344652</v>
      </c>
      <c r="AW10" s="8"/>
      <c r="AX10" s="9">
        <v>6</v>
      </c>
      <c r="AY10" s="19">
        <v>214.97627889492617</v>
      </c>
      <c r="AZ10" s="19">
        <v>1.3453938878907409E-5</v>
      </c>
      <c r="BA10" s="19">
        <f t="shared" si="17"/>
        <v>214.97626544098728</v>
      </c>
      <c r="BB10" s="19">
        <f t="shared" si="23"/>
        <v>53.744066360246819</v>
      </c>
      <c r="BC10" s="19">
        <f t="shared" si="19"/>
        <v>161.23221253467935</v>
      </c>
      <c r="BD10" s="19">
        <f>1/(1+0.12)^6</f>
        <v>0.50663112117732068</v>
      </c>
      <c r="BE10" s="23">
        <f t="shared" si="4"/>
        <v>81.685256606344652</v>
      </c>
    </row>
    <row r="11" spans="1:57" x14ac:dyDescent="0.25">
      <c r="A11" s="3" t="s">
        <v>29</v>
      </c>
      <c r="B11" s="31">
        <f>20%*B9</f>
        <v>6.8473467873176125E-2</v>
      </c>
      <c r="C11" s="31">
        <f>20%*C9</f>
        <v>7.4279904652494053E-2</v>
      </c>
      <c r="D11" s="31">
        <f>20%*D9</f>
        <v>9.0542648314892657E-2</v>
      </c>
      <c r="E11" s="31">
        <f>20%*E9</f>
        <v>0.12087301929628919</v>
      </c>
      <c r="F11" s="27" t="s">
        <v>13</v>
      </c>
      <c r="H11" s="4"/>
      <c r="I11" s="8"/>
      <c r="J11" s="9">
        <v>7</v>
      </c>
      <c r="K11" s="19">
        <v>214.97627889492617</v>
      </c>
      <c r="L11" s="19">
        <v>1.3453938878907409E-5</v>
      </c>
      <c r="M11" s="19">
        <f t="shared" si="5"/>
        <v>214.97626544098728</v>
      </c>
      <c r="N11" s="19">
        <f t="shared" si="6"/>
        <v>53.744066360246819</v>
      </c>
      <c r="O11" s="19">
        <f t="shared" si="7"/>
        <v>161.23221253467935</v>
      </c>
      <c r="P11" s="19">
        <f>1/(1+0.12)^7</f>
        <v>0.45234921533689343</v>
      </c>
      <c r="Q11" s="23">
        <f t="shared" si="0"/>
        <v>72.933264827093438</v>
      </c>
      <c r="R11" s="4"/>
      <c r="S11" s="8"/>
      <c r="T11" s="9">
        <v>7</v>
      </c>
      <c r="U11" s="19">
        <v>214.97627889492617</v>
      </c>
      <c r="V11" s="19">
        <v>1.3453938878907409E-5</v>
      </c>
      <c r="W11" s="19">
        <f t="shared" si="8"/>
        <v>214.97626544098728</v>
      </c>
      <c r="X11" s="19">
        <f t="shared" si="20"/>
        <v>53.744066360246819</v>
      </c>
      <c r="Y11" s="19">
        <f t="shared" si="10"/>
        <v>161.23221253467935</v>
      </c>
      <c r="Z11" s="19">
        <f>1/(1+0.12)^7</f>
        <v>0.45234921533689343</v>
      </c>
      <c r="AA11" s="23">
        <f t="shared" si="1"/>
        <v>72.933264827093438</v>
      </c>
      <c r="AB11" s="4"/>
      <c r="AC11" s="8"/>
      <c r="AD11" s="9">
        <v>7</v>
      </c>
      <c r="AE11" s="19">
        <v>214.97627889492617</v>
      </c>
      <c r="AF11" s="19">
        <v>1.3453938878907409E-5</v>
      </c>
      <c r="AG11" s="19">
        <f t="shared" si="11"/>
        <v>214.97626544098728</v>
      </c>
      <c r="AH11" s="19">
        <f t="shared" si="21"/>
        <v>53.744066360246819</v>
      </c>
      <c r="AI11" s="19">
        <f t="shared" si="13"/>
        <v>161.23221253467935</v>
      </c>
      <c r="AJ11" s="19">
        <f>1/(1+0.12)^7</f>
        <v>0.45234921533689343</v>
      </c>
      <c r="AK11" s="23">
        <f t="shared" si="2"/>
        <v>72.933264827093438</v>
      </c>
      <c r="AM11" s="8"/>
      <c r="AN11" s="9">
        <v>7</v>
      </c>
      <c r="AO11" s="19">
        <v>214.97627889492617</v>
      </c>
      <c r="AP11" s="19">
        <v>1.3453938878907409E-5</v>
      </c>
      <c r="AQ11" s="19">
        <f t="shared" si="14"/>
        <v>214.97626544098728</v>
      </c>
      <c r="AR11" s="19">
        <f t="shared" si="22"/>
        <v>53.744066360246819</v>
      </c>
      <c r="AS11" s="19">
        <f t="shared" si="16"/>
        <v>161.23221253467935</v>
      </c>
      <c r="AT11" s="19">
        <f>1/(1+0.12)^7</f>
        <v>0.45234921533689343</v>
      </c>
      <c r="AU11" s="23">
        <f t="shared" si="3"/>
        <v>72.933264827093438</v>
      </c>
      <c r="AW11" s="8"/>
      <c r="AX11" s="9">
        <v>7</v>
      </c>
      <c r="AY11" s="19">
        <v>214.97627889492617</v>
      </c>
      <c r="AZ11" s="19">
        <v>1.3453938878907409E-5</v>
      </c>
      <c r="BA11" s="19">
        <f t="shared" si="17"/>
        <v>214.97626544098728</v>
      </c>
      <c r="BB11" s="19">
        <f t="shared" si="23"/>
        <v>53.744066360246819</v>
      </c>
      <c r="BC11" s="19">
        <f t="shared" si="19"/>
        <v>161.23221253467935</v>
      </c>
      <c r="BD11" s="19">
        <f>1/(1+0.12)^7</f>
        <v>0.45234921533689343</v>
      </c>
      <c r="BE11" s="23">
        <f t="shared" si="4"/>
        <v>72.933264827093438</v>
      </c>
    </row>
    <row r="12" spans="1:57" x14ac:dyDescent="0.25">
      <c r="A12" s="3" t="s">
        <v>3</v>
      </c>
      <c r="B12" s="31">
        <f>B9+B11</f>
        <v>0.41084080723905669</v>
      </c>
      <c r="C12" s="31">
        <f>C9+C11</f>
        <v>0.44567942791496434</v>
      </c>
      <c r="D12" s="31">
        <f>D9+D11</f>
        <v>0.54325588988935591</v>
      </c>
      <c r="E12" s="31">
        <f>E9+E11</f>
        <v>0.725238115777735</v>
      </c>
      <c r="F12" s="27" t="s">
        <v>13</v>
      </c>
      <c r="H12" s="4"/>
      <c r="I12" s="8"/>
      <c r="J12" s="9">
        <v>8</v>
      </c>
      <c r="K12" s="19">
        <v>214.97627889492617</v>
      </c>
      <c r="L12" s="19">
        <v>1.3453938878907409E-5</v>
      </c>
      <c r="M12" s="19">
        <f t="shared" si="5"/>
        <v>214.97626544098728</v>
      </c>
      <c r="N12" s="19">
        <f t="shared" si="6"/>
        <v>53.744066360246819</v>
      </c>
      <c r="O12" s="19">
        <f t="shared" si="7"/>
        <v>161.23221253467935</v>
      </c>
      <c r="P12" s="19">
        <f>1/(1+0.12)^8</f>
        <v>0.4038832279793691</v>
      </c>
      <c r="Q12" s="23">
        <f t="shared" si="0"/>
        <v>65.118986452761987</v>
      </c>
      <c r="R12" s="4"/>
      <c r="S12" s="8"/>
      <c r="T12" s="9">
        <v>8</v>
      </c>
      <c r="U12" s="19">
        <v>214.97627889492617</v>
      </c>
      <c r="V12" s="19">
        <v>1.3453938878907409E-5</v>
      </c>
      <c r="W12" s="19">
        <f t="shared" si="8"/>
        <v>214.97626544098728</v>
      </c>
      <c r="X12" s="19">
        <f t="shared" si="20"/>
        <v>53.744066360246819</v>
      </c>
      <c r="Y12" s="19">
        <f t="shared" si="10"/>
        <v>161.23221253467935</v>
      </c>
      <c r="Z12" s="19">
        <f>1/(1+0.12)^8</f>
        <v>0.4038832279793691</v>
      </c>
      <c r="AA12" s="23">
        <f t="shared" si="1"/>
        <v>65.118986452761987</v>
      </c>
      <c r="AB12" s="4"/>
      <c r="AC12" s="8"/>
      <c r="AD12" s="9">
        <v>8</v>
      </c>
      <c r="AE12" s="19">
        <v>214.97627889492617</v>
      </c>
      <c r="AF12" s="19">
        <v>1.3453938878907409E-5</v>
      </c>
      <c r="AG12" s="19">
        <f t="shared" si="11"/>
        <v>214.97626544098728</v>
      </c>
      <c r="AH12" s="19">
        <f t="shared" si="21"/>
        <v>53.744066360246819</v>
      </c>
      <c r="AI12" s="19">
        <f t="shared" si="13"/>
        <v>161.23221253467935</v>
      </c>
      <c r="AJ12" s="19">
        <f>1/(1+0.12)^8</f>
        <v>0.4038832279793691</v>
      </c>
      <c r="AK12" s="23">
        <f t="shared" si="2"/>
        <v>65.118986452761987</v>
      </c>
      <c r="AM12" s="8"/>
      <c r="AN12" s="9">
        <v>8</v>
      </c>
      <c r="AO12" s="19">
        <v>214.97627889492617</v>
      </c>
      <c r="AP12" s="19">
        <v>1.3453938878907409E-5</v>
      </c>
      <c r="AQ12" s="19">
        <f t="shared" si="14"/>
        <v>214.97626544098728</v>
      </c>
      <c r="AR12" s="19">
        <f t="shared" si="22"/>
        <v>53.744066360246819</v>
      </c>
      <c r="AS12" s="19">
        <f t="shared" si="16"/>
        <v>161.23221253467935</v>
      </c>
      <c r="AT12" s="19">
        <f>1/(1+0.12)^8</f>
        <v>0.4038832279793691</v>
      </c>
      <c r="AU12" s="23">
        <f t="shared" si="3"/>
        <v>65.118986452761987</v>
      </c>
      <c r="AW12" s="8"/>
      <c r="AX12" s="9">
        <v>8</v>
      </c>
      <c r="AY12" s="19">
        <v>214.97627889492617</v>
      </c>
      <c r="AZ12" s="19">
        <v>1.3453938878907409E-5</v>
      </c>
      <c r="BA12" s="19">
        <f t="shared" si="17"/>
        <v>214.97626544098728</v>
      </c>
      <c r="BB12" s="19">
        <f t="shared" si="23"/>
        <v>53.744066360246819</v>
      </c>
      <c r="BC12" s="19">
        <f t="shared" si="19"/>
        <v>161.23221253467935</v>
      </c>
      <c r="BD12" s="19">
        <f>1/(1+0.12)^8</f>
        <v>0.4038832279793691</v>
      </c>
      <c r="BE12" s="23">
        <f t="shared" si="4"/>
        <v>65.118986452761987</v>
      </c>
    </row>
    <row r="13" spans="1:57" x14ac:dyDescent="0.25">
      <c r="A13" s="28" t="s">
        <v>17</v>
      </c>
      <c r="B13" s="31"/>
      <c r="C13" s="31"/>
      <c r="D13" s="31"/>
      <c r="E13" s="31"/>
      <c r="F13" s="27"/>
      <c r="H13" s="4"/>
      <c r="I13" s="8"/>
      <c r="J13" s="9">
        <v>9</v>
      </c>
      <c r="K13" s="19">
        <v>214.97627889492617</v>
      </c>
      <c r="L13" s="19">
        <v>1.3453938878907409E-5</v>
      </c>
      <c r="M13" s="19">
        <f t="shared" si="5"/>
        <v>214.97626544098728</v>
      </c>
      <c r="N13" s="19">
        <f t="shared" si="6"/>
        <v>53.744066360246819</v>
      </c>
      <c r="O13" s="19">
        <f t="shared" si="7"/>
        <v>161.23221253467935</v>
      </c>
      <c r="P13" s="19">
        <f>1/(1+0.12)^9</f>
        <v>0.36061002498157957</v>
      </c>
      <c r="Q13" s="23">
        <f t="shared" si="0"/>
        <v>58.141952189966069</v>
      </c>
      <c r="R13" s="4"/>
      <c r="S13" s="8"/>
      <c r="T13" s="9">
        <v>9</v>
      </c>
      <c r="U13" s="19">
        <v>214.97627889492617</v>
      </c>
      <c r="V13" s="19">
        <v>1.3453938878907409E-5</v>
      </c>
      <c r="W13" s="19">
        <f t="shared" si="8"/>
        <v>214.97626544098728</v>
      </c>
      <c r="X13" s="19">
        <f t="shared" si="20"/>
        <v>53.744066360246819</v>
      </c>
      <c r="Y13" s="19">
        <f t="shared" si="10"/>
        <v>161.23221253467935</v>
      </c>
      <c r="Z13" s="19">
        <f>1/(1+0.12)^9</f>
        <v>0.36061002498157957</v>
      </c>
      <c r="AA13" s="23">
        <f t="shared" si="1"/>
        <v>58.141952189966069</v>
      </c>
      <c r="AB13" s="4"/>
      <c r="AC13" s="8"/>
      <c r="AD13" s="9">
        <v>9</v>
      </c>
      <c r="AE13" s="19">
        <v>214.97627889492617</v>
      </c>
      <c r="AF13" s="19">
        <v>1.3453938878907409E-5</v>
      </c>
      <c r="AG13" s="19">
        <f t="shared" si="11"/>
        <v>214.97626544098728</v>
      </c>
      <c r="AH13" s="19">
        <f t="shared" si="21"/>
        <v>53.744066360246819</v>
      </c>
      <c r="AI13" s="19">
        <f t="shared" si="13"/>
        <v>161.23221253467935</v>
      </c>
      <c r="AJ13" s="19">
        <f>1/(1+0.12)^9</f>
        <v>0.36061002498157957</v>
      </c>
      <c r="AK13" s="23">
        <f t="shared" si="2"/>
        <v>58.141952189966069</v>
      </c>
      <c r="AM13" s="8"/>
      <c r="AN13" s="9">
        <v>9</v>
      </c>
      <c r="AO13" s="19">
        <v>214.97627889492617</v>
      </c>
      <c r="AP13" s="19">
        <v>1.3453938878907409E-5</v>
      </c>
      <c r="AQ13" s="19">
        <f t="shared" si="14"/>
        <v>214.97626544098728</v>
      </c>
      <c r="AR13" s="19">
        <f t="shared" si="22"/>
        <v>53.744066360246819</v>
      </c>
      <c r="AS13" s="19">
        <f t="shared" si="16"/>
        <v>161.23221253467935</v>
      </c>
      <c r="AT13" s="19">
        <f>1/(1+0.12)^9</f>
        <v>0.36061002498157957</v>
      </c>
      <c r="AU13" s="23">
        <f t="shared" si="3"/>
        <v>58.141952189966069</v>
      </c>
      <c r="AW13" s="8"/>
      <c r="AX13" s="9">
        <v>9</v>
      </c>
      <c r="AY13" s="19">
        <v>214.97627889492617</v>
      </c>
      <c r="AZ13" s="19">
        <v>1.3453938878907409E-5</v>
      </c>
      <c r="BA13" s="19">
        <f t="shared" si="17"/>
        <v>214.97626544098728</v>
      </c>
      <c r="BB13" s="19">
        <f t="shared" si="23"/>
        <v>53.744066360246819</v>
      </c>
      <c r="BC13" s="19">
        <f t="shared" si="19"/>
        <v>161.23221253467935</v>
      </c>
      <c r="BD13" s="19">
        <f>1/(1+0.12)^9</f>
        <v>0.36061002498157957</v>
      </c>
      <c r="BE13" s="23">
        <f t="shared" si="4"/>
        <v>58.141952189966069</v>
      </c>
    </row>
    <row r="14" spans="1:57" x14ac:dyDescent="0.25">
      <c r="A14" s="3" t="s">
        <v>5</v>
      </c>
      <c r="B14" s="31">
        <f>949.73*20/62.5*26/20/99%</f>
        <v>399.07846464646462</v>
      </c>
      <c r="C14" s="31">
        <f>949.73*20/62.5*26/20/99%</f>
        <v>399.07846464646462</v>
      </c>
      <c r="D14" s="31">
        <f>949.73*20/62.5*26/20/99%</f>
        <v>399.07846464646462</v>
      </c>
      <c r="E14" s="31">
        <f>949.73*20/62.5*26/20/99%</f>
        <v>399.07846464646462</v>
      </c>
      <c r="F14" s="27" t="s">
        <v>13</v>
      </c>
      <c r="H14" s="4"/>
      <c r="I14" s="8"/>
      <c r="J14" s="9">
        <v>10</v>
      </c>
      <c r="K14" s="19">
        <v>214.97627889492617</v>
      </c>
      <c r="L14" s="19">
        <v>1.3453938878907409E-5</v>
      </c>
      <c r="M14" s="19">
        <f t="shared" si="5"/>
        <v>214.97626544098728</v>
      </c>
      <c r="N14" s="19">
        <f t="shared" si="6"/>
        <v>53.744066360246819</v>
      </c>
      <c r="O14" s="19">
        <f t="shared" si="7"/>
        <v>161.23221253467935</v>
      </c>
      <c r="P14" s="19">
        <f>1/(1+0.12)^10</f>
        <v>0.32197323659069599</v>
      </c>
      <c r="Q14" s="23">
        <f t="shared" si="0"/>
        <v>51.912457312469691</v>
      </c>
      <c r="R14" s="4"/>
      <c r="S14" s="8"/>
      <c r="T14" s="9">
        <v>10</v>
      </c>
      <c r="U14" s="19">
        <v>214.97627889492617</v>
      </c>
      <c r="V14" s="19">
        <v>1.3453938878907409E-5</v>
      </c>
      <c r="W14" s="19">
        <f t="shared" si="8"/>
        <v>214.97626544098728</v>
      </c>
      <c r="X14" s="19">
        <f t="shared" si="20"/>
        <v>53.744066360246819</v>
      </c>
      <c r="Y14" s="19">
        <f t="shared" si="10"/>
        <v>161.23221253467935</v>
      </c>
      <c r="Z14" s="19">
        <f>1/(1+0.12)^10</f>
        <v>0.32197323659069599</v>
      </c>
      <c r="AA14" s="23">
        <f t="shared" si="1"/>
        <v>51.912457312469691</v>
      </c>
      <c r="AB14" s="4"/>
      <c r="AC14" s="8"/>
      <c r="AD14" s="9">
        <v>10</v>
      </c>
      <c r="AE14" s="19">
        <v>214.97627889492617</v>
      </c>
      <c r="AF14" s="19">
        <v>1.3453938878907409E-5</v>
      </c>
      <c r="AG14" s="19">
        <f t="shared" si="11"/>
        <v>214.97626544098728</v>
      </c>
      <c r="AH14" s="19">
        <f t="shared" si="21"/>
        <v>53.744066360246819</v>
      </c>
      <c r="AI14" s="19">
        <f t="shared" si="13"/>
        <v>161.23221253467935</v>
      </c>
      <c r="AJ14" s="19">
        <f>1/(1+0.12)^10</f>
        <v>0.32197323659069599</v>
      </c>
      <c r="AK14" s="23">
        <f t="shared" si="2"/>
        <v>51.912457312469691</v>
      </c>
      <c r="AM14" s="8"/>
      <c r="AN14" s="9">
        <v>10</v>
      </c>
      <c r="AO14" s="19">
        <v>214.97627889492617</v>
      </c>
      <c r="AP14" s="19">
        <v>1.3453938878907409E-5</v>
      </c>
      <c r="AQ14" s="19">
        <f t="shared" si="14"/>
        <v>214.97626544098728</v>
      </c>
      <c r="AR14" s="19">
        <f t="shared" si="22"/>
        <v>53.744066360246819</v>
      </c>
      <c r="AS14" s="19">
        <f t="shared" si="16"/>
        <v>161.23221253467935</v>
      </c>
      <c r="AT14" s="19">
        <f>1/(1+0.12)^10</f>
        <v>0.32197323659069599</v>
      </c>
      <c r="AU14" s="23">
        <f t="shared" si="3"/>
        <v>51.912457312469691</v>
      </c>
      <c r="AW14" s="8"/>
      <c r="AX14" s="9">
        <v>10</v>
      </c>
      <c r="AY14" s="19">
        <v>214.97627889492617</v>
      </c>
      <c r="AZ14" s="19">
        <v>1.3453938878907409E-5</v>
      </c>
      <c r="BA14" s="19">
        <f t="shared" si="17"/>
        <v>214.97626544098728</v>
      </c>
      <c r="BB14" s="19">
        <f t="shared" si="23"/>
        <v>53.744066360246819</v>
      </c>
      <c r="BC14" s="19">
        <f t="shared" si="19"/>
        <v>161.23221253467935</v>
      </c>
      <c r="BD14" s="19">
        <f>1/(1+0.12)^10</f>
        <v>0.32197323659069599</v>
      </c>
      <c r="BE14" s="23">
        <f t="shared" si="4"/>
        <v>51.912457312469691</v>
      </c>
    </row>
    <row r="15" spans="1:57" x14ac:dyDescent="0.25">
      <c r="A15" s="3" t="s">
        <v>0</v>
      </c>
      <c r="B15" s="31">
        <f>B5*10^3*0.95/10^6*560/360/20</f>
        <v>43.842841543564695</v>
      </c>
      <c r="C15" s="31">
        <f>C5*10^3*0.95/10^6*560/360/20</f>
        <v>47.555197997675876</v>
      </c>
      <c r="D15" s="31">
        <f>D5*10^3*0.95/10^6*560/360/20</f>
        <v>57.980491526347329</v>
      </c>
      <c r="E15" s="31">
        <f>E5*10^3*0.95/10^6*560/360/20</f>
        <v>77.395890161847632</v>
      </c>
      <c r="F15" s="27" t="s">
        <v>13</v>
      </c>
      <c r="H15" s="4"/>
      <c r="I15" s="11"/>
      <c r="J15" s="9">
        <v>11</v>
      </c>
      <c r="K15" s="19">
        <v>214.97627889492617</v>
      </c>
      <c r="L15" s="19">
        <v>1.3453938878907409E-5</v>
      </c>
      <c r="M15" s="19">
        <f t="shared" si="5"/>
        <v>214.97626544098728</v>
      </c>
      <c r="N15" s="19">
        <f t="shared" si="6"/>
        <v>53.744066360246819</v>
      </c>
      <c r="O15" s="19">
        <f t="shared" si="7"/>
        <v>161.23221253467935</v>
      </c>
      <c r="P15" s="19">
        <f>1/(1+0.12)^11</f>
        <v>0.28747610409883567</v>
      </c>
      <c r="Q15" s="23">
        <f t="shared" si="0"/>
        <v>46.350408314705078</v>
      </c>
      <c r="R15" s="4"/>
      <c r="S15" s="11"/>
      <c r="T15" s="9">
        <v>11</v>
      </c>
      <c r="U15" s="19">
        <v>214.97627889492617</v>
      </c>
      <c r="V15" s="19">
        <v>1.3453938878907409E-5</v>
      </c>
      <c r="W15" s="19">
        <f t="shared" si="8"/>
        <v>214.97626544098728</v>
      </c>
      <c r="X15" s="19">
        <f t="shared" si="20"/>
        <v>53.744066360246819</v>
      </c>
      <c r="Y15" s="19">
        <f t="shared" si="10"/>
        <v>161.23221253467935</v>
      </c>
      <c r="Z15" s="19">
        <f>1/(1+0.12)^11</f>
        <v>0.28747610409883567</v>
      </c>
      <c r="AA15" s="23">
        <f t="shared" si="1"/>
        <v>46.350408314705078</v>
      </c>
      <c r="AB15" s="4"/>
      <c r="AC15" s="11"/>
      <c r="AD15" s="9">
        <v>11</v>
      </c>
      <c r="AE15" s="19">
        <v>214.97627889492617</v>
      </c>
      <c r="AF15" s="19">
        <v>1.3453938878907409E-5</v>
      </c>
      <c r="AG15" s="19">
        <f t="shared" si="11"/>
        <v>214.97626544098728</v>
      </c>
      <c r="AH15" s="19">
        <f t="shared" si="21"/>
        <v>53.744066360246819</v>
      </c>
      <c r="AI15" s="19">
        <f t="shared" si="13"/>
        <v>161.23221253467935</v>
      </c>
      <c r="AJ15" s="19">
        <f>1/(1+0.12)^11</f>
        <v>0.28747610409883567</v>
      </c>
      <c r="AK15" s="23">
        <f t="shared" si="2"/>
        <v>46.350408314705078</v>
      </c>
      <c r="AM15" s="11"/>
      <c r="AN15" s="9">
        <v>11</v>
      </c>
      <c r="AO15" s="19">
        <v>214.97627889492617</v>
      </c>
      <c r="AP15" s="19">
        <v>1.3453938878907409E-5</v>
      </c>
      <c r="AQ15" s="19">
        <f t="shared" si="14"/>
        <v>214.97626544098728</v>
      </c>
      <c r="AR15" s="19">
        <f t="shared" si="22"/>
        <v>53.744066360246819</v>
      </c>
      <c r="AS15" s="19">
        <f t="shared" si="16"/>
        <v>161.23221253467935</v>
      </c>
      <c r="AT15" s="19">
        <f>1/(1+0.12)^11</f>
        <v>0.28747610409883567</v>
      </c>
      <c r="AU15" s="23">
        <f t="shared" si="3"/>
        <v>46.350408314705078</v>
      </c>
      <c r="AW15" s="11"/>
      <c r="AX15" s="9">
        <v>11</v>
      </c>
      <c r="AY15" s="19">
        <v>214.97627889492617</v>
      </c>
      <c r="AZ15" s="19">
        <v>1.3453938878907409E-5</v>
      </c>
      <c r="BA15" s="19">
        <f t="shared" si="17"/>
        <v>214.97626544098728</v>
      </c>
      <c r="BB15" s="19">
        <f t="shared" si="23"/>
        <v>53.744066360246819</v>
      </c>
      <c r="BC15" s="19">
        <f t="shared" si="19"/>
        <v>161.23221253467935</v>
      </c>
      <c r="BD15" s="19">
        <f>1/(1+0.12)^11</f>
        <v>0.28747610409883567</v>
      </c>
      <c r="BE15" s="23">
        <f t="shared" si="4"/>
        <v>46.350408314705078</v>
      </c>
    </row>
    <row r="16" spans="1:57" x14ac:dyDescent="0.25">
      <c r="A16" s="3" t="s">
        <v>9</v>
      </c>
      <c r="B16" s="31">
        <f>B5*10^3*0.5/10*1.17*25/10^6/360/20</f>
        <v>0.12052660856666049</v>
      </c>
      <c r="C16" s="31">
        <f>C5*10^3*0.5/10*1.17*25/10^6/360/20</f>
        <v>0.13073209975864847</v>
      </c>
      <c r="D16" s="31">
        <f>D5*10^3*0.5/10*1.17*25/10^6/360/20</f>
        <v>0.15939185875429129</v>
      </c>
      <c r="E16" s="31">
        <f>E5*10^3*0.5/10*1.17*25/10^6/360/20</f>
        <v>0.21276595744680851</v>
      </c>
      <c r="F16" s="27" t="s">
        <v>13</v>
      </c>
      <c r="H16" s="4"/>
      <c r="I16" s="8"/>
      <c r="J16" s="9">
        <v>12</v>
      </c>
      <c r="K16" s="19">
        <v>214.97627889492617</v>
      </c>
      <c r="L16" s="19">
        <v>1.3453938878907409E-5</v>
      </c>
      <c r="M16" s="19">
        <f t="shared" si="5"/>
        <v>214.97626544098728</v>
      </c>
      <c r="N16" s="19">
        <f t="shared" si="6"/>
        <v>53.744066360246819</v>
      </c>
      <c r="O16" s="19">
        <f t="shared" si="7"/>
        <v>161.23221253467935</v>
      </c>
      <c r="P16" s="19">
        <f>1/(1+0.12)^12</f>
        <v>0.25667509294538904</v>
      </c>
      <c r="Q16" s="23">
        <f t="shared" si="0"/>
        <v>41.384293138129543</v>
      </c>
      <c r="R16" s="4"/>
      <c r="S16" s="8"/>
      <c r="T16" s="9">
        <v>12</v>
      </c>
      <c r="U16" s="19">
        <v>214.97627889492617</v>
      </c>
      <c r="V16" s="19">
        <v>1.3453938878907409E-5</v>
      </c>
      <c r="W16" s="19">
        <f t="shared" si="8"/>
        <v>214.97626544098728</v>
      </c>
      <c r="X16" s="19">
        <f t="shared" si="20"/>
        <v>53.744066360246819</v>
      </c>
      <c r="Y16" s="19">
        <f t="shared" si="10"/>
        <v>161.23221253467935</v>
      </c>
      <c r="Z16" s="19">
        <f>1/(1+0.12)^12</f>
        <v>0.25667509294538904</v>
      </c>
      <c r="AA16" s="23">
        <f t="shared" si="1"/>
        <v>41.384293138129543</v>
      </c>
      <c r="AB16" s="4"/>
      <c r="AC16" s="8"/>
      <c r="AD16" s="9">
        <v>12</v>
      </c>
      <c r="AE16" s="19">
        <v>214.97627889492617</v>
      </c>
      <c r="AF16" s="19">
        <v>1.3453938878907409E-5</v>
      </c>
      <c r="AG16" s="19">
        <f t="shared" si="11"/>
        <v>214.97626544098728</v>
      </c>
      <c r="AH16" s="19">
        <f t="shared" si="21"/>
        <v>53.744066360246819</v>
      </c>
      <c r="AI16" s="19">
        <f t="shared" si="13"/>
        <v>161.23221253467935</v>
      </c>
      <c r="AJ16" s="19">
        <f>1/(1+0.12)^12</f>
        <v>0.25667509294538904</v>
      </c>
      <c r="AK16" s="23">
        <f t="shared" si="2"/>
        <v>41.384293138129543</v>
      </c>
      <c r="AM16" s="8"/>
      <c r="AN16" s="9">
        <v>12</v>
      </c>
      <c r="AO16" s="19">
        <v>214.97627889492617</v>
      </c>
      <c r="AP16" s="19">
        <v>1.3453938878907409E-5</v>
      </c>
      <c r="AQ16" s="19">
        <f t="shared" si="14"/>
        <v>214.97626544098728</v>
      </c>
      <c r="AR16" s="19">
        <f t="shared" si="22"/>
        <v>53.744066360246819</v>
      </c>
      <c r="AS16" s="19">
        <f t="shared" si="16"/>
        <v>161.23221253467935</v>
      </c>
      <c r="AT16" s="19">
        <f>1/(1+0.12)^12</f>
        <v>0.25667509294538904</v>
      </c>
      <c r="AU16" s="23">
        <f t="shared" si="3"/>
        <v>41.384293138129543</v>
      </c>
      <c r="AW16" s="8"/>
      <c r="AX16" s="9">
        <v>12</v>
      </c>
      <c r="AY16" s="19">
        <v>214.97627889492617</v>
      </c>
      <c r="AZ16" s="19">
        <v>1.3453938878907409E-5</v>
      </c>
      <c r="BA16" s="19">
        <f t="shared" si="17"/>
        <v>214.97626544098728</v>
      </c>
      <c r="BB16" s="19">
        <f t="shared" si="23"/>
        <v>53.744066360246819</v>
      </c>
      <c r="BC16" s="19">
        <f t="shared" si="19"/>
        <v>161.23221253467935</v>
      </c>
      <c r="BD16" s="19">
        <f>1/(1+0.12)^12</f>
        <v>0.25667509294538904</v>
      </c>
      <c r="BE16" s="23">
        <f t="shared" si="4"/>
        <v>41.384293138129543</v>
      </c>
    </row>
    <row r="17" spans="1:57" x14ac:dyDescent="0.25">
      <c r="A17" s="3" t="s">
        <v>4</v>
      </c>
      <c r="B17" s="31">
        <f>B4*(1.08%*133.1/101.1*64+((1-1.08%)*2500/10^6))/360/20</f>
        <v>75.196278968310082</v>
      </c>
      <c r="C17" s="31">
        <f>C4*(1.08%*133.1/101.1*64+((1-1.08%)*2500/10^6))/360/20</f>
        <v>81.563461881757121</v>
      </c>
      <c r="D17" s="31">
        <f>D4*(1.08%*133.1/101.1*64+((1-1.08%)*2500/10^6))/360/20</f>
        <v>99.444220813167306</v>
      </c>
      <c r="E17" s="31">
        <f>E4*(1.08%*133.1/101.1*64+((1-1.08%)*2500/10^6))/360/20</f>
        <v>132.74420048317393</v>
      </c>
      <c r="F17" s="27" t="s">
        <v>13</v>
      </c>
      <c r="H17" s="4"/>
      <c r="I17" s="8"/>
      <c r="J17" s="9">
        <v>13</v>
      </c>
      <c r="K17" s="19">
        <v>214.97627889492617</v>
      </c>
      <c r="L17" s="19">
        <v>1.3453938878907409E-5</v>
      </c>
      <c r="M17" s="19">
        <f t="shared" si="5"/>
        <v>214.97626544098728</v>
      </c>
      <c r="N17" s="19">
        <f t="shared" si="6"/>
        <v>53.744066360246819</v>
      </c>
      <c r="O17" s="19">
        <f t="shared" si="7"/>
        <v>161.23221253467935</v>
      </c>
      <c r="P17" s="19">
        <f>1/(1+0.12)^13</f>
        <v>0.22917419012981158</v>
      </c>
      <c r="Q17" s="23">
        <f t="shared" si="0"/>
        <v>36.950261730472796</v>
      </c>
      <c r="R17" s="4"/>
      <c r="S17" s="8"/>
      <c r="T17" s="9">
        <v>13</v>
      </c>
      <c r="U17" s="19">
        <v>214.97627889492617</v>
      </c>
      <c r="V17" s="19">
        <v>1.3453938878907409E-5</v>
      </c>
      <c r="W17" s="19">
        <f t="shared" si="8"/>
        <v>214.97626544098728</v>
      </c>
      <c r="X17" s="19">
        <f t="shared" si="20"/>
        <v>53.744066360246819</v>
      </c>
      <c r="Y17" s="19">
        <f t="shared" si="10"/>
        <v>161.23221253467935</v>
      </c>
      <c r="Z17" s="19">
        <f>1/(1+0.12)^13</f>
        <v>0.22917419012981158</v>
      </c>
      <c r="AA17" s="23">
        <f t="shared" si="1"/>
        <v>36.950261730472796</v>
      </c>
      <c r="AB17" s="4"/>
      <c r="AC17" s="8"/>
      <c r="AD17" s="9">
        <v>13</v>
      </c>
      <c r="AE17" s="19">
        <v>214.97627889492617</v>
      </c>
      <c r="AF17" s="19">
        <v>1.3453938878907409E-5</v>
      </c>
      <c r="AG17" s="19">
        <f t="shared" si="11"/>
        <v>214.97626544098728</v>
      </c>
      <c r="AH17" s="19">
        <f t="shared" si="21"/>
        <v>53.744066360246819</v>
      </c>
      <c r="AI17" s="19">
        <f t="shared" si="13"/>
        <v>161.23221253467935</v>
      </c>
      <c r="AJ17" s="19">
        <f>1/(1+0.12)^13</f>
        <v>0.22917419012981158</v>
      </c>
      <c r="AK17" s="23">
        <f t="shared" si="2"/>
        <v>36.950261730472796</v>
      </c>
      <c r="AM17" s="8"/>
      <c r="AN17" s="9">
        <v>13</v>
      </c>
      <c r="AO17" s="19">
        <v>214.97627889492617</v>
      </c>
      <c r="AP17" s="19">
        <v>1.3453938878907409E-5</v>
      </c>
      <c r="AQ17" s="19">
        <f t="shared" si="14"/>
        <v>214.97626544098728</v>
      </c>
      <c r="AR17" s="19">
        <f t="shared" si="22"/>
        <v>53.744066360246819</v>
      </c>
      <c r="AS17" s="19">
        <f t="shared" si="16"/>
        <v>161.23221253467935</v>
      </c>
      <c r="AT17" s="19">
        <f>1/(1+0.12)^13</f>
        <v>0.22917419012981158</v>
      </c>
      <c r="AU17" s="23">
        <f t="shared" si="3"/>
        <v>36.950261730472796</v>
      </c>
      <c r="AW17" s="8"/>
      <c r="AX17" s="9">
        <v>13</v>
      </c>
      <c r="AY17" s="19">
        <v>214.97627889492617</v>
      </c>
      <c r="AZ17" s="19">
        <v>1.3453938878907409E-5</v>
      </c>
      <c r="BA17" s="19">
        <f t="shared" si="17"/>
        <v>214.97626544098728</v>
      </c>
      <c r="BB17" s="19">
        <f t="shared" si="23"/>
        <v>53.744066360246819</v>
      </c>
      <c r="BC17" s="19">
        <f t="shared" si="19"/>
        <v>161.23221253467935</v>
      </c>
      <c r="BD17" s="19">
        <f>1/(1+0.12)^13</f>
        <v>0.22917419012981158</v>
      </c>
      <c r="BE17" s="23">
        <f t="shared" si="4"/>
        <v>36.950261730472796</v>
      </c>
    </row>
    <row r="18" spans="1:57" x14ac:dyDescent="0.25">
      <c r="A18" s="3" t="s">
        <v>25</v>
      </c>
      <c r="B18" s="31">
        <f>SUM(B14:B17)</f>
        <v>518.23811176690606</v>
      </c>
      <c r="C18" s="31">
        <f>SUM(C14:C17)</f>
        <v>528.3278566256563</v>
      </c>
      <c r="D18" s="31">
        <f>SUM(D14:D17)</f>
        <v>556.66256884473364</v>
      </c>
      <c r="E18" s="31">
        <f>SUM(E14:E17)</f>
        <v>609.43132124893305</v>
      </c>
      <c r="F18" s="27" t="s">
        <v>13</v>
      </c>
      <c r="H18" s="4"/>
      <c r="I18" s="8"/>
      <c r="J18" s="9">
        <v>14</v>
      </c>
      <c r="K18" s="19">
        <v>214.97627889492617</v>
      </c>
      <c r="L18" s="19">
        <v>1.3453938878907409E-5</v>
      </c>
      <c r="M18" s="19">
        <f t="shared" si="5"/>
        <v>214.97626544098728</v>
      </c>
      <c r="N18" s="19">
        <f t="shared" si="6"/>
        <v>53.744066360246819</v>
      </c>
      <c r="O18" s="19">
        <f t="shared" si="7"/>
        <v>161.23221253467935</v>
      </c>
      <c r="P18" s="19">
        <f>1/(1+0.12)^14</f>
        <v>0.20461981261590317</v>
      </c>
      <c r="Q18" s="23">
        <f t="shared" si="0"/>
        <v>32.991305116493564</v>
      </c>
      <c r="R18" s="4"/>
      <c r="S18" s="8"/>
      <c r="T18" s="9">
        <v>14</v>
      </c>
      <c r="U18" s="19">
        <v>214.97627889492617</v>
      </c>
      <c r="V18" s="19">
        <v>1.3453938878907409E-5</v>
      </c>
      <c r="W18" s="19">
        <f t="shared" si="8"/>
        <v>214.97626544098728</v>
      </c>
      <c r="X18" s="19">
        <f t="shared" si="20"/>
        <v>53.744066360246819</v>
      </c>
      <c r="Y18" s="19">
        <f t="shared" si="10"/>
        <v>161.23221253467935</v>
      </c>
      <c r="Z18" s="19">
        <f>1/(1+0.12)^14</f>
        <v>0.20461981261590317</v>
      </c>
      <c r="AA18" s="23">
        <f t="shared" si="1"/>
        <v>32.991305116493564</v>
      </c>
      <c r="AB18" s="4"/>
      <c r="AC18" s="8"/>
      <c r="AD18" s="9">
        <v>14</v>
      </c>
      <c r="AE18" s="19">
        <v>214.97627889492617</v>
      </c>
      <c r="AF18" s="19">
        <v>1.3453938878907409E-5</v>
      </c>
      <c r="AG18" s="19">
        <f t="shared" si="11"/>
        <v>214.97626544098728</v>
      </c>
      <c r="AH18" s="19">
        <f t="shared" si="21"/>
        <v>53.744066360246819</v>
      </c>
      <c r="AI18" s="19">
        <f t="shared" si="13"/>
        <v>161.23221253467935</v>
      </c>
      <c r="AJ18" s="19">
        <f>1/(1+0.12)^14</f>
        <v>0.20461981261590317</v>
      </c>
      <c r="AK18" s="23">
        <f t="shared" si="2"/>
        <v>32.991305116493564</v>
      </c>
      <c r="AM18" s="8"/>
      <c r="AN18" s="9">
        <v>14</v>
      </c>
      <c r="AO18" s="19">
        <v>214.97627889492617</v>
      </c>
      <c r="AP18" s="19">
        <v>1.3453938878907409E-5</v>
      </c>
      <c r="AQ18" s="19">
        <f t="shared" si="14"/>
        <v>214.97626544098728</v>
      </c>
      <c r="AR18" s="19">
        <f t="shared" si="22"/>
        <v>53.744066360246819</v>
      </c>
      <c r="AS18" s="19">
        <f t="shared" si="16"/>
        <v>161.23221253467935</v>
      </c>
      <c r="AT18" s="19">
        <f>1/(1+0.12)^14</f>
        <v>0.20461981261590317</v>
      </c>
      <c r="AU18" s="23">
        <f t="shared" si="3"/>
        <v>32.991305116493564</v>
      </c>
      <c r="AW18" s="8"/>
      <c r="AX18" s="9">
        <v>14</v>
      </c>
      <c r="AY18" s="19">
        <v>214.97627889492617</v>
      </c>
      <c r="AZ18" s="19">
        <v>1.3453938878907409E-5</v>
      </c>
      <c r="BA18" s="19">
        <f t="shared" si="17"/>
        <v>214.97626544098728</v>
      </c>
      <c r="BB18" s="19">
        <f t="shared" si="23"/>
        <v>53.744066360246819</v>
      </c>
      <c r="BC18" s="19">
        <f t="shared" si="19"/>
        <v>161.23221253467935</v>
      </c>
      <c r="BD18" s="19">
        <f>1/(1+0.12)^14</f>
        <v>0.20461981261590317</v>
      </c>
      <c r="BE18" s="23">
        <f t="shared" si="4"/>
        <v>32.991305116493564</v>
      </c>
    </row>
    <row r="19" spans="1:57" x14ac:dyDescent="0.25">
      <c r="A19" s="3" t="s">
        <v>26</v>
      </c>
      <c r="B19" s="31">
        <f>137.2*20/1*0.087/360/20</f>
        <v>3.3156666666666661E-2</v>
      </c>
      <c r="C19" s="31">
        <f>137.2*20/1*0.087/360/20</f>
        <v>3.3156666666666661E-2</v>
      </c>
      <c r="D19" s="31">
        <f>137.2*20/1*0.087/360/20</f>
        <v>3.3156666666666661E-2</v>
      </c>
      <c r="E19" s="31">
        <f>137.2*20/1*0.087/360/20</f>
        <v>3.3156666666666661E-2</v>
      </c>
      <c r="F19" s="27" t="s">
        <v>13</v>
      </c>
      <c r="H19" s="4"/>
      <c r="I19" s="8"/>
      <c r="J19" s="9">
        <v>15</v>
      </c>
      <c r="K19" s="19">
        <v>214.97627889492617</v>
      </c>
      <c r="L19" s="19">
        <v>1.3453938878907409E-5</v>
      </c>
      <c r="M19" s="19">
        <f t="shared" si="5"/>
        <v>214.97626544098728</v>
      </c>
      <c r="N19" s="19">
        <f t="shared" si="6"/>
        <v>53.744066360246819</v>
      </c>
      <c r="O19" s="19">
        <f t="shared" si="7"/>
        <v>161.23221253467935</v>
      </c>
      <c r="P19" s="19">
        <f>1/(1+0.12)^15</f>
        <v>0.18269626126419927</v>
      </c>
      <c r="Q19" s="23">
        <f t="shared" si="0"/>
        <v>29.456522425440681</v>
      </c>
      <c r="R19" s="4"/>
      <c r="S19" s="8"/>
      <c r="T19" s="9">
        <v>15</v>
      </c>
      <c r="U19" s="19">
        <v>214.97627889492617</v>
      </c>
      <c r="V19" s="19">
        <v>1.3453938878907409E-5</v>
      </c>
      <c r="W19" s="19">
        <f t="shared" si="8"/>
        <v>214.97626544098728</v>
      </c>
      <c r="X19" s="19">
        <f t="shared" si="20"/>
        <v>53.744066360246819</v>
      </c>
      <c r="Y19" s="19">
        <f t="shared" si="10"/>
        <v>161.23221253467935</v>
      </c>
      <c r="Z19" s="19">
        <f>1/(1+0.12)^15</f>
        <v>0.18269626126419927</v>
      </c>
      <c r="AA19" s="23">
        <f t="shared" si="1"/>
        <v>29.456522425440681</v>
      </c>
      <c r="AB19" s="4"/>
      <c r="AC19" s="8"/>
      <c r="AD19" s="9">
        <v>15</v>
      </c>
      <c r="AE19" s="19">
        <v>214.97627889492617</v>
      </c>
      <c r="AF19" s="19">
        <v>1.3453938878907409E-5</v>
      </c>
      <c r="AG19" s="19">
        <f t="shared" si="11"/>
        <v>214.97626544098728</v>
      </c>
      <c r="AH19" s="19">
        <f t="shared" si="21"/>
        <v>53.744066360246819</v>
      </c>
      <c r="AI19" s="19">
        <f t="shared" si="13"/>
        <v>161.23221253467935</v>
      </c>
      <c r="AJ19" s="19">
        <f>1/(1+0.12)^15</f>
        <v>0.18269626126419927</v>
      </c>
      <c r="AK19" s="23">
        <f t="shared" si="2"/>
        <v>29.456522425440681</v>
      </c>
      <c r="AM19" s="8"/>
      <c r="AN19" s="9">
        <v>15</v>
      </c>
      <c r="AO19" s="19">
        <v>214.97627889492617</v>
      </c>
      <c r="AP19" s="19">
        <v>1.3453938878907409E-5</v>
      </c>
      <c r="AQ19" s="19">
        <f t="shared" si="14"/>
        <v>214.97626544098728</v>
      </c>
      <c r="AR19" s="19">
        <f t="shared" si="22"/>
        <v>53.744066360246819</v>
      </c>
      <c r="AS19" s="19">
        <f t="shared" si="16"/>
        <v>161.23221253467935</v>
      </c>
      <c r="AT19" s="19">
        <f>1/(1+0.12)^15</f>
        <v>0.18269626126419927</v>
      </c>
      <c r="AU19" s="23">
        <f t="shared" si="3"/>
        <v>29.456522425440681</v>
      </c>
      <c r="AW19" s="8"/>
      <c r="AX19" s="9">
        <v>15</v>
      </c>
      <c r="AY19" s="19">
        <v>214.97627889492617</v>
      </c>
      <c r="AZ19" s="19">
        <v>1.3453938878907409E-5</v>
      </c>
      <c r="BA19" s="19">
        <f t="shared" si="17"/>
        <v>214.97626544098728</v>
      </c>
      <c r="BB19" s="19">
        <f t="shared" si="23"/>
        <v>53.744066360246819</v>
      </c>
      <c r="BC19" s="19">
        <f t="shared" si="19"/>
        <v>161.23221253467935</v>
      </c>
      <c r="BD19" s="19">
        <f>1/(1+0.12)^15</f>
        <v>0.18269626126419927</v>
      </c>
      <c r="BE19" s="23">
        <f t="shared" si="4"/>
        <v>29.456522425440681</v>
      </c>
    </row>
    <row r="20" spans="1:57" x14ac:dyDescent="0.25">
      <c r="A20" s="3" t="s">
        <v>27</v>
      </c>
      <c r="B20" s="31">
        <f>45%*B9</f>
        <v>0.15406530271464627</v>
      </c>
      <c r="C20" s="31">
        <f>45%*C9</f>
        <v>0.16712978546811164</v>
      </c>
      <c r="D20" s="31">
        <f>45%*D9</f>
        <v>0.20372095870850845</v>
      </c>
      <c r="E20" s="31">
        <f>45%*E9</f>
        <v>0.27196429341665063</v>
      </c>
      <c r="F20" s="27" t="s">
        <v>13</v>
      </c>
      <c r="H20" s="4"/>
      <c r="I20" s="8"/>
      <c r="J20" s="9">
        <v>16</v>
      </c>
      <c r="K20" s="19">
        <v>214.97627889492617</v>
      </c>
      <c r="L20" s="19">
        <v>1.3453938878907409E-5</v>
      </c>
      <c r="M20" s="19">
        <f t="shared" si="5"/>
        <v>214.97626544098728</v>
      </c>
      <c r="N20" s="19">
        <f t="shared" si="6"/>
        <v>53.744066360246819</v>
      </c>
      <c r="O20" s="19">
        <f t="shared" si="7"/>
        <v>161.23221253467935</v>
      </c>
      <c r="P20" s="19">
        <f>1/(1+0.12)^16</f>
        <v>0.16312166184303503</v>
      </c>
      <c r="Q20" s="23">
        <f t="shared" si="0"/>
        <v>26.300466451286319</v>
      </c>
      <c r="R20" s="4"/>
      <c r="S20" s="8"/>
      <c r="T20" s="9">
        <v>16</v>
      </c>
      <c r="U20" s="19">
        <v>214.97627889492617</v>
      </c>
      <c r="V20" s="19">
        <v>1.3453938878907409E-5</v>
      </c>
      <c r="W20" s="19">
        <f t="shared" si="8"/>
        <v>214.97626544098728</v>
      </c>
      <c r="X20" s="19">
        <f t="shared" si="20"/>
        <v>53.744066360246819</v>
      </c>
      <c r="Y20" s="19">
        <f t="shared" si="10"/>
        <v>161.23221253467935</v>
      </c>
      <c r="Z20" s="19">
        <f>1/(1+0.12)^16</f>
        <v>0.16312166184303503</v>
      </c>
      <c r="AA20" s="23">
        <f t="shared" si="1"/>
        <v>26.300466451286319</v>
      </c>
      <c r="AB20" s="4"/>
      <c r="AC20" s="8"/>
      <c r="AD20" s="9">
        <v>16</v>
      </c>
      <c r="AE20" s="19">
        <v>214.97627889492617</v>
      </c>
      <c r="AF20" s="19">
        <v>1.3453938878907409E-5</v>
      </c>
      <c r="AG20" s="19">
        <f t="shared" si="11"/>
        <v>214.97626544098728</v>
      </c>
      <c r="AH20" s="19">
        <f t="shared" si="21"/>
        <v>53.744066360246819</v>
      </c>
      <c r="AI20" s="19">
        <f t="shared" si="13"/>
        <v>161.23221253467935</v>
      </c>
      <c r="AJ20" s="19">
        <f>1/(1+0.12)^16</f>
        <v>0.16312166184303503</v>
      </c>
      <c r="AK20" s="23">
        <f t="shared" si="2"/>
        <v>26.300466451286319</v>
      </c>
      <c r="AM20" s="8"/>
      <c r="AN20" s="9">
        <v>16</v>
      </c>
      <c r="AO20" s="19">
        <v>214.97627889492617</v>
      </c>
      <c r="AP20" s="19">
        <v>1.3453938878907409E-5</v>
      </c>
      <c r="AQ20" s="19">
        <f t="shared" si="14"/>
        <v>214.97626544098728</v>
      </c>
      <c r="AR20" s="19">
        <f t="shared" si="22"/>
        <v>53.744066360246819</v>
      </c>
      <c r="AS20" s="19">
        <f t="shared" si="16"/>
        <v>161.23221253467935</v>
      </c>
      <c r="AT20" s="19">
        <f>1/(1+0.12)^16</f>
        <v>0.16312166184303503</v>
      </c>
      <c r="AU20" s="23">
        <f t="shared" si="3"/>
        <v>26.300466451286319</v>
      </c>
      <c r="AW20" s="8"/>
      <c r="AX20" s="9">
        <v>16</v>
      </c>
      <c r="AY20" s="19">
        <v>214.97627889492617</v>
      </c>
      <c r="AZ20" s="19">
        <v>1.3453938878907409E-5</v>
      </c>
      <c r="BA20" s="19">
        <f t="shared" si="17"/>
        <v>214.97626544098728</v>
      </c>
      <c r="BB20" s="19">
        <f t="shared" si="23"/>
        <v>53.744066360246819</v>
      </c>
      <c r="BC20" s="19">
        <f t="shared" si="19"/>
        <v>161.23221253467935</v>
      </c>
      <c r="BD20" s="19">
        <f>1/(1+0.12)^16</f>
        <v>0.16312166184303503</v>
      </c>
      <c r="BE20" s="23">
        <f t="shared" si="4"/>
        <v>26.300466451286319</v>
      </c>
    </row>
    <row r="21" spans="1:57" x14ac:dyDescent="0.25">
      <c r="A21" s="3" t="s">
        <v>30</v>
      </c>
      <c r="B21" s="31">
        <f>4*B12</f>
        <v>1.6433632289562268</v>
      </c>
      <c r="C21" s="31">
        <f>4*C12</f>
        <v>1.7827177116598574</v>
      </c>
      <c r="D21" s="31">
        <f>4*D12</f>
        <v>2.1730235595574237</v>
      </c>
      <c r="E21" s="31">
        <f>4*E12</f>
        <v>2.90095246311094</v>
      </c>
      <c r="F21" s="27" t="s">
        <v>13</v>
      </c>
      <c r="H21" s="4"/>
      <c r="I21" s="8"/>
      <c r="J21" s="9">
        <v>17</v>
      </c>
      <c r="K21" s="19">
        <v>214.97627889492617</v>
      </c>
      <c r="L21" s="19">
        <v>1.3453938878907409E-5</v>
      </c>
      <c r="M21" s="19">
        <f t="shared" si="5"/>
        <v>214.97626544098728</v>
      </c>
      <c r="N21" s="19">
        <f t="shared" si="6"/>
        <v>53.744066360246819</v>
      </c>
      <c r="O21" s="19">
        <f t="shared" si="7"/>
        <v>161.23221253467935</v>
      </c>
      <c r="P21" s="19">
        <f>1/(1+0.12)^17</f>
        <v>0.14564434093128129</v>
      </c>
      <c r="Q21" s="23">
        <f t="shared" si="0"/>
        <v>23.482559331505644</v>
      </c>
      <c r="R21" s="4"/>
      <c r="S21" s="8"/>
      <c r="T21" s="9">
        <v>17</v>
      </c>
      <c r="U21" s="19">
        <v>214.97627889492617</v>
      </c>
      <c r="V21" s="19">
        <v>1.3453938878907409E-5</v>
      </c>
      <c r="W21" s="19">
        <f t="shared" si="8"/>
        <v>214.97626544098728</v>
      </c>
      <c r="X21" s="19">
        <f t="shared" si="20"/>
        <v>53.744066360246819</v>
      </c>
      <c r="Y21" s="19">
        <f t="shared" si="10"/>
        <v>161.23221253467935</v>
      </c>
      <c r="Z21" s="19">
        <f>1/(1+0.12)^17</f>
        <v>0.14564434093128129</v>
      </c>
      <c r="AA21" s="23">
        <f t="shared" si="1"/>
        <v>23.482559331505644</v>
      </c>
      <c r="AB21" s="4"/>
      <c r="AC21" s="8"/>
      <c r="AD21" s="9">
        <v>17</v>
      </c>
      <c r="AE21" s="19">
        <v>214.97627889492617</v>
      </c>
      <c r="AF21" s="19">
        <v>1.3453938878907409E-5</v>
      </c>
      <c r="AG21" s="19">
        <f t="shared" si="11"/>
        <v>214.97626544098728</v>
      </c>
      <c r="AH21" s="19">
        <f t="shared" si="21"/>
        <v>53.744066360246819</v>
      </c>
      <c r="AI21" s="19">
        <f t="shared" si="13"/>
        <v>161.23221253467935</v>
      </c>
      <c r="AJ21" s="19">
        <f>1/(1+0.12)^17</f>
        <v>0.14564434093128129</v>
      </c>
      <c r="AK21" s="23">
        <f t="shared" si="2"/>
        <v>23.482559331505644</v>
      </c>
      <c r="AM21" s="8"/>
      <c r="AN21" s="9">
        <v>17</v>
      </c>
      <c r="AO21" s="19">
        <v>214.97627889492617</v>
      </c>
      <c r="AP21" s="19">
        <v>1.3453938878907409E-5</v>
      </c>
      <c r="AQ21" s="19">
        <f t="shared" si="14"/>
        <v>214.97626544098728</v>
      </c>
      <c r="AR21" s="19">
        <f t="shared" si="22"/>
        <v>53.744066360246819</v>
      </c>
      <c r="AS21" s="19">
        <f t="shared" si="16"/>
        <v>161.23221253467935</v>
      </c>
      <c r="AT21" s="19">
        <f>1/(1+0.12)^17</f>
        <v>0.14564434093128129</v>
      </c>
      <c r="AU21" s="23">
        <f t="shared" si="3"/>
        <v>23.482559331505644</v>
      </c>
      <c r="AW21" s="8"/>
      <c r="AX21" s="9">
        <v>17</v>
      </c>
      <c r="AY21" s="19">
        <v>214.97627889492617</v>
      </c>
      <c r="AZ21" s="19">
        <v>1.3453938878907409E-5</v>
      </c>
      <c r="BA21" s="19">
        <f t="shared" si="17"/>
        <v>214.97626544098728</v>
      </c>
      <c r="BB21" s="19">
        <f t="shared" si="23"/>
        <v>53.744066360246819</v>
      </c>
      <c r="BC21" s="19">
        <f t="shared" si="19"/>
        <v>161.23221253467935</v>
      </c>
      <c r="BD21" s="19">
        <f>1/(1+0.12)^17</f>
        <v>0.14564434093128129</v>
      </c>
      <c r="BE21" s="23">
        <f t="shared" si="4"/>
        <v>23.482559331505644</v>
      </c>
    </row>
    <row r="22" spans="1:57" x14ac:dyDescent="0.25">
      <c r="A22" s="3" t="s">
        <v>31</v>
      </c>
      <c r="B22" s="31">
        <f>20%*B19</f>
        <v>6.6313333333333328E-3</v>
      </c>
      <c r="C22" s="31">
        <f>20%*C19</f>
        <v>6.6313333333333328E-3</v>
      </c>
      <c r="D22" s="31">
        <f>20%*D19</f>
        <v>6.6313333333333328E-3</v>
      </c>
      <c r="E22" s="31">
        <f>20%*E19</f>
        <v>6.6313333333333328E-3</v>
      </c>
      <c r="F22" s="27" t="s">
        <v>13</v>
      </c>
      <c r="H22" s="4"/>
      <c r="I22" s="8"/>
      <c r="J22" s="9">
        <v>18</v>
      </c>
      <c r="K22" s="19">
        <v>214.97627889492617</v>
      </c>
      <c r="L22" s="19">
        <v>1.3453938878907409E-5</v>
      </c>
      <c r="M22" s="19">
        <f t="shared" si="5"/>
        <v>214.97626544098728</v>
      </c>
      <c r="N22" s="19">
        <f t="shared" si="6"/>
        <v>53.744066360246819</v>
      </c>
      <c r="O22" s="19">
        <f t="shared" si="7"/>
        <v>161.23221253467935</v>
      </c>
      <c r="P22" s="19">
        <f>1/(1+0.12)^18</f>
        <v>0.13003959011721541</v>
      </c>
      <c r="Q22" s="23">
        <f t="shared" si="0"/>
        <v>20.966570831701464</v>
      </c>
      <c r="R22" s="4"/>
      <c r="S22" s="8"/>
      <c r="T22" s="9">
        <v>18</v>
      </c>
      <c r="U22" s="19">
        <v>214.97627889492617</v>
      </c>
      <c r="V22" s="19">
        <v>1.3453938878907409E-5</v>
      </c>
      <c r="W22" s="19">
        <f t="shared" si="8"/>
        <v>214.97626544098728</v>
      </c>
      <c r="X22" s="19">
        <f t="shared" si="20"/>
        <v>53.744066360246819</v>
      </c>
      <c r="Y22" s="19">
        <f t="shared" si="10"/>
        <v>161.23221253467935</v>
      </c>
      <c r="Z22" s="19">
        <f>1/(1+0.12)^18</f>
        <v>0.13003959011721541</v>
      </c>
      <c r="AA22" s="23">
        <f t="shared" si="1"/>
        <v>20.966570831701464</v>
      </c>
      <c r="AB22" s="4"/>
      <c r="AC22" s="8"/>
      <c r="AD22" s="9">
        <v>18</v>
      </c>
      <c r="AE22" s="19">
        <v>214.97627889492617</v>
      </c>
      <c r="AF22" s="19">
        <v>1.3453938878907409E-5</v>
      </c>
      <c r="AG22" s="19">
        <f t="shared" si="11"/>
        <v>214.97626544098728</v>
      </c>
      <c r="AH22" s="19">
        <f t="shared" si="21"/>
        <v>53.744066360246819</v>
      </c>
      <c r="AI22" s="19">
        <f t="shared" si="13"/>
        <v>161.23221253467935</v>
      </c>
      <c r="AJ22" s="19">
        <f>1/(1+0.12)^18</f>
        <v>0.13003959011721541</v>
      </c>
      <c r="AK22" s="23">
        <f t="shared" si="2"/>
        <v>20.966570831701464</v>
      </c>
      <c r="AM22" s="8"/>
      <c r="AN22" s="9">
        <v>18</v>
      </c>
      <c r="AO22" s="19">
        <v>214.97627889492617</v>
      </c>
      <c r="AP22" s="19">
        <v>1.3453938878907409E-5</v>
      </c>
      <c r="AQ22" s="19">
        <f t="shared" si="14"/>
        <v>214.97626544098728</v>
      </c>
      <c r="AR22" s="19">
        <f t="shared" si="22"/>
        <v>53.744066360246819</v>
      </c>
      <c r="AS22" s="19">
        <f t="shared" si="16"/>
        <v>161.23221253467935</v>
      </c>
      <c r="AT22" s="19">
        <f>1/(1+0.12)^18</f>
        <v>0.13003959011721541</v>
      </c>
      <c r="AU22" s="23">
        <f t="shared" si="3"/>
        <v>20.966570831701464</v>
      </c>
      <c r="AW22" s="8"/>
      <c r="AX22" s="9">
        <v>18</v>
      </c>
      <c r="AY22" s="19">
        <v>214.97627889492617</v>
      </c>
      <c r="AZ22" s="19">
        <v>1.3453938878907409E-5</v>
      </c>
      <c r="BA22" s="19">
        <f t="shared" si="17"/>
        <v>214.97626544098728</v>
      </c>
      <c r="BB22" s="19">
        <f t="shared" si="23"/>
        <v>53.744066360246819</v>
      </c>
      <c r="BC22" s="19">
        <f t="shared" si="19"/>
        <v>161.23221253467935</v>
      </c>
      <c r="BD22" s="19">
        <f>1/(1+0.12)^18</f>
        <v>0.13003959011721541</v>
      </c>
      <c r="BE22" s="23">
        <f t="shared" si="4"/>
        <v>20.966570831701464</v>
      </c>
    </row>
    <row r="23" spans="1:57" x14ac:dyDescent="0.25">
      <c r="A23" s="3" t="s">
        <v>41</v>
      </c>
      <c r="B23" s="31">
        <f>B12*(1-5%)/30</f>
        <v>1.3009958895903461E-2</v>
      </c>
      <c r="C23" s="31">
        <f>C12*(1-5%)/30</f>
        <v>1.411318188397387E-2</v>
      </c>
      <c r="D23" s="31">
        <f>D12*(1-5%)/30</f>
        <v>1.7203103179829603E-2</v>
      </c>
      <c r="E23" s="31">
        <f>E12*(1-5%)/30</f>
        <v>2.2965873666294941E-2</v>
      </c>
      <c r="F23" s="27"/>
      <c r="H23" s="4"/>
      <c r="I23" s="8"/>
      <c r="J23" s="9">
        <v>19</v>
      </c>
      <c r="K23" s="19">
        <v>214.97627889492617</v>
      </c>
      <c r="L23" s="19">
        <v>1.3453938878907409E-5</v>
      </c>
      <c r="M23" s="19">
        <f t="shared" si="5"/>
        <v>214.97626544098728</v>
      </c>
      <c r="N23" s="19">
        <f t="shared" si="6"/>
        <v>53.744066360246819</v>
      </c>
      <c r="O23" s="19">
        <f t="shared" si="7"/>
        <v>161.23221253467935</v>
      </c>
      <c r="P23" s="19">
        <f>1/(1+0.12)^19</f>
        <v>0.1161067768903709</v>
      </c>
      <c r="Q23" s="23">
        <f t="shared" si="0"/>
        <v>18.720152528304876</v>
      </c>
      <c r="R23" s="4"/>
      <c r="S23" s="8"/>
      <c r="T23" s="9">
        <v>19</v>
      </c>
      <c r="U23" s="19">
        <v>214.97627889492617</v>
      </c>
      <c r="V23" s="19">
        <v>1.3453938878907409E-5</v>
      </c>
      <c r="W23" s="19">
        <f t="shared" si="8"/>
        <v>214.97626544098728</v>
      </c>
      <c r="X23" s="19">
        <f t="shared" si="20"/>
        <v>53.744066360246819</v>
      </c>
      <c r="Y23" s="19">
        <f t="shared" si="10"/>
        <v>161.23221253467935</v>
      </c>
      <c r="Z23" s="19">
        <f>1/(1+0.12)^19</f>
        <v>0.1161067768903709</v>
      </c>
      <c r="AA23" s="23">
        <f t="shared" si="1"/>
        <v>18.720152528304876</v>
      </c>
      <c r="AB23" s="4"/>
      <c r="AC23" s="8"/>
      <c r="AD23" s="9">
        <v>19</v>
      </c>
      <c r="AE23" s="19">
        <v>214.97627889492617</v>
      </c>
      <c r="AF23" s="19">
        <v>1.3453938878907409E-5</v>
      </c>
      <c r="AG23" s="19">
        <f t="shared" si="11"/>
        <v>214.97626544098728</v>
      </c>
      <c r="AH23" s="19">
        <f t="shared" si="21"/>
        <v>53.744066360246819</v>
      </c>
      <c r="AI23" s="19">
        <f t="shared" si="13"/>
        <v>161.23221253467935</v>
      </c>
      <c r="AJ23" s="19">
        <f>1/(1+0.12)^19</f>
        <v>0.1161067768903709</v>
      </c>
      <c r="AK23" s="23">
        <f t="shared" si="2"/>
        <v>18.720152528304876</v>
      </c>
      <c r="AM23" s="8"/>
      <c r="AN23" s="9">
        <v>19</v>
      </c>
      <c r="AO23" s="19">
        <v>214.97627889492617</v>
      </c>
      <c r="AP23" s="19">
        <v>1.3453938878907409E-5</v>
      </c>
      <c r="AQ23" s="19">
        <f t="shared" si="14"/>
        <v>214.97626544098728</v>
      </c>
      <c r="AR23" s="19">
        <f t="shared" si="22"/>
        <v>53.744066360246819</v>
      </c>
      <c r="AS23" s="19">
        <f t="shared" si="16"/>
        <v>161.23221253467935</v>
      </c>
      <c r="AT23" s="19">
        <f>1/(1+0.12)^19</f>
        <v>0.1161067768903709</v>
      </c>
      <c r="AU23" s="23">
        <f t="shared" si="3"/>
        <v>18.720152528304876</v>
      </c>
      <c r="AW23" s="8"/>
      <c r="AX23" s="9">
        <v>19</v>
      </c>
      <c r="AY23" s="19">
        <v>214.97627889492617</v>
      </c>
      <c r="AZ23" s="19">
        <v>1.3453938878907409E-5</v>
      </c>
      <c r="BA23" s="19">
        <f t="shared" si="17"/>
        <v>214.97626544098728</v>
      </c>
      <c r="BB23" s="19">
        <f t="shared" si="23"/>
        <v>53.744066360246819</v>
      </c>
      <c r="BC23" s="19">
        <f t="shared" si="19"/>
        <v>161.23221253467935</v>
      </c>
      <c r="BD23" s="19">
        <f>1/(1+0.12)^19</f>
        <v>0.1161067768903709</v>
      </c>
      <c r="BE23" s="23">
        <f t="shared" si="4"/>
        <v>18.720152528304876</v>
      </c>
    </row>
    <row r="24" spans="1:57" x14ac:dyDescent="0.25">
      <c r="A24" s="3" t="s">
        <v>32</v>
      </c>
      <c r="B24" s="31">
        <f>5%*B12</f>
        <v>2.0542040361952837E-2</v>
      </c>
      <c r="C24" s="31">
        <f>5%*C12</f>
        <v>2.2283971395748219E-2</v>
      </c>
      <c r="D24" s="31">
        <f>5%*D12</f>
        <v>2.7162794494467797E-2</v>
      </c>
      <c r="E24" s="31">
        <f>5%*E12</f>
        <v>3.6261905788886752E-2</v>
      </c>
      <c r="F24" s="27" t="s">
        <v>13</v>
      </c>
      <c r="H24" s="4"/>
      <c r="I24" s="8"/>
      <c r="J24" s="9">
        <v>20</v>
      </c>
      <c r="K24" s="19">
        <v>214.97627889492617</v>
      </c>
      <c r="L24" s="19">
        <v>1.3453938878907409E-5</v>
      </c>
      <c r="M24" s="19">
        <f t="shared" si="5"/>
        <v>214.97626544098728</v>
      </c>
      <c r="N24" s="19">
        <f t="shared" si="6"/>
        <v>53.744066360246819</v>
      </c>
      <c r="O24" s="19">
        <f t="shared" si="7"/>
        <v>161.23221253467935</v>
      </c>
      <c r="P24" s="19">
        <f>1/(1+0.12)^20</f>
        <v>0.1036667650806883</v>
      </c>
      <c r="Q24" s="23">
        <f t="shared" si="0"/>
        <v>16.71442190027221</v>
      </c>
      <c r="R24" s="4"/>
      <c r="S24" s="8"/>
      <c r="T24" s="9">
        <v>20</v>
      </c>
      <c r="U24" s="19">
        <v>214.97627889492617</v>
      </c>
      <c r="V24" s="19">
        <v>1.3453938878907409E-5</v>
      </c>
      <c r="W24" s="19">
        <f t="shared" si="8"/>
        <v>214.97626544098728</v>
      </c>
      <c r="X24" s="19">
        <f t="shared" si="20"/>
        <v>53.744066360246819</v>
      </c>
      <c r="Y24" s="19">
        <f t="shared" si="10"/>
        <v>161.23221253467935</v>
      </c>
      <c r="Z24" s="19">
        <f>1/(1+0.12)^20</f>
        <v>0.1036667650806883</v>
      </c>
      <c r="AA24" s="23">
        <f t="shared" si="1"/>
        <v>16.71442190027221</v>
      </c>
      <c r="AB24" s="4"/>
      <c r="AC24" s="8"/>
      <c r="AD24" s="9">
        <v>20</v>
      </c>
      <c r="AE24" s="19">
        <v>214.97627889492617</v>
      </c>
      <c r="AF24" s="19">
        <v>1.3453938878907409E-5</v>
      </c>
      <c r="AG24" s="19">
        <f t="shared" si="11"/>
        <v>214.97626544098728</v>
      </c>
      <c r="AH24" s="19">
        <f t="shared" si="21"/>
        <v>53.744066360246819</v>
      </c>
      <c r="AI24" s="19">
        <f t="shared" si="13"/>
        <v>161.23221253467935</v>
      </c>
      <c r="AJ24" s="19">
        <f>1/(1+0.12)^20</f>
        <v>0.1036667650806883</v>
      </c>
      <c r="AK24" s="23">
        <f t="shared" si="2"/>
        <v>16.71442190027221</v>
      </c>
      <c r="AM24" s="8"/>
      <c r="AN24" s="9">
        <v>20</v>
      </c>
      <c r="AO24" s="19">
        <v>214.97627889492617</v>
      </c>
      <c r="AP24" s="19">
        <v>1.3453938878907409E-5</v>
      </c>
      <c r="AQ24" s="19">
        <f t="shared" si="14"/>
        <v>214.97626544098728</v>
      </c>
      <c r="AR24" s="19">
        <f t="shared" si="22"/>
        <v>53.744066360246819</v>
      </c>
      <c r="AS24" s="19">
        <f t="shared" si="16"/>
        <v>161.23221253467935</v>
      </c>
      <c r="AT24" s="19">
        <f>1/(1+0.12)^20</f>
        <v>0.1036667650806883</v>
      </c>
      <c r="AU24" s="23">
        <f t="shared" si="3"/>
        <v>16.71442190027221</v>
      </c>
      <c r="AW24" s="8"/>
      <c r="AX24" s="9">
        <v>20</v>
      </c>
      <c r="AY24" s="19">
        <v>214.97627889492617</v>
      </c>
      <c r="AZ24" s="19">
        <v>1.3453938878907409E-5</v>
      </c>
      <c r="BA24" s="19">
        <f t="shared" si="17"/>
        <v>214.97626544098728</v>
      </c>
      <c r="BB24" s="19">
        <f t="shared" si="23"/>
        <v>53.744066360246819</v>
      </c>
      <c r="BC24" s="19">
        <f t="shared" si="19"/>
        <v>161.23221253467935</v>
      </c>
      <c r="BD24" s="19">
        <f>1/(1+0.12)^20</f>
        <v>0.1036667650806883</v>
      </c>
      <c r="BE24" s="23">
        <f t="shared" si="4"/>
        <v>16.71442190027221</v>
      </c>
    </row>
    <row r="25" spans="1:57" x14ac:dyDescent="0.25">
      <c r="A25" s="3" t="s">
        <v>3</v>
      </c>
      <c r="B25" s="31">
        <f>SUM(B18:B24)</f>
        <v>520.10888029783473</v>
      </c>
      <c r="C25" s="31">
        <f>SUM(C18:C24)</f>
        <v>530.35388927606391</v>
      </c>
      <c r="D25" s="31">
        <f>SUM(D18:D24)</f>
        <v>559.12346726067369</v>
      </c>
      <c r="E25" s="31">
        <f>SUM(E18:E24)</f>
        <v>612.70325378491577</v>
      </c>
      <c r="F25" s="27" t="s">
        <v>13</v>
      </c>
      <c r="H25" s="4"/>
      <c r="I25" s="8"/>
      <c r="J25" s="9">
        <v>21</v>
      </c>
      <c r="K25" s="19">
        <v>214.97627889492617</v>
      </c>
      <c r="L25" s="19">
        <v>1.3453938878907409E-5</v>
      </c>
      <c r="M25" s="19">
        <f>K25-L25</f>
        <v>214.97626544098728</v>
      </c>
      <c r="N25" s="19">
        <f t="shared" si="6"/>
        <v>53.744066360246819</v>
      </c>
      <c r="O25" s="19">
        <f t="shared" si="7"/>
        <v>161.23221253467935</v>
      </c>
      <c r="P25" s="19">
        <f>1/(1+0.12)^21</f>
        <v>9.2559611679185971E-2</v>
      </c>
      <c r="Q25" s="23">
        <f t="shared" si="0"/>
        <v>14.923590982385901</v>
      </c>
      <c r="R25" s="4"/>
      <c r="S25" s="8"/>
      <c r="T25" s="9">
        <v>21</v>
      </c>
      <c r="U25" s="19">
        <v>214.97627889492617</v>
      </c>
      <c r="V25" s="19">
        <v>1.3453938878907409E-5</v>
      </c>
      <c r="W25" s="19">
        <f>U25-V25</f>
        <v>214.97626544098728</v>
      </c>
      <c r="X25" s="19">
        <f t="shared" si="20"/>
        <v>53.744066360246819</v>
      </c>
      <c r="Y25" s="19">
        <f t="shared" si="10"/>
        <v>161.23221253467935</v>
      </c>
      <c r="Z25" s="19">
        <f>1/(1+0.12)^21</f>
        <v>9.2559611679185971E-2</v>
      </c>
      <c r="AA25" s="23">
        <f t="shared" si="1"/>
        <v>14.923590982385901</v>
      </c>
      <c r="AB25" s="4"/>
      <c r="AC25" s="8"/>
      <c r="AD25" s="9">
        <v>21</v>
      </c>
      <c r="AE25" s="19">
        <v>214.97627889492617</v>
      </c>
      <c r="AF25" s="19">
        <v>1.3453938878907409E-5</v>
      </c>
      <c r="AG25" s="19">
        <f>AE25-AF25</f>
        <v>214.97626544098728</v>
      </c>
      <c r="AH25" s="19">
        <f t="shared" si="21"/>
        <v>53.744066360246819</v>
      </c>
      <c r="AI25" s="19">
        <f t="shared" si="13"/>
        <v>161.23221253467935</v>
      </c>
      <c r="AJ25" s="19">
        <f>1/(1+0.12)^21</f>
        <v>9.2559611679185971E-2</v>
      </c>
      <c r="AK25" s="23">
        <f t="shared" si="2"/>
        <v>14.923590982385901</v>
      </c>
      <c r="AM25" s="8"/>
      <c r="AN25" s="9">
        <v>21</v>
      </c>
      <c r="AO25" s="19">
        <v>214.97627889492617</v>
      </c>
      <c r="AP25" s="19">
        <v>1.3453938878907409E-5</v>
      </c>
      <c r="AQ25" s="19">
        <f>AO25-AP25</f>
        <v>214.97626544098728</v>
      </c>
      <c r="AR25" s="19">
        <f t="shared" si="22"/>
        <v>53.744066360246819</v>
      </c>
      <c r="AS25" s="19">
        <f t="shared" si="16"/>
        <v>161.23221253467935</v>
      </c>
      <c r="AT25" s="19">
        <f>1/(1+0.12)^21</f>
        <v>9.2559611679185971E-2</v>
      </c>
      <c r="AU25" s="23">
        <f t="shared" si="3"/>
        <v>14.923590982385901</v>
      </c>
      <c r="AW25" s="8"/>
      <c r="AX25" s="9">
        <v>21</v>
      </c>
      <c r="AY25" s="19">
        <v>214.97627889492617</v>
      </c>
      <c r="AZ25" s="19">
        <v>1.3453938878907409E-5</v>
      </c>
      <c r="BA25" s="19">
        <f>AY25-AZ25</f>
        <v>214.97626544098728</v>
      </c>
      <c r="BB25" s="19">
        <f t="shared" si="23"/>
        <v>53.744066360246819</v>
      </c>
      <c r="BC25" s="19">
        <f t="shared" si="19"/>
        <v>161.23221253467935</v>
      </c>
      <c r="BD25" s="19">
        <f>1/(1+0.12)^21</f>
        <v>9.2559611679185971E-2</v>
      </c>
      <c r="BE25" s="23">
        <f t="shared" si="4"/>
        <v>14.923590982385901</v>
      </c>
    </row>
    <row r="26" spans="1:57" x14ac:dyDescent="0.25">
      <c r="A26" s="3" t="s">
        <v>14</v>
      </c>
      <c r="B26" s="31">
        <f>1000*20/62.5*28.1/20*1%</f>
        <v>4.4960000000000004</v>
      </c>
      <c r="C26" s="31">
        <f>1000*20/62.5*28.1/20*1%</f>
        <v>4.4960000000000004</v>
      </c>
      <c r="D26" s="31">
        <f>1000*20/62.5*28.1/20*1%</f>
        <v>4.4960000000000004</v>
      </c>
      <c r="E26" s="31">
        <f>1000*20/62.5*28.1/20*1%</f>
        <v>4.4960000000000004</v>
      </c>
      <c r="F26" s="27" t="s">
        <v>13</v>
      </c>
      <c r="H26" s="4"/>
      <c r="I26" s="8"/>
      <c r="J26" s="9">
        <v>22</v>
      </c>
      <c r="K26" s="19">
        <v>214.97627889492617</v>
      </c>
      <c r="L26" s="19">
        <v>1.3453938878907409E-5</v>
      </c>
      <c r="M26" s="19">
        <f t="shared" si="5"/>
        <v>214.97626544098728</v>
      </c>
      <c r="N26" s="19">
        <f t="shared" si="6"/>
        <v>53.744066360246819</v>
      </c>
      <c r="O26" s="19">
        <f t="shared" si="7"/>
        <v>161.23221253467935</v>
      </c>
      <c r="P26" s="19">
        <f>1/(1+0.12)^22</f>
        <v>8.2642510427844609E-2</v>
      </c>
      <c r="Q26" s="23">
        <f t="shared" si="0"/>
        <v>13.324634805701697</v>
      </c>
      <c r="R26" s="4"/>
      <c r="S26" s="8"/>
      <c r="T26" s="9">
        <v>22</v>
      </c>
      <c r="U26" s="19">
        <v>214.97627889492617</v>
      </c>
      <c r="V26" s="19">
        <v>1.3453938878907409E-5</v>
      </c>
      <c r="W26" s="19">
        <f t="shared" ref="W26:W34" si="24">U26-V26</f>
        <v>214.97626544098728</v>
      </c>
      <c r="X26" s="19">
        <f t="shared" si="20"/>
        <v>53.744066360246819</v>
      </c>
      <c r="Y26" s="19">
        <f t="shared" si="10"/>
        <v>161.23221253467935</v>
      </c>
      <c r="Z26" s="19">
        <f>1/(1+0.12)^22</f>
        <v>8.2642510427844609E-2</v>
      </c>
      <c r="AA26" s="23">
        <f t="shared" si="1"/>
        <v>13.324634805701697</v>
      </c>
      <c r="AB26" s="4"/>
      <c r="AC26" s="8"/>
      <c r="AD26" s="9">
        <v>22</v>
      </c>
      <c r="AE26" s="19">
        <v>214.97627889492617</v>
      </c>
      <c r="AF26" s="19">
        <v>1.3453938878907409E-5</v>
      </c>
      <c r="AG26" s="19">
        <f t="shared" ref="AG26:AG34" si="25">AE26-AF26</f>
        <v>214.97626544098728</v>
      </c>
      <c r="AH26" s="19">
        <f t="shared" si="21"/>
        <v>53.744066360246819</v>
      </c>
      <c r="AI26" s="19">
        <f t="shared" si="13"/>
        <v>161.23221253467935</v>
      </c>
      <c r="AJ26" s="19">
        <f>1/(1+0.12)^22</f>
        <v>8.2642510427844609E-2</v>
      </c>
      <c r="AK26" s="23">
        <f t="shared" si="2"/>
        <v>13.324634805701697</v>
      </c>
      <c r="AM26" s="8"/>
      <c r="AN26" s="9">
        <v>22</v>
      </c>
      <c r="AO26" s="19">
        <v>214.97627889492617</v>
      </c>
      <c r="AP26" s="19">
        <v>1.3453938878907409E-5</v>
      </c>
      <c r="AQ26" s="19">
        <f t="shared" ref="AQ26:AQ34" si="26">AO26-AP26</f>
        <v>214.97626544098728</v>
      </c>
      <c r="AR26" s="19">
        <f t="shared" si="22"/>
        <v>53.744066360246819</v>
      </c>
      <c r="AS26" s="19">
        <f t="shared" si="16"/>
        <v>161.23221253467935</v>
      </c>
      <c r="AT26" s="19">
        <f>1/(1+0.12)^22</f>
        <v>8.2642510427844609E-2</v>
      </c>
      <c r="AU26" s="23">
        <f t="shared" si="3"/>
        <v>13.324634805701697</v>
      </c>
      <c r="AW26" s="8"/>
      <c r="AX26" s="9">
        <v>22</v>
      </c>
      <c r="AY26" s="19">
        <v>214.97627889492617</v>
      </c>
      <c r="AZ26" s="19">
        <v>1.3453938878907409E-5</v>
      </c>
      <c r="BA26" s="19">
        <f t="shared" ref="BA26:BA34" si="27">AY26-AZ26</f>
        <v>214.97626544098728</v>
      </c>
      <c r="BB26" s="19">
        <f t="shared" si="23"/>
        <v>53.744066360246819</v>
      </c>
      <c r="BC26" s="19">
        <f t="shared" si="19"/>
        <v>161.23221253467935</v>
      </c>
      <c r="BD26" s="19">
        <f>1/(1+0.12)^22</f>
        <v>8.2642510427844609E-2</v>
      </c>
      <c r="BE26" s="23">
        <f t="shared" si="4"/>
        <v>13.324634805701697</v>
      </c>
    </row>
    <row r="27" spans="1:57" x14ac:dyDescent="0.25">
      <c r="A27" s="36" t="s">
        <v>15</v>
      </c>
      <c r="B27" s="45">
        <f>731+B26-B12-B25</f>
        <v>214.97627889492617</v>
      </c>
      <c r="C27" s="44">
        <f>731+C26-C12-C25</f>
        <v>204.69643129602116</v>
      </c>
      <c r="D27" s="43">
        <f>731+D26-D12-D25</f>
        <v>175.82927684943695</v>
      </c>
      <c r="E27" s="42">
        <f>731+E26-E12-E25</f>
        <v>122.06750809930645</v>
      </c>
      <c r="F27" s="37" t="s">
        <v>13</v>
      </c>
      <c r="H27" s="4"/>
      <c r="I27" s="8"/>
      <c r="J27" s="9">
        <v>23</v>
      </c>
      <c r="K27" s="19">
        <v>214.97627889492617</v>
      </c>
      <c r="L27" s="19">
        <v>1.3453938878907409E-5</v>
      </c>
      <c r="M27" s="19">
        <f t="shared" si="5"/>
        <v>214.97626544098728</v>
      </c>
      <c r="N27" s="19">
        <f t="shared" si="6"/>
        <v>53.744066360246819</v>
      </c>
      <c r="O27" s="19">
        <f t="shared" si="7"/>
        <v>161.23221253467935</v>
      </c>
      <c r="P27" s="19">
        <f>1/(1+0.12)^23</f>
        <v>7.3787955739146982E-2</v>
      </c>
      <c r="Q27" s="23">
        <f t="shared" si="0"/>
        <v>11.896995362233659</v>
      </c>
      <c r="R27" s="4"/>
      <c r="S27" s="8"/>
      <c r="T27" s="9">
        <v>23</v>
      </c>
      <c r="U27" s="19">
        <v>214.97627889492617</v>
      </c>
      <c r="V27" s="19">
        <v>1.3453938878907409E-5</v>
      </c>
      <c r="W27" s="19">
        <f t="shared" si="24"/>
        <v>214.97626544098728</v>
      </c>
      <c r="X27" s="19">
        <f t="shared" si="20"/>
        <v>53.744066360246819</v>
      </c>
      <c r="Y27" s="19">
        <f t="shared" si="10"/>
        <v>161.23221253467935</v>
      </c>
      <c r="Z27" s="19">
        <f>1/(1+0.12)^23</f>
        <v>7.3787955739146982E-2</v>
      </c>
      <c r="AA27" s="23">
        <f t="shared" si="1"/>
        <v>11.896995362233659</v>
      </c>
      <c r="AB27" s="4"/>
      <c r="AC27" s="8"/>
      <c r="AD27" s="9">
        <v>23</v>
      </c>
      <c r="AE27" s="19">
        <v>214.97627889492617</v>
      </c>
      <c r="AF27" s="19">
        <v>1.3453938878907409E-5</v>
      </c>
      <c r="AG27" s="19">
        <f t="shared" si="25"/>
        <v>214.97626544098728</v>
      </c>
      <c r="AH27" s="19">
        <f t="shared" si="21"/>
        <v>53.744066360246819</v>
      </c>
      <c r="AI27" s="19">
        <f t="shared" si="13"/>
        <v>161.23221253467935</v>
      </c>
      <c r="AJ27" s="19">
        <f>1/(1+0.12)^23</f>
        <v>7.3787955739146982E-2</v>
      </c>
      <c r="AK27" s="23">
        <f t="shared" si="2"/>
        <v>11.896995362233659</v>
      </c>
      <c r="AM27" s="8"/>
      <c r="AN27" s="9">
        <v>23</v>
      </c>
      <c r="AO27" s="19">
        <v>214.97627889492617</v>
      </c>
      <c r="AP27" s="19">
        <v>1.3453938878907409E-5</v>
      </c>
      <c r="AQ27" s="19">
        <f t="shared" si="26"/>
        <v>214.97626544098728</v>
      </c>
      <c r="AR27" s="19">
        <f t="shared" si="22"/>
        <v>53.744066360246819</v>
      </c>
      <c r="AS27" s="19">
        <f t="shared" si="16"/>
        <v>161.23221253467935</v>
      </c>
      <c r="AT27" s="19">
        <f>1/(1+0.12)^23</f>
        <v>7.3787955739146982E-2</v>
      </c>
      <c r="AU27" s="23">
        <f t="shared" si="3"/>
        <v>11.896995362233659</v>
      </c>
      <c r="AW27" s="8"/>
      <c r="AX27" s="9">
        <v>23</v>
      </c>
      <c r="AY27" s="19">
        <v>214.97627889492617</v>
      </c>
      <c r="AZ27" s="19">
        <v>1.3453938878907409E-5</v>
      </c>
      <c r="BA27" s="19">
        <f t="shared" si="27"/>
        <v>214.97626544098728</v>
      </c>
      <c r="BB27" s="19">
        <f t="shared" si="23"/>
        <v>53.744066360246819</v>
      </c>
      <c r="BC27" s="19">
        <f t="shared" si="19"/>
        <v>161.23221253467935</v>
      </c>
      <c r="BD27" s="19">
        <f>1/(1+0.12)^23</f>
        <v>7.3787955739146982E-2</v>
      </c>
      <c r="BE27" s="23">
        <f t="shared" si="4"/>
        <v>11.896995362233659</v>
      </c>
    </row>
    <row r="28" spans="1:57" x14ac:dyDescent="0.25">
      <c r="H28" s="4"/>
      <c r="I28" s="8"/>
      <c r="J28" s="9">
        <v>24</v>
      </c>
      <c r="K28" s="19">
        <v>214.97627889492617</v>
      </c>
      <c r="L28" s="19">
        <v>1.3453938878907409E-5</v>
      </c>
      <c r="M28" s="19">
        <f t="shared" si="5"/>
        <v>214.97626544098728</v>
      </c>
      <c r="N28" s="19">
        <f t="shared" si="6"/>
        <v>53.744066360246819</v>
      </c>
      <c r="O28" s="19">
        <f t="shared" si="7"/>
        <v>161.23221253467935</v>
      </c>
      <c r="P28" s="19">
        <f>1/(1+0.12)^24</f>
        <v>6.5882103338524081E-2</v>
      </c>
      <c r="Q28" s="23">
        <f t="shared" si="0"/>
        <v>10.622317287708622</v>
      </c>
      <c r="R28" s="4"/>
      <c r="S28" s="8"/>
      <c r="T28" s="9">
        <v>24</v>
      </c>
      <c r="U28" s="19">
        <v>214.97627889492617</v>
      </c>
      <c r="V28" s="19">
        <v>1.3453938878907409E-5</v>
      </c>
      <c r="W28" s="19">
        <f t="shared" si="24"/>
        <v>214.97626544098728</v>
      </c>
      <c r="X28" s="19">
        <f t="shared" si="20"/>
        <v>53.744066360246819</v>
      </c>
      <c r="Y28" s="19">
        <f t="shared" si="10"/>
        <v>161.23221253467935</v>
      </c>
      <c r="Z28" s="19">
        <f>1/(1+0.12)^24</f>
        <v>6.5882103338524081E-2</v>
      </c>
      <c r="AA28" s="23">
        <f t="shared" si="1"/>
        <v>10.622317287708622</v>
      </c>
      <c r="AB28" s="4"/>
      <c r="AC28" s="8"/>
      <c r="AD28" s="9">
        <v>24</v>
      </c>
      <c r="AE28" s="19">
        <v>214.97627889492617</v>
      </c>
      <c r="AF28" s="19">
        <v>1.3453938878907409E-5</v>
      </c>
      <c r="AG28" s="19">
        <f t="shared" si="25"/>
        <v>214.97626544098728</v>
      </c>
      <c r="AH28" s="19">
        <f t="shared" si="21"/>
        <v>53.744066360246819</v>
      </c>
      <c r="AI28" s="19">
        <f t="shared" si="13"/>
        <v>161.23221253467935</v>
      </c>
      <c r="AJ28" s="19">
        <f>1/(1+0.12)^24</f>
        <v>6.5882103338524081E-2</v>
      </c>
      <c r="AK28" s="23">
        <f t="shared" si="2"/>
        <v>10.622317287708622</v>
      </c>
      <c r="AM28" s="8"/>
      <c r="AN28" s="9">
        <v>24</v>
      </c>
      <c r="AO28" s="19">
        <v>214.97627889492617</v>
      </c>
      <c r="AP28" s="19">
        <v>1.3453938878907409E-5</v>
      </c>
      <c r="AQ28" s="19">
        <f t="shared" si="26"/>
        <v>214.97626544098728</v>
      </c>
      <c r="AR28" s="19">
        <f t="shared" si="22"/>
        <v>53.744066360246819</v>
      </c>
      <c r="AS28" s="19">
        <f t="shared" si="16"/>
        <v>161.23221253467935</v>
      </c>
      <c r="AT28" s="19">
        <f>1/(1+0.12)^24</f>
        <v>6.5882103338524081E-2</v>
      </c>
      <c r="AU28" s="23">
        <f t="shared" si="3"/>
        <v>10.622317287708622</v>
      </c>
      <c r="AW28" s="8"/>
      <c r="AX28" s="9">
        <v>24</v>
      </c>
      <c r="AY28" s="19">
        <v>214.97627889492617</v>
      </c>
      <c r="AZ28" s="19">
        <v>1.3453938878907409E-5</v>
      </c>
      <c r="BA28" s="19">
        <f t="shared" si="27"/>
        <v>214.97626544098728</v>
      </c>
      <c r="BB28" s="19">
        <f t="shared" si="23"/>
        <v>53.744066360246819</v>
      </c>
      <c r="BC28" s="19">
        <f t="shared" si="19"/>
        <v>161.23221253467935</v>
      </c>
      <c r="BD28" s="19">
        <f>1/(1+0.12)^24</f>
        <v>6.5882103338524081E-2</v>
      </c>
      <c r="BE28" s="23">
        <f t="shared" si="4"/>
        <v>10.622317287708622</v>
      </c>
    </row>
    <row r="29" spans="1:57" x14ac:dyDescent="0.25">
      <c r="H29" s="4"/>
      <c r="I29" s="8"/>
      <c r="J29" s="9">
        <v>25</v>
      </c>
      <c r="K29" s="19">
        <v>214.97627889492617</v>
      </c>
      <c r="L29" s="19">
        <v>1.3453938878907409E-5</v>
      </c>
      <c r="M29" s="19">
        <f t="shared" si="5"/>
        <v>214.97626544098728</v>
      </c>
      <c r="N29" s="19">
        <f t="shared" si="6"/>
        <v>53.744066360246819</v>
      </c>
      <c r="O29" s="19">
        <f t="shared" si="7"/>
        <v>161.23221253467935</v>
      </c>
      <c r="P29" s="19">
        <f>1/(1+0.12)^25</f>
        <v>5.8823306552253637E-2</v>
      </c>
      <c r="Q29" s="23">
        <f t="shared" si="0"/>
        <v>9.4842118640255553</v>
      </c>
      <c r="R29" s="4"/>
      <c r="S29" s="8"/>
      <c r="T29" s="9">
        <v>25</v>
      </c>
      <c r="U29" s="19">
        <v>214.97627889492617</v>
      </c>
      <c r="V29" s="19">
        <v>1.3453938878907409E-5</v>
      </c>
      <c r="W29" s="19">
        <f t="shared" si="24"/>
        <v>214.97626544098728</v>
      </c>
      <c r="X29" s="19">
        <f t="shared" si="20"/>
        <v>53.744066360246819</v>
      </c>
      <c r="Y29" s="19">
        <f t="shared" si="10"/>
        <v>161.23221253467935</v>
      </c>
      <c r="Z29" s="19">
        <f>1/(1+0.12)^25</f>
        <v>5.8823306552253637E-2</v>
      </c>
      <c r="AA29" s="23">
        <f t="shared" si="1"/>
        <v>9.4842118640255553</v>
      </c>
      <c r="AB29" s="4"/>
      <c r="AC29" s="8"/>
      <c r="AD29" s="9">
        <v>25</v>
      </c>
      <c r="AE29" s="19">
        <v>214.97627889492617</v>
      </c>
      <c r="AF29" s="19">
        <v>1.3453938878907409E-5</v>
      </c>
      <c r="AG29" s="19">
        <f t="shared" si="25"/>
        <v>214.97626544098728</v>
      </c>
      <c r="AH29" s="19">
        <f t="shared" si="21"/>
        <v>53.744066360246819</v>
      </c>
      <c r="AI29" s="19">
        <f t="shared" si="13"/>
        <v>161.23221253467935</v>
      </c>
      <c r="AJ29" s="19">
        <f>1/(1+0.12)^25</f>
        <v>5.8823306552253637E-2</v>
      </c>
      <c r="AK29" s="23">
        <f t="shared" si="2"/>
        <v>9.4842118640255553</v>
      </c>
      <c r="AM29" s="8"/>
      <c r="AN29" s="9">
        <v>25</v>
      </c>
      <c r="AO29" s="19">
        <v>214.97627889492617</v>
      </c>
      <c r="AP29" s="19">
        <v>1.3453938878907409E-5</v>
      </c>
      <c r="AQ29" s="19">
        <f t="shared" si="26"/>
        <v>214.97626544098728</v>
      </c>
      <c r="AR29" s="19">
        <f t="shared" si="22"/>
        <v>53.744066360246819</v>
      </c>
      <c r="AS29" s="19">
        <f t="shared" si="16"/>
        <v>161.23221253467935</v>
      </c>
      <c r="AT29" s="19">
        <f>1/(1+0.12)^25</f>
        <v>5.8823306552253637E-2</v>
      </c>
      <c r="AU29" s="23">
        <f t="shared" si="3"/>
        <v>9.4842118640255553</v>
      </c>
      <c r="AW29" s="8"/>
      <c r="AX29" s="9">
        <v>25</v>
      </c>
      <c r="AY29" s="19">
        <v>214.97627889492617</v>
      </c>
      <c r="AZ29" s="19">
        <v>1.3453938878907409E-5</v>
      </c>
      <c r="BA29" s="19">
        <f t="shared" si="27"/>
        <v>214.97626544098728</v>
      </c>
      <c r="BB29" s="19">
        <f t="shared" si="23"/>
        <v>53.744066360246819</v>
      </c>
      <c r="BC29" s="19">
        <f t="shared" si="19"/>
        <v>161.23221253467935</v>
      </c>
      <c r="BD29" s="19">
        <f>1/(1+0.12)^25</f>
        <v>5.8823306552253637E-2</v>
      </c>
      <c r="BE29" s="23">
        <f t="shared" si="4"/>
        <v>9.4842118640255553</v>
      </c>
    </row>
    <row r="30" spans="1:57" x14ac:dyDescent="0.25">
      <c r="H30" s="4"/>
      <c r="I30" s="8"/>
      <c r="J30" s="9">
        <v>26</v>
      </c>
      <c r="K30" s="19">
        <v>214.97627889492617</v>
      </c>
      <c r="L30" s="19">
        <v>1.3453938878907409E-5</v>
      </c>
      <c r="M30" s="19">
        <f t="shared" si="5"/>
        <v>214.97626544098728</v>
      </c>
      <c r="N30" s="19">
        <f t="shared" si="6"/>
        <v>53.744066360246819</v>
      </c>
      <c r="O30" s="19">
        <f t="shared" si="7"/>
        <v>161.23221253467935</v>
      </c>
      <c r="P30" s="19">
        <f>1/(1+0.12)^26</f>
        <v>5.2520809421655032E-2</v>
      </c>
      <c r="Q30" s="23">
        <f t="shared" si="0"/>
        <v>8.4680463071656735</v>
      </c>
      <c r="R30" s="4"/>
      <c r="S30" s="8"/>
      <c r="T30" s="9">
        <v>26</v>
      </c>
      <c r="U30" s="19">
        <v>214.97627889492617</v>
      </c>
      <c r="V30" s="19">
        <v>1.3453938878907409E-5</v>
      </c>
      <c r="W30" s="19">
        <f t="shared" si="24"/>
        <v>214.97626544098728</v>
      </c>
      <c r="X30" s="19">
        <f t="shared" si="20"/>
        <v>53.744066360246819</v>
      </c>
      <c r="Y30" s="19">
        <f t="shared" si="10"/>
        <v>161.23221253467935</v>
      </c>
      <c r="Z30" s="19">
        <f>1/(1+0.12)^26</f>
        <v>5.2520809421655032E-2</v>
      </c>
      <c r="AA30" s="23">
        <f t="shared" si="1"/>
        <v>8.4680463071656735</v>
      </c>
      <c r="AB30" s="4"/>
      <c r="AC30" s="8"/>
      <c r="AD30" s="9">
        <v>26</v>
      </c>
      <c r="AE30" s="19">
        <v>214.97627889492617</v>
      </c>
      <c r="AF30" s="19">
        <v>1.3453938878907409E-5</v>
      </c>
      <c r="AG30" s="19">
        <f t="shared" si="25"/>
        <v>214.97626544098728</v>
      </c>
      <c r="AH30" s="19">
        <f t="shared" si="21"/>
        <v>53.744066360246819</v>
      </c>
      <c r="AI30" s="19">
        <f t="shared" si="13"/>
        <v>161.23221253467935</v>
      </c>
      <c r="AJ30" s="19">
        <f>1/(1+0.12)^26</f>
        <v>5.2520809421655032E-2</v>
      </c>
      <c r="AK30" s="23">
        <f t="shared" si="2"/>
        <v>8.4680463071656735</v>
      </c>
      <c r="AM30" s="8"/>
      <c r="AN30" s="9">
        <v>26</v>
      </c>
      <c r="AO30" s="19">
        <v>214.97627889492617</v>
      </c>
      <c r="AP30" s="19">
        <v>1.3453938878907409E-5</v>
      </c>
      <c r="AQ30" s="19">
        <f t="shared" si="26"/>
        <v>214.97626544098728</v>
      </c>
      <c r="AR30" s="19">
        <f t="shared" si="22"/>
        <v>53.744066360246819</v>
      </c>
      <c r="AS30" s="19">
        <f t="shared" si="16"/>
        <v>161.23221253467935</v>
      </c>
      <c r="AT30" s="19">
        <f>1/(1+0.12)^26</f>
        <v>5.2520809421655032E-2</v>
      </c>
      <c r="AU30" s="23">
        <f t="shared" si="3"/>
        <v>8.4680463071656735</v>
      </c>
      <c r="AW30" s="8"/>
      <c r="AX30" s="9">
        <v>26</v>
      </c>
      <c r="AY30" s="19">
        <v>214.97627889492617</v>
      </c>
      <c r="AZ30" s="19">
        <v>1.3453938878907409E-5</v>
      </c>
      <c r="BA30" s="19">
        <f t="shared" si="27"/>
        <v>214.97626544098728</v>
      </c>
      <c r="BB30" s="19">
        <f t="shared" si="23"/>
        <v>53.744066360246819</v>
      </c>
      <c r="BC30" s="19">
        <f t="shared" si="19"/>
        <v>161.23221253467935</v>
      </c>
      <c r="BD30" s="19">
        <f>1/(1+0.12)^26</f>
        <v>5.2520809421655032E-2</v>
      </c>
      <c r="BE30" s="23">
        <f t="shared" si="4"/>
        <v>8.4680463071656735</v>
      </c>
    </row>
    <row r="31" spans="1:57" x14ac:dyDescent="0.25">
      <c r="H31" s="4"/>
      <c r="I31" s="8"/>
      <c r="J31" s="9">
        <v>27</v>
      </c>
      <c r="K31" s="19">
        <v>214.97627889492617</v>
      </c>
      <c r="L31" s="19">
        <v>1.3453938878907409E-5</v>
      </c>
      <c r="M31" s="19">
        <f t="shared" si="5"/>
        <v>214.97626544098728</v>
      </c>
      <c r="N31" s="19">
        <f t="shared" si="6"/>
        <v>53.744066360246819</v>
      </c>
      <c r="O31" s="19">
        <f t="shared" si="7"/>
        <v>161.23221253467935</v>
      </c>
      <c r="P31" s="19">
        <f>1/(1+0.12)^27</f>
        <v>4.6893579840763415E-2</v>
      </c>
      <c r="Q31" s="23">
        <f t="shared" si="0"/>
        <v>7.5607556313979218</v>
      </c>
      <c r="R31" s="4"/>
      <c r="S31" s="8"/>
      <c r="T31" s="9">
        <v>27</v>
      </c>
      <c r="U31" s="19">
        <v>214.97627889492617</v>
      </c>
      <c r="V31" s="19">
        <v>1.3453938878907409E-5</v>
      </c>
      <c r="W31" s="19">
        <f t="shared" si="24"/>
        <v>214.97626544098728</v>
      </c>
      <c r="X31" s="19">
        <f t="shared" si="20"/>
        <v>53.744066360246819</v>
      </c>
      <c r="Y31" s="19">
        <f t="shared" si="10"/>
        <v>161.23221253467935</v>
      </c>
      <c r="Z31" s="19">
        <f>1/(1+0.12)^27</f>
        <v>4.6893579840763415E-2</v>
      </c>
      <c r="AA31" s="23">
        <f t="shared" si="1"/>
        <v>7.5607556313979218</v>
      </c>
      <c r="AB31" s="4"/>
      <c r="AC31" s="8"/>
      <c r="AD31" s="9">
        <v>27</v>
      </c>
      <c r="AE31" s="19">
        <v>214.97627889492617</v>
      </c>
      <c r="AF31" s="19">
        <v>1.3453938878907409E-5</v>
      </c>
      <c r="AG31" s="19">
        <f t="shared" si="25"/>
        <v>214.97626544098728</v>
      </c>
      <c r="AH31" s="19">
        <f t="shared" si="21"/>
        <v>53.744066360246819</v>
      </c>
      <c r="AI31" s="19">
        <f t="shared" si="13"/>
        <v>161.23221253467935</v>
      </c>
      <c r="AJ31" s="19">
        <f>1/(1+0.12)^27</f>
        <v>4.6893579840763415E-2</v>
      </c>
      <c r="AK31" s="23">
        <f t="shared" si="2"/>
        <v>7.5607556313979218</v>
      </c>
      <c r="AM31" s="8"/>
      <c r="AN31" s="9">
        <v>27</v>
      </c>
      <c r="AO31" s="19">
        <v>214.97627889492617</v>
      </c>
      <c r="AP31" s="19">
        <v>1.3453938878907409E-5</v>
      </c>
      <c r="AQ31" s="19">
        <f t="shared" si="26"/>
        <v>214.97626544098728</v>
      </c>
      <c r="AR31" s="19">
        <f t="shared" si="22"/>
        <v>53.744066360246819</v>
      </c>
      <c r="AS31" s="19">
        <f t="shared" si="16"/>
        <v>161.23221253467935</v>
      </c>
      <c r="AT31" s="19">
        <f>1/(1+0.12)^27</f>
        <v>4.6893579840763415E-2</v>
      </c>
      <c r="AU31" s="23">
        <f t="shared" si="3"/>
        <v>7.5607556313979218</v>
      </c>
      <c r="AW31" s="8"/>
      <c r="AX31" s="9">
        <v>27</v>
      </c>
      <c r="AY31" s="19">
        <v>214.97627889492617</v>
      </c>
      <c r="AZ31" s="19">
        <v>1.3453938878907409E-5</v>
      </c>
      <c r="BA31" s="19">
        <f t="shared" si="27"/>
        <v>214.97626544098728</v>
      </c>
      <c r="BB31" s="19">
        <f t="shared" si="23"/>
        <v>53.744066360246819</v>
      </c>
      <c r="BC31" s="19">
        <f t="shared" si="19"/>
        <v>161.23221253467935</v>
      </c>
      <c r="BD31" s="19">
        <f>1/(1+0.12)^27</f>
        <v>4.6893579840763415E-2</v>
      </c>
      <c r="BE31" s="23">
        <f t="shared" si="4"/>
        <v>7.5607556313979218</v>
      </c>
    </row>
    <row r="32" spans="1:57" x14ac:dyDescent="0.25">
      <c r="H32" s="4"/>
      <c r="I32" s="8"/>
      <c r="J32" s="9">
        <v>28</v>
      </c>
      <c r="K32" s="19">
        <v>214.97627889492617</v>
      </c>
      <c r="L32" s="19">
        <v>1.3453938878907409E-5</v>
      </c>
      <c r="M32" s="19">
        <f t="shared" si="5"/>
        <v>214.97626544098728</v>
      </c>
      <c r="N32" s="19">
        <f t="shared" si="6"/>
        <v>53.744066360246819</v>
      </c>
      <c r="O32" s="19">
        <f t="shared" si="7"/>
        <v>161.23221253467935</v>
      </c>
      <c r="P32" s="19">
        <f>1/(1+0.12)^28</f>
        <v>4.1869267714967337E-2</v>
      </c>
      <c r="Q32" s="23">
        <f t="shared" si="0"/>
        <v>6.7506746708910024</v>
      </c>
      <c r="R32" s="4"/>
      <c r="S32" s="8"/>
      <c r="T32" s="9">
        <v>28</v>
      </c>
      <c r="U32" s="19">
        <v>214.97627889492617</v>
      </c>
      <c r="V32" s="19">
        <v>1.3453938878907409E-5</v>
      </c>
      <c r="W32" s="19">
        <f t="shared" si="24"/>
        <v>214.97626544098728</v>
      </c>
      <c r="X32" s="19">
        <f t="shared" si="20"/>
        <v>53.744066360246819</v>
      </c>
      <c r="Y32" s="19">
        <f t="shared" si="10"/>
        <v>161.23221253467935</v>
      </c>
      <c r="Z32" s="19">
        <f>1/(1+0.12)^28</f>
        <v>4.1869267714967337E-2</v>
      </c>
      <c r="AA32" s="23">
        <f t="shared" si="1"/>
        <v>6.7506746708910024</v>
      </c>
      <c r="AB32" s="4"/>
      <c r="AC32" s="8"/>
      <c r="AD32" s="9">
        <v>28</v>
      </c>
      <c r="AE32" s="19">
        <v>214.97627889492617</v>
      </c>
      <c r="AF32" s="19">
        <v>1.3453938878907409E-5</v>
      </c>
      <c r="AG32" s="19">
        <f t="shared" si="25"/>
        <v>214.97626544098728</v>
      </c>
      <c r="AH32" s="19">
        <f t="shared" si="21"/>
        <v>53.744066360246819</v>
      </c>
      <c r="AI32" s="19">
        <f t="shared" si="13"/>
        <v>161.23221253467935</v>
      </c>
      <c r="AJ32" s="19">
        <f>1/(1+0.12)^28</f>
        <v>4.1869267714967337E-2</v>
      </c>
      <c r="AK32" s="23">
        <f t="shared" si="2"/>
        <v>6.7506746708910024</v>
      </c>
      <c r="AM32" s="8"/>
      <c r="AN32" s="9">
        <v>28</v>
      </c>
      <c r="AO32" s="19">
        <v>214.97627889492617</v>
      </c>
      <c r="AP32" s="19">
        <v>1.3453938878907409E-5</v>
      </c>
      <c r="AQ32" s="19">
        <f t="shared" si="26"/>
        <v>214.97626544098728</v>
      </c>
      <c r="AR32" s="19">
        <f t="shared" si="22"/>
        <v>53.744066360246819</v>
      </c>
      <c r="AS32" s="19">
        <f t="shared" si="16"/>
        <v>161.23221253467935</v>
      </c>
      <c r="AT32" s="19">
        <f>1/(1+0.12)^28</f>
        <v>4.1869267714967337E-2</v>
      </c>
      <c r="AU32" s="23">
        <f t="shared" si="3"/>
        <v>6.7506746708910024</v>
      </c>
      <c r="AW32" s="8"/>
      <c r="AX32" s="9">
        <v>28</v>
      </c>
      <c r="AY32" s="19">
        <v>214.97627889492617</v>
      </c>
      <c r="AZ32" s="19">
        <v>1.3453938878907409E-5</v>
      </c>
      <c r="BA32" s="19">
        <f t="shared" si="27"/>
        <v>214.97626544098728</v>
      </c>
      <c r="BB32" s="19">
        <f t="shared" si="23"/>
        <v>53.744066360246819</v>
      </c>
      <c r="BC32" s="19">
        <f t="shared" si="19"/>
        <v>161.23221253467935</v>
      </c>
      <c r="BD32" s="19">
        <f>1/(1+0.12)^28</f>
        <v>4.1869267714967337E-2</v>
      </c>
      <c r="BE32" s="23">
        <f t="shared" si="4"/>
        <v>6.7506746708910024</v>
      </c>
    </row>
    <row r="33" spans="8:57" x14ac:dyDescent="0.25">
      <c r="H33" s="4"/>
      <c r="I33" s="8"/>
      <c r="J33" s="9">
        <v>29</v>
      </c>
      <c r="K33" s="19">
        <v>214.97627889492617</v>
      </c>
      <c r="L33" s="19">
        <v>1.3453938878907409E-5</v>
      </c>
      <c r="M33" s="19">
        <f t="shared" si="5"/>
        <v>214.97626544098728</v>
      </c>
      <c r="N33" s="19">
        <f t="shared" si="6"/>
        <v>53.744066360246819</v>
      </c>
      <c r="O33" s="19">
        <f t="shared" si="7"/>
        <v>161.23221253467935</v>
      </c>
      <c r="P33" s="19">
        <f>1/(1+0.12)^29</f>
        <v>3.7383274745506546E-2</v>
      </c>
      <c r="Q33" s="23">
        <f t="shared" si="0"/>
        <v>6.0273880990098228</v>
      </c>
      <c r="R33" s="4"/>
      <c r="S33" s="8"/>
      <c r="T33" s="9">
        <v>29</v>
      </c>
      <c r="U33" s="19">
        <v>214.97627889492617</v>
      </c>
      <c r="V33" s="19">
        <v>1.3453938878907409E-5</v>
      </c>
      <c r="W33" s="19">
        <f t="shared" si="24"/>
        <v>214.97626544098728</v>
      </c>
      <c r="X33" s="19">
        <f t="shared" si="20"/>
        <v>53.744066360246819</v>
      </c>
      <c r="Y33" s="19">
        <f t="shared" si="10"/>
        <v>161.23221253467935</v>
      </c>
      <c r="Z33" s="19">
        <f>1/(1+0.12)^29</f>
        <v>3.7383274745506546E-2</v>
      </c>
      <c r="AA33" s="23">
        <f t="shared" si="1"/>
        <v>6.0273880990098228</v>
      </c>
      <c r="AB33" s="4"/>
      <c r="AC33" s="8"/>
      <c r="AD33" s="9">
        <v>29</v>
      </c>
      <c r="AE33" s="19">
        <v>214.97627889492617</v>
      </c>
      <c r="AF33" s="19">
        <v>1.3453938878907409E-5</v>
      </c>
      <c r="AG33" s="19">
        <f t="shared" si="25"/>
        <v>214.97626544098728</v>
      </c>
      <c r="AH33" s="19">
        <f t="shared" si="21"/>
        <v>53.744066360246819</v>
      </c>
      <c r="AI33" s="19">
        <f t="shared" si="13"/>
        <v>161.23221253467935</v>
      </c>
      <c r="AJ33" s="19">
        <f>1/(1+0.12)^29</f>
        <v>3.7383274745506546E-2</v>
      </c>
      <c r="AK33" s="23">
        <f t="shared" si="2"/>
        <v>6.0273880990098228</v>
      </c>
      <c r="AM33" s="8"/>
      <c r="AN33" s="9">
        <v>29</v>
      </c>
      <c r="AO33" s="19">
        <v>214.97627889492617</v>
      </c>
      <c r="AP33" s="19">
        <v>1.3453938878907409E-5</v>
      </c>
      <c r="AQ33" s="19">
        <f t="shared" si="26"/>
        <v>214.97626544098728</v>
      </c>
      <c r="AR33" s="19">
        <f t="shared" si="22"/>
        <v>53.744066360246819</v>
      </c>
      <c r="AS33" s="19">
        <f t="shared" si="16"/>
        <v>161.23221253467935</v>
      </c>
      <c r="AT33" s="19">
        <f>1/(1+0.12)^29</f>
        <v>3.7383274745506546E-2</v>
      </c>
      <c r="AU33" s="23">
        <f t="shared" si="3"/>
        <v>6.0273880990098228</v>
      </c>
      <c r="AW33" s="8"/>
      <c r="AX33" s="9">
        <v>29</v>
      </c>
      <c r="AY33" s="19">
        <v>214.97627889492617</v>
      </c>
      <c r="AZ33" s="19">
        <v>1.3453938878907409E-5</v>
      </c>
      <c r="BA33" s="19">
        <f t="shared" si="27"/>
        <v>214.97626544098728</v>
      </c>
      <c r="BB33" s="19">
        <f t="shared" si="23"/>
        <v>53.744066360246819</v>
      </c>
      <c r="BC33" s="19">
        <f t="shared" si="19"/>
        <v>161.23221253467935</v>
      </c>
      <c r="BD33" s="19">
        <f>1/(1+0.12)^29</f>
        <v>3.7383274745506546E-2</v>
      </c>
      <c r="BE33" s="23">
        <f t="shared" si="4"/>
        <v>6.0273880990098228</v>
      </c>
    </row>
    <row r="34" spans="8:57" x14ac:dyDescent="0.25">
      <c r="H34" s="4"/>
      <c r="I34" s="8"/>
      <c r="J34" s="9">
        <v>30</v>
      </c>
      <c r="K34" s="19">
        <v>214.97627889492617</v>
      </c>
      <c r="L34" s="19">
        <v>1.3453938878907409E-5</v>
      </c>
      <c r="M34" s="19">
        <f t="shared" si="5"/>
        <v>214.97626544098728</v>
      </c>
      <c r="N34" s="19">
        <f t="shared" si="6"/>
        <v>53.744066360246819</v>
      </c>
      <c r="O34" s="19">
        <f t="shared" si="7"/>
        <v>161.23221253467935</v>
      </c>
      <c r="P34" s="19">
        <f>1/(1+0.12)^30</f>
        <v>3.3377923879916553E-2</v>
      </c>
      <c r="Q34" s="23">
        <f t="shared" si="0"/>
        <v>5.3815965169730546</v>
      </c>
      <c r="R34" s="4"/>
      <c r="S34" s="8"/>
      <c r="T34" s="9">
        <v>30</v>
      </c>
      <c r="U34" s="19">
        <v>214.97627889492617</v>
      </c>
      <c r="V34" s="19">
        <v>1.3453938878907409E-5</v>
      </c>
      <c r="W34" s="19">
        <f t="shared" si="24"/>
        <v>214.97626544098728</v>
      </c>
      <c r="X34" s="19">
        <f t="shared" si="20"/>
        <v>53.744066360246819</v>
      </c>
      <c r="Y34" s="19">
        <f t="shared" si="10"/>
        <v>161.23221253467935</v>
      </c>
      <c r="Z34" s="19">
        <f>1/(1+0.12)^30</f>
        <v>3.3377923879916553E-2</v>
      </c>
      <c r="AA34" s="23">
        <f t="shared" si="1"/>
        <v>5.3815965169730546</v>
      </c>
      <c r="AB34" s="4"/>
      <c r="AC34" s="8"/>
      <c r="AD34" s="9">
        <v>30</v>
      </c>
      <c r="AE34" s="19">
        <v>214.97627889492617</v>
      </c>
      <c r="AF34" s="19">
        <v>1.3453938878907409E-5</v>
      </c>
      <c r="AG34" s="19">
        <f t="shared" si="25"/>
        <v>214.97626544098728</v>
      </c>
      <c r="AH34" s="19">
        <f t="shared" si="21"/>
        <v>53.744066360246819</v>
      </c>
      <c r="AI34" s="19">
        <f t="shared" si="13"/>
        <v>161.23221253467935</v>
      </c>
      <c r="AJ34" s="19">
        <f>1/(1+0.12)^30</f>
        <v>3.3377923879916553E-2</v>
      </c>
      <c r="AK34" s="23">
        <f t="shared" si="2"/>
        <v>5.3815965169730546</v>
      </c>
      <c r="AM34" s="8"/>
      <c r="AN34" s="9">
        <v>30</v>
      </c>
      <c r="AO34" s="19">
        <v>214.97627889492617</v>
      </c>
      <c r="AP34" s="19">
        <v>1.3453938878907409E-5</v>
      </c>
      <c r="AQ34" s="19">
        <f t="shared" si="26"/>
        <v>214.97626544098728</v>
      </c>
      <c r="AR34" s="19">
        <f t="shared" si="22"/>
        <v>53.744066360246819</v>
      </c>
      <c r="AS34" s="19">
        <f t="shared" si="16"/>
        <v>161.23221253467935</v>
      </c>
      <c r="AT34" s="19">
        <f>1/(1+0.12)^30</f>
        <v>3.3377923879916553E-2</v>
      </c>
      <c r="AU34" s="23">
        <f t="shared" si="3"/>
        <v>5.3815965169730546</v>
      </c>
      <c r="AW34" s="8"/>
      <c r="AX34" s="9">
        <v>30</v>
      </c>
      <c r="AY34" s="19">
        <v>214.97627889492617</v>
      </c>
      <c r="AZ34" s="19">
        <v>1.3453938878907409E-5</v>
      </c>
      <c r="BA34" s="19">
        <f t="shared" si="27"/>
        <v>214.97626544098728</v>
      </c>
      <c r="BB34" s="19">
        <f t="shared" si="23"/>
        <v>53.744066360246819</v>
      </c>
      <c r="BC34" s="19">
        <f t="shared" si="19"/>
        <v>161.23221253467935</v>
      </c>
      <c r="BD34" s="19">
        <f>1/(1+0.12)^30</f>
        <v>3.3377923879916553E-2</v>
      </c>
      <c r="BE34" s="23">
        <f t="shared" si="4"/>
        <v>5.3815965169730546</v>
      </c>
    </row>
    <row r="35" spans="8:57" x14ac:dyDescent="0.25">
      <c r="H35" s="4"/>
      <c r="I35" s="8"/>
      <c r="J35" s="12"/>
      <c r="K35" s="4"/>
      <c r="L35" s="4"/>
      <c r="M35" s="4"/>
      <c r="N35" s="4"/>
      <c r="O35" s="4"/>
      <c r="P35" s="13" t="s">
        <v>22</v>
      </c>
      <c r="Q35" s="14">
        <f>SUM(Q4:Q34)</f>
        <v>1346.740482155592</v>
      </c>
      <c r="R35" s="4"/>
      <c r="S35" s="8"/>
      <c r="T35" s="12"/>
      <c r="U35" s="4"/>
      <c r="V35" s="4"/>
      <c r="W35" s="4"/>
      <c r="X35" s="4"/>
      <c r="Y35" s="4"/>
      <c r="Z35" s="13" t="s">
        <v>22</v>
      </c>
      <c r="AA35" s="14">
        <f>SUM(AA4:AA34)</f>
        <v>1346.740482155592</v>
      </c>
      <c r="AB35" s="4"/>
      <c r="AC35" s="8"/>
      <c r="AD35" s="12"/>
      <c r="AE35" s="4"/>
      <c r="AF35" s="4"/>
      <c r="AG35" s="4"/>
      <c r="AH35" s="4"/>
      <c r="AI35" s="4"/>
      <c r="AJ35" s="13" t="s">
        <v>22</v>
      </c>
      <c r="AK35" s="14">
        <f>SUM(AK4:AK34)</f>
        <v>1346.740482155592</v>
      </c>
      <c r="AM35" s="8"/>
      <c r="AN35" s="12"/>
      <c r="AO35" s="4"/>
      <c r="AP35" s="4"/>
      <c r="AQ35" s="4"/>
      <c r="AR35" s="4"/>
      <c r="AS35" s="4"/>
      <c r="AT35" s="13" t="s">
        <v>22</v>
      </c>
      <c r="AU35" s="14">
        <f>SUM(AU4:AU34)</f>
        <v>1346.740482155592</v>
      </c>
      <c r="AW35" s="8"/>
      <c r="AX35" s="12"/>
      <c r="AY35" s="4"/>
      <c r="AZ35" s="4"/>
      <c r="BA35" s="4"/>
      <c r="BB35" s="4"/>
      <c r="BC35" s="4"/>
      <c r="BD35" s="13" t="s">
        <v>22</v>
      </c>
      <c r="BE35" s="14">
        <f>SUM(BE4:BE34)</f>
        <v>1346.740482155592</v>
      </c>
    </row>
    <row r="36" spans="8:57" x14ac:dyDescent="0.25">
      <c r="H36" s="4"/>
      <c r="I36" s="8"/>
      <c r="J36" s="15"/>
      <c r="K36" s="16"/>
      <c r="L36" s="16"/>
      <c r="M36" s="16"/>
      <c r="N36" s="16"/>
      <c r="O36" s="16"/>
      <c r="P36" s="21" t="s">
        <v>46</v>
      </c>
      <c r="Q36" s="24">
        <f>IRR(Q4:Q34)*100</f>
        <v>45177802.364587359</v>
      </c>
      <c r="R36" s="4"/>
      <c r="S36" s="8"/>
      <c r="T36" s="15"/>
      <c r="U36" s="16"/>
      <c r="V36" s="16"/>
      <c r="W36" s="16"/>
      <c r="X36" s="16"/>
      <c r="Y36" s="16"/>
      <c r="Z36" s="21" t="s">
        <v>23</v>
      </c>
      <c r="AA36" s="24">
        <f>IRR(AA4:AA34)*100</f>
        <v>45177802.364587359</v>
      </c>
      <c r="AB36" s="4"/>
      <c r="AC36" s="8"/>
      <c r="AD36" s="15"/>
      <c r="AE36" s="16"/>
      <c r="AF36" s="16"/>
      <c r="AG36" s="16"/>
      <c r="AH36" s="16"/>
      <c r="AI36" s="16"/>
      <c r="AJ36" s="21" t="s">
        <v>23</v>
      </c>
      <c r="AK36" s="25">
        <f>IRR(AK4:AK34)*100</f>
        <v>45177802.364587359</v>
      </c>
      <c r="AM36" s="8"/>
      <c r="AN36" s="15"/>
      <c r="AO36" s="16"/>
      <c r="AP36" s="16"/>
      <c r="AQ36" s="16"/>
      <c r="AR36" s="16"/>
      <c r="AS36" s="16"/>
      <c r="AT36" s="21" t="s">
        <v>23</v>
      </c>
      <c r="AU36" s="25">
        <f>IRR(AU4:AU34)*100</f>
        <v>45177802.364587359</v>
      </c>
      <c r="AW36" s="8"/>
      <c r="AX36" s="15"/>
      <c r="AY36" s="16"/>
      <c r="AZ36" s="16"/>
      <c r="BA36" s="16"/>
      <c r="BB36" s="16"/>
      <c r="BC36" s="16"/>
      <c r="BD36" s="21" t="s">
        <v>23</v>
      </c>
      <c r="BE36" s="25">
        <f>IRR(BE4:BE34)*100</f>
        <v>45177802.364587359</v>
      </c>
    </row>
    <row r="37" spans="8:57" x14ac:dyDescent="0.25">
      <c r="H37" s="4"/>
      <c r="I37" s="5" t="s">
        <v>19</v>
      </c>
      <c r="J37" s="6" t="s">
        <v>20</v>
      </c>
      <c r="K37" s="4" t="s">
        <v>24</v>
      </c>
      <c r="L37" s="4" t="s">
        <v>49</v>
      </c>
      <c r="M37" s="4" t="s">
        <v>33</v>
      </c>
      <c r="N37" s="4" t="s">
        <v>34</v>
      </c>
      <c r="O37" s="4" t="s">
        <v>35</v>
      </c>
      <c r="P37" s="4" t="s">
        <v>21</v>
      </c>
      <c r="Q37" s="7" t="s">
        <v>36</v>
      </c>
      <c r="R37" s="4"/>
      <c r="S37" s="5" t="s">
        <v>19</v>
      </c>
      <c r="T37" s="6" t="s">
        <v>20</v>
      </c>
      <c r="U37" s="4" t="s">
        <v>24</v>
      </c>
      <c r="V37" s="4" t="s">
        <v>49</v>
      </c>
      <c r="W37" s="4" t="s">
        <v>33</v>
      </c>
      <c r="X37" s="4" t="s">
        <v>34</v>
      </c>
      <c r="Y37" s="4" t="s">
        <v>35</v>
      </c>
      <c r="Z37" s="4" t="s">
        <v>21</v>
      </c>
      <c r="AA37" s="7" t="s">
        <v>36</v>
      </c>
      <c r="AB37" s="4"/>
      <c r="AC37" s="5" t="s">
        <v>19</v>
      </c>
      <c r="AD37" s="6" t="s">
        <v>20</v>
      </c>
      <c r="AE37" s="4" t="s">
        <v>24</v>
      </c>
      <c r="AF37" s="4" t="s">
        <v>49</v>
      </c>
      <c r="AG37" s="4" t="s">
        <v>33</v>
      </c>
      <c r="AH37" s="4" t="s">
        <v>34</v>
      </c>
      <c r="AI37" s="4" t="s">
        <v>35</v>
      </c>
      <c r="AJ37" s="4" t="s">
        <v>21</v>
      </c>
      <c r="AK37" s="7" t="s">
        <v>36</v>
      </c>
      <c r="AM37" s="5" t="s">
        <v>19</v>
      </c>
      <c r="AN37" s="6" t="s">
        <v>20</v>
      </c>
      <c r="AO37" s="4" t="s">
        <v>24</v>
      </c>
      <c r="AP37" s="4" t="s">
        <v>49</v>
      </c>
      <c r="AQ37" s="4" t="s">
        <v>33</v>
      </c>
      <c r="AR37" s="4" t="s">
        <v>34</v>
      </c>
      <c r="AS37" s="4" t="s">
        <v>35</v>
      </c>
      <c r="AT37" s="4" t="s">
        <v>21</v>
      </c>
      <c r="AU37" s="7" t="s">
        <v>36</v>
      </c>
      <c r="AW37" s="5" t="s">
        <v>19</v>
      </c>
      <c r="AX37" s="6" t="s">
        <v>20</v>
      </c>
      <c r="AY37" s="4" t="s">
        <v>24</v>
      </c>
      <c r="AZ37" s="4" t="s">
        <v>49</v>
      </c>
      <c r="BA37" s="4" t="s">
        <v>33</v>
      </c>
      <c r="BB37" s="4" t="s">
        <v>34</v>
      </c>
      <c r="BC37" s="4" t="s">
        <v>35</v>
      </c>
      <c r="BD37" s="4" t="s">
        <v>21</v>
      </c>
      <c r="BE37" s="7" t="s">
        <v>36</v>
      </c>
    </row>
    <row r="38" spans="8:57" x14ac:dyDescent="0.25">
      <c r="H38" s="4"/>
      <c r="I38" s="8" t="s">
        <v>40</v>
      </c>
      <c r="J38" s="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-4.2486122775497098E-4</v>
      </c>
      <c r="P38" s="19">
        <f>1/(1+0.12)^0</f>
        <v>1</v>
      </c>
      <c r="Q38" s="23">
        <f>O38*P38</f>
        <v>-4.2486122775497098E-4</v>
      </c>
      <c r="R38" s="4"/>
      <c r="S38" s="8">
        <v>2.84</v>
      </c>
      <c r="T38" s="9">
        <v>0</v>
      </c>
      <c r="U38" s="18">
        <v>0</v>
      </c>
      <c r="V38" s="18">
        <v>0</v>
      </c>
      <c r="W38" s="18">
        <v>0</v>
      </c>
      <c r="X38" s="18">
        <v>0</v>
      </c>
      <c r="Y38" s="18">
        <v>-4.2486122775497098E-4</v>
      </c>
      <c r="Z38" s="18">
        <f>1/(1+0.12)^0</f>
        <v>1</v>
      </c>
      <c r="AA38" s="20">
        <f>Y38*Z38</f>
        <v>-4.2486122775497098E-4</v>
      </c>
      <c r="AB38" s="4"/>
      <c r="AC38" s="8">
        <v>1329.6220000000001</v>
      </c>
      <c r="AD38" s="9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-4.2486122775497098E-4</v>
      </c>
      <c r="AJ38" s="18">
        <f>1/(1+0.12)^0</f>
        <v>1</v>
      </c>
      <c r="AK38" s="20">
        <f>AI38*AJ38</f>
        <v>-4.2486122775497098E-4</v>
      </c>
      <c r="AM38" s="8">
        <v>1120</v>
      </c>
      <c r="AN38" s="9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-4.2486122775497098E-4</v>
      </c>
      <c r="AT38" s="18">
        <f>1/(1+0.12)^0</f>
        <v>1</v>
      </c>
      <c r="AU38" s="20">
        <f>AS38*AT38</f>
        <v>-4.2486122775497098E-4</v>
      </c>
      <c r="AW38" s="8">
        <v>0.17399999999999999</v>
      </c>
      <c r="AX38" s="9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-4.2486122775497098E-4</v>
      </c>
      <c r="BD38" s="18">
        <f>1/(1+0.12)^0</f>
        <v>1</v>
      </c>
      <c r="BE38" s="20">
        <f>BC38*BD38</f>
        <v>-4.2486122775497098E-4</v>
      </c>
    </row>
    <row r="39" spans="8:57" x14ac:dyDescent="0.25">
      <c r="H39" s="4"/>
      <c r="I39" s="10"/>
      <c r="J39" s="9">
        <v>1</v>
      </c>
      <c r="K39" s="19">
        <v>139.77999992661614</v>
      </c>
      <c r="L39" s="19">
        <v>1.3453938878907409E-5</v>
      </c>
      <c r="M39" s="19">
        <f>K39-L39</f>
        <v>139.77998647267725</v>
      </c>
      <c r="N39" s="19">
        <v>0</v>
      </c>
      <c r="O39" s="19">
        <f>K39-N39</f>
        <v>139.77999992661614</v>
      </c>
      <c r="P39" s="19">
        <f>1/(1+0.12)^1</f>
        <v>0.89285714285714279</v>
      </c>
      <c r="Q39" s="23">
        <f t="shared" ref="Q39:Q68" si="28">O39*P39</f>
        <v>124.80357136305012</v>
      </c>
      <c r="R39" s="4"/>
      <c r="S39" s="10"/>
      <c r="T39" s="9">
        <v>1</v>
      </c>
      <c r="U39" s="18">
        <v>140.18149949539315</v>
      </c>
      <c r="V39" s="18">
        <v>1.3453938878907409E-5</v>
      </c>
      <c r="W39" s="18">
        <f>U39-V39</f>
        <v>140.18148604145426</v>
      </c>
      <c r="X39" s="18">
        <v>0</v>
      </c>
      <c r="Y39" s="18">
        <f>U39-X39</f>
        <v>140.18149949539315</v>
      </c>
      <c r="Z39" s="18">
        <f>1/(1+0.12)^1</f>
        <v>0.89285714285714279</v>
      </c>
      <c r="AA39" s="20">
        <f t="shared" ref="AA39:AA68" si="29">Y39*Z39</f>
        <v>125.16205312088674</v>
      </c>
      <c r="AB39" s="4"/>
      <c r="AC39" s="10"/>
      <c r="AD39" s="9">
        <v>1</v>
      </c>
      <c r="AE39" s="18">
        <v>55.344893036340295</v>
      </c>
      <c r="AF39" s="18">
        <v>1.3453938878907409E-5</v>
      </c>
      <c r="AG39" s="18">
        <f>AE39-AF39</f>
        <v>55.344879582401418</v>
      </c>
      <c r="AH39" s="18">
        <v>0</v>
      </c>
      <c r="AI39" s="18">
        <f>AE39-AH39</f>
        <v>55.344893036340295</v>
      </c>
      <c r="AJ39" s="18">
        <f>1/(1+0.12)^1</f>
        <v>0.89285714285714279</v>
      </c>
      <c r="AK39" s="20">
        <f t="shared" ref="AK39:AK68" si="30">AI39*AJ39</f>
        <v>49.415083068160975</v>
      </c>
      <c r="AM39" s="10"/>
      <c r="AN39" s="9">
        <v>1</v>
      </c>
      <c r="AO39" s="18">
        <v>171.13343735136152</v>
      </c>
      <c r="AP39" s="18">
        <v>1.3453938878907409E-5</v>
      </c>
      <c r="AQ39" s="18">
        <f>AO39-AP39</f>
        <v>171.13342389742263</v>
      </c>
      <c r="AR39" s="18">
        <v>0</v>
      </c>
      <c r="AS39" s="18">
        <f>AO39-AR39</f>
        <v>171.13343735136152</v>
      </c>
      <c r="AT39" s="18">
        <f>1/(1+0.12)^1</f>
        <v>0.89285714285714279</v>
      </c>
      <c r="AU39" s="20">
        <f t="shared" ref="AU39:AU68" si="31">AS39*AT39</f>
        <v>152.79771192085849</v>
      </c>
      <c r="AW39" s="10"/>
      <c r="AX39" s="9">
        <v>1</v>
      </c>
      <c r="AY39" s="18">
        <v>214.93649089492601</v>
      </c>
      <c r="AZ39" s="18">
        <v>1.3453938878907409E-5</v>
      </c>
      <c r="BA39" s="18">
        <f>AY39-AZ39</f>
        <v>214.93647744098712</v>
      </c>
      <c r="BB39" s="18">
        <v>0</v>
      </c>
      <c r="BC39" s="18">
        <f>AY39-BB39</f>
        <v>214.93649089492601</v>
      </c>
      <c r="BD39" s="18">
        <f>1/(1+0.12)^1</f>
        <v>0.89285714285714279</v>
      </c>
      <c r="BE39" s="20">
        <f t="shared" ref="BE39:BE68" si="32">BC39*BD39</f>
        <v>191.90758115618394</v>
      </c>
    </row>
    <row r="40" spans="8:57" x14ac:dyDescent="0.25">
      <c r="H40" s="4"/>
      <c r="I40" s="8"/>
      <c r="J40" s="9">
        <v>2</v>
      </c>
      <c r="K40" s="19">
        <v>139.77999992661614</v>
      </c>
      <c r="L40" s="19">
        <v>1.3453938878907409E-5</v>
      </c>
      <c r="M40" s="19">
        <f t="shared" ref="M40:M58" si="33">K40-L40</f>
        <v>139.77998647267725</v>
      </c>
      <c r="N40" s="19">
        <f t="shared" ref="N40" si="34">M40*0.25</f>
        <v>34.944996618169313</v>
      </c>
      <c r="O40" s="19">
        <f t="shared" ref="O40:O68" si="35">K40-N40</f>
        <v>104.83500330844683</v>
      </c>
      <c r="P40" s="19">
        <f>1/(1+0.12)^2</f>
        <v>0.79719387755102034</v>
      </c>
      <c r="Q40" s="23">
        <f t="shared" si="28"/>
        <v>83.573822790534777</v>
      </c>
      <c r="R40" s="4"/>
      <c r="S40" s="8"/>
      <c r="T40" s="9">
        <v>2</v>
      </c>
      <c r="U40" s="18">
        <v>140.18149949539315</v>
      </c>
      <c r="V40" s="18">
        <v>1.3453938878907409E-5</v>
      </c>
      <c r="W40" s="18">
        <f t="shared" ref="W40:W58" si="36">U40-V40</f>
        <v>140.18148604145426</v>
      </c>
      <c r="X40" s="18">
        <f t="shared" ref="X40" si="37">W40*0.25</f>
        <v>35.045371510363566</v>
      </c>
      <c r="Y40" s="18">
        <f t="shared" ref="Y40:Y68" si="38">U40-X40</f>
        <v>105.13612798502959</v>
      </c>
      <c r="Z40" s="18">
        <f>1/(1+0.12)^2</f>
        <v>0.79719387755102034</v>
      </c>
      <c r="AA40" s="20">
        <f t="shared" si="29"/>
        <v>83.813877539086079</v>
      </c>
      <c r="AB40" s="4"/>
      <c r="AC40" s="8"/>
      <c r="AD40" s="9">
        <v>2</v>
      </c>
      <c r="AE40" s="18">
        <v>55.344893036340295</v>
      </c>
      <c r="AF40" s="18">
        <v>1.3453938878907409E-5</v>
      </c>
      <c r="AG40" s="18">
        <f t="shared" ref="AG40:AG58" si="39">AE40-AF40</f>
        <v>55.344879582401418</v>
      </c>
      <c r="AH40" s="18">
        <f t="shared" ref="AH40" si="40">AG40*0.25</f>
        <v>13.836219895600355</v>
      </c>
      <c r="AI40" s="18">
        <f t="shared" ref="AI40:AI68" si="41">AE40-AH40</f>
        <v>41.508673140739944</v>
      </c>
      <c r="AJ40" s="18">
        <f>1/(1+0.12)^2</f>
        <v>0.79719387755102034</v>
      </c>
      <c r="AK40" s="20">
        <f t="shared" si="30"/>
        <v>33.090460093064365</v>
      </c>
      <c r="AM40" s="8"/>
      <c r="AN40" s="9">
        <v>2</v>
      </c>
      <c r="AO40" s="18">
        <v>171.13343735136152</v>
      </c>
      <c r="AP40" s="18">
        <v>1.3453938878907409E-5</v>
      </c>
      <c r="AQ40" s="18">
        <f t="shared" ref="AQ40:AQ58" si="42">AO40-AP40</f>
        <v>171.13342389742263</v>
      </c>
      <c r="AR40" s="18">
        <f t="shared" ref="AR40" si="43">AQ40*0.25</f>
        <v>42.783355974355658</v>
      </c>
      <c r="AS40" s="18">
        <f t="shared" ref="AS40:AS68" si="44">AO40-AR40</f>
        <v>128.35008137700586</v>
      </c>
      <c r="AT40" s="18">
        <f>1/(1+0.12)^2</f>
        <v>0.79719387755102034</v>
      </c>
      <c r="AU40" s="20">
        <f t="shared" si="31"/>
        <v>102.31989905692431</v>
      </c>
      <c r="AW40" s="8"/>
      <c r="AX40" s="9">
        <v>2</v>
      </c>
      <c r="AY40" s="18">
        <v>214.93649089492601</v>
      </c>
      <c r="AZ40" s="18">
        <v>1.3453938878907409E-5</v>
      </c>
      <c r="BA40" s="18">
        <f t="shared" ref="BA40:BA58" si="45">AY40-AZ40</f>
        <v>214.93647744098712</v>
      </c>
      <c r="BB40" s="18">
        <f t="shared" ref="BB40" si="46">BA40*0.25</f>
        <v>53.73411936024678</v>
      </c>
      <c r="BC40" s="18">
        <f t="shared" ref="BC40:BC68" si="47">AY40-BB40</f>
        <v>161.20237153467923</v>
      </c>
      <c r="BD40" s="18">
        <f>1/(1+0.12)^2</f>
        <v>0.79719387755102034</v>
      </c>
      <c r="BE40" s="20">
        <f t="shared" si="32"/>
        <v>128.50954363415116</v>
      </c>
    </row>
    <row r="41" spans="8:57" x14ac:dyDescent="0.25">
      <c r="H41" s="4"/>
      <c r="I41" s="8"/>
      <c r="J41" s="9">
        <v>3</v>
      </c>
      <c r="K41" s="19">
        <v>139.77999992661614</v>
      </c>
      <c r="L41" s="19">
        <v>1.3453938878907409E-5</v>
      </c>
      <c r="M41" s="19">
        <f t="shared" si="33"/>
        <v>139.77998647267725</v>
      </c>
      <c r="N41" s="19">
        <f>M41*0.25</f>
        <v>34.944996618169313</v>
      </c>
      <c r="O41" s="19">
        <f t="shared" si="35"/>
        <v>104.83500330844683</v>
      </c>
      <c r="P41" s="19">
        <f>1/(1+0.12)^3</f>
        <v>0.71178024781341087</v>
      </c>
      <c r="Q41" s="23">
        <f t="shared" si="28"/>
        <v>74.619484634406035</v>
      </c>
      <c r="R41" s="4"/>
      <c r="S41" s="8"/>
      <c r="T41" s="9">
        <v>3</v>
      </c>
      <c r="U41" s="18">
        <v>140.18149949539315</v>
      </c>
      <c r="V41" s="18">
        <v>1.3453938878907409E-5</v>
      </c>
      <c r="W41" s="18">
        <f t="shared" si="36"/>
        <v>140.18148604145426</v>
      </c>
      <c r="X41" s="18">
        <f>W41*0.25</f>
        <v>35.045371510363566</v>
      </c>
      <c r="Y41" s="18">
        <f t="shared" si="38"/>
        <v>105.13612798502959</v>
      </c>
      <c r="Z41" s="18">
        <f>1/(1+0.12)^3</f>
        <v>0.71178024781341087</v>
      </c>
      <c r="AA41" s="20">
        <f t="shared" si="29"/>
        <v>74.833819231326842</v>
      </c>
      <c r="AB41" s="4"/>
      <c r="AC41" s="8"/>
      <c r="AD41" s="9">
        <v>3</v>
      </c>
      <c r="AE41" s="18">
        <v>55.344893036340295</v>
      </c>
      <c r="AF41" s="18">
        <v>1.3453938878907409E-5</v>
      </c>
      <c r="AG41" s="18">
        <f t="shared" si="39"/>
        <v>55.344879582401418</v>
      </c>
      <c r="AH41" s="18">
        <f>AG41*0.25</f>
        <v>13.836219895600355</v>
      </c>
      <c r="AI41" s="18">
        <f t="shared" si="41"/>
        <v>41.508673140739944</v>
      </c>
      <c r="AJ41" s="18">
        <f>1/(1+0.12)^3</f>
        <v>0.71178024781341087</v>
      </c>
      <c r="AK41" s="20">
        <f t="shared" si="30"/>
        <v>29.545053654521748</v>
      </c>
      <c r="AM41" s="8"/>
      <c r="AN41" s="9">
        <v>3</v>
      </c>
      <c r="AO41" s="18">
        <v>171.13343735136152</v>
      </c>
      <c r="AP41" s="18">
        <v>1.3453938878907409E-5</v>
      </c>
      <c r="AQ41" s="18">
        <f t="shared" si="42"/>
        <v>171.13342389742263</v>
      </c>
      <c r="AR41" s="18">
        <f>AQ41*0.25</f>
        <v>42.783355974355658</v>
      </c>
      <c r="AS41" s="18">
        <f t="shared" si="44"/>
        <v>128.35008137700586</v>
      </c>
      <c r="AT41" s="18">
        <f>1/(1+0.12)^3</f>
        <v>0.71178024781341087</v>
      </c>
      <c r="AU41" s="20">
        <f t="shared" si="31"/>
        <v>91.357052729396685</v>
      </c>
      <c r="AW41" s="8"/>
      <c r="AX41" s="9">
        <v>3</v>
      </c>
      <c r="AY41" s="18">
        <v>214.93649089492601</v>
      </c>
      <c r="AZ41" s="18">
        <v>1.3453938878907409E-5</v>
      </c>
      <c r="BA41" s="18">
        <f t="shared" si="45"/>
        <v>214.93647744098712</v>
      </c>
      <c r="BB41" s="18">
        <f>BA41*0.25</f>
        <v>53.73411936024678</v>
      </c>
      <c r="BC41" s="18">
        <f t="shared" si="47"/>
        <v>161.20237153467923</v>
      </c>
      <c r="BD41" s="18">
        <f>1/(1+0.12)^3</f>
        <v>0.71178024781341087</v>
      </c>
      <c r="BE41" s="20">
        <f t="shared" si="32"/>
        <v>114.74066395906351</v>
      </c>
    </row>
    <row r="42" spans="8:57" x14ac:dyDescent="0.25">
      <c r="H42" s="4"/>
      <c r="I42" s="8"/>
      <c r="J42" s="9">
        <v>4</v>
      </c>
      <c r="K42" s="19">
        <v>139.77999992661614</v>
      </c>
      <c r="L42" s="19">
        <v>1.3453938878907409E-5</v>
      </c>
      <c r="M42" s="19">
        <f t="shared" si="33"/>
        <v>139.77998647267725</v>
      </c>
      <c r="N42" s="19">
        <f t="shared" ref="N42:N68" si="48">M42*0.25</f>
        <v>34.944996618169313</v>
      </c>
      <c r="O42" s="19">
        <f t="shared" si="35"/>
        <v>104.83500330844683</v>
      </c>
      <c r="P42" s="19">
        <f>1/(1+0.12)^4</f>
        <v>0.63551807840483121</v>
      </c>
      <c r="Q42" s="23">
        <f t="shared" si="28"/>
        <v>66.624539852148246</v>
      </c>
      <c r="R42" s="4"/>
      <c r="S42" s="8"/>
      <c r="T42" s="9">
        <v>4</v>
      </c>
      <c r="U42" s="18">
        <v>140.18149949539315</v>
      </c>
      <c r="V42" s="18">
        <v>1.3453938878907409E-5</v>
      </c>
      <c r="W42" s="18">
        <f t="shared" si="36"/>
        <v>140.18148604145426</v>
      </c>
      <c r="X42" s="18">
        <f t="shared" ref="X42:X68" si="49">W42*0.25</f>
        <v>35.045371510363566</v>
      </c>
      <c r="Y42" s="18">
        <f t="shared" si="38"/>
        <v>105.13612798502959</v>
      </c>
      <c r="Z42" s="18">
        <f>1/(1+0.12)^4</f>
        <v>0.63551807840483121</v>
      </c>
      <c r="AA42" s="20">
        <f t="shared" si="29"/>
        <v>66.815910027970403</v>
      </c>
      <c r="AB42" s="4"/>
      <c r="AC42" s="8"/>
      <c r="AD42" s="9">
        <v>4</v>
      </c>
      <c r="AE42" s="18">
        <v>55.344893036340295</v>
      </c>
      <c r="AF42" s="18">
        <v>1.3453938878907409E-5</v>
      </c>
      <c r="AG42" s="18">
        <f t="shared" si="39"/>
        <v>55.344879582401418</v>
      </c>
      <c r="AH42" s="18">
        <f t="shared" ref="AH42:AH68" si="50">AG42*0.25</f>
        <v>13.836219895600355</v>
      </c>
      <c r="AI42" s="18">
        <f t="shared" si="41"/>
        <v>41.508673140739944</v>
      </c>
      <c r="AJ42" s="18">
        <f>1/(1+0.12)^4</f>
        <v>0.63551807840483121</v>
      </c>
      <c r="AK42" s="20">
        <f t="shared" si="30"/>
        <v>26.37951219153728</v>
      </c>
      <c r="AM42" s="8"/>
      <c r="AN42" s="9">
        <v>4</v>
      </c>
      <c r="AO42" s="18">
        <v>171.13343735136152</v>
      </c>
      <c r="AP42" s="18">
        <v>1.3453938878907409E-5</v>
      </c>
      <c r="AQ42" s="18">
        <f t="shared" si="42"/>
        <v>171.13342389742263</v>
      </c>
      <c r="AR42" s="18">
        <f t="shared" ref="AR42:AR68" si="51">AQ42*0.25</f>
        <v>42.783355974355658</v>
      </c>
      <c r="AS42" s="18">
        <f t="shared" si="44"/>
        <v>128.35008137700586</v>
      </c>
      <c r="AT42" s="18">
        <f>1/(1+0.12)^4</f>
        <v>0.63551807840483121</v>
      </c>
      <c r="AU42" s="20">
        <f t="shared" si="31"/>
        <v>81.568797079818481</v>
      </c>
      <c r="AW42" s="8"/>
      <c r="AX42" s="9">
        <v>4</v>
      </c>
      <c r="AY42" s="18">
        <v>214.93649089492601</v>
      </c>
      <c r="AZ42" s="18">
        <v>1.3453938878907409E-5</v>
      </c>
      <c r="BA42" s="18">
        <f t="shared" si="45"/>
        <v>214.93647744098712</v>
      </c>
      <c r="BB42" s="18">
        <f t="shared" ref="BB42:BB68" si="52">BA42*0.25</f>
        <v>53.73411936024678</v>
      </c>
      <c r="BC42" s="18">
        <f t="shared" si="47"/>
        <v>161.20237153467923</v>
      </c>
      <c r="BD42" s="18">
        <f>1/(1+0.12)^4</f>
        <v>0.63551807840483121</v>
      </c>
      <c r="BE42" s="20">
        <f t="shared" si="32"/>
        <v>102.447021392021</v>
      </c>
    </row>
    <row r="43" spans="8:57" x14ac:dyDescent="0.25">
      <c r="H43" s="4"/>
      <c r="I43" s="8"/>
      <c r="J43" s="9">
        <v>5</v>
      </c>
      <c r="K43" s="19">
        <v>139.77999992661614</v>
      </c>
      <c r="L43" s="19">
        <v>1.3453938878907409E-5</v>
      </c>
      <c r="M43" s="19">
        <f t="shared" si="33"/>
        <v>139.77998647267725</v>
      </c>
      <c r="N43" s="19">
        <f t="shared" si="48"/>
        <v>34.944996618169313</v>
      </c>
      <c r="O43" s="19">
        <f t="shared" si="35"/>
        <v>104.83500330844683</v>
      </c>
      <c r="P43" s="19">
        <f>1/(1+0.12)^5</f>
        <v>0.56742685571859919</v>
      </c>
      <c r="Q43" s="23">
        <f t="shared" si="28"/>
        <v>59.486196296560927</v>
      </c>
      <c r="R43" s="4"/>
      <c r="S43" s="8"/>
      <c r="T43" s="9">
        <v>5</v>
      </c>
      <c r="U43" s="18">
        <v>140.18149949539315</v>
      </c>
      <c r="V43" s="18">
        <v>1.3453938878907409E-5</v>
      </c>
      <c r="W43" s="18">
        <f t="shared" si="36"/>
        <v>140.18148604145426</v>
      </c>
      <c r="X43" s="18">
        <f t="shared" si="49"/>
        <v>35.045371510363566</v>
      </c>
      <c r="Y43" s="18">
        <f t="shared" si="38"/>
        <v>105.13612798502959</v>
      </c>
      <c r="Z43" s="18">
        <f>1/(1+0.12)^5</f>
        <v>0.56742685571859919</v>
      </c>
      <c r="AA43" s="20">
        <f t="shared" si="29"/>
        <v>59.657062524973561</v>
      </c>
      <c r="AB43" s="4"/>
      <c r="AC43" s="8"/>
      <c r="AD43" s="9">
        <v>5</v>
      </c>
      <c r="AE43" s="18">
        <v>55.344893036340295</v>
      </c>
      <c r="AF43" s="18">
        <v>1.3453938878907409E-5</v>
      </c>
      <c r="AG43" s="18">
        <f t="shared" si="39"/>
        <v>55.344879582401418</v>
      </c>
      <c r="AH43" s="18">
        <f t="shared" si="50"/>
        <v>13.836219895600355</v>
      </c>
      <c r="AI43" s="18">
        <f t="shared" si="41"/>
        <v>41.508673140739944</v>
      </c>
      <c r="AJ43" s="18">
        <f>1/(1+0.12)^5</f>
        <v>0.56742685571859919</v>
      </c>
      <c r="AK43" s="20">
        <f t="shared" si="30"/>
        <v>23.553135885301138</v>
      </c>
      <c r="AM43" s="8"/>
      <c r="AN43" s="9">
        <v>5</v>
      </c>
      <c r="AO43" s="18">
        <v>171.13343735136152</v>
      </c>
      <c r="AP43" s="18">
        <v>1.3453938878907409E-5</v>
      </c>
      <c r="AQ43" s="18">
        <f t="shared" si="42"/>
        <v>171.13342389742263</v>
      </c>
      <c r="AR43" s="18">
        <f t="shared" si="51"/>
        <v>42.783355974355658</v>
      </c>
      <c r="AS43" s="18">
        <f t="shared" si="44"/>
        <v>128.35008137700586</v>
      </c>
      <c r="AT43" s="18">
        <f>1/(1+0.12)^5</f>
        <v>0.56742685571859919</v>
      </c>
      <c r="AU43" s="20">
        <f t="shared" si="31"/>
        <v>72.829283106980768</v>
      </c>
      <c r="AW43" s="8"/>
      <c r="AX43" s="9">
        <v>5</v>
      </c>
      <c r="AY43" s="18">
        <v>214.93649089492601</v>
      </c>
      <c r="AZ43" s="18">
        <v>1.3453938878907409E-5</v>
      </c>
      <c r="BA43" s="18">
        <f t="shared" si="45"/>
        <v>214.93647744098712</v>
      </c>
      <c r="BB43" s="18">
        <f t="shared" si="52"/>
        <v>53.73411936024678</v>
      </c>
      <c r="BC43" s="18">
        <f t="shared" si="47"/>
        <v>161.20237153467923</v>
      </c>
      <c r="BD43" s="18">
        <f>1/(1+0.12)^5</f>
        <v>0.56742685571859919</v>
      </c>
      <c r="BE43" s="20">
        <f t="shared" si="32"/>
        <v>91.47055481430445</v>
      </c>
    </row>
    <row r="44" spans="8:57" x14ac:dyDescent="0.25">
      <c r="H44" s="4"/>
      <c r="I44" s="8"/>
      <c r="J44" s="9">
        <v>6</v>
      </c>
      <c r="K44" s="19">
        <v>139.77999992661614</v>
      </c>
      <c r="L44" s="19">
        <v>1.3453938878907409E-5</v>
      </c>
      <c r="M44" s="19">
        <f t="shared" si="33"/>
        <v>139.77998647267725</v>
      </c>
      <c r="N44" s="19">
        <f t="shared" si="48"/>
        <v>34.944996618169313</v>
      </c>
      <c r="O44" s="19">
        <f t="shared" si="35"/>
        <v>104.83500330844683</v>
      </c>
      <c r="P44" s="19">
        <f>1/(1+0.12)^6</f>
        <v>0.50663112117732068</v>
      </c>
      <c r="Q44" s="23">
        <f t="shared" si="28"/>
        <v>53.112675264786539</v>
      </c>
      <c r="R44" s="4"/>
      <c r="S44" s="8"/>
      <c r="T44" s="9">
        <v>6</v>
      </c>
      <c r="U44" s="18">
        <v>140.18149949539315</v>
      </c>
      <c r="V44" s="18">
        <v>1.3453938878907409E-5</v>
      </c>
      <c r="W44" s="18">
        <f t="shared" si="36"/>
        <v>140.18148604145426</v>
      </c>
      <c r="X44" s="18">
        <f t="shared" si="49"/>
        <v>35.045371510363566</v>
      </c>
      <c r="Y44" s="18">
        <f t="shared" si="38"/>
        <v>105.13612798502959</v>
      </c>
      <c r="Z44" s="18">
        <f>1/(1+0.12)^6</f>
        <v>0.50663112117732068</v>
      </c>
      <c r="AA44" s="20">
        <f t="shared" si="29"/>
        <v>53.265234397297824</v>
      </c>
      <c r="AB44" s="4"/>
      <c r="AC44" s="8"/>
      <c r="AD44" s="9">
        <v>6</v>
      </c>
      <c r="AE44" s="18">
        <v>55.344893036340295</v>
      </c>
      <c r="AF44" s="18">
        <v>1.3453938878907409E-5</v>
      </c>
      <c r="AG44" s="18">
        <f t="shared" si="39"/>
        <v>55.344879582401418</v>
      </c>
      <c r="AH44" s="18">
        <f t="shared" si="50"/>
        <v>13.836219895600355</v>
      </c>
      <c r="AI44" s="18">
        <f t="shared" si="41"/>
        <v>41.508673140739944</v>
      </c>
      <c r="AJ44" s="18">
        <f>1/(1+0.12)^6</f>
        <v>0.50663112117732068</v>
      </c>
      <c r="AK44" s="20">
        <f t="shared" si="30"/>
        <v>21.029585611876016</v>
      </c>
      <c r="AM44" s="8"/>
      <c r="AN44" s="9">
        <v>6</v>
      </c>
      <c r="AO44" s="18">
        <v>171.13343735136152</v>
      </c>
      <c r="AP44" s="18">
        <v>1.3453938878907409E-5</v>
      </c>
      <c r="AQ44" s="18">
        <f t="shared" si="42"/>
        <v>171.13342389742263</v>
      </c>
      <c r="AR44" s="18">
        <f t="shared" si="51"/>
        <v>42.783355974355658</v>
      </c>
      <c r="AS44" s="18">
        <f t="shared" si="44"/>
        <v>128.35008137700586</v>
      </c>
      <c r="AT44" s="18">
        <f>1/(1+0.12)^6</f>
        <v>0.50663112117732068</v>
      </c>
      <c r="AU44" s="20">
        <f t="shared" si="31"/>
        <v>65.026145631232822</v>
      </c>
      <c r="AW44" s="8"/>
      <c r="AX44" s="9">
        <v>6</v>
      </c>
      <c r="AY44" s="18">
        <v>214.93649089492601</v>
      </c>
      <c r="AZ44" s="18">
        <v>1.3453938878907409E-5</v>
      </c>
      <c r="BA44" s="18">
        <f t="shared" si="45"/>
        <v>214.93647744098712</v>
      </c>
      <c r="BB44" s="18">
        <f t="shared" si="52"/>
        <v>53.73411936024678</v>
      </c>
      <c r="BC44" s="18">
        <f t="shared" si="47"/>
        <v>161.20237153467923</v>
      </c>
      <c r="BD44" s="18">
        <f>1/(1+0.12)^6</f>
        <v>0.50663112117732068</v>
      </c>
      <c r="BE44" s="20">
        <f t="shared" si="32"/>
        <v>81.670138227057535</v>
      </c>
    </row>
    <row r="45" spans="8:57" x14ac:dyDescent="0.25">
      <c r="H45" s="4"/>
      <c r="I45" s="8"/>
      <c r="J45" s="9">
        <v>7</v>
      </c>
      <c r="K45" s="19">
        <v>139.77999992661614</v>
      </c>
      <c r="L45" s="19">
        <v>1.3453938878907409E-5</v>
      </c>
      <c r="M45" s="19">
        <f t="shared" si="33"/>
        <v>139.77998647267725</v>
      </c>
      <c r="N45" s="19">
        <f t="shared" si="48"/>
        <v>34.944996618169313</v>
      </c>
      <c r="O45" s="19">
        <f t="shared" si="35"/>
        <v>104.83500330844683</v>
      </c>
      <c r="P45" s="19">
        <f>1/(1+0.12)^7</f>
        <v>0.45234921533689343</v>
      </c>
      <c r="Q45" s="23">
        <f t="shared" si="28"/>
        <v>47.42203148641655</v>
      </c>
      <c r="R45" s="4"/>
      <c r="S45" s="8"/>
      <c r="T45" s="9">
        <v>7</v>
      </c>
      <c r="U45" s="18">
        <v>140.18149949539315</v>
      </c>
      <c r="V45" s="18">
        <v>1.3453938878907409E-5</v>
      </c>
      <c r="W45" s="18">
        <f t="shared" si="36"/>
        <v>140.18148604145426</v>
      </c>
      <c r="X45" s="18">
        <f t="shared" si="49"/>
        <v>35.045371510363566</v>
      </c>
      <c r="Y45" s="18">
        <f t="shared" si="38"/>
        <v>105.13612798502959</v>
      </c>
      <c r="Z45" s="18">
        <f>1/(1+0.12)^7</f>
        <v>0.45234921533689343</v>
      </c>
      <c r="AA45" s="20">
        <f t="shared" si="29"/>
        <v>47.558244997587337</v>
      </c>
      <c r="AB45" s="4"/>
      <c r="AC45" s="8"/>
      <c r="AD45" s="9">
        <v>7</v>
      </c>
      <c r="AE45" s="18">
        <v>55.344893036340295</v>
      </c>
      <c r="AF45" s="18">
        <v>1.3453938878907409E-5</v>
      </c>
      <c r="AG45" s="18">
        <f t="shared" si="39"/>
        <v>55.344879582401418</v>
      </c>
      <c r="AH45" s="18">
        <f t="shared" si="50"/>
        <v>13.836219895600355</v>
      </c>
      <c r="AI45" s="18">
        <f t="shared" si="41"/>
        <v>41.508673140739944</v>
      </c>
      <c r="AJ45" s="18">
        <f>1/(1+0.12)^7</f>
        <v>0.45234921533689343</v>
      </c>
      <c r="AK45" s="20">
        <f t="shared" si="30"/>
        <v>18.776415724889297</v>
      </c>
      <c r="AM45" s="8"/>
      <c r="AN45" s="9">
        <v>7</v>
      </c>
      <c r="AO45" s="18">
        <v>171.13343735136152</v>
      </c>
      <c r="AP45" s="18">
        <v>1.3453938878907409E-5</v>
      </c>
      <c r="AQ45" s="18">
        <f t="shared" si="42"/>
        <v>171.13342389742263</v>
      </c>
      <c r="AR45" s="18">
        <f t="shared" si="51"/>
        <v>42.783355974355658</v>
      </c>
      <c r="AS45" s="18">
        <f t="shared" si="44"/>
        <v>128.35008137700586</v>
      </c>
      <c r="AT45" s="18">
        <f>1/(1+0.12)^7</f>
        <v>0.45234921533689343</v>
      </c>
      <c r="AU45" s="20">
        <f t="shared" si="31"/>
        <v>58.059058599315023</v>
      </c>
      <c r="AW45" s="8"/>
      <c r="AX45" s="9">
        <v>7</v>
      </c>
      <c r="AY45" s="18">
        <v>214.93649089492601</v>
      </c>
      <c r="AZ45" s="18">
        <v>1.3453938878907409E-5</v>
      </c>
      <c r="BA45" s="18">
        <f t="shared" si="45"/>
        <v>214.93647744098712</v>
      </c>
      <c r="BB45" s="18">
        <f t="shared" si="52"/>
        <v>53.73411936024678</v>
      </c>
      <c r="BC45" s="18">
        <f t="shared" si="47"/>
        <v>161.20237153467923</v>
      </c>
      <c r="BD45" s="18">
        <f>1/(1+0.12)^7</f>
        <v>0.45234921533689343</v>
      </c>
      <c r="BE45" s="20">
        <f t="shared" si="32"/>
        <v>72.919766274158519</v>
      </c>
    </row>
    <row r="46" spans="8:57" x14ac:dyDescent="0.25">
      <c r="H46" s="4"/>
      <c r="I46" s="8"/>
      <c r="J46" s="9">
        <v>8</v>
      </c>
      <c r="K46" s="19">
        <v>139.77999992661614</v>
      </c>
      <c r="L46" s="19">
        <v>1.3453938878907409E-5</v>
      </c>
      <c r="M46" s="19">
        <f t="shared" si="33"/>
        <v>139.77998647267725</v>
      </c>
      <c r="N46" s="19">
        <f t="shared" si="48"/>
        <v>34.944996618169313</v>
      </c>
      <c r="O46" s="19">
        <f t="shared" si="35"/>
        <v>104.83500330844683</v>
      </c>
      <c r="P46" s="19">
        <f>1/(1+0.12)^8</f>
        <v>0.4038832279793691</v>
      </c>
      <c r="Q46" s="23">
        <f t="shared" si="28"/>
        <v>42.341099541443342</v>
      </c>
      <c r="R46" s="4"/>
      <c r="S46" s="8"/>
      <c r="T46" s="9">
        <v>8</v>
      </c>
      <c r="U46" s="18">
        <v>140.18149949539315</v>
      </c>
      <c r="V46" s="18">
        <v>1.3453938878907409E-5</v>
      </c>
      <c r="W46" s="18">
        <f t="shared" si="36"/>
        <v>140.18148604145426</v>
      </c>
      <c r="X46" s="18">
        <f t="shared" si="49"/>
        <v>35.045371510363566</v>
      </c>
      <c r="Y46" s="18">
        <f t="shared" si="38"/>
        <v>105.13612798502959</v>
      </c>
      <c r="Z46" s="18">
        <f>1/(1+0.12)^8</f>
        <v>0.4038832279793691</v>
      </c>
      <c r="AA46" s="20">
        <f t="shared" si="29"/>
        <v>42.462718747845834</v>
      </c>
      <c r="AB46" s="4"/>
      <c r="AC46" s="8"/>
      <c r="AD46" s="9">
        <v>8</v>
      </c>
      <c r="AE46" s="18">
        <v>55.344893036340295</v>
      </c>
      <c r="AF46" s="18">
        <v>1.3453938878907409E-5</v>
      </c>
      <c r="AG46" s="18">
        <f t="shared" si="39"/>
        <v>55.344879582401418</v>
      </c>
      <c r="AH46" s="18">
        <f t="shared" si="50"/>
        <v>13.836219895600355</v>
      </c>
      <c r="AI46" s="18">
        <f t="shared" si="41"/>
        <v>41.508673140739944</v>
      </c>
      <c r="AJ46" s="18">
        <f>1/(1+0.12)^8</f>
        <v>0.4038832279793691</v>
      </c>
      <c r="AK46" s="20">
        <f t="shared" si="30"/>
        <v>16.764656897222586</v>
      </c>
      <c r="AM46" s="8"/>
      <c r="AN46" s="9">
        <v>8</v>
      </c>
      <c r="AO46" s="18">
        <v>171.13343735136152</v>
      </c>
      <c r="AP46" s="18">
        <v>1.3453938878907409E-5</v>
      </c>
      <c r="AQ46" s="18">
        <f t="shared" si="42"/>
        <v>171.13342389742263</v>
      </c>
      <c r="AR46" s="18">
        <f t="shared" si="51"/>
        <v>42.783355974355658</v>
      </c>
      <c r="AS46" s="18">
        <f t="shared" si="44"/>
        <v>128.35008137700586</v>
      </c>
      <c r="AT46" s="18">
        <f>1/(1+0.12)^8</f>
        <v>0.4038832279793691</v>
      </c>
      <c r="AU46" s="20">
        <f t="shared" si="31"/>
        <v>51.838445177959834</v>
      </c>
      <c r="AW46" s="8"/>
      <c r="AX46" s="9">
        <v>8</v>
      </c>
      <c r="AY46" s="18">
        <v>214.93649089492601</v>
      </c>
      <c r="AZ46" s="18">
        <v>1.3453938878907409E-5</v>
      </c>
      <c r="BA46" s="18">
        <f t="shared" si="45"/>
        <v>214.93647744098712</v>
      </c>
      <c r="BB46" s="18">
        <f t="shared" si="52"/>
        <v>53.73411936024678</v>
      </c>
      <c r="BC46" s="18">
        <f t="shared" si="47"/>
        <v>161.20237153467923</v>
      </c>
      <c r="BD46" s="18">
        <f>1/(1+0.12)^8</f>
        <v>0.4038832279793691</v>
      </c>
      <c r="BE46" s="20">
        <f t="shared" si="32"/>
        <v>65.10693417335581</v>
      </c>
    </row>
    <row r="47" spans="8:57" x14ac:dyDescent="0.25">
      <c r="H47" s="4"/>
      <c r="I47" s="8"/>
      <c r="J47" s="9">
        <v>9</v>
      </c>
      <c r="K47" s="19">
        <v>139.77999992661614</v>
      </c>
      <c r="L47" s="19">
        <v>1.3453938878907409E-5</v>
      </c>
      <c r="M47" s="19">
        <f t="shared" si="33"/>
        <v>139.77998647267725</v>
      </c>
      <c r="N47" s="19">
        <f t="shared" si="48"/>
        <v>34.944996618169313</v>
      </c>
      <c r="O47" s="19">
        <f t="shared" si="35"/>
        <v>104.83500330844683</v>
      </c>
      <c r="P47" s="19">
        <f>1/(1+0.12)^9</f>
        <v>0.36061002498157957</v>
      </c>
      <c r="Q47" s="23">
        <f t="shared" si="28"/>
        <v>37.804553162002989</v>
      </c>
      <c r="R47" s="4"/>
      <c r="S47" s="8"/>
      <c r="T47" s="9">
        <v>9</v>
      </c>
      <c r="U47" s="18">
        <v>140.18149949539315</v>
      </c>
      <c r="V47" s="18">
        <v>1.3453938878907409E-5</v>
      </c>
      <c r="W47" s="18">
        <f t="shared" si="36"/>
        <v>140.18148604145426</v>
      </c>
      <c r="X47" s="18">
        <f t="shared" si="49"/>
        <v>35.045371510363566</v>
      </c>
      <c r="Y47" s="18">
        <f t="shared" si="38"/>
        <v>105.13612798502959</v>
      </c>
      <c r="Z47" s="18">
        <f>1/(1+0.12)^9</f>
        <v>0.36061002498157957</v>
      </c>
      <c r="AA47" s="20">
        <f t="shared" si="29"/>
        <v>37.913141739148067</v>
      </c>
      <c r="AB47" s="4"/>
      <c r="AC47" s="8"/>
      <c r="AD47" s="9">
        <v>9</v>
      </c>
      <c r="AE47" s="18">
        <v>55.344893036340295</v>
      </c>
      <c r="AF47" s="18">
        <v>1.3453938878907409E-5</v>
      </c>
      <c r="AG47" s="18">
        <f t="shared" si="39"/>
        <v>55.344879582401418</v>
      </c>
      <c r="AH47" s="18">
        <f t="shared" si="50"/>
        <v>13.836219895600355</v>
      </c>
      <c r="AI47" s="18">
        <f t="shared" si="41"/>
        <v>41.508673140739944</v>
      </c>
      <c r="AJ47" s="18">
        <f>1/(1+0.12)^9</f>
        <v>0.36061002498157957</v>
      </c>
      <c r="AK47" s="20">
        <f t="shared" si="30"/>
        <v>14.968443658234452</v>
      </c>
      <c r="AM47" s="8"/>
      <c r="AN47" s="9">
        <v>9</v>
      </c>
      <c r="AO47" s="18">
        <v>171.13343735136152</v>
      </c>
      <c r="AP47" s="18">
        <v>1.3453938878907409E-5</v>
      </c>
      <c r="AQ47" s="18">
        <f t="shared" si="42"/>
        <v>171.13342389742263</v>
      </c>
      <c r="AR47" s="18">
        <f t="shared" si="51"/>
        <v>42.783355974355658</v>
      </c>
      <c r="AS47" s="18">
        <f t="shared" si="44"/>
        <v>128.35008137700586</v>
      </c>
      <c r="AT47" s="18">
        <f>1/(1+0.12)^9</f>
        <v>0.36061002498157957</v>
      </c>
      <c r="AU47" s="20">
        <f t="shared" si="31"/>
        <v>46.284326051749858</v>
      </c>
      <c r="AW47" s="8"/>
      <c r="AX47" s="9">
        <v>9</v>
      </c>
      <c r="AY47" s="18">
        <v>214.93649089492601</v>
      </c>
      <c r="AZ47" s="18">
        <v>1.3453938878907409E-5</v>
      </c>
      <c r="BA47" s="18">
        <f t="shared" si="45"/>
        <v>214.93647744098712</v>
      </c>
      <c r="BB47" s="18">
        <f t="shared" si="52"/>
        <v>53.73411936024678</v>
      </c>
      <c r="BC47" s="18">
        <f t="shared" si="47"/>
        <v>161.20237153467923</v>
      </c>
      <c r="BD47" s="18">
        <f>1/(1+0.12)^9</f>
        <v>0.36061002498157957</v>
      </c>
      <c r="BE47" s="20">
        <f t="shared" si="32"/>
        <v>58.131191226210547</v>
      </c>
    </row>
    <row r="48" spans="8:57" x14ac:dyDescent="0.25">
      <c r="H48" s="4"/>
      <c r="I48" s="8"/>
      <c r="J48" s="9">
        <v>10</v>
      </c>
      <c r="K48" s="19">
        <v>139.77999992661614</v>
      </c>
      <c r="L48" s="19">
        <v>1.3453938878907409E-5</v>
      </c>
      <c r="M48" s="19">
        <f t="shared" si="33"/>
        <v>139.77998647267725</v>
      </c>
      <c r="N48" s="19">
        <f t="shared" si="48"/>
        <v>34.944996618169313</v>
      </c>
      <c r="O48" s="19">
        <f t="shared" si="35"/>
        <v>104.83500330844683</v>
      </c>
      <c r="P48" s="19">
        <f>1/(1+0.12)^10</f>
        <v>0.32197323659069599</v>
      </c>
      <c r="Q48" s="23">
        <f t="shared" si="28"/>
        <v>33.754065323216949</v>
      </c>
      <c r="R48" s="4"/>
      <c r="S48" s="8"/>
      <c r="T48" s="9">
        <v>10</v>
      </c>
      <c r="U48" s="18">
        <v>140.18149949539315</v>
      </c>
      <c r="V48" s="18">
        <v>1.3453938878907409E-5</v>
      </c>
      <c r="W48" s="18">
        <f t="shared" si="36"/>
        <v>140.18148604145426</v>
      </c>
      <c r="X48" s="18">
        <f t="shared" si="49"/>
        <v>35.045371510363566</v>
      </c>
      <c r="Y48" s="18">
        <f t="shared" si="38"/>
        <v>105.13612798502959</v>
      </c>
      <c r="Z48" s="18">
        <f>1/(1+0.12)^10</f>
        <v>0.32197323659069599</v>
      </c>
      <c r="AA48" s="20">
        <f t="shared" si="29"/>
        <v>33.851019409953622</v>
      </c>
      <c r="AB48" s="4"/>
      <c r="AC48" s="8"/>
      <c r="AD48" s="9">
        <v>10</v>
      </c>
      <c r="AE48" s="18">
        <v>55.344893036340295</v>
      </c>
      <c r="AF48" s="18">
        <v>1.3453938878907409E-5</v>
      </c>
      <c r="AG48" s="18">
        <f t="shared" si="39"/>
        <v>55.344879582401418</v>
      </c>
      <c r="AH48" s="18">
        <f t="shared" si="50"/>
        <v>13.836219895600355</v>
      </c>
      <c r="AI48" s="18">
        <f t="shared" si="41"/>
        <v>41.508673140739944</v>
      </c>
      <c r="AJ48" s="18">
        <f>1/(1+0.12)^10</f>
        <v>0.32197323659069599</v>
      </c>
      <c r="AK48" s="20">
        <f t="shared" si="30"/>
        <v>13.36468183770933</v>
      </c>
      <c r="AM48" s="8"/>
      <c r="AN48" s="9">
        <v>10</v>
      </c>
      <c r="AO48" s="18">
        <v>171.13343735136152</v>
      </c>
      <c r="AP48" s="18">
        <v>1.3453938878907409E-5</v>
      </c>
      <c r="AQ48" s="18">
        <f t="shared" si="42"/>
        <v>171.13342389742263</v>
      </c>
      <c r="AR48" s="18">
        <f t="shared" si="51"/>
        <v>42.783355974355658</v>
      </c>
      <c r="AS48" s="18">
        <f t="shared" si="44"/>
        <v>128.35008137700586</v>
      </c>
      <c r="AT48" s="18">
        <f>1/(1+0.12)^10</f>
        <v>0.32197323659069599</v>
      </c>
      <c r="AU48" s="20">
        <f t="shared" si="31"/>
        <v>41.325291117633789</v>
      </c>
      <c r="AW48" s="8"/>
      <c r="AX48" s="9">
        <v>10</v>
      </c>
      <c r="AY48" s="18">
        <v>214.93649089492601</v>
      </c>
      <c r="AZ48" s="18">
        <v>1.3453938878907409E-5</v>
      </c>
      <c r="BA48" s="18">
        <f t="shared" si="45"/>
        <v>214.93647744098712</v>
      </c>
      <c r="BB48" s="18">
        <f t="shared" si="52"/>
        <v>53.73411936024678</v>
      </c>
      <c r="BC48" s="18">
        <f t="shared" si="47"/>
        <v>161.20237153467923</v>
      </c>
      <c r="BD48" s="18">
        <f>1/(1+0.12)^10</f>
        <v>0.32197323659069599</v>
      </c>
      <c r="BE48" s="20">
        <f t="shared" si="32"/>
        <v>51.902849309116554</v>
      </c>
    </row>
    <row r="49" spans="8:57" x14ac:dyDescent="0.25">
      <c r="H49" s="4"/>
      <c r="I49" s="11"/>
      <c r="J49" s="9">
        <v>11</v>
      </c>
      <c r="K49" s="19">
        <v>139.77999992661614</v>
      </c>
      <c r="L49" s="19">
        <v>1.3453938878907409E-5</v>
      </c>
      <c r="M49" s="19">
        <f t="shared" si="33"/>
        <v>139.77998647267725</v>
      </c>
      <c r="N49" s="19">
        <f t="shared" si="48"/>
        <v>34.944996618169313</v>
      </c>
      <c r="O49" s="19">
        <f t="shared" si="35"/>
        <v>104.83500330844683</v>
      </c>
      <c r="P49" s="19">
        <f>1/(1+0.12)^11</f>
        <v>0.28747610409883567</v>
      </c>
      <c r="Q49" s="23">
        <f t="shared" si="28"/>
        <v>30.137558324300844</v>
      </c>
      <c r="R49" s="4"/>
      <c r="S49" s="11"/>
      <c r="T49" s="9">
        <v>11</v>
      </c>
      <c r="U49" s="18">
        <v>140.18149949539315</v>
      </c>
      <c r="V49" s="18">
        <v>1.3453938878907409E-5</v>
      </c>
      <c r="W49" s="18">
        <f t="shared" si="36"/>
        <v>140.18148604145426</v>
      </c>
      <c r="X49" s="18">
        <f t="shared" si="49"/>
        <v>35.045371510363566</v>
      </c>
      <c r="Y49" s="18">
        <f t="shared" si="38"/>
        <v>105.13612798502959</v>
      </c>
      <c r="Z49" s="18">
        <f>1/(1+0.12)^11</f>
        <v>0.28747610409883567</v>
      </c>
      <c r="AA49" s="20">
        <f t="shared" si="29"/>
        <v>30.224124473172875</v>
      </c>
      <c r="AB49" s="4"/>
      <c r="AC49" s="11"/>
      <c r="AD49" s="9">
        <v>11</v>
      </c>
      <c r="AE49" s="18">
        <v>55.344893036340295</v>
      </c>
      <c r="AF49" s="18">
        <v>1.3453938878907409E-5</v>
      </c>
      <c r="AG49" s="18">
        <f t="shared" si="39"/>
        <v>55.344879582401418</v>
      </c>
      <c r="AH49" s="18">
        <f t="shared" si="50"/>
        <v>13.836219895600355</v>
      </c>
      <c r="AI49" s="18">
        <f t="shared" si="41"/>
        <v>41.508673140739944</v>
      </c>
      <c r="AJ49" s="18">
        <f>1/(1+0.12)^11</f>
        <v>0.28747610409883567</v>
      </c>
      <c r="AK49" s="20">
        <f t="shared" si="30"/>
        <v>11.932751640811901</v>
      </c>
      <c r="AM49" s="11"/>
      <c r="AN49" s="9">
        <v>11</v>
      </c>
      <c r="AO49" s="18">
        <v>171.13343735136152</v>
      </c>
      <c r="AP49" s="18">
        <v>1.3453938878907409E-5</v>
      </c>
      <c r="AQ49" s="18">
        <f t="shared" si="42"/>
        <v>171.13342389742263</v>
      </c>
      <c r="AR49" s="18">
        <f t="shared" si="51"/>
        <v>42.783355974355658</v>
      </c>
      <c r="AS49" s="18">
        <f t="shared" si="44"/>
        <v>128.35008137700586</v>
      </c>
      <c r="AT49" s="18">
        <f>1/(1+0.12)^11</f>
        <v>0.28747610409883567</v>
      </c>
      <c r="AU49" s="20">
        <f t="shared" si="31"/>
        <v>36.897581355030169</v>
      </c>
      <c r="AW49" s="11"/>
      <c r="AX49" s="9">
        <v>11</v>
      </c>
      <c r="AY49" s="18">
        <v>214.93649089492601</v>
      </c>
      <c r="AZ49" s="18">
        <v>1.3453938878907409E-5</v>
      </c>
      <c r="BA49" s="18">
        <f t="shared" si="45"/>
        <v>214.93647744098712</v>
      </c>
      <c r="BB49" s="18">
        <f t="shared" si="52"/>
        <v>53.73411936024678</v>
      </c>
      <c r="BC49" s="18">
        <f t="shared" si="47"/>
        <v>161.20237153467923</v>
      </c>
      <c r="BD49" s="18">
        <f>1/(1+0.12)^11</f>
        <v>0.28747610409883567</v>
      </c>
      <c r="BE49" s="20">
        <f t="shared" si="32"/>
        <v>46.341829740282634</v>
      </c>
    </row>
    <row r="50" spans="8:57" x14ac:dyDescent="0.25">
      <c r="H50" s="4"/>
      <c r="I50" s="8"/>
      <c r="J50" s="9">
        <v>12</v>
      </c>
      <c r="K50" s="19">
        <v>139.77999992661614</v>
      </c>
      <c r="L50" s="19">
        <v>1.3453938878907409E-5</v>
      </c>
      <c r="M50" s="19">
        <f t="shared" si="33"/>
        <v>139.77998647267725</v>
      </c>
      <c r="N50" s="19">
        <f t="shared" si="48"/>
        <v>34.944996618169313</v>
      </c>
      <c r="O50" s="19">
        <f t="shared" si="35"/>
        <v>104.83500330844683</v>
      </c>
      <c r="P50" s="19">
        <f>1/(1+0.12)^12</f>
        <v>0.25667509294538904</v>
      </c>
      <c r="Q50" s="23">
        <f t="shared" si="28"/>
        <v>26.908534218125759</v>
      </c>
      <c r="R50" s="4"/>
      <c r="S50" s="8"/>
      <c r="T50" s="9">
        <v>12</v>
      </c>
      <c r="U50" s="18">
        <v>140.18149949539315</v>
      </c>
      <c r="V50" s="18">
        <v>1.3453938878907409E-5</v>
      </c>
      <c r="W50" s="18">
        <f t="shared" si="36"/>
        <v>140.18148604145426</v>
      </c>
      <c r="X50" s="18">
        <f t="shared" si="49"/>
        <v>35.045371510363566</v>
      </c>
      <c r="Y50" s="18">
        <f t="shared" si="38"/>
        <v>105.13612798502959</v>
      </c>
      <c r="Z50" s="18">
        <f>1/(1+0.12)^12</f>
        <v>0.25667509294538904</v>
      </c>
      <c r="AA50" s="20">
        <f t="shared" si="29"/>
        <v>26.985825422475788</v>
      </c>
      <c r="AB50" s="4"/>
      <c r="AC50" s="8"/>
      <c r="AD50" s="9">
        <v>12</v>
      </c>
      <c r="AE50" s="18">
        <v>55.344893036340295</v>
      </c>
      <c r="AF50" s="18">
        <v>1.3453938878907409E-5</v>
      </c>
      <c r="AG50" s="18">
        <f t="shared" si="39"/>
        <v>55.344879582401418</v>
      </c>
      <c r="AH50" s="18">
        <f t="shared" si="50"/>
        <v>13.836219895600355</v>
      </c>
      <c r="AI50" s="18">
        <f t="shared" si="41"/>
        <v>41.508673140739944</v>
      </c>
      <c r="AJ50" s="18">
        <f>1/(1+0.12)^12</f>
        <v>0.25667509294538904</v>
      </c>
      <c r="AK50" s="20">
        <f t="shared" si="30"/>
        <v>10.654242536439199</v>
      </c>
      <c r="AM50" s="8"/>
      <c r="AN50" s="9">
        <v>12</v>
      </c>
      <c r="AO50" s="18">
        <v>171.13343735136152</v>
      </c>
      <c r="AP50" s="18">
        <v>1.3453938878907409E-5</v>
      </c>
      <c r="AQ50" s="18">
        <f t="shared" si="42"/>
        <v>171.13342389742263</v>
      </c>
      <c r="AR50" s="18">
        <f t="shared" si="51"/>
        <v>42.783355974355658</v>
      </c>
      <c r="AS50" s="18">
        <f t="shared" si="44"/>
        <v>128.35008137700586</v>
      </c>
      <c r="AT50" s="18">
        <f>1/(1+0.12)^12</f>
        <v>0.25667509294538904</v>
      </c>
      <c r="AU50" s="20">
        <f t="shared" si="31"/>
        <v>32.944269066991225</v>
      </c>
      <c r="AW50" s="8"/>
      <c r="AX50" s="9">
        <v>12</v>
      </c>
      <c r="AY50" s="18">
        <v>214.93649089492601</v>
      </c>
      <c r="AZ50" s="18">
        <v>1.3453938878907409E-5</v>
      </c>
      <c r="BA50" s="18">
        <f t="shared" si="45"/>
        <v>214.93647744098712</v>
      </c>
      <c r="BB50" s="18">
        <f t="shared" si="52"/>
        <v>53.73411936024678</v>
      </c>
      <c r="BC50" s="18">
        <f t="shared" si="47"/>
        <v>161.20237153467923</v>
      </c>
      <c r="BD50" s="18">
        <f>1/(1+0.12)^12</f>
        <v>0.25667509294538904</v>
      </c>
      <c r="BE50" s="20">
        <f t="shared" si="32"/>
        <v>41.376633696680926</v>
      </c>
    </row>
    <row r="51" spans="8:57" x14ac:dyDescent="0.25">
      <c r="H51" s="4"/>
      <c r="I51" s="8"/>
      <c r="J51" s="9">
        <v>13</v>
      </c>
      <c r="K51" s="19">
        <v>139.77999992661614</v>
      </c>
      <c r="L51" s="19">
        <v>1.3453938878907409E-5</v>
      </c>
      <c r="M51" s="19">
        <f t="shared" si="33"/>
        <v>139.77998647267725</v>
      </c>
      <c r="N51" s="19">
        <f t="shared" si="48"/>
        <v>34.944996618169313</v>
      </c>
      <c r="O51" s="19">
        <f t="shared" si="35"/>
        <v>104.83500330844683</v>
      </c>
      <c r="P51" s="19">
        <f>1/(1+0.12)^13</f>
        <v>0.22917419012981158</v>
      </c>
      <c r="Q51" s="23">
        <f t="shared" si="28"/>
        <v>24.025476980469421</v>
      </c>
      <c r="R51" s="4"/>
      <c r="S51" s="8"/>
      <c r="T51" s="9">
        <v>13</v>
      </c>
      <c r="U51" s="18">
        <v>140.18149949539315</v>
      </c>
      <c r="V51" s="18">
        <v>1.3453938878907409E-5</v>
      </c>
      <c r="W51" s="18">
        <f t="shared" si="36"/>
        <v>140.18148604145426</v>
      </c>
      <c r="X51" s="18">
        <f t="shared" si="49"/>
        <v>35.045371510363566</v>
      </c>
      <c r="Y51" s="18">
        <f t="shared" si="38"/>
        <v>105.13612798502959</v>
      </c>
      <c r="Z51" s="18">
        <f>1/(1+0.12)^13</f>
        <v>0.22917419012981158</v>
      </c>
      <c r="AA51" s="20">
        <f t="shared" si="29"/>
        <v>24.094486984353374</v>
      </c>
      <c r="AB51" s="4"/>
      <c r="AC51" s="8"/>
      <c r="AD51" s="9">
        <v>13</v>
      </c>
      <c r="AE51" s="18">
        <v>55.344893036340295</v>
      </c>
      <c r="AF51" s="18">
        <v>1.3453938878907409E-5</v>
      </c>
      <c r="AG51" s="18">
        <f t="shared" si="39"/>
        <v>55.344879582401418</v>
      </c>
      <c r="AH51" s="18">
        <f t="shared" si="50"/>
        <v>13.836219895600355</v>
      </c>
      <c r="AI51" s="18">
        <f t="shared" si="41"/>
        <v>41.508673140739944</v>
      </c>
      <c r="AJ51" s="18">
        <f>1/(1+0.12)^13</f>
        <v>0.22917419012981158</v>
      </c>
      <c r="AK51" s="20">
        <f t="shared" si="30"/>
        <v>9.5127165503921383</v>
      </c>
      <c r="AM51" s="8"/>
      <c r="AN51" s="9">
        <v>13</v>
      </c>
      <c r="AO51" s="18">
        <v>171.13343735136152</v>
      </c>
      <c r="AP51" s="18">
        <v>1.3453938878907409E-5</v>
      </c>
      <c r="AQ51" s="18">
        <f t="shared" si="42"/>
        <v>171.13342389742263</v>
      </c>
      <c r="AR51" s="18">
        <f t="shared" si="51"/>
        <v>42.783355974355658</v>
      </c>
      <c r="AS51" s="18">
        <f t="shared" si="44"/>
        <v>128.35008137700586</v>
      </c>
      <c r="AT51" s="18">
        <f>1/(1+0.12)^13</f>
        <v>0.22917419012981158</v>
      </c>
      <c r="AU51" s="20">
        <f t="shared" si="31"/>
        <v>29.414525952670729</v>
      </c>
      <c r="AW51" s="8"/>
      <c r="AX51" s="9">
        <v>13</v>
      </c>
      <c r="AY51" s="18">
        <v>214.93649089492601</v>
      </c>
      <c r="AZ51" s="18">
        <v>1.3453938878907409E-5</v>
      </c>
      <c r="BA51" s="18">
        <f t="shared" si="45"/>
        <v>214.93647744098712</v>
      </c>
      <c r="BB51" s="18">
        <f t="shared" si="52"/>
        <v>53.73411936024678</v>
      </c>
      <c r="BC51" s="18">
        <f t="shared" si="47"/>
        <v>161.20237153467923</v>
      </c>
      <c r="BD51" s="18">
        <f>1/(1+0.12)^13</f>
        <v>0.22917419012981158</v>
      </c>
      <c r="BE51" s="20">
        <f t="shared" si="32"/>
        <v>36.943422943465102</v>
      </c>
    </row>
    <row r="52" spans="8:57" x14ac:dyDescent="0.25">
      <c r="H52" s="4"/>
      <c r="I52" s="8"/>
      <c r="J52" s="9">
        <v>14</v>
      </c>
      <c r="K52" s="19">
        <v>139.77999992661614</v>
      </c>
      <c r="L52" s="19">
        <v>1.3453938878907409E-5</v>
      </c>
      <c r="M52" s="19">
        <f t="shared" si="33"/>
        <v>139.77998647267725</v>
      </c>
      <c r="N52" s="19">
        <f t="shared" si="48"/>
        <v>34.944996618169313</v>
      </c>
      <c r="O52" s="19">
        <f t="shared" si="35"/>
        <v>104.83500330844683</v>
      </c>
      <c r="P52" s="19">
        <f>1/(1+0.12)^14</f>
        <v>0.20461981261590317</v>
      </c>
      <c r="Q52" s="23">
        <f t="shared" si="28"/>
        <v>21.45131873256198</v>
      </c>
      <c r="R52" s="4"/>
      <c r="S52" s="8"/>
      <c r="T52" s="9">
        <v>14</v>
      </c>
      <c r="U52" s="18">
        <v>140.18149949539315</v>
      </c>
      <c r="V52" s="18">
        <v>1.3453938878907409E-5</v>
      </c>
      <c r="W52" s="18">
        <f t="shared" si="36"/>
        <v>140.18148604145426</v>
      </c>
      <c r="X52" s="18">
        <f t="shared" si="49"/>
        <v>35.045371510363566</v>
      </c>
      <c r="Y52" s="18">
        <f t="shared" si="38"/>
        <v>105.13612798502959</v>
      </c>
      <c r="Z52" s="18">
        <f>1/(1+0.12)^14</f>
        <v>0.20461981261590317</v>
      </c>
      <c r="AA52" s="20">
        <f t="shared" si="29"/>
        <v>21.512934807458368</v>
      </c>
      <c r="AB52" s="4"/>
      <c r="AC52" s="8"/>
      <c r="AD52" s="9">
        <v>14</v>
      </c>
      <c r="AE52" s="18">
        <v>55.344893036340295</v>
      </c>
      <c r="AF52" s="18">
        <v>1.3453938878907409E-5</v>
      </c>
      <c r="AG52" s="18">
        <f t="shared" si="39"/>
        <v>55.344879582401418</v>
      </c>
      <c r="AH52" s="18">
        <f t="shared" si="50"/>
        <v>13.836219895600355</v>
      </c>
      <c r="AI52" s="18">
        <f t="shared" si="41"/>
        <v>41.508673140739944</v>
      </c>
      <c r="AJ52" s="18">
        <f>1/(1+0.12)^14</f>
        <v>0.20461981261590317</v>
      </c>
      <c r="AK52" s="20">
        <f t="shared" si="30"/>
        <v>8.49349691999298</v>
      </c>
      <c r="AM52" s="8"/>
      <c r="AN52" s="9">
        <v>14</v>
      </c>
      <c r="AO52" s="18">
        <v>171.13343735136152</v>
      </c>
      <c r="AP52" s="18">
        <v>1.3453938878907409E-5</v>
      </c>
      <c r="AQ52" s="18">
        <f t="shared" si="42"/>
        <v>171.13342389742263</v>
      </c>
      <c r="AR52" s="18">
        <f t="shared" si="51"/>
        <v>42.783355974355658</v>
      </c>
      <c r="AS52" s="18">
        <f t="shared" si="44"/>
        <v>128.35008137700586</v>
      </c>
      <c r="AT52" s="18">
        <f>1/(1+0.12)^14</f>
        <v>0.20461981261590317</v>
      </c>
      <c r="AU52" s="20">
        <f t="shared" si="31"/>
        <v>26.262969600598865</v>
      </c>
      <c r="AW52" s="8"/>
      <c r="AX52" s="9">
        <v>14</v>
      </c>
      <c r="AY52" s="18">
        <v>214.93649089492601</v>
      </c>
      <c r="AZ52" s="18">
        <v>1.3453938878907409E-5</v>
      </c>
      <c r="BA52" s="18">
        <f t="shared" si="45"/>
        <v>214.93647744098712</v>
      </c>
      <c r="BB52" s="18">
        <f t="shared" si="52"/>
        <v>53.73411936024678</v>
      </c>
      <c r="BC52" s="18">
        <f t="shared" si="47"/>
        <v>161.20237153467923</v>
      </c>
      <c r="BD52" s="18">
        <f>1/(1+0.12)^14</f>
        <v>0.20461981261590317</v>
      </c>
      <c r="BE52" s="20">
        <f t="shared" si="32"/>
        <v>32.985199056665266</v>
      </c>
    </row>
    <row r="53" spans="8:57" x14ac:dyDescent="0.25">
      <c r="H53" s="4"/>
      <c r="I53" s="8"/>
      <c r="J53" s="9">
        <v>15</v>
      </c>
      <c r="K53" s="19">
        <v>139.77999992661614</v>
      </c>
      <c r="L53" s="19">
        <v>1.3453938878907409E-5</v>
      </c>
      <c r="M53" s="19">
        <f t="shared" si="33"/>
        <v>139.77998647267725</v>
      </c>
      <c r="N53" s="19">
        <f t="shared" si="48"/>
        <v>34.944996618169313</v>
      </c>
      <c r="O53" s="19">
        <f t="shared" si="35"/>
        <v>104.83500330844683</v>
      </c>
      <c r="P53" s="19">
        <f>1/(1+0.12)^15</f>
        <v>0.18269626126419927</v>
      </c>
      <c r="Q53" s="23">
        <f t="shared" si="28"/>
        <v>19.152963154073198</v>
      </c>
      <c r="R53" s="4"/>
      <c r="S53" s="8"/>
      <c r="T53" s="9">
        <v>15</v>
      </c>
      <c r="U53" s="18">
        <v>140.18149949539315</v>
      </c>
      <c r="V53" s="18">
        <v>1.3453938878907409E-5</v>
      </c>
      <c r="W53" s="18">
        <f t="shared" si="36"/>
        <v>140.18148604145426</v>
      </c>
      <c r="X53" s="18">
        <f t="shared" si="49"/>
        <v>35.045371510363566</v>
      </c>
      <c r="Y53" s="18">
        <f t="shared" si="38"/>
        <v>105.13612798502959</v>
      </c>
      <c r="Z53" s="18">
        <f>1/(1+0.12)^15</f>
        <v>0.18269626126419927</v>
      </c>
      <c r="AA53" s="20">
        <f t="shared" si="29"/>
        <v>19.207977506659258</v>
      </c>
      <c r="AB53" s="4"/>
      <c r="AC53" s="8"/>
      <c r="AD53" s="9">
        <v>15</v>
      </c>
      <c r="AE53" s="18">
        <v>55.344893036340295</v>
      </c>
      <c r="AF53" s="18">
        <v>1.3453938878907409E-5</v>
      </c>
      <c r="AG53" s="18">
        <f t="shared" si="39"/>
        <v>55.344879582401418</v>
      </c>
      <c r="AH53" s="18">
        <f t="shared" si="50"/>
        <v>13.836219895600355</v>
      </c>
      <c r="AI53" s="18">
        <f t="shared" si="41"/>
        <v>41.508673140739944</v>
      </c>
      <c r="AJ53" s="18">
        <f>1/(1+0.12)^15</f>
        <v>0.18269626126419927</v>
      </c>
      <c r="AK53" s="20">
        <f t="shared" si="30"/>
        <v>7.5834793928508759</v>
      </c>
      <c r="AM53" s="8"/>
      <c r="AN53" s="9">
        <v>15</v>
      </c>
      <c r="AO53" s="18">
        <v>171.13343735136152</v>
      </c>
      <c r="AP53" s="18">
        <v>1.3453938878907409E-5</v>
      </c>
      <c r="AQ53" s="18">
        <f t="shared" si="42"/>
        <v>171.13342389742263</v>
      </c>
      <c r="AR53" s="18">
        <f t="shared" si="51"/>
        <v>42.783355974355658</v>
      </c>
      <c r="AS53" s="18">
        <f t="shared" si="44"/>
        <v>128.35008137700586</v>
      </c>
      <c r="AT53" s="18">
        <f>1/(1+0.12)^15</f>
        <v>0.18269626126419927</v>
      </c>
      <c r="AU53" s="20">
        <f t="shared" si="31"/>
        <v>23.4490800005347</v>
      </c>
      <c r="AW53" s="8"/>
      <c r="AX53" s="9">
        <v>15</v>
      </c>
      <c r="AY53" s="18">
        <v>214.93649089492601</v>
      </c>
      <c r="AZ53" s="18">
        <v>1.3453938878907409E-5</v>
      </c>
      <c r="BA53" s="18">
        <f t="shared" si="45"/>
        <v>214.93647744098712</v>
      </c>
      <c r="BB53" s="18">
        <f t="shared" si="52"/>
        <v>53.73411936024678</v>
      </c>
      <c r="BC53" s="18">
        <f t="shared" si="47"/>
        <v>161.20237153467923</v>
      </c>
      <c r="BD53" s="18">
        <f>1/(1+0.12)^15</f>
        <v>0.18269626126419927</v>
      </c>
      <c r="BE53" s="20">
        <f t="shared" si="32"/>
        <v>29.451070586308276</v>
      </c>
    </row>
    <row r="54" spans="8:57" x14ac:dyDescent="0.25">
      <c r="H54" s="4"/>
      <c r="I54" s="8"/>
      <c r="J54" s="9">
        <v>16</v>
      </c>
      <c r="K54" s="19">
        <v>139.77999992661614</v>
      </c>
      <c r="L54" s="19">
        <v>1.3453938878907409E-5</v>
      </c>
      <c r="M54" s="19">
        <f t="shared" si="33"/>
        <v>139.77998647267725</v>
      </c>
      <c r="N54" s="19">
        <f t="shared" si="48"/>
        <v>34.944996618169313</v>
      </c>
      <c r="O54" s="19">
        <f t="shared" si="35"/>
        <v>104.83500330844683</v>
      </c>
      <c r="P54" s="19">
        <f>1/(1+0.12)^16</f>
        <v>0.16312166184303503</v>
      </c>
      <c r="Q54" s="23">
        <f t="shared" si="28"/>
        <v>17.100859958993922</v>
      </c>
      <c r="R54" s="4"/>
      <c r="S54" s="8"/>
      <c r="T54" s="9">
        <v>16</v>
      </c>
      <c r="U54" s="18">
        <v>140.18149949539315</v>
      </c>
      <c r="V54" s="18">
        <v>1.3453938878907409E-5</v>
      </c>
      <c r="W54" s="18">
        <f t="shared" si="36"/>
        <v>140.18148604145426</v>
      </c>
      <c r="X54" s="18">
        <f t="shared" si="49"/>
        <v>35.045371510363566</v>
      </c>
      <c r="Y54" s="18">
        <f t="shared" si="38"/>
        <v>105.13612798502959</v>
      </c>
      <c r="Z54" s="18">
        <f>1/(1+0.12)^16</f>
        <v>0.16312166184303503</v>
      </c>
      <c r="AA54" s="20">
        <f t="shared" si="29"/>
        <v>17.149979916660048</v>
      </c>
      <c r="AB54" s="4"/>
      <c r="AC54" s="8"/>
      <c r="AD54" s="9">
        <v>16</v>
      </c>
      <c r="AE54" s="18">
        <v>55.344893036340295</v>
      </c>
      <c r="AF54" s="18">
        <v>1.3453938878907409E-5</v>
      </c>
      <c r="AG54" s="18">
        <f t="shared" si="39"/>
        <v>55.344879582401418</v>
      </c>
      <c r="AH54" s="18">
        <f t="shared" si="50"/>
        <v>13.836219895600355</v>
      </c>
      <c r="AI54" s="18">
        <f t="shared" si="41"/>
        <v>41.508673140739944</v>
      </c>
      <c r="AJ54" s="18">
        <f>1/(1+0.12)^16</f>
        <v>0.16312166184303503</v>
      </c>
      <c r="AK54" s="20">
        <f t="shared" si="30"/>
        <v>6.7709637436168517</v>
      </c>
      <c r="AM54" s="8"/>
      <c r="AN54" s="9">
        <v>16</v>
      </c>
      <c r="AO54" s="18">
        <v>171.13343735136152</v>
      </c>
      <c r="AP54" s="18">
        <v>1.3453938878907409E-5</v>
      </c>
      <c r="AQ54" s="18">
        <f t="shared" si="42"/>
        <v>171.13342389742263</v>
      </c>
      <c r="AR54" s="18">
        <f t="shared" si="51"/>
        <v>42.783355974355658</v>
      </c>
      <c r="AS54" s="18">
        <f t="shared" si="44"/>
        <v>128.35008137700586</v>
      </c>
      <c r="AT54" s="18">
        <f>1/(1+0.12)^16</f>
        <v>0.16312166184303503</v>
      </c>
      <c r="AU54" s="20">
        <f t="shared" si="31"/>
        <v>20.936678571905979</v>
      </c>
      <c r="AW54" s="8"/>
      <c r="AX54" s="9">
        <v>16</v>
      </c>
      <c r="AY54" s="18">
        <v>214.93649089492601</v>
      </c>
      <c r="AZ54" s="18">
        <v>1.3453938878907409E-5</v>
      </c>
      <c r="BA54" s="18">
        <f t="shared" si="45"/>
        <v>214.93647744098712</v>
      </c>
      <c r="BB54" s="18">
        <f t="shared" si="52"/>
        <v>53.73411936024678</v>
      </c>
      <c r="BC54" s="18">
        <f t="shared" si="47"/>
        <v>161.20237153467923</v>
      </c>
      <c r="BD54" s="18">
        <f>1/(1+0.12)^16</f>
        <v>0.16312166184303503</v>
      </c>
      <c r="BE54" s="20">
        <f t="shared" si="32"/>
        <v>26.29559873777524</v>
      </c>
    </row>
    <row r="55" spans="8:57" x14ac:dyDescent="0.25">
      <c r="H55" s="4"/>
      <c r="I55" s="8"/>
      <c r="J55" s="9">
        <v>17</v>
      </c>
      <c r="K55" s="19">
        <v>139.77999992661614</v>
      </c>
      <c r="L55" s="19">
        <v>1.3453938878907409E-5</v>
      </c>
      <c r="M55" s="19">
        <f t="shared" si="33"/>
        <v>139.77998647267725</v>
      </c>
      <c r="N55" s="19">
        <f t="shared" si="48"/>
        <v>34.944996618169313</v>
      </c>
      <c r="O55" s="19">
        <f t="shared" si="35"/>
        <v>104.83500330844683</v>
      </c>
      <c r="P55" s="19">
        <f>1/(1+0.12)^17</f>
        <v>0.14564434093128129</v>
      </c>
      <c r="Q55" s="23">
        <f t="shared" si="28"/>
        <v>15.268624963387431</v>
      </c>
      <c r="R55" s="4"/>
      <c r="S55" s="8"/>
      <c r="T55" s="9">
        <v>17</v>
      </c>
      <c r="U55" s="18">
        <v>140.18149949539315</v>
      </c>
      <c r="V55" s="18">
        <v>1.3453938878907409E-5</v>
      </c>
      <c r="W55" s="18">
        <f t="shared" si="36"/>
        <v>140.18148604145426</v>
      </c>
      <c r="X55" s="18">
        <f t="shared" si="49"/>
        <v>35.045371510363566</v>
      </c>
      <c r="Y55" s="18">
        <f t="shared" si="38"/>
        <v>105.13612798502959</v>
      </c>
      <c r="Z55" s="18">
        <f>1/(1+0.12)^17</f>
        <v>0.14564434093128129</v>
      </c>
      <c r="AA55" s="20">
        <f t="shared" si="29"/>
        <v>15.312482068446473</v>
      </c>
      <c r="AB55" s="4"/>
      <c r="AC55" s="8"/>
      <c r="AD55" s="9">
        <v>17</v>
      </c>
      <c r="AE55" s="18">
        <v>55.344893036340295</v>
      </c>
      <c r="AF55" s="18">
        <v>1.3453938878907409E-5</v>
      </c>
      <c r="AG55" s="18">
        <f t="shared" si="39"/>
        <v>55.344879582401418</v>
      </c>
      <c r="AH55" s="18">
        <f t="shared" si="50"/>
        <v>13.836219895600355</v>
      </c>
      <c r="AI55" s="18">
        <f t="shared" si="41"/>
        <v>41.508673140739944</v>
      </c>
      <c r="AJ55" s="18">
        <f>1/(1+0.12)^17</f>
        <v>0.14564434093128129</v>
      </c>
      <c r="AK55" s="20">
        <f t="shared" si="30"/>
        <v>6.0455033425150466</v>
      </c>
      <c r="AM55" s="8"/>
      <c r="AN55" s="9">
        <v>17</v>
      </c>
      <c r="AO55" s="18">
        <v>171.13343735136152</v>
      </c>
      <c r="AP55" s="18">
        <v>1.3453938878907409E-5</v>
      </c>
      <c r="AQ55" s="18">
        <f t="shared" si="42"/>
        <v>171.13342389742263</v>
      </c>
      <c r="AR55" s="18">
        <f t="shared" si="51"/>
        <v>42.783355974355658</v>
      </c>
      <c r="AS55" s="18">
        <f t="shared" si="44"/>
        <v>128.35008137700586</v>
      </c>
      <c r="AT55" s="18">
        <f>1/(1+0.12)^17</f>
        <v>0.14564434093128129</v>
      </c>
      <c r="AU55" s="20">
        <f t="shared" si="31"/>
        <v>18.693463010630339</v>
      </c>
      <c r="AW55" s="8"/>
      <c r="AX55" s="9">
        <v>17</v>
      </c>
      <c r="AY55" s="18">
        <v>214.93649089492601</v>
      </c>
      <c r="AZ55" s="18">
        <v>1.3453938878907409E-5</v>
      </c>
      <c r="BA55" s="18">
        <f t="shared" si="45"/>
        <v>214.93647744098712</v>
      </c>
      <c r="BB55" s="18">
        <f t="shared" si="52"/>
        <v>53.73411936024678</v>
      </c>
      <c r="BC55" s="18">
        <f t="shared" si="47"/>
        <v>161.20237153467923</v>
      </c>
      <c r="BD55" s="18">
        <f>1/(1+0.12)^17</f>
        <v>0.14564434093128129</v>
      </c>
      <c r="BE55" s="20">
        <f t="shared" si="32"/>
        <v>23.478213158727897</v>
      </c>
    </row>
    <row r="56" spans="8:57" x14ac:dyDescent="0.25">
      <c r="H56" s="4"/>
      <c r="I56" s="8"/>
      <c r="J56" s="9">
        <v>18</v>
      </c>
      <c r="K56" s="19">
        <v>139.77999992661614</v>
      </c>
      <c r="L56" s="19">
        <v>1.3453938878907409E-5</v>
      </c>
      <c r="M56" s="19">
        <f t="shared" si="33"/>
        <v>139.77998647267725</v>
      </c>
      <c r="N56" s="19">
        <f t="shared" si="48"/>
        <v>34.944996618169313</v>
      </c>
      <c r="O56" s="19">
        <f t="shared" si="35"/>
        <v>104.83500330844683</v>
      </c>
      <c r="P56" s="19">
        <f>1/(1+0.12)^18</f>
        <v>0.13003959011721541</v>
      </c>
      <c r="Q56" s="23">
        <f t="shared" si="28"/>
        <v>13.632700860167347</v>
      </c>
      <c r="R56" s="4"/>
      <c r="S56" s="8"/>
      <c r="T56" s="9">
        <v>18</v>
      </c>
      <c r="U56" s="18">
        <v>140.18149949539315</v>
      </c>
      <c r="V56" s="18">
        <v>1.3453938878907409E-5</v>
      </c>
      <c r="W56" s="18">
        <f t="shared" si="36"/>
        <v>140.18148604145426</v>
      </c>
      <c r="X56" s="18">
        <f t="shared" si="49"/>
        <v>35.045371510363566</v>
      </c>
      <c r="Y56" s="18">
        <f t="shared" si="38"/>
        <v>105.13612798502959</v>
      </c>
      <c r="Z56" s="18">
        <f>1/(1+0.12)^18</f>
        <v>0.13003959011721541</v>
      </c>
      <c r="AA56" s="20">
        <f t="shared" si="29"/>
        <v>13.671858989684349</v>
      </c>
      <c r="AB56" s="4"/>
      <c r="AC56" s="8"/>
      <c r="AD56" s="9">
        <v>18</v>
      </c>
      <c r="AE56" s="18">
        <v>55.344893036340295</v>
      </c>
      <c r="AF56" s="18">
        <v>1.3453938878907409E-5</v>
      </c>
      <c r="AG56" s="18">
        <f t="shared" si="39"/>
        <v>55.344879582401418</v>
      </c>
      <c r="AH56" s="18">
        <f t="shared" si="50"/>
        <v>13.836219895600355</v>
      </c>
      <c r="AI56" s="18">
        <f t="shared" si="41"/>
        <v>41.508673140739944</v>
      </c>
      <c r="AJ56" s="18">
        <f>1/(1+0.12)^18</f>
        <v>0.13003959011721541</v>
      </c>
      <c r="AK56" s="20">
        <f t="shared" si="30"/>
        <v>5.3977708415312913</v>
      </c>
      <c r="AM56" s="8"/>
      <c r="AN56" s="9">
        <v>18</v>
      </c>
      <c r="AO56" s="18">
        <v>171.13343735136152</v>
      </c>
      <c r="AP56" s="18">
        <v>1.3453938878907409E-5</v>
      </c>
      <c r="AQ56" s="18">
        <f t="shared" si="42"/>
        <v>171.13342389742263</v>
      </c>
      <c r="AR56" s="18">
        <f t="shared" si="51"/>
        <v>42.783355974355658</v>
      </c>
      <c r="AS56" s="18">
        <f t="shared" si="44"/>
        <v>128.35008137700586</v>
      </c>
      <c r="AT56" s="18">
        <f>1/(1+0.12)^18</f>
        <v>0.13003959011721541</v>
      </c>
      <c r="AU56" s="20">
        <f t="shared" si="31"/>
        <v>16.690591973777085</v>
      </c>
      <c r="AW56" s="8"/>
      <c r="AX56" s="9">
        <v>18</v>
      </c>
      <c r="AY56" s="18">
        <v>214.93649089492601</v>
      </c>
      <c r="AZ56" s="18">
        <v>1.3453938878907409E-5</v>
      </c>
      <c r="BA56" s="18">
        <f t="shared" si="45"/>
        <v>214.93647744098712</v>
      </c>
      <c r="BB56" s="18">
        <f t="shared" si="52"/>
        <v>53.73411936024678</v>
      </c>
      <c r="BC56" s="18">
        <f t="shared" si="47"/>
        <v>161.20237153467923</v>
      </c>
      <c r="BD56" s="18">
        <f>1/(1+0.12)^18</f>
        <v>0.13003959011721541</v>
      </c>
      <c r="BE56" s="20">
        <f t="shared" si="32"/>
        <v>20.962690320292761</v>
      </c>
    </row>
    <row r="57" spans="8:57" x14ac:dyDescent="0.25">
      <c r="H57" s="4"/>
      <c r="I57" s="8"/>
      <c r="J57" s="9">
        <v>19</v>
      </c>
      <c r="K57" s="19">
        <v>139.77999992661614</v>
      </c>
      <c r="L57" s="19">
        <v>1.3453938878907409E-5</v>
      </c>
      <c r="M57" s="19">
        <f t="shared" si="33"/>
        <v>139.77998647267725</v>
      </c>
      <c r="N57" s="19">
        <f t="shared" si="48"/>
        <v>34.944996618169313</v>
      </c>
      <c r="O57" s="19">
        <f t="shared" si="35"/>
        <v>104.83500330844683</v>
      </c>
      <c r="P57" s="19">
        <f>1/(1+0.12)^19</f>
        <v>0.1161067768903709</v>
      </c>
      <c r="Q57" s="23">
        <f t="shared" si="28"/>
        <v>12.172054339435132</v>
      </c>
      <c r="R57" s="4"/>
      <c r="S57" s="8"/>
      <c r="T57" s="9">
        <v>19</v>
      </c>
      <c r="U57" s="18">
        <v>140.18149949539315</v>
      </c>
      <c r="V57" s="18">
        <v>1.3453938878907409E-5</v>
      </c>
      <c r="W57" s="18">
        <f t="shared" si="36"/>
        <v>140.18148604145426</v>
      </c>
      <c r="X57" s="18">
        <f t="shared" si="49"/>
        <v>35.045371510363566</v>
      </c>
      <c r="Y57" s="18">
        <f t="shared" si="38"/>
        <v>105.13612798502959</v>
      </c>
      <c r="Z57" s="18">
        <f>1/(1+0.12)^19</f>
        <v>0.1161067768903709</v>
      </c>
      <c r="AA57" s="20">
        <f t="shared" si="29"/>
        <v>12.207016955075311</v>
      </c>
      <c r="AB57" s="4"/>
      <c r="AC57" s="8"/>
      <c r="AD57" s="9">
        <v>19</v>
      </c>
      <c r="AE57" s="18">
        <v>55.344893036340295</v>
      </c>
      <c r="AF57" s="18">
        <v>1.3453938878907409E-5</v>
      </c>
      <c r="AG57" s="18">
        <f t="shared" si="39"/>
        <v>55.344879582401418</v>
      </c>
      <c r="AH57" s="18">
        <f t="shared" si="50"/>
        <v>13.836219895600355</v>
      </c>
      <c r="AI57" s="18">
        <f t="shared" si="41"/>
        <v>41.508673140739944</v>
      </c>
      <c r="AJ57" s="18">
        <f>1/(1+0.12)^19</f>
        <v>0.1161067768903709</v>
      </c>
      <c r="AK57" s="20">
        <f t="shared" si="30"/>
        <v>4.8194382513672238</v>
      </c>
      <c r="AM57" s="8"/>
      <c r="AN57" s="9">
        <v>19</v>
      </c>
      <c r="AO57" s="18">
        <v>171.13343735136152</v>
      </c>
      <c r="AP57" s="18">
        <v>1.3453938878907409E-5</v>
      </c>
      <c r="AQ57" s="18">
        <f t="shared" si="42"/>
        <v>171.13342389742263</v>
      </c>
      <c r="AR57" s="18">
        <f t="shared" si="51"/>
        <v>42.783355974355658</v>
      </c>
      <c r="AS57" s="18">
        <f t="shared" si="44"/>
        <v>128.35008137700586</v>
      </c>
      <c r="AT57" s="18">
        <f>1/(1+0.12)^19</f>
        <v>0.1161067768903709</v>
      </c>
      <c r="AU57" s="20">
        <f t="shared" si="31"/>
        <v>14.902314262300969</v>
      </c>
      <c r="AW57" s="8"/>
      <c r="AX57" s="9">
        <v>19</v>
      </c>
      <c r="AY57" s="18">
        <v>214.93649089492601</v>
      </c>
      <c r="AZ57" s="18">
        <v>1.3453938878907409E-5</v>
      </c>
      <c r="BA57" s="18">
        <f t="shared" si="45"/>
        <v>214.93647744098712</v>
      </c>
      <c r="BB57" s="18">
        <f t="shared" si="52"/>
        <v>53.73411936024678</v>
      </c>
      <c r="BC57" s="18">
        <f t="shared" si="47"/>
        <v>161.20237153467923</v>
      </c>
      <c r="BD57" s="18">
        <f>1/(1+0.12)^19</f>
        <v>0.1161067768903709</v>
      </c>
      <c r="BE57" s="20">
        <f t="shared" si="32"/>
        <v>18.716687785975676</v>
      </c>
    </row>
    <row r="58" spans="8:57" x14ac:dyDescent="0.25">
      <c r="H58" s="4"/>
      <c r="I58" s="8"/>
      <c r="J58" s="9">
        <v>20</v>
      </c>
      <c r="K58" s="19">
        <v>139.77999992661614</v>
      </c>
      <c r="L58" s="19">
        <v>1.3453938878907409E-5</v>
      </c>
      <c r="M58" s="19">
        <f t="shared" si="33"/>
        <v>139.77998647267725</v>
      </c>
      <c r="N58" s="19">
        <f t="shared" si="48"/>
        <v>34.944996618169313</v>
      </c>
      <c r="O58" s="19">
        <f t="shared" si="35"/>
        <v>104.83500330844683</v>
      </c>
      <c r="P58" s="19">
        <f>1/(1+0.12)^20</f>
        <v>0.1036667650806883</v>
      </c>
      <c r="Q58" s="23">
        <f t="shared" si="28"/>
        <v>10.867905660209939</v>
      </c>
      <c r="R58" s="4"/>
      <c r="S58" s="8"/>
      <c r="T58" s="9">
        <v>20</v>
      </c>
      <c r="U58" s="18">
        <v>140.18149949539315</v>
      </c>
      <c r="V58" s="18">
        <v>1.3453938878907409E-5</v>
      </c>
      <c r="W58" s="18">
        <f t="shared" si="36"/>
        <v>140.18148604145426</v>
      </c>
      <c r="X58" s="18">
        <f t="shared" si="49"/>
        <v>35.045371510363566</v>
      </c>
      <c r="Y58" s="18">
        <f t="shared" si="38"/>
        <v>105.13612798502959</v>
      </c>
      <c r="Z58" s="18">
        <f>1/(1+0.12)^20</f>
        <v>0.1036667650806883</v>
      </c>
      <c r="AA58" s="20">
        <f t="shared" si="29"/>
        <v>10.899122281317242</v>
      </c>
      <c r="AB58" s="4"/>
      <c r="AC58" s="8"/>
      <c r="AD58" s="9">
        <v>20</v>
      </c>
      <c r="AE58" s="18">
        <v>55.344893036340295</v>
      </c>
      <c r="AF58" s="18">
        <v>1.3453938878907409E-5</v>
      </c>
      <c r="AG58" s="18">
        <f t="shared" si="39"/>
        <v>55.344879582401418</v>
      </c>
      <c r="AH58" s="18">
        <f t="shared" si="50"/>
        <v>13.836219895600355</v>
      </c>
      <c r="AI58" s="18">
        <f t="shared" si="41"/>
        <v>41.508673140739944</v>
      </c>
      <c r="AJ58" s="18">
        <f>1/(1+0.12)^20</f>
        <v>0.1036667650806883</v>
      </c>
      <c r="AK58" s="20">
        <f t="shared" si="30"/>
        <v>4.3030698672921641</v>
      </c>
      <c r="AM58" s="8"/>
      <c r="AN58" s="9">
        <v>20</v>
      </c>
      <c r="AO58" s="18">
        <v>171.13343735136152</v>
      </c>
      <c r="AP58" s="18">
        <v>1.3453938878907409E-5</v>
      </c>
      <c r="AQ58" s="18">
        <f t="shared" si="42"/>
        <v>171.13342389742263</v>
      </c>
      <c r="AR58" s="18">
        <f t="shared" si="51"/>
        <v>42.783355974355658</v>
      </c>
      <c r="AS58" s="18">
        <f t="shared" si="44"/>
        <v>128.35008137700586</v>
      </c>
      <c r="AT58" s="18">
        <f>1/(1+0.12)^20</f>
        <v>0.1036667650806883</v>
      </c>
      <c r="AU58" s="20">
        <f t="shared" si="31"/>
        <v>13.305637734197292</v>
      </c>
      <c r="AW58" s="8"/>
      <c r="AX58" s="9">
        <v>20</v>
      </c>
      <c r="AY58" s="18">
        <v>214.93649089492601</v>
      </c>
      <c r="AZ58" s="18">
        <v>1.3453938878907409E-5</v>
      </c>
      <c r="BA58" s="18">
        <f t="shared" si="45"/>
        <v>214.93647744098712</v>
      </c>
      <c r="BB58" s="18">
        <f t="shared" si="52"/>
        <v>53.73411936024678</v>
      </c>
      <c r="BC58" s="18">
        <f t="shared" si="47"/>
        <v>161.20237153467923</v>
      </c>
      <c r="BD58" s="18">
        <f>1/(1+0.12)^20</f>
        <v>0.1036667650806883</v>
      </c>
      <c r="BE58" s="20">
        <f t="shared" si="32"/>
        <v>16.711328380335427</v>
      </c>
    </row>
    <row r="59" spans="8:57" x14ac:dyDescent="0.25">
      <c r="H59" s="4"/>
      <c r="I59" s="8"/>
      <c r="J59" s="9">
        <v>21</v>
      </c>
      <c r="K59" s="19">
        <v>139.77999992661614</v>
      </c>
      <c r="L59" s="19">
        <v>1.3453938878907409E-5</v>
      </c>
      <c r="M59" s="19">
        <f>K59-L59</f>
        <v>139.77998647267725</v>
      </c>
      <c r="N59" s="19">
        <f t="shared" si="48"/>
        <v>34.944996618169313</v>
      </c>
      <c r="O59" s="19">
        <f t="shared" si="35"/>
        <v>104.83500330844683</v>
      </c>
      <c r="P59" s="19">
        <f>1/(1+0.12)^21</f>
        <v>9.2559611679185971E-2</v>
      </c>
      <c r="Q59" s="23">
        <f t="shared" si="28"/>
        <v>9.703487196616015</v>
      </c>
      <c r="R59" s="4"/>
      <c r="S59" s="8"/>
      <c r="T59" s="9">
        <v>21</v>
      </c>
      <c r="U59" s="18">
        <v>140.18149949539315</v>
      </c>
      <c r="V59" s="18">
        <v>1.3453938878907409E-5</v>
      </c>
      <c r="W59" s="18">
        <f>U59-V59</f>
        <v>140.18148604145426</v>
      </c>
      <c r="X59" s="18">
        <f t="shared" si="49"/>
        <v>35.045371510363566</v>
      </c>
      <c r="Y59" s="18">
        <f t="shared" si="38"/>
        <v>105.13612798502959</v>
      </c>
      <c r="Z59" s="18">
        <f>1/(1+0.12)^21</f>
        <v>9.2559611679185971E-2</v>
      </c>
      <c r="AA59" s="20">
        <f t="shared" si="29"/>
        <v>9.7313591797475354</v>
      </c>
      <c r="AB59" s="4"/>
      <c r="AC59" s="8"/>
      <c r="AD59" s="9">
        <v>21</v>
      </c>
      <c r="AE59" s="18">
        <v>55.344893036340295</v>
      </c>
      <c r="AF59" s="18">
        <v>1.3453938878907409E-5</v>
      </c>
      <c r="AG59" s="18">
        <f>AE59-AF59</f>
        <v>55.344879582401418</v>
      </c>
      <c r="AH59" s="18">
        <f t="shared" si="50"/>
        <v>13.836219895600355</v>
      </c>
      <c r="AI59" s="18">
        <f t="shared" si="41"/>
        <v>41.508673140739944</v>
      </c>
      <c r="AJ59" s="18">
        <f>1/(1+0.12)^21</f>
        <v>9.2559611679185971E-2</v>
      </c>
      <c r="AK59" s="20">
        <f t="shared" si="30"/>
        <v>3.842026667225146</v>
      </c>
      <c r="AM59" s="8"/>
      <c r="AN59" s="9">
        <v>21</v>
      </c>
      <c r="AO59" s="18">
        <v>171.13343735136152</v>
      </c>
      <c r="AP59" s="18">
        <v>1.3453938878907409E-5</v>
      </c>
      <c r="AQ59" s="18">
        <f>AO59-AP59</f>
        <v>171.13342389742263</v>
      </c>
      <c r="AR59" s="18">
        <f t="shared" si="51"/>
        <v>42.783355974355658</v>
      </c>
      <c r="AS59" s="18">
        <f t="shared" si="44"/>
        <v>128.35008137700586</v>
      </c>
      <c r="AT59" s="18">
        <f>1/(1+0.12)^21</f>
        <v>9.2559611679185971E-2</v>
      </c>
      <c r="AU59" s="20">
        <f t="shared" si="31"/>
        <v>11.880033691247581</v>
      </c>
      <c r="AW59" s="8"/>
      <c r="AX59" s="9">
        <v>21</v>
      </c>
      <c r="AY59" s="18">
        <v>214.93649089492601</v>
      </c>
      <c r="AZ59" s="18">
        <v>1.3453938878907409E-5</v>
      </c>
      <c r="BA59" s="18">
        <f>AY59-AZ59</f>
        <v>214.93647744098712</v>
      </c>
      <c r="BB59" s="18">
        <f t="shared" si="52"/>
        <v>53.73411936024678</v>
      </c>
      <c r="BC59" s="18">
        <f t="shared" si="47"/>
        <v>161.20237153467923</v>
      </c>
      <c r="BD59" s="18">
        <f>1/(1+0.12)^21</f>
        <v>9.2559611679185971E-2</v>
      </c>
      <c r="BE59" s="20">
        <f t="shared" si="32"/>
        <v>14.920828911013771</v>
      </c>
    </row>
    <row r="60" spans="8:57" x14ac:dyDescent="0.25">
      <c r="H60" s="4"/>
      <c r="I60" s="8"/>
      <c r="J60" s="9">
        <v>22</v>
      </c>
      <c r="K60" s="19">
        <v>139.77999992661614</v>
      </c>
      <c r="L60" s="19">
        <v>1.3453938878907409E-5</v>
      </c>
      <c r="M60" s="19">
        <f t="shared" ref="M60:M68" si="53">K60-L60</f>
        <v>139.77998647267725</v>
      </c>
      <c r="N60" s="19">
        <f t="shared" si="48"/>
        <v>34.944996618169313</v>
      </c>
      <c r="O60" s="19">
        <f t="shared" si="35"/>
        <v>104.83500330844683</v>
      </c>
      <c r="P60" s="19">
        <f>1/(1+0.12)^22</f>
        <v>8.2642510427844609E-2</v>
      </c>
      <c r="Q60" s="23">
        <f t="shared" si="28"/>
        <v>8.6638278541214415</v>
      </c>
      <c r="R60" s="4"/>
      <c r="S60" s="8"/>
      <c r="T60" s="9">
        <v>22</v>
      </c>
      <c r="U60" s="18">
        <v>140.18149949539315</v>
      </c>
      <c r="V60" s="18">
        <v>1.3453938878907409E-5</v>
      </c>
      <c r="W60" s="18">
        <f t="shared" ref="W60:W68" si="54">U60-V60</f>
        <v>140.18148604145426</v>
      </c>
      <c r="X60" s="18">
        <f t="shared" si="49"/>
        <v>35.045371510363566</v>
      </c>
      <c r="Y60" s="18">
        <f t="shared" si="38"/>
        <v>105.13612798502959</v>
      </c>
      <c r="Z60" s="18">
        <f>1/(1+0.12)^22</f>
        <v>8.2642510427844609E-2</v>
      </c>
      <c r="AA60" s="20">
        <f t="shared" si="29"/>
        <v>8.6887135533460125</v>
      </c>
      <c r="AB60" s="4"/>
      <c r="AC60" s="8"/>
      <c r="AD60" s="9">
        <v>22</v>
      </c>
      <c r="AE60" s="18">
        <v>55.344893036340295</v>
      </c>
      <c r="AF60" s="18">
        <v>1.3453938878907409E-5</v>
      </c>
      <c r="AG60" s="18">
        <f t="shared" ref="AG60:AG68" si="55">AE60-AF60</f>
        <v>55.344879582401418</v>
      </c>
      <c r="AH60" s="18">
        <f t="shared" si="50"/>
        <v>13.836219895600355</v>
      </c>
      <c r="AI60" s="18">
        <f t="shared" si="41"/>
        <v>41.508673140739944</v>
      </c>
      <c r="AJ60" s="18">
        <f>1/(1+0.12)^22</f>
        <v>8.2642510427844609E-2</v>
      </c>
      <c r="AK60" s="20">
        <f t="shared" si="30"/>
        <v>3.4303809528795943</v>
      </c>
      <c r="AM60" s="8"/>
      <c r="AN60" s="9">
        <v>22</v>
      </c>
      <c r="AO60" s="18">
        <v>171.13343735136152</v>
      </c>
      <c r="AP60" s="18">
        <v>1.3453938878907409E-5</v>
      </c>
      <c r="AQ60" s="18">
        <f t="shared" ref="AQ60:AQ68" si="56">AO60-AP60</f>
        <v>171.13342389742263</v>
      </c>
      <c r="AR60" s="18">
        <f t="shared" si="51"/>
        <v>42.783355974355658</v>
      </c>
      <c r="AS60" s="18">
        <f t="shared" si="44"/>
        <v>128.35008137700586</v>
      </c>
      <c r="AT60" s="18">
        <f>1/(1+0.12)^22</f>
        <v>8.2642510427844609E-2</v>
      </c>
      <c r="AU60" s="20">
        <f t="shared" si="31"/>
        <v>10.607172938613912</v>
      </c>
      <c r="AW60" s="8"/>
      <c r="AX60" s="9">
        <v>22</v>
      </c>
      <c r="AY60" s="18">
        <v>214.93649089492601</v>
      </c>
      <c r="AZ60" s="18">
        <v>1.3453938878907409E-5</v>
      </c>
      <c r="BA60" s="18">
        <f t="shared" ref="BA60:BA68" si="57">AY60-AZ60</f>
        <v>214.93647744098712</v>
      </c>
      <c r="BB60" s="18">
        <f t="shared" si="52"/>
        <v>53.73411936024678</v>
      </c>
      <c r="BC60" s="18">
        <f t="shared" si="47"/>
        <v>161.20237153467923</v>
      </c>
      <c r="BD60" s="18">
        <f>1/(1+0.12)^22</f>
        <v>8.2642510427844609E-2</v>
      </c>
      <c r="BE60" s="20">
        <f t="shared" si="32"/>
        <v>13.32216867054801</v>
      </c>
    </row>
    <row r="61" spans="8:57" x14ac:dyDescent="0.25">
      <c r="H61" s="4"/>
      <c r="I61" s="8"/>
      <c r="J61" s="9">
        <v>23</v>
      </c>
      <c r="K61" s="19">
        <v>139.77999992661614</v>
      </c>
      <c r="L61" s="19">
        <v>1.3453938878907409E-5</v>
      </c>
      <c r="M61" s="19">
        <f t="shared" si="53"/>
        <v>139.77998647267725</v>
      </c>
      <c r="N61" s="19">
        <f t="shared" si="48"/>
        <v>34.944996618169313</v>
      </c>
      <c r="O61" s="19">
        <f t="shared" si="35"/>
        <v>104.83500330844683</v>
      </c>
      <c r="P61" s="19">
        <f>1/(1+0.12)^23</f>
        <v>7.3787955739146982E-2</v>
      </c>
      <c r="Q61" s="23">
        <f t="shared" si="28"/>
        <v>7.7355605840370023</v>
      </c>
      <c r="R61" s="4"/>
      <c r="S61" s="8"/>
      <c r="T61" s="9">
        <v>23</v>
      </c>
      <c r="U61" s="18">
        <v>140.18149949539315</v>
      </c>
      <c r="V61" s="18">
        <v>1.3453938878907409E-5</v>
      </c>
      <c r="W61" s="18">
        <f t="shared" si="54"/>
        <v>140.18148604145426</v>
      </c>
      <c r="X61" s="18">
        <f t="shared" si="49"/>
        <v>35.045371510363566</v>
      </c>
      <c r="Y61" s="18">
        <f t="shared" si="38"/>
        <v>105.13612798502959</v>
      </c>
      <c r="Z61" s="18">
        <f>1/(1+0.12)^23</f>
        <v>7.3787955739146982E-2</v>
      </c>
      <c r="AA61" s="20">
        <f t="shared" si="29"/>
        <v>7.7577799583446554</v>
      </c>
      <c r="AB61" s="4"/>
      <c r="AC61" s="8"/>
      <c r="AD61" s="9">
        <v>23</v>
      </c>
      <c r="AE61" s="18">
        <v>55.344893036340295</v>
      </c>
      <c r="AF61" s="18">
        <v>1.3453938878907409E-5</v>
      </c>
      <c r="AG61" s="18">
        <f t="shared" si="55"/>
        <v>55.344879582401418</v>
      </c>
      <c r="AH61" s="18">
        <f t="shared" si="50"/>
        <v>13.836219895600355</v>
      </c>
      <c r="AI61" s="18">
        <f t="shared" si="41"/>
        <v>41.508673140739944</v>
      </c>
      <c r="AJ61" s="18">
        <f>1/(1+0.12)^23</f>
        <v>7.3787955739146982E-2</v>
      </c>
      <c r="AK61" s="20">
        <f t="shared" si="30"/>
        <v>3.0628401364996383</v>
      </c>
      <c r="AM61" s="8"/>
      <c r="AN61" s="9">
        <v>23</v>
      </c>
      <c r="AO61" s="18">
        <v>171.13343735136152</v>
      </c>
      <c r="AP61" s="18">
        <v>1.3453938878907409E-5</v>
      </c>
      <c r="AQ61" s="18">
        <f t="shared" si="56"/>
        <v>171.13342389742263</v>
      </c>
      <c r="AR61" s="18">
        <f t="shared" si="51"/>
        <v>42.783355974355658</v>
      </c>
      <c r="AS61" s="18">
        <f t="shared" si="44"/>
        <v>128.35008137700586</v>
      </c>
      <c r="AT61" s="18">
        <f>1/(1+0.12)^23</f>
        <v>7.3787955739146982E-2</v>
      </c>
      <c r="AU61" s="20">
        <f t="shared" si="31"/>
        <v>9.4706901237624219</v>
      </c>
      <c r="AW61" s="8"/>
      <c r="AX61" s="9">
        <v>23</v>
      </c>
      <c r="AY61" s="18">
        <v>214.93649089492601</v>
      </c>
      <c r="AZ61" s="18">
        <v>1.3453938878907409E-5</v>
      </c>
      <c r="BA61" s="18">
        <f t="shared" si="57"/>
        <v>214.93647744098712</v>
      </c>
      <c r="BB61" s="18">
        <f t="shared" si="52"/>
        <v>53.73411936024678</v>
      </c>
      <c r="BC61" s="18">
        <f t="shared" si="47"/>
        <v>161.20237153467923</v>
      </c>
      <c r="BD61" s="18">
        <f>1/(1+0.12)^23</f>
        <v>7.3787955739146982E-2</v>
      </c>
      <c r="BE61" s="20">
        <f t="shared" si="32"/>
        <v>11.894793455846438</v>
      </c>
    </row>
    <row r="62" spans="8:57" x14ac:dyDescent="0.25">
      <c r="H62" s="4"/>
      <c r="I62" s="8"/>
      <c r="J62" s="9">
        <v>24</v>
      </c>
      <c r="K62" s="19">
        <v>139.77999992661614</v>
      </c>
      <c r="L62" s="19">
        <v>1.3453938878907409E-5</v>
      </c>
      <c r="M62" s="19">
        <f t="shared" si="53"/>
        <v>139.77998647267725</v>
      </c>
      <c r="N62" s="19">
        <f t="shared" si="48"/>
        <v>34.944996618169313</v>
      </c>
      <c r="O62" s="19">
        <f t="shared" si="35"/>
        <v>104.83500330844683</v>
      </c>
      <c r="P62" s="19">
        <f>1/(1+0.12)^24</f>
        <v>6.5882103338524081E-2</v>
      </c>
      <c r="Q62" s="23">
        <f t="shared" si="28"/>
        <v>6.9067505214616078</v>
      </c>
      <c r="R62" s="4"/>
      <c r="S62" s="8"/>
      <c r="T62" s="9">
        <v>24</v>
      </c>
      <c r="U62" s="18">
        <v>140.18149949539315</v>
      </c>
      <c r="V62" s="18">
        <v>1.3453938878907409E-5</v>
      </c>
      <c r="W62" s="18">
        <f t="shared" si="54"/>
        <v>140.18148604145426</v>
      </c>
      <c r="X62" s="18">
        <f t="shared" si="49"/>
        <v>35.045371510363566</v>
      </c>
      <c r="Y62" s="18">
        <f t="shared" si="38"/>
        <v>105.13612798502959</v>
      </c>
      <c r="Z62" s="18">
        <f>1/(1+0.12)^24</f>
        <v>6.5882103338524081E-2</v>
      </c>
      <c r="AA62" s="20">
        <f t="shared" si="29"/>
        <v>6.9265892485220126</v>
      </c>
      <c r="AB62" s="4"/>
      <c r="AC62" s="8"/>
      <c r="AD62" s="9">
        <v>24</v>
      </c>
      <c r="AE62" s="18">
        <v>55.344893036340295</v>
      </c>
      <c r="AF62" s="18">
        <v>1.3453938878907409E-5</v>
      </c>
      <c r="AG62" s="18">
        <f t="shared" si="55"/>
        <v>55.344879582401418</v>
      </c>
      <c r="AH62" s="18">
        <f t="shared" si="50"/>
        <v>13.836219895600355</v>
      </c>
      <c r="AI62" s="18">
        <f t="shared" si="41"/>
        <v>41.508673140739944</v>
      </c>
      <c r="AJ62" s="18">
        <f>1/(1+0.12)^24</f>
        <v>6.5882103338524081E-2</v>
      </c>
      <c r="AK62" s="20">
        <f t="shared" si="30"/>
        <v>2.7346786933032479</v>
      </c>
      <c r="AM62" s="8"/>
      <c r="AN62" s="9">
        <v>24</v>
      </c>
      <c r="AO62" s="18">
        <v>171.13343735136152</v>
      </c>
      <c r="AP62" s="18">
        <v>1.3453938878907409E-5</v>
      </c>
      <c r="AQ62" s="18">
        <f t="shared" si="56"/>
        <v>171.13342389742263</v>
      </c>
      <c r="AR62" s="18">
        <f t="shared" si="51"/>
        <v>42.783355974355658</v>
      </c>
      <c r="AS62" s="18">
        <f t="shared" si="44"/>
        <v>128.35008137700586</v>
      </c>
      <c r="AT62" s="18">
        <f>1/(1+0.12)^24</f>
        <v>6.5882103338524081E-2</v>
      </c>
      <c r="AU62" s="20">
        <f t="shared" si="31"/>
        <v>8.455973324787875</v>
      </c>
      <c r="AW62" s="8"/>
      <c r="AX62" s="9">
        <v>24</v>
      </c>
      <c r="AY62" s="18">
        <v>214.93649089492601</v>
      </c>
      <c r="AZ62" s="18">
        <v>1.3453938878907409E-5</v>
      </c>
      <c r="BA62" s="18">
        <f t="shared" si="57"/>
        <v>214.93647744098712</v>
      </c>
      <c r="BB62" s="18">
        <f t="shared" si="52"/>
        <v>53.73411936024678</v>
      </c>
      <c r="BC62" s="18">
        <f t="shared" si="47"/>
        <v>161.20237153467923</v>
      </c>
      <c r="BD62" s="18">
        <f>1/(1+0.12)^24</f>
        <v>6.5882103338524081E-2</v>
      </c>
      <c r="BE62" s="20">
        <f t="shared" si="32"/>
        <v>10.62035129986289</v>
      </c>
    </row>
    <row r="63" spans="8:57" x14ac:dyDescent="0.25">
      <c r="H63" s="4"/>
      <c r="I63" s="8"/>
      <c r="J63" s="9">
        <v>25</v>
      </c>
      <c r="K63" s="19">
        <v>139.77999992661614</v>
      </c>
      <c r="L63" s="19">
        <v>1.3453938878907409E-5</v>
      </c>
      <c r="M63" s="19">
        <f t="shared" si="53"/>
        <v>139.77998647267725</v>
      </c>
      <c r="N63" s="19">
        <f t="shared" si="48"/>
        <v>34.944996618169313</v>
      </c>
      <c r="O63" s="19">
        <f t="shared" si="35"/>
        <v>104.83500330844683</v>
      </c>
      <c r="P63" s="19">
        <f>1/(1+0.12)^25</f>
        <v>5.8823306552253637E-2</v>
      </c>
      <c r="Q63" s="23">
        <f t="shared" si="28"/>
        <v>6.1667415370192922</v>
      </c>
      <c r="R63" s="4"/>
      <c r="S63" s="8"/>
      <c r="T63" s="9">
        <v>25</v>
      </c>
      <c r="U63" s="18">
        <v>140.18149949539315</v>
      </c>
      <c r="V63" s="18">
        <v>1.3453938878907409E-5</v>
      </c>
      <c r="W63" s="18">
        <f t="shared" si="54"/>
        <v>140.18148604145426</v>
      </c>
      <c r="X63" s="18">
        <f t="shared" si="49"/>
        <v>35.045371510363566</v>
      </c>
      <c r="Y63" s="18">
        <f t="shared" si="38"/>
        <v>105.13612798502959</v>
      </c>
      <c r="Z63" s="18">
        <f>1/(1+0.12)^25</f>
        <v>5.8823306552253637E-2</v>
      </c>
      <c r="AA63" s="20">
        <f t="shared" si="29"/>
        <v>6.1844546861803682</v>
      </c>
      <c r="AB63" s="4"/>
      <c r="AC63" s="8"/>
      <c r="AD63" s="9">
        <v>25</v>
      </c>
      <c r="AE63" s="18">
        <v>55.344893036340295</v>
      </c>
      <c r="AF63" s="18">
        <v>1.3453938878907409E-5</v>
      </c>
      <c r="AG63" s="18">
        <f t="shared" si="55"/>
        <v>55.344879582401418</v>
      </c>
      <c r="AH63" s="18">
        <f t="shared" si="50"/>
        <v>13.836219895600355</v>
      </c>
      <c r="AI63" s="18">
        <f t="shared" si="41"/>
        <v>41.508673140739944</v>
      </c>
      <c r="AJ63" s="18">
        <f>1/(1+0.12)^25</f>
        <v>5.8823306552253637E-2</v>
      </c>
      <c r="AK63" s="20">
        <f t="shared" si="30"/>
        <v>2.4416774047350427</v>
      </c>
      <c r="AM63" s="8"/>
      <c r="AN63" s="9">
        <v>25</v>
      </c>
      <c r="AO63" s="18">
        <v>171.13343735136152</v>
      </c>
      <c r="AP63" s="18">
        <v>1.3453938878907409E-5</v>
      </c>
      <c r="AQ63" s="18">
        <f t="shared" si="56"/>
        <v>171.13342389742263</v>
      </c>
      <c r="AR63" s="18">
        <f t="shared" si="51"/>
        <v>42.783355974355658</v>
      </c>
      <c r="AS63" s="18">
        <f t="shared" si="44"/>
        <v>128.35008137700586</v>
      </c>
      <c r="AT63" s="18">
        <f>1/(1+0.12)^25</f>
        <v>5.8823306552253637E-2</v>
      </c>
      <c r="AU63" s="20">
        <f t="shared" si="31"/>
        <v>7.5499761828463168</v>
      </c>
      <c r="AW63" s="8"/>
      <c r="AX63" s="9">
        <v>25</v>
      </c>
      <c r="AY63" s="18">
        <v>214.93649089492601</v>
      </c>
      <c r="AZ63" s="18">
        <v>1.3453938878907409E-5</v>
      </c>
      <c r="BA63" s="18">
        <f t="shared" si="57"/>
        <v>214.93647744098712</v>
      </c>
      <c r="BB63" s="18">
        <f t="shared" si="52"/>
        <v>53.73411936024678</v>
      </c>
      <c r="BC63" s="18">
        <f t="shared" si="47"/>
        <v>161.20237153467923</v>
      </c>
      <c r="BD63" s="18">
        <f>1/(1+0.12)^25</f>
        <v>5.8823306552253637E-2</v>
      </c>
      <c r="BE63" s="20">
        <f t="shared" si="32"/>
        <v>9.4824565177347218</v>
      </c>
    </row>
    <row r="64" spans="8:57" x14ac:dyDescent="0.25">
      <c r="H64" s="4"/>
      <c r="I64" s="8"/>
      <c r="J64" s="9">
        <v>26</v>
      </c>
      <c r="K64" s="19">
        <v>139.77999992661614</v>
      </c>
      <c r="L64" s="19">
        <v>1.3453938878907409E-5</v>
      </c>
      <c r="M64" s="19">
        <f t="shared" si="53"/>
        <v>139.77998647267725</v>
      </c>
      <c r="N64" s="19">
        <f t="shared" si="48"/>
        <v>34.944996618169313</v>
      </c>
      <c r="O64" s="19">
        <f t="shared" si="35"/>
        <v>104.83500330844683</v>
      </c>
      <c r="P64" s="19">
        <f>1/(1+0.12)^26</f>
        <v>5.2520809421655032E-2</v>
      </c>
      <c r="Q64" s="23">
        <f t="shared" si="28"/>
        <v>5.5060192294815105</v>
      </c>
      <c r="R64" s="4"/>
      <c r="S64" s="8"/>
      <c r="T64" s="9">
        <v>26</v>
      </c>
      <c r="U64" s="18">
        <v>140.18149949539315</v>
      </c>
      <c r="V64" s="18">
        <v>1.3453938878907409E-5</v>
      </c>
      <c r="W64" s="18">
        <f t="shared" si="54"/>
        <v>140.18148604145426</v>
      </c>
      <c r="X64" s="18">
        <f t="shared" si="49"/>
        <v>35.045371510363566</v>
      </c>
      <c r="Y64" s="18">
        <f t="shared" si="38"/>
        <v>105.13612798502959</v>
      </c>
      <c r="Z64" s="18">
        <f>1/(1+0.12)^26</f>
        <v>5.2520809421655032E-2</v>
      </c>
      <c r="AA64" s="20">
        <f t="shared" si="29"/>
        <v>5.5218345412324714</v>
      </c>
      <c r="AB64" s="4"/>
      <c r="AC64" s="8"/>
      <c r="AD64" s="9">
        <v>26</v>
      </c>
      <c r="AE64" s="18">
        <v>55.344893036340295</v>
      </c>
      <c r="AF64" s="18">
        <v>1.3453938878907409E-5</v>
      </c>
      <c r="AG64" s="18">
        <f t="shared" si="55"/>
        <v>55.344879582401418</v>
      </c>
      <c r="AH64" s="18">
        <f t="shared" si="50"/>
        <v>13.836219895600355</v>
      </c>
      <c r="AI64" s="18">
        <f t="shared" si="41"/>
        <v>41.508673140739944</v>
      </c>
      <c r="AJ64" s="18">
        <f>1/(1+0.12)^26</f>
        <v>5.2520809421655032E-2</v>
      </c>
      <c r="AK64" s="20">
        <f t="shared" si="30"/>
        <v>2.1800691113705737</v>
      </c>
      <c r="AM64" s="8"/>
      <c r="AN64" s="9">
        <v>26</v>
      </c>
      <c r="AO64" s="18">
        <v>171.13343735136152</v>
      </c>
      <c r="AP64" s="18">
        <v>1.3453938878907409E-5</v>
      </c>
      <c r="AQ64" s="18">
        <f t="shared" si="56"/>
        <v>171.13342389742263</v>
      </c>
      <c r="AR64" s="18">
        <f t="shared" si="51"/>
        <v>42.783355974355658</v>
      </c>
      <c r="AS64" s="18">
        <f t="shared" si="44"/>
        <v>128.35008137700586</v>
      </c>
      <c r="AT64" s="18">
        <f>1/(1+0.12)^26</f>
        <v>5.2520809421655032E-2</v>
      </c>
      <c r="AU64" s="20">
        <f t="shared" si="31"/>
        <v>6.7410501632556397</v>
      </c>
      <c r="AW64" s="8"/>
      <c r="AX64" s="9">
        <v>26</v>
      </c>
      <c r="AY64" s="18">
        <v>214.93649089492601</v>
      </c>
      <c r="AZ64" s="18">
        <v>1.3453938878907409E-5</v>
      </c>
      <c r="BA64" s="18">
        <f t="shared" si="57"/>
        <v>214.93647744098712</v>
      </c>
      <c r="BB64" s="18">
        <f t="shared" si="52"/>
        <v>53.73411936024678</v>
      </c>
      <c r="BC64" s="18">
        <f t="shared" si="47"/>
        <v>161.20237153467923</v>
      </c>
      <c r="BD64" s="18">
        <f>1/(1+0.12)^26</f>
        <v>5.2520809421655032E-2</v>
      </c>
      <c r="BE64" s="20">
        <f t="shared" si="32"/>
        <v>8.4664790336917157</v>
      </c>
    </row>
    <row r="65" spans="8:57" x14ac:dyDescent="0.25">
      <c r="H65" s="4"/>
      <c r="I65" s="8"/>
      <c r="J65" s="9">
        <v>27</v>
      </c>
      <c r="K65" s="19">
        <v>139.77999992661614</v>
      </c>
      <c r="L65" s="19">
        <v>1.3453938878907409E-5</v>
      </c>
      <c r="M65" s="19">
        <f t="shared" si="53"/>
        <v>139.77998647267725</v>
      </c>
      <c r="N65" s="19">
        <f t="shared" si="48"/>
        <v>34.944996618169313</v>
      </c>
      <c r="O65" s="19">
        <f t="shared" si="35"/>
        <v>104.83500330844683</v>
      </c>
      <c r="P65" s="19">
        <f>1/(1+0.12)^27</f>
        <v>4.6893579840763415E-2</v>
      </c>
      <c r="Q65" s="23">
        <f t="shared" si="28"/>
        <v>4.9160885977513482</v>
      </c>
      <c r="R65" s="4"/>
      <c r="S65" s="8"/>
      <c r="T65" s="9">
        <v>27</v>
      </c>
      <c r="U65" s="18">
        <v>140.18149949539315</v>
      </c>
      <c r="V65" s="18">
        <v>1.3453938878907409E-5</v>
      </c>
      <c r="W65" s="18">
        <f t="shared" si="54"/>
        <v>140.18148604145426</v>
      </c>
      <c r="X65" s="18">
        <f t="shared" si="49"/>
        <v>35.045371510363566</v>
      </c>
      <c r="Y65" s="18">
        <f t="shared" si="38"/>
        <v>105.13612798502959</v>
      </c>
      <c r="Z65" s="18">
        <f>1/(1+0.12)^27</f>
        <v>4.6893579840763415E-2</v>
      </c>
      <c r="AA65" s="20">
        <f t="shared" si="29"/>
        <v>4.9302094118147055</v>
      </c>
      <c r="AB65" s="4"/>
      <c r="AC65" s="8"/>
      <c r="AD65" s="9">
        <v>27</v>
      </c>
      <c r="AE65" s="18">
        <v>55.344893036340295</v>
      </c>
      <c r="AF65" s="18">
        <v>1.3453938878907409E-5</v>
      </c>
      <c r="AG65" s="18">
        <f t="shared" si="55"/>
        <v>55.344879582401418</v>
      </c>
      <c r="AH65" s="18">
        <f t="shared" si="50"/>
        <v>13.836219895600355</v>
      </c>
      <c r="AI65" s="18">
        <f t="shared" si="41"/>
        <v>41.508673140739944</v>
      </c>
      <c r="AJ65" s="18">
        <f>1/(1+0.12)^27</f>
        <v>4.6893579840763415E-2</v>
      </c>
      <c r="AK65" s="20">
        <f t="shared" si="30"/>
        <v>1.9464902780094404</v>
      </c>
      <c r="AM65" s="8"/>
      <c r="AN65" s="9">
        <v>27</v>
      </c>
      <c r="AO65" s="18">
        <v>171.13343735136152</v>
      </c>
      <c r="AP65" s="18">
        <v>1.3453938878907409E-5</v>
      </c>
      <c r="AQ65" s="18">
        <f t="shared" si="56"/>
        <v>171.13342389742263</v>
      </c>
      <c r="AR65" s="18">
        <f t="shared" si="51"/>
        <v>42.783355974355658</v>
      </c>
      <c r="AS65" s="18">
        <f t="shared" si="44"/>
        <v>128.35008137700586</v>
      </c>
      <c r="AT65" s="18">
        <f>1/(1+0.12)^27</f>
        <v>4.6893579840763415E-2</v>
      </c>
      <c r="AU65" s="20">
        <f t="shared" si="31"/>
        <v>6.018794788621106</v>
      </c>
      <c r="AW65" s="8"/>
      <c r="AX65" s="9">
        <v>27</v>
      </c>
      <c r="AY65" s="18">
        <v>214.93649089492601</v>
      </c>
      <c r="AZ65" s="18">
        <v>1.3453938878907409E-5</v>
      </c>
      <c r="BA65" s="18">
        <f t="shared" si="57"/>
        <v>214.93647744098712</v>
      </c>
      <c r="BB65" s="18">
        <f t="shared" si="52"/>
        <v>53.73411936024678</v>
      </c>
      <c r="BC65" s="18">
        <f t="shared" si="47"/>
        <v>161.20237153467923</v>
      </c>
      <c r="BD65" s="18">
        <f>1/(1+0.12)^27</f>
        <v>4.6893579840763415E-2</v>
      </c>
      <c r="BE65" s="20">
        <f t="shared" si="32"/>
        <v>7.5593562800818885</v>
      </c>
    </row>
    <row r="66" spans="8:57" x14ac:dyDescent="0.25">
      <c r="H66" s="4"/>
      <c r="I66" s="8"/>
      <c r="J66" s="9">
        <v>28</v>
      </c>
      <c r="K66" s="19">
        <v>139.77999992661614</v>
      </c>
      <c r="L66" s="19">
        <v>1.3453938878907409E-5</v>
      </c>
      <c r="M66" s="19">
        <f t="shared" si="53"/>
        <v>139.77998647267725</v>
      </c>
      <c r="N66" s="19">
        <f t="shared" si="48"/>
        <v>34.944996618169313</v>
      </c>
      <c r="O66" s="19">
        <f t="shared" si="35"/>
        <v>104.83500330844683</v>
      </c>
      <c r="P66" s="19">
        <f>1/(1+0.12)^28</f>
        <v>4.1869267714967337E-2</v>
      </c>
      <c r="Q66" s="23">
        <f t="shared" si="28"/>
        <v>4.3893648194208472</v>
      </c>
      <c r="R66" s="4"/>
      <c r="S66" s="8"/>
      <c r="T66" s="9">
        <v>28</v>
      </c>
      <c r="U66" s="18">
        <v>140.18149949539315</v>
      </c>
      <c r="V66" s="18">
        <v>1.3453938878907409E-5</v>
      </c>
      <c r="W66" s="18">
        <f t="shared" si="54"/>
        <v>140.18148604145426</v>
      </c>
      <c r="X66" s="18">
        <f t="shared" si="49"/>
        <v>35.045371510363566</v>
      </c>
      <c r="Y66" s="18">
        <f t="shared" si="38"/>
        <v>105.13612798502959</v>
      </c>
      <c r="Z66" s="18">
        <f>1/(1+0.12)^28</f>
        <v>4.1869267714967337E-2</v>
      </c>
      <c r="AA66" s="20">
        <f t="shared" si="29"/>
        <v>4.4019726891202735</v>
      </c>
      <c r="AB66" s="4"/>
      <c r="AC66" s="8"/>
      <c r="AD66" s="9">
        <v>28</v>
      </c>
      <c r="AE66" s="18">
        <v>55.344893036340295</v>
      </c>
      <c r="AF66" s="18">
        <v>1.3453938878907409E-5</v>
      </c>
      <c r="AG66" s="18">
        <f t="shared" si="55"/>
        <v>55.344879582401418</v>
      </c>
      <c r="AH66" s="18">
        <f t="shared" si="50"/>
        <v>13.836219895600355</v>
      </c>
      <c r="AI66" s="18">
        <f t="shared" si="41"/>
        <v>41.508673140739944</v>
      </c>
      <c r="AJ66" s="18">
        <f>1/(1+0.12)^28</f>
        <v>4.1869267714967337E-2</v>
      </c>
      <c r="AK66" s="20">
        <f t="shared" si="30"/>
        <v>1.7379377482227147</v>
      </c>
      <c r="AM66" s="8"/>
      <c r="AN66" s="9">
        <v>28</v>
      </c>
      <c r="AO66" s="18">
        <v>171.13343735136152</v>
      </c>
      <c r="AP66" s="18">
        <v>1.3453938878907409E-5</v>
      </c>
      <c r="AQ66" s="18">
        <f t="shared" si="56"/>
        <v>171.13342389742263</v>
      </c>
      <c r="AR66" s="18">
        <f t="shared" si="51"/>
        <v>42.783355974355658</v>
      </c>
      <c r="AS66" s="18">
        <f t="shared" si="44"/>
        <v>128.35008137700586</v>
      </c>
      <c r="AT66" s="18">
        <f>1/(1+0.12)^28</f>
        <v>4.1869267714967337E-2</v>
      </c>
      <c r="AU66" s="20">
        <f t="shared" si="31"/>
        <v>5.3739239184117018</v>
      </c>
      <c r="AW66" s="8"/>
      <c r="AX66" s="9">
        <v>28</v>
      </c>
      <c r="AY66" s="18">
        <v>214.93649089492601</v>
      </c>
      <c r="AZ66" s="18">
        <v>1.3453938878907409E-5</v>
      </c>
      <c r="BA66" s="18">
        <f t="shared" si="57"/>
        <v>214.93647744098712</v>
      </c>
      <c r="BB66" s="18">
        <f t="shared" si="52"/>
        <v>53.73411936024678</v>
      </c>
      <c r="BC66" s="18">
        <f t="shared" si="47"/>
        <v>161.20237153467923</v>
      </c>
      <c r="BD66" s="18">
        <f>1/(1+0.12)^28</f>
        <v>4.1869267714967337E-2</v>
      </c>
      <c r="BE66" s="20">
        <f t="shared" si="32"/>
        <v>6.7494252500731147</v>
      </c>
    </row>
    <row r="67" spans="8:57" x14ac:dyDescent="0.25">
      <c r="H67" s="4"/>
      <c r="I67" s="8"/>
      <c r="J67" s="9">
        <v>29</v>
      </c>
      <c r="K67" s="19">
        <v>139.77999992661614</v>
      </c>
      <c r="L67" s="19">
        <v>1.3453938878907409E-5</v>
      </c>
      <c r="M67" s="19">
        <f t="shared" si="53"/>
        <v>139.77998647267725</v>
      </c>
      <c r="N67" s="19">
        <f t="shared" si="48"/>
        <v>34.944996618169313</v>
      </c>
      <c r="O67" s="19">
        <f t="shared" si="35"/>
        <v>104.83500330844683</v>
      </c>
      <c r="P67" s="19">
        <f>1/(1+0.12)^29</f>
        <v>3.7383274745506546E-2</v>
      </c>
      <c r="Q67" s="23">
        <f t="shared" si="28"/>
        <v>3.9190757316257554</v>
      </c>
      <c r="R67" s="4"/>
      <c r="S67" s="8"/>
      <c r="T67" s="9">
        <v>29</v>
      </c>
      <c r="U67" s="18">
        <v>140.18149949539315</v>
      </c>
      <c r="V67" s="18">
        <v>1.3453938878907409E-5</v>
      </c>
      <c r="W67" s="18">
        <f t="shared" si="54"/>
        <v>140.18148604145426</v>
      </c>
      <c r="X67" s="18">
        <f t="shared" si="49"/>
        <v>35.045371510363566</v>
      </c>
      <c r="Y67" s="18">
        <f t="shared" si="38"/>
        <v>105.13612798502959</v>
      </c>
      <c r="Z67" s="18">
        <f>1/(1+0.12)^29</f>
        <v>3.7383274745506546E-2</v>
      </c>
      <c r="AA67" s="20">
        <f t="shared" si="29"/>
        <v>3.9303327581431007</v>
      </c>
      <c r="AB67" s="4"/>
      <c r="AC67" s="8"/>
      <c r="AD67" s="9">
        <v>29</v>
      </c>
      <c r="AE67" s="18">
        <v>55.344893036340295</v>
      </c>
      <c r="AF67" s="18">
        <v>1.3453938878907409E-5</v>
      </c>
      <c r="AG67" s="18">
        <f t="shared" si="55"/>
        <v>55.344879582401418</v>
      </c>
      <c r="AH67" s="18">
        <f t="shared" si="50"/>
        <v>13.836219895600355</v>
      </c>
      <c r="AI67" s="18">
        <f t="shared" si="41"/>
        <v>41.508673140739944</v>
      </c>
      <c r="AJ67" s="18">
        <f>1/(1+0.12)^29</f>
        <v>3.7383274745506546E-2</v>
      </c>
      <c r="AK67" s="20">
        <f t="shared" si="30"/>
        <v>1.5517301323417094</v>
      </c>
      <c r="AM67" s="8"/>
      <c r="AN67" s="9">
        <v>29</v>
      </c>
      <c r="AO67" s="18">
        <v>171.13343735136152</v>
      </c>
      <c r="AP67" s="18">
        <v>1.3453938878907409E-5</v>
      </c>
      <c r="AQ67" s="18">
        <f t="shared" si="56"/>
        <v>171.13342389742263</v>
      </c>
      <c r="AR67" s="18">
        <f t="shared" si="51"/>
        <v>42.783355974355658</v>
      </c>
      <c r="AS67" s="18">
        <f t="shared" si="44"/>
        <v>128.35008137700586</v>
      </c>
      <c r="AT67" s="18">
        <f>1/(1+0.12)^29</f>
        <v>3.7383274745506546E-2</v>
      </c>
      <c r="AU67" s="20">
        <f t="shared" si="31"/>
        <v>4.7981463557247332</v>
      </c>
      <c r="AW67" s="8"/>
      <c r="AX67" s="9">
        <v>29</v>
      </c>
      <c r="AY67" s="18">
        <v>214.93649089492601</v>
      </c>
      <c r="AZ67" s="18">
        <v>1.3453938878907409E-5</v>
      </c>
      <c r="BA67" s="18">
        <f t="shared" si="57"/>
        <v>214.93647744098712</v>
      </c>
      <c r="BB67" s="18">
        <f t="shared" si="52"/>
        <v>53.73411936024678</v>
      </c>
      <c r="BC67" s="18">
        <f t="shared" si="47"/>
        <v>161.20237153467923</v>
      </c>
      <c r="BD67" s="18">
        <f>1/(1+0.12)^29</f>
        <v>3.7383274745506546E-2</v>
      </c>
      <c r="BE67" s="20">
        <f t="shared" si="32"/>
        <v>6.0262725447081378</v>
      </c>
    </row>
    <row r="68" spans="8:57" x14ac:dyDescent="0.25">
      <c r="H68" s="4"/>
      <c r="I68" s="8"/>
      <c r="J68" s="9">
        <v>30</v>
      </c>
      <c r="K68" s="19">
        <v>139.77999992661614</v>
      </c>
      <c r="L68" s="19">
        <v>1.3453938878907409E-5</v>
      </c>
      <c r="M68" s="19">
        <f t="shared" si="53"/>
        <v>139.77998647267725</v>
      </c>
      <c r="N68" s="19">
        <f t="shared" si="48"/>
        <v>34.944996618169313</v>
      </c>
      <c r="O68" s="19">
        <f t="shared" si="35"/>
        <v>104.83500330844683</v>
      </c>
      <c r="P68" s="19">
        <f>1/(1+0.12)^30</f>
        <v>3.3377923879916553E-2</v>
      </c>
      <c r="Q68" s="23">
        <f t="shared" si="28"/>
        <v>3.4991747603801384</v>
      </c>
      <c r="R68" s="4"/>
      <c r="S68" s="8"/>
      <c r="T68" s="9">
        <v>30</v>
      </c>
      <c r="U68" s="18">
        <v>140.18149949539315</v>
      </c>
      <c r="V68" s="18">
        <v>1.3453938878907409E-5</v>
      </c>
      <c r="W68" s="18">
        <f t="shared" si="54"/>
        <v>140.18148604145426</v>
      </c>
      <c r="X68" s="18">
        <f t="shared" si="49"/>
        <v>35.045371510363566</v>
      </c>
      <c r="Y68" s="18">
        <f t="shared" si="38"/>
        <v>105.13612798502959</v>
      </c>
      <c r="Z68" s="18">
        <f>1/(1+0.12)^30</f>
        <v>3.3377923879916553E-2</v>
      </c>
      <c r="AA68" s="20">
        <f t="shared" si="29"/>
        <v>3.509225676913482</v>
      </c>
      <c r="AB68" s="4"/>
      <c r="AC68" s="8"/>
      <c r="AD68" s="9">
        <v>30</v>
      </c>
      <c r="AE68" s="18">
        <v>55.344893036340295</v>
      </c>
      <c r="AF68" s="18">
        <v>1.3453938878907409E-5</v>
      </c>
      <c r="AG68" s="18">
        <f t="shared" si="55"/>
        <v>55.344879582401418</v>
      </c>
      <c r="AH68" s="18">
        <f t="shared" si="50"/>
        <v>13.836219895600355</v>
      </c>
      <c r="AI68" s="18">
        <f t="shared" si="41"/>
        <v>41.508673140739944</v>
      </c>
      <c r="AJ68" s="18">
        <f>1/(1+0.12)^30</f>
        <v>3.3377923879916553E-2</v>
      </c>
      <c r="AK68" s="20">
        <f t="shared" si="30"/>
        <v>1.3854733324479547</v>
      </c>
      <c r="AM68" s="8"/>
      <c r="AN68" s="9">
        <v>30</v>
      </c>
      <c r="AO68" s="18">
        <v>171.13343735136152</v>
      </c>
      <c r="AP68" s="18">
        <v>1.3453938878907409E-5</v>
      </c>
      <c r="AQ68" s="18">
        <f t="shared" si="56"/>
        <v>171.13342389742263</v>
      </c>
      <c r="AR68" s="18">
        <f t="shared" si="51"/>
        <v>42.783355974355658</v>
      </c>
      <c r="AS68" s="18">
        <f t="shared" si="44"/>
        <v>128.35008137700586</v>
      </c>
      <c r="AT68" s="18">
        <f>1/(1+0.12)^30</f>
        <v>3.3377923879916553E-2</v>
      </c>
      <c r="AU68" s="20">
        <f t="shared" si="31"/>
        <v>4.2840592461827969</v>
      </c>
      <c r="AW68" s="8"/>
      <c r="AX68" s="9">
        <v>30</v>
      </c>
      <c r="AY68" s="18">
        <v>214.93649089492601</v>
      </c>
      <c r="AZ68" s="18">
        <v>1.3453938878907409E-5</v>
      </c>
      <c r="BA68" s="18">
        <f t="shared" si="57"/>
        <v>214.93647744098712</v>
      </c>
      <c r="BB68" s="18">
        <f t="shared" si="52"/>
        <v>53.73411936024678</v>
      </c>
      <c r="BC68" s="18">
        <f t="shared" si="47"/>
        <v>161.20237153467923</v>
      </c>
      <c r="BD68" s="18">
        <f>1/(1+0.12)^30</f>
        <v>3.3377923879916553E-2</v>
      </c>
      <c r="BE68" s="20">
        <f t="shared" si="32"/>
        <v>5.38060048634655</v>
      </c>
    </row>
    <row r="69" spans="8:57" x14ac:dyDescent="0.25">
      <c r="H69" s="4"/>
      <c r="I69" s="8"/>
      <c r="J69" s="12"/>
      <c r="K69" s="4"/>
      <c r="L69" s="4"/>
      <c r="M69" s="4"/>
      <c r="N69" s="4"/>
      <c r="O69" s="4"/>
      <c r="P69" s="13" t="s">
        <v>22</v>
      </c>
      <c r="Q69" s="14">
        <f>SUM(Q38:Q68)</f>
        <v>875.66570287697868</v>
      </c>
      <c r="R69" s="4"/>
      <c r="S69" s="8"/>
      <c r="T69" s="12"/>
      <c r="U69" s="4"/>
      <c r="V69" s="4"/>
      <c r="W69" s="4"/>
      <c r="X69" s="4"/>
      <c r="Y69" s="4"/>
      <c r="Z69" s="13" t="s">
        <v>22</v>
      </c>
      <c r="AA69" s="14">
        <f>SUM(AA38:AA68)</f>
        <v>878.1809379835164</v>
      </c>
      <c r="AB69" s="4"/>
      <c r="AC69" s="8"/>
      <c r="AD69" s="12"/>
      <c r="AE69" s="4"/>
      <c r="AF69" s="4"/>
      <c r="AG69" s="4"/>
      <c r="AH69" s="4"/>
      <c r="AI69" s="4"/>
      <c r="AJ69" s="13" t="s">
        <v>22</v>
      </c>
      <c r="AK69" s="14">
        <f>SUM(AK38:AK68)</f>
        <v>346.71334130513412</v>
      </c>
      <c r="AM69" s="8"/>
      <c r="AN69" s="12"/>
      <c r="AO69" s="4"/>
      <c r="AP69" s="4"/>
      <c r="AQ69" s="4"/>
      <c r="AR69" s="4"/>
      <c r="AS69" s="4"/>
      <c r="AT69" s="13" t="s">
        <v>22</v>
      </c>
      <c r="AU69" s="14">
        <f>SUM(AU38:AU68)</f>
        <v>1072.0825178727337</v>
      </c>
      <c r="AW69" s="8"/>
      <c r="AX69" s="12"/>
      <c r="AY69" s="4"/>
      <c r="AZ69" s="4"/>
      <c r="BA69" s="4"/>
      <c r="BB69" s="4"/>
      <c r="BC69" s="4"/>
      <c r="BD69" s="13" t="s">
        <v>22</v>
      </c>
      <c r="BE69" s="14">
        <f>SUM(BE38:BE68)</f>
        <v>1346.4912261608117</v>
      </c>
    </row>
    <row r="70" spans="8:57" x14ac:dyDescent="0.25">
      <c r="H70" s="4"/>
      <c r="I70" s="8"/>
      <c r="J70" s="15"/>
      <c r="K70" s="16"/>
      <c r="L70" s="16"/>
      <c r="M70" s="16"/>
      <c r="N70" s="16"/>
      <c r="O70" s="16"/>
      <c r="P70" s="21" t="s">
        <v>23</v>
      </c>
      <c r="Q70" s="24">
        <f>IRR(Q38:Q68)*100</f>
        <v>29375104.823570162</v>
      </c>
      <c r="R70" s="4"/>
      <c r="S70" s="17"/>
      <c r="T70" s="15"/>
      <c r="U70" s="16"/>
      <c r="V70" s="16"/>
      <c r="W70" s="16"/>
      <c r="X70" s="16"/>
      <c r="Y70" s="16"/>
      <c r="Z70" s="21" t="s">
        <v>23</v>
      </c>
      <c r="AA70" s="22">
        <f>IRR(AA38:AA68)*100</f>
        <v>29459481.022955902</v>
      </c>
      <c r="AB70" s="4"/>
      <c r="AC70" s="17"/>
      <c r="AD70" s="15"/>
      <c r="AE70" s="16"/>
      <c r="AF70" s="16"/>
      <c r="AG70" s="16"/>
      <c r="AH70" s="16"/>
      <c r="AI70" s="16"/>
      <c r="AJ70" s="21" t="s">
        <v>23</v>
      </c>
      <c r="AK70" s="22">
        <f>IRR(AK38:AK68)*100</f>
        <v>11630843.081166374</v>
      </c>
      <c r="AM70" s="17"/>
      <c r="AN70" s="15"/>
      <c r="AO70" s="16"/>
      <c r="AP70" s="16"/>
      <c r="AQ70" s="16"/>
      <c r="AR70" s="16"/>
      <c r="AS70" s="16"/>
      <c r="AT70" s="21" t="s">
        <v>23</v>
      </c>
      <c r="AU70" s="22">
        <f>IRR(AU38:AU68)*100</f>
        <v>35964112.886822425</v>
      </c>
      <c r="AW70" s="17"/>
      <c r="AX70" s="15"/>
      <c r="AY70" s="16"/>
      <c r="AZ70" s="16"/>
      <c r="BA70" s="16"/>
      <c r="BB70" s="16"/>
      <c r="BC70" s="16"/>
      <c r="BD70" s="21" t="s">
        <v>23</v>
      </c>
      <c r="BE70" s="22">
        <f>IRR(BE38:BE68)*100</f>
        <v>45169440.811581366</v>
      </c>
    </row>
    <row r="71" spans="8:57" x14ac:dyDescent="0.25">
      <c r="I71" s="5" t="s">
        <v>19</v>
      </c>
      <c r="J71" s="6" t="s">
        <v>20</v>
      </c>
      <c r="K71" s="4" t="s">
        <v>24</v>
      </c>
      <c r="L71" s="4" t="s">
        <v>49</v>
      </c>
      <c r="M71" s="4" t="s">
        <v>33</v>
      </c>
      <c r="N71" s="4" t="s">
        <v>34</v>
      </c>
      <c r="O71" s="4" t="s">
        <v>35</v>
      </c>
      <c r="P71" s="4" t="s">
        <v>21</v>
      </c>
      <c r="Q71" s="7" t="s">
        <v>36</v>
      </c>
      <c r="S71" s="5" t="s">
        <v>19</v>
      </c>
      <c r="T71" s="6" t="s">
        <v>20</v>
      </c>
      <c r="U71" s="4" t="s">
        <v>24</v>
      </c>
      <c r="V71" s="4" t="s">
        <v>49</v>
      </c>
      <c r="W71" s="4" t="s">
        <v>33</v>
      </c>
      <c r="X71" s="4" t="s">
        <v>34</v>
      </c>
      <c r="Y71" s="4" t="s">
        <v>35</v>
      </c>
      <c r="Z71" s="4" t="s">
        <v>21</v>
      </c>
      <c r="AA71" s="7" t="s">
        <v>36</v>
      </c>
      <c r="AC71" s="5" t="s">
        <v>19</v>
      </c>
      <c r="AD71" s="6" t="s">
        <v>20</v>
      </c>
      <c r="AE71" s="4" t="s">
        <v>24</v>
      </c>
      <c r="AF71" s="4" t="s">
        <v>49</v>
      </c>
      <c r="AG71" s="4" t="s">
        <v>33</v>
      </c>
      <c r="AH71" s="4" t="s">
        <v>34</v>
      </c>
      <c r="AI71" s="4" t="s">
        <v>35</v>
      </c>
      <c r="AJ71" s="4" t="s">
        <v>21</v>
      </c>
      <c r="AK71" s="7" t="s">
        <v>36</v>
      </c>
      <c r="AM71" s="5" t="s">
        <v>19</v>
      </c>
      <c r="AN71" s="6" t="s">
        <v>20</v>
      </c>
      <c r="AO71" s="4" t="s">
        <v>24</v>
      </c>
      <c r="AP71" s="4" t="s">
        <v>49</v>
      </c>
      <c r="AQ71" s="4" t="s">
        <v>33</v>
      </c>
      <c r="AR71" s="4" t="s">
        <v>34</v>
      </c>
      <c r="AS71" s="4" t="s">
        <v>35</v>
      </c>
      <c r="AT71" s="4" t="s">
        <v>21</v>
      </c>
      <c r="AU71" s="7" t="s">
        <v>36</v>
      </c>
      <c r="AW71" s="5" t="s">
        <v>19</v>
      </c>
      <c r="AX71" s="6" t="s">
        <v>20</v>
      </c>
      <c r="AY71" s="4" t="s">
        <v>24</v>
      </c>
      <c r="AZ71" s="4" t="s">
        <v>49</v>
      </c>
      <c r="BA71" s="4" t="s">
        <v>33</v>
      </c>
      <c r="BB71" s="4" t="s">
        <v>34</v>
      </c>
      <c r="BC71" s="4" t="s">
        <v>35</v>
      </c>
      <c r="BD71" s="4" t="s">
        <v>21</v>
      </c>
      <c r="BE71" s="7" t="s">
        <v>36</v>
      </c>
    </row>
    <row r="72" spans="8:57" x14ac:dyDescent="0.25">
      <c r="I72" s="8" t="s">
        <v>38</v>
      </c>
      <c r="J72" s="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-4.2486122775497098E-4</v>
      </c>
      <c r="P72" s="19">
        <f>1/(1+0.12)^0</f>
        <v>1</v>
      </c>
      <c r="Q72" s="23">
        <f>O72*P72</f>
        <v>-4.2486122775497098E-4</v>
      </c>
      <c r="S72" s="8">
        <v>0.71</v>
      </c>
      <c r="T72" s="9">
        <v>0</v>
      </c>
      <c r="U72" s="18">
        <v>0</v>
      </c>
      <c r="V72" s="18">
        <v>0</v>
      </c>
      <c r="W72" s="18">
        <v>0</v>
      </c>
      <c r="X72" s="18">
        <v>0</v>
      </c>
      <c r="Y72" s="18">
        <v>-4.2486122775497098E-4</v>
      </c>
      <c r="Z72" s="18">
        <f>1/(1+0.12)^0</f>
        <v>1</v>
      </c>
      <c r="AA72" s="20">
        <f>Y72*Z72</f>
        <v>-4.2486122775497098E-4</v>
      </c>
      <c r="AC72" s="8">
        <v>474.86500000000001</v>
      </c>
      <c r="AD72" s="9">
        <v>0</v>
      </c>
      <c r="AE72" s="18">
        <v>0</v>
      </c>
      <c r="AF72" s="18">
        <v>0</v>
      </c>
      <c r="AG72" s="18">
        <v>0</v>
      </c>
      <c r="AH72" s="18">
        <v>0</v>
      </c>
      <c r="AI72" s="18">
        <v>-4.2486122775497098E-4</v>
      </c>
      <c r="AJ72" s="18">
        <f>1/(1+0.12)^0</f>
        <v>1</v>
      </c>
      <c r="AK72" s="20">
        <f>AI72*AJ72</f>
        <v>-4.2486122775497098E-4</v>
      </c>
      <c r="AM72" s="8">
        <v>280</v>
      </c>
      <c r="AN72" s="9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-4.2486122775497098E-4</v>
      </c>
      <c r="AT72" s="18">
        <f>1/(1+0.12)^0</f>
        <v>1</v>
      </c>
      <c r="AU72" s="20">
        <f>AS72*AT72</f>
        <v>-4.2486122775497098E-4</v>
      </c>
      <c r="AW72" s="8">
        <v>4.3499999999999997E-2</v>
      </c>
      <c r="AX72" s="9">
        <v>0</v>
      </c>
      <c r="AY72" s="18">
        <v>0</v>
      </c>
      <c r="AZ72" s="18">
        <v>0</v>
      </c>
      <c r="BA72" s="18">
        <v>0</v>
      </c>
      <c r="BB72" s="18">
        <v>0</v>
      </c>
      <c r="BC72" s="18">
        <v>-4.2486122775497098E-4</v>
      </c>
      <c r="BD72" s="18">
        <f>1/(1+0.12)^0</f>
        <v>1</v>
      </c>
      <c r="BE72" s="20">
        <f>BC72*BD72</f>
        <v>-4.2486122775497098E-4</v>
      </c>
    </row>
    <row r="73" spans="8:57" x14ac:dyDescent="0.25">
      <c r="I73" s="10"/>
      <c r="J73" s="9">
        <v>1</v>
      </c>
      <c r="K73" s="19">
        <v>252.57441837908112</v>
      </c>
      <c r="L73" s="19">
        <v>1.3453938878907409E-5</v>
      </c>
      <c r="M73" s="19">
        <f>K73-L73</f>
        <v>252.57440492514223</v>
      </c>
      <c r="N73" s="19">
        <v>0</v>
      </c>
      <c r="O73" s="19">
        <f>K73-N73</f>
        <v>252.57441837908112</v>
      </c>
      <c r="P73" s="19">
        <f>1/(1+0.12)^1</f>
        <v>0.89285714285714279</v>
      </c>
      <c r="Q73" s="23">
        <f t="shared" ref="Q73:Q102" si="58">O73*P73</f>
        <v>225.51287355275099</v>
      </c>
      <c r="S73" s="10"/>
      <c r="T73" s="9">
        <v>1</v>
      </c>
      <c r="U73" s="18">
        <v>252.52027197824123</v>
      </c>
      <c r="V73" s="18">
        <v>1.3453938878907409E-5</v>
      </c>
      <c r="W73" s="18">
        <f>U73-V73</f>
        <v>252.52025852430233</v>
      </c>
      <c r="X73" s="18">
        <v>0</v>
      </c>
      <c r="Y73" s="18">
        <f>U73-X73</f>
        <v>252.52027197824123</v>
      </c>
      <c r="Z73" s="18">
        <f>1/(1+0.12)^1</f>
        <v>0.89285714285714279</v>
      </c>
      <c r="AA73" s="20">
        <f t="shared" ref="AA73:AA102" si="59">Y73*Z73</f>
        <v>225.46452855200107</v>
      </c>
      <c r="AC73" s="10"/>
      <c r="AD73" s="9">
        <v>1</v>
      </c>
      <c r="AE73" s="18">
        <v>414.51551121815845</v>
      </c>
      <c r="AF73" s="18">
        <v>1.3453938878907409E-5</v>
      </c>
      <c r="AG73" s="18">
        <f>AE73-AF73</f>
        <v>414.51549776421956</v>
      </c>
      <c r="AH73" s="18">
        <v>0</v>
      </c>
      <c r="AI73" s="18">
        <f>AE73-AH73</f>
        <v>414.51551121815845</v>
      </c>
      <c r="AJ73" s="18">
        <f>1/(1+0.12)^1</f>
        <v>0.89285714285714279</v>
      </c>
      <c r="AK73" s="20">
        <f t="shared" ref="AK73:AK102" si="60">AI73*AJ73</f>
        <v>370.10313501621289</v>
      </c>
      <c r="AM73" s="10"/>
      <c r="AN73" s="9">
        <v>1</v>
      </c>
      <c r="AO73" s="18">
        <v>236.89769966670849</v>
      </c>
      <c r="AP73" s="18">
        <v>1.3453938878907409E-5</v>
      </c>
      <c r="AQ73" s="18">
        <f>AO73-AP73</f>
        <v>236.8976862127696</v>
      </c>
      <c r="AR73" s="18">
        <v>0</v>
      </c>
      <c r="AS73" s="18">
        <f>AO73-AR73</f>
        <v>236.89769966670849</v>
      </c>
      <c r="AT73" s="18">
        <f>1/(1+0.12)^1</f>
        <v>0.89285714285714279</v>
      </c>
      <c r="AU73" s="20">
        <f t="shared" ref="AU73:AU102" si="61">AS73*AT73</f>
        <v>211.51580327384684</v>
      </c>
      <c r="AW73" s="10"/>
      <c r="AX73" s="9">
        <v>1</v>
      </c>
      <c r="AY73" s="18">
        <v>214.99617289492608</v>
      </c>
      <c r="AZ73" s="18">
        <v>1.3453938878907409E-5</v>
      </c>
      <c r="BA73" s="18">
        <f>AY73-AZ73</f>
        <v>214.99615944098719</v>
      </c>
      <c r="BB73" s="18">
        <v>0</v>
      </c>
      <c r="BC73" s="18">
        <f>AY73-BB73</f>
        <v>214.99617289492608</v>
      </c>
      <c r="BD73" s="18">
        <f>1/(1+0.12)^1</f>
        <v>0.89285714285714279</v>
      </c>
      <c r="BE73" s="20">
        <f t="shared" ref="BE73:BE102" si="62">BC73*BD73</f>
        <v>191.96086865618398</v>
      </c>
    </row>
    <row r="74" spans="8:57" x14ac:dyDescent="0.25">
      <c r="I74" s="8"/>
      <c r="J74" s="9">
        <v>2</v>
      </c>
      <c r="K74" s="19">
        <v>252.57441837908112</v>
      </c>
      <c r="L74" s="19">
        <v>1.3453938878907409E-5</v>
      </c>
      <c r="M74" s="19">
        <f t="shared" ref="M74:M92" si="63">K74-L74</f>
        <v>252.57440492514223</v>
      </c>
      <c r="N74" s="19">
        <f t="shared" ref="N74" si="64">M74*0.25</f>
        <v>63.143601231285558</v>
      </c>
      <c r="O74" s="19">
        <f t="shared" ref="O74:O102" si="65">K74-N74</f>
        <v>189.43081714779555</v>
      </c>
      <c r="P74" s="19">
        <f>1/(1+0.12)^2</f>
        <v>0.79719387755102034</v>
      </c>
      <c r="Q74" s="23">
        <f t="shared" si="58"/>
        <v>151.01308764970946</v>
      </c>
      <c r="S74" s="8"/>
      <c r="T74" s="9">
        <v>2</v>
      </c>
      <c r="U74" s="18">
        <v>252.52027197824123</v>
      </c>
      <c r="V74" s="18">
        <v>1.3453938878907409E-5</v>
      </c>
      <c r="W74" s="18">
        <f t="shared" ref="W74:W92" si="66">U74-V74</f>
        <v>252.52025852430233</v>
      </c>
      <c r="X74" s="18">
        <f t="shared" ref="X74" si="67">W74*0.25</f>
        <v>63.130064631075584</v>
      </c>
      <c r="Y74" s="18">
        <f t="shared" ref="Y74:Y102" si="68">U74-X74</f>
        <v>189.39020734716564</v>
      </c>
      <c r="Z74" s="18">
        <f>1/(1+0.12)^2</f>
        <v>0.79719387755102034</v>
      </c>
      <c r="AA74" s="20">
        <f t="shared" si="59"/>
        <v>150.98071376527872</v>
      </c>
      <c r="AC74" s="8"/>
      <c r="AD74" s="9">
        <v>2</v>
      </c>
      <c r="AE74" s="18">
        <v>414.51551121815845</v>
      </c>
      <c r="AF74" s="18">
        <v>1.3453938878907409E-5</v>
      </c>
      <c r="AG74" s="18">
        <f t="shared" ref="AG74:AG92" si="69">AE74-AF74</f>
        <v>414.51549776421956</v>
      </c>
      <c r="AH74" s="18">
        <f t="shared" ref="AH74" si="70">AG74*0.25</f>
        <v>103.62887444105489</v>
      </c>
      <c r="AI74" s="18">
        <f t="shared" ref="AI74:AI102" si="71">AE74-AH74</f>
        <v>310.88663677710355</v>
      </c>
      <c r="AJ74" s="18">
        <f>1/(1+0.12)^2</f>
        <v>0.79719387755102034</v>
      </c>
      <c r="AK74" s="20">
        <f t="shared" si="60"/>
        <v>247.83692345113482</v>
      </c>
      <c r="AM74" s="8"/>
      <c r="AN74" s="9">
        <v>2</v>
      </c>
      <c r="AO74" s="18">
        <v>236.89769966670849</v>
      </c>
      <c r="AP74" s="18">
        <v>1.3453938878907409E-5</v>
      </c>
      <c r="AQ74" s="18">
        <f t="shared" ref="AQ74:AQ92" si="72">AO74-AP74</f>
        <v>236.8976862127696</v>
      </c>
      <c r="AR74" s="18">
        <f t="shared" ref="AR74" si="73">AQ74*0.25</f>
        <v>59.2244215531924</v>
      </c>
      <c r="AS74" s="18">
        <f t="shared" ref="AS74:AS102" si="74">AO74-AR74</f>
        <v>177.67327811351609</v>
      </c>
      <c r="AT74" s="18">
        <f>1/(1+0.12)^2</f>
        <v>0.79719387755102034</v>
      </c>
      <c r="AU74" s="20">
        <f t="shared" si="61"/>
        <v>141.64004951651472</v>
      </c>
      <c r="AW74" s="8"/>
      <c r="AX74" s="9">
        <v>2</v>
      </c>
      <c r="AY74" s="18">
        <v>214.99617289492608</v>
      </c>
      <c r="AZ74" s="18">
        <v>1.3453938878907409E-5</v>
      </c>
      <c r="BA74" s="18">
        <f t="shared" ref="BA74:BA92" si="75">AY74-AZ74</f>
        <v>214.99615944098719</v>
      </c>
      <c r="BB74" s="18">
        <f t="shared" ref="BB74" si="76">BA74*0.25</f>
        <v>53.749039860246796</v>
      </c>
      <c r="BC74" s="18">
        <f t="shared" ref="BC74:BC102" si="77">AY74-BB74</f>
        <v>161.24713303467928</v>
      </c>
      <c r="BD74" s="18">
        <f>1/(1+0.12)^2</f>
        <v>0.79719387755102034</v>
      </c>
      <c r="BE74" s="20">
        <f t="shared" si="62"/>
        <v>128.54522722790119</v>
      </c>
    </row>
    <row r="75" spans="8:57" x14ac:dyDescent="0.25">
      <c r="I75" s="8"/>
      <c r="J75" s="9">
        <v>3</v>
      </c>
      <c r="K75" s="19">
        <v>252.57441837908112</v>
      </c>
      <c r="L75" s="19">
        <v>1.3453938878907409E-5</v>
      </c>
      <c r="M75" s="19">
        <f t="shared" si="63"/>
        <v>252.57440492514223</v>
      </c>
      <c r="N75" s="19">
        <f>M75*0.25</f>
        <v>63.143601231285558</v>
      </c>
      <c r="O75" s="19">
        <f t="shared" si="65"/>
        <v>189.43081714779555</v>
      </c>
      <c r="P75" s="19">
        <f>1/(1+0.12)^3</f>
        <v>0.71178024781341087</v>
      </c>
      <c r="Q75" s="23">
        <f t="shared" si="58"/>
        <v>134.83311397295483</v>
      </c>
      <c r="S75" s="8"/>
      <c r="T75" s="9">
        <v>3</v>
      </c>
      <c r="U75" s="18">
        <v>252.52027197824123</v>
      </c>
      <c r="V75" s="18">
        <v>1.3453938878907409E-5</v>
      </c>
      <c r="W75" s="18">
        <f t="shared" si="66"/>
        <v>252.52025852430233</v>
      </c>
      <c r="X75" s="18">
        <f>W75*0.25</f>
        <v>63.130064631075584</v>
      </c>
      <c r="Y75" s="18">
        <f t="shared" si="68"/>
        <v>189.39020734716564</v>
      </c>
      <c r="Z75" s="18">
        <f>1/(1+0.12)^3</f>
        <v>0.71178024781341087</v>
      </c>
      <c r="AA75" s="20">
        <f t="shared" si="59"/>
        <v>134.80420871899884</v>
      </c>
      <c r="AC75" s="8"/>
      <c r="AD75" s="9">
        <v>3</v>
      </c>
      <c r="AE75" s="18">
        <v>414.51551121815845</v>
      </c>
      <c r="AF75" s="18">
        <v>1.3453938878907409E-5</v>
      </c>
      <c r="AG75" s="18">
        <f t="shared" si="69"/>
        <v>414.51549776421956</v>
      </c>
      <c r="AH75" s="18">
        <f>AG75*0.25</f>
        <v>103.62887444105489</v>
      </c>
      <c r="AI75" s="18">
        <f t="shared" si="71"/>
        <v>310.88663677710355</v>
      </c>
      <c r="AJ75" s="18">
        <f>1/(1+0.12)^3</f>
        <v>0.71178024781341087</v>
      </c>
      <c r="AK75" s="20">
        <f t="shared" si="60"/>
        <v>221.28296736708461</v>
      </c>
      <c r="AM75" s="8"/>
      <c r="AN75" s="9">
        <v>3</v>
      </c>
      <c r="AO75" s="18">
        <v>236.89769966670849</v>
      </c>
      <c r="AP75" s="18">
        <v>1.3453938878907409E-5</v>
      </c>
      <c r="AQ75" s="18">
        <f t="shared" si="72"/>
        <v>236.8976862127696</v>
      </c>
      <c r="AR75" s="18">
        <f>AQ75*0.25</f>
        <v>59.2244215531924</v>
      </c>
      <c r="AS75" s="18">
        <f t="shared" si="74"/>
        <v>177.67327811351609</v>
      </c>
      <c r="AT75" s="18">
        <f>1/(1+0.12)^3</f>
        <v>0.71178024781341087</v>
      </c>
      <c r="AU75" s="20">
        <f t="shared" si="61"/>
        <v>126.46432992545955</v>
      </c>
      <c r="AW75" s="8"/>
      <c r="AX75" s="9">
        <v>3</v>
      </c>
      <c r="AY75" s="18">
        <v>214.99617289492608</v>
      </c>
      <c r="AZ75" s="18">
        <v>1.3453938878907409E-5</v>
      </c>
      <c r="BA75" s="18">
        <f t="shared" si="75"/>
        <v>214.99615944098719</v>
      </c>
      <c r="BB75" s="18">
        <f>BA75*0.25</f>
        <v>53.749039860246796</v>
      </c>
      <c r="BC75" s="18">
        <f t="shared" si="77"/>
        <v>161.24713303467928</v>
      </c>
      <c r="BD75" s="18">
        <f>1/(1+0.12)^3</f>
        <v>0.71178024781341087</v>
      </c>
      <c r="BE75" s="20">
        <f t="shared" si="62"/>
        <v>114.77252431062605</v>
      </c>
    </row>
    <row r="76" spans="8:57" x14ac:dyDescent="0.25">
      <c r="I76" s="8"/>
      <c r="J76" s="9">
        <v>4</v>
      </c>
      <c r="K76" s="19">
        <v>252.57441837908112</v>
      </c>
      <c r="L76" s="19">
        <v>1.3453938878907409E-5</v>
      </c>
      <c r="M76" s="19">
        <f t="shared" si="63"/>
        <v>252.57440492514223</v>
      </c>
      <c r="N76" s="19">
        <f t="shared" ref="N76:N102" si="78">M76*0.25</f>
        <v>63.143601231285558</v>
      </c>
      <c r="O76" s="19">
        <f t="shared" si="65"/>
        <v>189.43081714779555</v>
      </c>
      <c r="P76" s="19">
        <f>1/(1+0.12)^4</f>
        <v>0.63551807840483121</v>
      </c>
      <c r="Q76" s="23">
        <f t="shared" si="58"/>
        <v>120.38670890442398</v>
      </c>
      <c r="S76" s="8"/>
      <c r="T76" s="9">
        <v>4</v>
      </c>
      <c r="U76" s="18">
        <v>252.52027197824123</v>
      </c>
      <c r="V76" s="18">
        <v>1.3453938878907409E-5</v>
      </c>
      <c r="W76" s="18">
        <f t="shared" si="66"/>
        <v>252.52025852430233</v>
      </c>
      <c r="X76" s="18">
        <f t="shared" ref="X76:X102" si="79">W76*0.25</f>
        <v>63.130064631075584</v>
      </c>
      <c r="Y76" s="18">
        <f t="shared" si="68"/>
        <v>189.39020734716564</v>
      </c>
      <c r="Z76" s="18">
        <f>1/(1+0.12)^4</f>
        <v>0.63551807840483121</v>
      </c>
      <c r="AA76" s="20">
        <f t="shared" si="59"/>
        <v>120.36090064196325</v>
      </c>
      <c r="AC76" s="8"/>
      <c r="AD76" s="9">
        <v>4</v>
      </c>
      <c r="AE76" s="18">
        <v>414.51551121815845</v>
      </c>
      <c r="AF76" s="18">
        <v>1.3453938878907409E-5</v>
      </c>
      <c r="AG76" s="18">
        <f t="shared" si="69"/>
        <v>414.51549776421956</v>
      </c>
      <c r="AH76" s="18">
        <f t="shared" ref="AH76:AH102" si="80">AG76*0.25</f>
        <v>103.62887444105489</v>
      </c>
      <c r="AI76" s="18">
        <f t="shared" si="71"/>
        <v>310.88663677710355</v>
      </c>
      <c r="AJ76" s="18">
        <f>1/(1+0.12)^4</f>
        <v>0.63551807840483121</v>
      </c>
      <c r="AK76" s="20">
        <f t="shared" si="60"/>
        <v>197.57407800632558</v>
      </c>
      <c r="AM76" s="8"/>
      <c r="AN76" s="9">
        <v>4</v>
      </c>
      <c r="AO76" s="18">
        <v>236.89769966670849</v>
      </c>
      <c r="AP76" s="18">
        <v>1.3453938878907409E-5</v>
      </c>
      <c r="AQ76" s="18">
        <f t="shared" si="72"/>
        <v>236.8976862127696</v>
      </c>
      <c r="AR76" s="18">
        <f t="shared" ref="AR76:AR102" si="81">AQ76*0.25</f>
        <v>59.2244215531924</v>
      </c>
      <c r="AS76" s="18">
        <f t="shared" si="74"/>
        <v>177.67327811351609</v>
      </c>
      <c r="AT76" s="18">
        <f>1/(1+0.12)^4</f>
        <v>0.63551807840483121</v>
      </c>
      <c r="AU76" s="20">
        <f t="shared" si="61"/>
        <v>112.9145802905889</v>
      </c>
      <c r="AW76" s="8"/>
      <c r="AX76" s="9">
        <v>4</v>
      </c>
      <c r="AY76" s="18">
        <v>214.99617289492608</v>
      </c>
      <c r="AZ76" s="18">
        <v>1.3453938878907409E-5</v>
      </c>
      <c r="BA76" s="18">
        <f t="shared" si="75"/>
        <v>214.99615944098719</v>
      </c>
      <c r="BB76" s="18">
        <f t="shared" ref="BB76:BB102" si="82">BA76*0.25</f>
        <v>53.749039860246796</v>
      </c>
      <c r="BC76" s="18">
        <f t="shared" si="77"/>
        <v>161.24713303467928</v>
      </c>
      <c r="BD76" s="18">
        <f>1/(1+0.12)^4</f>
        <v>0.63551807840483121</v>
      </c>
      <c r="BE76" s="20">
        <f t="shared" si="62"/>
        <v>102.47546813448756</v>
      </c>
    </row>
    <row r="77" spans="8:57" x14ac:dyDescent="0.25">
      <c r="I77" s="8"/>
      <c r="J77" s="9">
        <v>5</v>
      </c>
      <c r="K77" s="19">
        <v>252.57441837908112</v>
      </c>
      <c r="L77" s="19">
        <v>1.3453938878907409E-5</v>
      </c>
      <c r="M77" s="19">
        <f t="shared" si="63"/>
        <v>252.57440492514223</v>
      </c>
      <c r="N77" s="19">
        <f t="shared" si="78"/>
        <v>63.143601231285558</v>
      </c>
      <c r="O77" s="19">
        <f t="shared" si="65"/>
        <v>189.43081714779555</v>
      </c>
      <c r="P77" s="19">
        <f>1/(1+0.12)^5</f>
        <v>0.56742685571859919</v>
      </c>
      <c r="Q77" s="23">
        <f t="shared" si="58"/>
        <v>107.48813295037853</v>
      </c>
      <c r="S77" s="8"/>
      <c r="T77" s="9">
        <v>5</v>
      </c>
      <c r="U77" s="18">
        <v>252.52027197824123</v>
      </c>
      <c r="V77" s="18">
        <v>1.3453938878907409E-5</v>
      </c>
      <c r="W77" s="18">
        <f t="shared" si="66"/>
        <v>252.52025852430233</v>
      </c>
      <c r="X77" s="18">
        <f t="shared" si="79"/>
        <v>63.130064631075584</v>
      </c>
      <c r="Y77" s="18">
        <f t="shared" si="68"/>
        <v>189.39020734716564</v>
      </c>
      <c r="Z77" s="18">
        <f>1/(1+0.12)^5</f>
        <v>0.56742685571859919</v>
      </c>
      <c r="AA77" s="20">
        <f t="shared" si="59"/>
        <v>107.46508985889574</v>
      </c>
      <c r="AC77" s="8"/>
      <c r="AD77" s="9">
        <v>5</v>
      </c>
      <c r="AE77" s="18">
        <v>414.51551121815845</v>
      </c>
      <c r="AF77" s="18">
        <v>1.3453938878907409E-5</v>
      </c>
      <c r="AG77" s="18">
        <f t="shared" si="69"/>
        <v>414.51549776421956</v>
      </c>
      <c r="AH77" s="18">
        <f t="shared" si="80"/>
        <v>103.62887444105489</v>
      </c>
      <c r="AI77" s="18">
        <f t="shared" si="71"/>
        <v>310.88663677710355</v>
      </c>
      <c r="AJ77" s="18">
        <f>1/(1+0.12)^5</f>
        <v>0.56742685571859919</v>
      </c>
      <c r="AK77" s="20">
        <f t="shared" si="60"/>
        <v>176.40542679136209</v>
      </c>
      <c r="AM77" s="8"/>
      <c r="AN77" s="9">
        <v>5</v>
      </c>
      <c r="AO77" s="18">
        <v>236.89769966670849</v>
      </c>
      <c r="AP77" s="18">
        <v>1.3453938878907409E-5</v>
      </c>
      <c r="AQ77" s="18">
        <f t="shared" si="72"/>
        <v>236.8976862127696</v>
      </c>
      <c r="AR77" s="18">
        <f t="shared" si="81"/>
        <v>59.2244215531924</v>
      </c>
      <c r="AS77" s="18">
        <f t="shared" si="74"/>
        <v>177.67327811351609</v>
      </c>
      <c r="AT77" s="18">
        <f>1/(1+0.12)^5</f>
        <v>0.56742685571859919</v>
      </c>
      <c r="AU77" s="20">
        <f t="shared" si="61"/>
        <v>100.81658954516864</v>
      </c>
      <c r="AW77" s="8"/>
      <c r="AX77" s="9">
        <v>5</v>
      </c>
      <c r="AY77" s="18">
        <v>214.99617289492608</v>
      </c>
      <c r="AZ77" s="18">
        <v>1.3453938878907409E-5</v>
      </c>
      <c r="BA77" s="18">
        <f t="shared" si="75"/>
        <v>214.99615944098719</v>
      </c>
      <c r="BB77" s="18">
        <f t="shared" si="82"/>
        <v>53.749039860246796</v>
      </c>
      <c r="BC77" s="18">
        <f t="shared" si="77"/>
        <v>161.24713303467928</v>
      </c>
      <c r="BD77" s="18">
        <f>1/(1+0.12)^5</f>
        <v>0.56742685571859919</v>
      </c>
      <c r="BE77" s="20">
        <f t="shared" si="62"/>
        <v>91.495953691506728</v>
      </c>
    </row>
    <row r="78" spans="8:57" x14ac:dyDescent="0.25">
      <c r="I78" s="8"/>
      <c r="J78" s="9">
        <v>6</v>
      </c>
      <c r="K78" s="19">
        <v>252.57441837908112</v>
      </c>
      <c r="L78" s="19">
        <v>1.3453938878907409E-5</v>
      </c>
      <c r="M78" s="19">
        <f t="shared" si="63"/>
        <v>252.57440492514223</v>
      </c>
      <c r="N78" s="19">
        <f t="shared" si="78"/>
        <v>63.143601231285558</v>
      </c>
      <c r="O78" s="19">
        <f t="shared" si="65"/>
        <v>189.43081714779555</v>
      </c>
      <c r="P78" s="19">
        <f>1/(1+0.12)^6</f>
        <v>0.50663112117732068</v>
      </c>
      <c r="Q78" s="23">
        <f t="shared" si="58"/>
        <v>95.971547277123676</v>
      </c>
      <c r="S78" s="8"/>
      <c r="T78" s="9">
        <v>6</v>
      </c>
      <c r="U78" s="18">
        <v>252.52027197824123</v>
      </c>
      <c r="V78" s="18">
        <v>1.3453938878907409E-5</v>
      </c>
      <c r="W78" s="18">
        <f t="shared" si="66"/>
        <v>252.52025852430233</v>
      </c>
      <c r="X78" s="18">
        <f t="shared" si="79"/>
        <v>63.130064631075584</v>
      </c>
      <c r="Y78" s="18">
        <f t="shared" si="68"/>
        <v>189.39020734716564</v>
      </c>
      <c r="Z78" s="18">
        <f>1/(1+0.12)^6</f>
        <v>0.50663112117732068</v>
      </c>
      <c r="AA78" s="20">
        <f t="shared" si="59"/>
        <v>95.950973088299762</v>
      </c>
      <c r="AC78" s="8"/>
      <c r="AD78" s="9">
        <v>6</v>
      </c>
      <c r="AE78" s="18">
        <v>414.51551121815845</v>
      </c>
      <c r="AF78" s="18">
        <v>1.3453938878907409E-5</v>
      </c>
      <c r="AG78" s="18">
        <f t="shared" si="69"/>
        <v>414.51549776421956</v>
      </c>
      <c r="AH78" s="18">
        <f t="shared" si="80"/>
        <v>103.62887444105489</v>
      </c>
      <c r="AI78" s="18">
        <f t="shared" si="71"/>
        <v>310.88663677710355</v>
      </c>
      <c r="AJ78" s="18">
        <f>1/(1+0.12)^6</f>
        <v>0.50663112117732068</v>
      </c>
      <c r="AK78" s="20">
        <f t="shared" si="60"/>
        <v>157.50484534943044</v>
      </c>
      <c r="AM78" s="8"/>
      <c r="AN78" s="9">
        <v>6</v>
      </c>
      <c r="AO78" s="18">
        <v>236.89769966670849</v>
      </c>
      <c r="AP78" s="18">
        <v>1.3453938878907409E-5</v>
      </c>
      <c r="AQ78" s="18">
        <f t="shared" si="72"/>
        <v>236.8976862127696</v>
      </c>
      <c r="AR78" s="18">
        <f t="shared" si="81"/>
        <v>59.2244215531924</v>
      </c>
      <c r="AS78" s="18">
        <f t="shared" si="74"/>
        <v>177.67327811351609</v>
      </c>
      <c r="AT78" s="18">
        <f>1/(1+0.12)^6</f>
        <v>0.50663112117732068</v>
      </c>
      <c r="AU78" s="20">
        <f t="shared" si="61"/>
        <v>90.014812093900574</v>
      </c>
      <c r="AW78" s="8"/>
      <c r="AX78" s="9">
        <v>6</v>
      </c>
      <c r="AY78" s="18">
        <v>214.99617289492608</v>
      </c>
      <c r="AZ78" s="18">
        <v>1.3453938878907409E-5</v>
      </c>
      <c r="BA78" s="18">
        <f t="shared" si="75"/>
        <v>214.99615944098719</v>
      </c>
      <c r="BB78" s="18">
        <f t="shared" si="82"/>
        <v>53.749039860246796</v>
      </c>
      <c r="BC78" s="18">
        <f t="shared" si="77"/>
        <v>161.24713303467928</v>
      </c>
      <c r="BD78" s="18">
        <f>1/(1+0.12)^6</f>
        <v>0.50663112117732068</v>
      </c>
      <c r="BE78" s="20">
        <f t="shared" si="62"/>
        <v>81.692815795988139</v>
      </c>
    </row>
    <row r="79" spans="8:57" x14ac:dyDescent="0.25">
      <c r="I79" s="8"/>
      <c r="J79" s="9">
        <v>7</v>
      </c>
      <c r="K79" s="19">
        <v>252.57441837908112</v>
      </c>
      <c r="L79" s="19">
        <v>1.3453938878907409E-5</v>
      </c>
      <c r="M79" s="19">
        <f t="shared" si="63"/>
        <v>252.57440492514223</v>
      </c>
      <c r="N79" s="19">
        <f t="shared" si="78"/>
        <v>63.143601231285558</v>
      </c>
      <c r="O79" s="19">
        <f t="shared" si="65"/>
        <v>189.43081714779555</v>
      </c>
      <c r="P79" s="19">
        <f>1/(1+0.12)^7</f>
        <v>0.45234921533689343</v>
      </c>
      <c r="Q79" s="23">
        <f t="shared" si="58"/>
        <v>85.688881497431851</v>
      </c>
      <c r="S79" s="8"/>
      <c r="T79" s="9">
        <v>7</v>
      </c>
      <c r="U79" s="18">
        <v>252.52027197824123</v>
      </c>
      <c r="V79" s="18">
        <v>1.3453938878907409E-5</v>
      </c>
      <c r="W79" s="18">
        <f t="shared" si="66"/>
        <v>252.52025852430233</v>
      </c>
      <c r="X79" s="18">
        <f t="shared" si="79"/>
        <v>63.130064631075584</v>
      </c>
      <c r="Y79" s="18">
        <f t="shared" si="68"/>
        <v>189.39020734716564</v>
      </c>
      <c r="Z79" s="18">
        <f>1/(1+0.12)^7</f>
        <v>0.45234921533689343</v>
      </c>
      <c r="AA79" s="20">
        <f t="shared" si="59"/>
        <v>85.670511685981921</v>
      </c>
      <c r="AC79" s="8"/>
      <c r="AD79" s="9">
        <v>7</v>
      </c>
      <c r="AE79" s="18">
        <v>414.51551121815845</v>
      </c>
      <c r="AF79" s="18">
        <v>1.3453938878907409E-5</v>
      </c>
      <c r="AG79" s="18">
        <f t="shared" si="69"/>
        <v>414.51549776421956</v>
      </c>
      <c r="AH79" s="18">
        <f t="shared" si="80"/>
        <v>103.62887444105489</v>
      </c>
      <c r="AI79" s="18">
        <f t="shared" si="71"/>
        <v>310.88663677710355</v>
      </c>
      <c r="AJ79" s="18">
        <f>1/(1+0.12)^7</f>
        <v>0.45234921533689343</v>
      </c>
      <c r="AK79" s="20">
        <f t="shared" si="60"/>
        <v>140.62932620484858</v>
      </c>
      <c r="AM79" s="8"/>
      <c r="AN79" s="9">
        <v>7</v>
      </c>
      <c r="AO79" s="18">
        <v>236.89769966670849</v>
      </c>
      <c r="AP79" s="18">
        <v>1.3453938878907409E-5</v>
      </c>
      <c r="AQ79" s="18">
        <f t="shared" si="72"/>
        <v>236.8976862127696</v>
      </c>
      <c r="AR79" s="18">
        <f t="shared" si="81"/>
        <v>59.2244215531924</v>
      </c>
      <c r="AS79" s="18">
        <f t="shared" si="74"/>
        <v>177.67327811351609</v>
      </c>
      <c r="AT79" s="18">
        <f>1/(1+0.12)^7</f>
        <v>0.45234921533689343</v>
      </c>
      <c r="AU79" s="20">
        <f t="shared" si="61"/>
        <v>80.370367940982646</v>
      </c>
      <c r="AW79" s="8"/>
      <c r="AX79" s="9">
        <v>7</v>
      </c>
      <c r="AY79" s="18">
        <v>214.99617289492608</v>
      </c>
      <c r="AZ79" s="18">
        <v>1.3453938878907409E-5</v>
      </c>
      <c r="BA79" s="18">
        <f t="shared" si="75"/>
        <v>214.99615944098719</v>
      </c>
      <c r="BB79" s="18">
        <f t="shared" si="82"/>
        <v>53.749039860246796</v>
      </c>
      <c r="BC79" s="18">
        <f t="shared" si="77"/>
        <v>161.24713303467928</v>
      </c>
      <c r="BD79" s="18">
        <f>1/(1+0.12)^7</f>
        <v>0.45234921533689343</v>
      </c>
      <c r="BE79" s="20">
        <f t="shared" si="62"/>
        <v>72.940014103560841</v>
      </c>
    </row>
    <row r="80" spans="8:57" x14ac:dyDescent="0.25">
      <c r="I80" s="8"/>
      <c r="J80" s="9">
        <v>8</v>
      </c>
      <c r="K80" s="19">
        <v>252.57441837908112</v>
      </c>
      <c r="L80" s="19">
        <v>1.3453938878907409E-5</v>
      </c>
      <c r="M80" s="19">
        <f t="shared" si="63"/>
        <v>252.57440492514223</v>
      </c>
      <c r="N80" s="19">
        <f t="shared" si="78"/>
        <v>63.143601231285558</v>
      </c>
      <c r="O80" s="19">
        <f t="shared" si="65"/>
        <v>189.43081714779555</v>
      </c>
      <c r="P80" s="19">
        <f>1/(1+0.12)^8</f>
        <v>0.4038832279793691</v>
      </c>
      <c r="Q80" s="23">
        <f t="shared" si="58"/>
        <v>76.507929908421289</v>
      </c>
      <c r="S80" s="8"/>
      <c r="T80" s="9">
        <v>8</v>
      </c>
      <c r="U80" s="18">
        <v>252.52027197824123</v>
      </c>
      <c r="V80" s="18">
        <v>1.3453938878907409E-5</v>
      </c>
      <c r="W80" s="18">
        <f t="shared" si="66"/>
        <v>252.52025852430233</v>
      </c>
      <c r="X80" s="18">
        <f t="shared" si="79"/>
        <v>63.130064631075584</v>
      </c>
      <c r="Y80" s="18">
        <f t="shared" si="68"/>
        <v>189.39020734716564</v>
      </c>
      <c r="Z80" s="18">
        <f>1/(1+0.12)^8</f>
        <v>0.4038832279793691</v>
      </c>
      <c r="AA80" s="20">
        <f t="shared" si="59"/>
        <v>76.491528291055289</v>
      </c>
      <c r="AC80" s="8"/>
      <c r="AD80" s="9">
        <v>8</v>
      </c>
      <c r="AE80" s="18">
        <v>414.51551121815845</v>
      </c>
      <c r="AF80" s="18">
        <v>1.3453938878907409E-5</v>
      </c>
      <c r="AG80" s="18">
        <f t="shared" si="69"/>
        <v>414.51549776421956</v>
      </c>
      <c r="AH80" s="18">
        <f t="shared" si="80"/>
        <v>103.62887444105489</v>
      </c>
      <c r="AI80" s="18">
        <f t="shared" si="71"/>
        <v>310.88663677710355</v>
      </c>
      <c r="AJ80" s="18">
        <f>1/(1+0.12)^8</f>
        <v>0.4038832279793691</v>
      </c>
      <c r="AK80" s="20">
        <f t="shared" si="60"/>
        <v>125.56189839718623</v>
      </c>
      <c r="AM80" s="8"/>
      <c r="AN80" s="9">
        <v>8</v>
      </c>
      <c r="AO80" s="18">
        <v>236.89769966670849</v>
      </c>
      <c r="AP80" s="18">
        <v>1.3453938878907409E-5</v>
      </c>
      <c r="AQ80" s="18">
        <f t="shared" si="72"/>
        <v>236.8976862127696</v>
      </c>
      <c r="AR80" s="18">
        <f t="shared" si="81"/>
        <v>59.2244215531924</v>
      </c>
      <c r="AS80" s="18">
        <f t="shared" si="74"/>
        <v>177.67327811351609</v>
      </c>
      <c r="AT80" s="18">
        <f>1/(1+0.12)^8</f>
        <v>0.4038832279793691</v>
      </c>
      <c r="AU80" s="20">
        <f t="shared" si="61"/>
        <v>71.759257090163075</v>
      </c>
      <c r="AW80" s="8"/>
      <c r="AX80" s="9">
        <v>8</v>
      </c>
      <c r="AY80" s="18">
        <v>214.99617289492608</v>
      </c>
      <c r="AZ80" s="18">
        <v>1.3453938878907409E-5</v>
      </c>
      <c r="BA80" s="18">
        <f t="shared" si="75"/>
        <v>214.99615944098719</v>
      </c>
      <c r="BB80" s="18">
        <f t="shared" si="82"/>
        <v>53.749039860246796</v>
      </c>
      <c r="BC80" s="18">
        <f t="shared" si="77"/>
        <v>161.24713303467928</v>
      </c>
      <c r="BD80" s="18">
        <f>1/(1+0.12)^8</f>
        <v>0.4038832279793691</v>
      </c>
      <c r="BE80" s="20">
        <f t="shared" si="62"/>
        <v>65.125012592465026</v>
      </c>
    </row>
    <row r="81" spans="9:57" x14ac:dyDescent="0.25">
      <c r="I81" s="8"/>
      <c r="J81" s="9">
        <v>9</v>
      </c>
      <c r="K81" s="19">
        <v>252.57441837908112</v>
      </c>
      <c r="L81" s="19">
        <v>1.3453938878907409E-5</v>
      </c>
      <c r="M81" s="19">
        <f t="shared" si="63"/>
        <v>252.57440492514223</v>
      </c>
      <c r="N81" s="19">
        <f t="shared" si="78"/>
        <v>63.143601231285558</v>
      </c>
      <c r="O81" s="19">
        <f t="shared" si="65"/>
        <v>189.43081714779555</v>
      </c>
      <c r="P81" s="19">
        <f>1/(1+0.12)^9</f>
        <v>0.36061002498157957</v>
      </c>
      <c r="Q81" s="23">
        <f t="shared" si="58"/>
        <v>68.310651703947585</v>
      </c>
      <c r="S81" s="8"/>
      <c r="T81" s="9">
        <v>9</v>
      </c>
      <c r="U81" s="18">
        <v>252.52027197824123</v>
      </c>
      <c r="V81" s="18">
        <v>1.3453938878907409E-5</v>
      </c>
      <c r="W81" s="18">
        <f t="shared" si="66"/>
        <v>252.52025852430233</v>
      </c>
      <c r="X81" s="18">
        <f t="shared" si="79"/>
        <v>63.130064631075584</v>
      </c>
      <c r="Y81" s="18">
        <f t="shared" si="68"/>
        <v>189.39020734716564</v>
      </c>
      <c r="Z81" s="18">
        <f>1/(1+0.12)^9</f>
        <v>0.36061002498157957</v>
      </c>
      <c r="AA81" s="20">
        <f t="shared" si="59"/>
        <v>68.296007402727938</v>
      </c>
      <c r="AC81" s="8"/>
      <c r="AD81" s="9">
        <v>9</v>
      </c>
      <c r="AE81" s="18">
        <v>414.51551121815845</v>
      </c>
      <c r="AF81" s="18">
        <v>1.3453938878907409E-5</v>
      </c>
      <c r="AG81" s="18">
        <f t="shared" si="69"/>
        <v>414.51549776421956</v>
      </c>
      <c r="AH81" s="18">
        <f t="shared" si="80"/>
        <v>103.62887444105489</v>
      </c>
      <c r="AI81" s="18">
        <f t="shared" si="71"/>
        <v>310.88663677710355</v>
      </c>
      <c r="AJ81" s="18">
        <f>1/(1+0.12)^9</f>
        <v>0.36061002498157957</v>
      </c>
      <c r="AK81" s="20">
        <f t="shared" si="60"/>
        <v>112.10883785463056</v>
      </c>
      <c r="AM81" s="8"/>
      <c r="AN81" s="9">
        <v>9</v>
      </c>
      <c r="AO81" s="18">
        <v>236.89769966670849</v>
      </c>
      <c r="AP81" s="18">
        <v>1.3453938878907409E-5</v>
      </c>
      <c r="AQ81" s="18">
        <f t="shared" si="72"/>
        <v>236.8976862127696</v>
      </c>
      <c r="AR81" s="18">
        <f t="shared" si="81"/>
        <v>59.2244215531924</v>
      </c>
      <c r="AS81" s="18">
        <f t="shared" si="74"/>
        <v>177.67327811351609</v>
      </c>
      <c r="AT81" s="18">
        <f>1/(1+0.12)^9</f>
        <v>0.36061002498157957</v>
      </c>
      <c r="AU81" s="20">
        <f t="shared" si="61"/>
        <v>64.070765259074179</v>
      </c>
      <c r="AW81" s="8"/>
      <c r="AX81" s="9">
        <v>9</v>
      </c>
      <c r="AY81" s="18">
        <v>214.99617289492608</v>
      </c>
      <c r="AZ81" s="18">
        <v>1.3453938878907409E-5</v>
      </c>
      <c r="BA81" s="18">
        <f t="shared" si="75"/>
        <v>214.99615944098719</v>
      </c>
      <c r="BB81" s="18">
        <f t="shared" si="82"/>
        <v>53.749039860246796</v>
      </c>
      <c r="BC81" s="18">
        <f t="shared" si="77"/>
        <v>161.24713303467928</v>
      </c>
      <c r="BD81" s="18">
        <f>1/(1+0.12)^9</f>
        <v>0.36061002498157957</v>
      </c>
      <c r="BE81" s="20">
        <f t="shared" si="62"/>
        <v>58.147332671843778</v>
      </c>
    </row>
    <row r="82" spans="9:57" x14ac:dyDescent="0.25">
      <c r="I82" s="8"/>
      <c r="J82" s="9">
        <v>10</v>
      </c>
      <c r="K82" s="19">
        <v>252.57441837908112</v>
      </c>
      <c r="L82" s="19">
        <v>1.3453938878907409E-5</v>
      </c>
      <c r="M82" s="19">
        <f t="shared" si="63"/>
        <v>252.57440492514223</v>
      </c>
      <c r="N82" s="19">
        <f t="shared" si="78"/>
        <v>63.143601231285558</v>
      </c>
      <c r="O82" s="19">
        <f t="shared" si="65"/>
        <v>189.43081714779555</v>
      </c>
      <c r="P82" s="19">
        <f>1/(1+0.12)^10</f>
        <v>0.32197323659069599</v>
      </c>
      <c r="Q82" s="23">
        <f t="shared" si="58"/>
        <v>60.991653307096044</v>
      </c>
      <c r="S82" s="8"/>
      <c r="T82" s="9">
        <v>10</v>
      </c>
      <c r="U82" s="18">
        <v>252.52027197824123</v>
      </c>
      <c r="V82" s="18">
        <v>1.3453938878907409E-5</v>
      </c>
      <c r="W82" s="18">
        <f t="shared" si="66"/>
        <v>252.52025852430233</v>
      </c>
      <c r="X82" s="18">
        <f t="shared" si="79"/>
        <v>63.130064631075584</v>
      </c>
      <c r="Y82" s="18">
        <f t="shared" si="68"/>
        <v>189.39020734716564</v>
      </c>
      <c r="Z82" s="18">
        <f>1/(1+0.12)^10</f>
        <v>0.32197323659069599</v>
      </c>
      <c r="AA82" s="20">
        <f t="shared" si="59"/>
        <v>60.978578038149934</v>
      </c>
      <c r="AC82" s="8"/>
      <c r="AD82" s="9">
        <v>10</v>
      </c>
      <c r="AE82" s="18">
        <v>414.51551121815845</v>
      </c>
      <c r="AF82" s="18">
        <v>1.3453938878907409E-5</v>
      </c>
      <c r="AG82" s="18">
        <f t="shared" si="69"/>
        <v>414.51549776421956</v>
      </c>
      <c r="AH82" s="18">
        <f t="shared" si="80"/>
        <v>103.62887444105489</v>
      </c>
      <c r="AI82" s="18">
        <f t="shared" si="71"/>
        <v>310.88663677710355</v>
      </c>
      <c r="AJ82" s="18">
        <f>1/(1+0.12)^10</f>
        <v>0.32197323659069599</v>
      </c>
      <c r="AK82" s="20">
        <f t="shared" si="60"/>
        <v>100.09717665592012</v>
      </c>
      <c r="AM82" s="8"/>
      <c r="AN82" s="9">
        <v>10</v>
      </c>
      <c r="AO82" s="18">
        <v>236.89769966670849</v>
      </c>
      <c r="AP82" s="18">
        <v>1.3453938878907409E-5</v>
      </c>
      <c r="AQ82" s="18">
        <f t="shared" si="72"/>
        <v>236.8976862127696</v>
      </c>
      <c r="AR82" s="18">
        <f t="shared" si="81"/>
        <v>59.2244215531924</v>
      </c>
      <c r="AS82" s="18">
        <f t="shared" si="74"/>
        <v>177.67327811351609</v>
      </c>
      <c r="AT82" s="18">
        <f>1/(1+0.12)^10</f>
        <v>0.32197323659069599</v>
      </c>
      <c r="AU82" s="20">
        <f t="shared" si="61"/>
        <v>57.206040409887642</v>
      </c>
      <c r="AW82" s="8"/>
      <c r="AX82" s="9">
        <v>10</v>
      </c>
      <c r="AY82" s="18">
        <v>214.99617289492608</v>
      </c>
      <c r="AZ82" s="18">
        <v>1.3453938878907409E-5</v>
      </c>
      <c r="BA82" s="18">
        <f t="shared" si="75"/>
        <v>214.99615944098719</v>
      </c>
      <c r="BB82" s="18">
        <f t="shared" si="82"/>
        <v>53.749039860246796</v>
      </c>
      <c r="BC82" s="18">
        <f t="shared" si="77"/>
        <v>161.24713303467928</v>
      </c>
      <c r="BD82" s="18">
        <f>1/(1+0.12)^10</f>
        <v>0.32197323659069599</v>
      </c>
      <c r="BE82" s="20">
        <f t="shared" si="62"/>
        <v>51.917261314146224</v>
      </c>
    </row>
    <row r="83" spans="9:57" x14ac:dyDescent="0.25">
      <c r="I83" s="11"/>
      <c r="J83" s="9">
        <v>11</v>
      </c>
      <c r="K83" s="19">
        <v>252.57441837908112</v>
      </c>
      <c r="L83" s="19">
        <v>1.3453938878907409E-5</v>
      </c>
      <c r="M83" s="19">
        <f t="shared" si="63"/>
        <v>252.57440492514223</v>
      </c>
      <c r="N83" s="19">
        <f t="shared" si="78"/>
        <v>63.143601231285558</v>
      </c>
      <c r="O83" s="19">
        <f t="shared" si="65"/>
        <v>189.43081714779555</v>
      </c>
      <c r="P83" s="19">
        <f>1/(1+0.12)^11</f>
        <v>0.28747610409883567</v>
      </c>
      <c r="Q83" s="23">
        <f t="shared" si="58"/>
        <v>54.456833309907182</v>
      </c>
      <c r="S83" s="11"/>
      <c r="T83" s="9">
        <v>11</v>
      </c>
      <c r="U83" s="18">
        <v>252.52027197824123</v>
      </c>
      <c r="V83" s="18">
        <v>1.3453938878907409E-5</v>
      </c>
      <c r="W83" s="18">
        <f t="shared" si="66"/>
        <v>252.52025852430233</v>
      </c>
      <c r="X83" s="18">
        <f t="shared" si="79"/>
        <v>63.130064631075584</v>
      </c>
      <c r="Y83" s="18">
        <f t="shared" si="68"/>
        <v>189.39020734716564</v>
      </c>
      <c r="Z83" s="18">
        <f>1/(1+0.12)^11</f>
        <v>0.28747610409883567</v>
      </c>
      <c r="AA83" s="20">
        <f t="shared" si="59"/>
        <v>54.445158962633862</v>
      </c>
      <c r="AC83" s="11"/>
      <c r="AD83" s="9">
        <v>11</v>
      </c>
      <c r="AE83" s="18">
        <v>414.51551121815845</v>
      </c>
      <c r="AF83" s="18">
        <v>1.3453938878907409E-5</v>
      </c>
      <c r="AG83" s="18">
        <f t="shared" si="69"/>
        <v>414.51549776421956</v>
      </c>
      <c r="AH83" s="18">
        <f t="shared" si="80"/>
        <v>103.62887444105489</v>
      </c>
      <c r="AI83" s="18">
        <f t="shared" si="71"/>
        <v>310.88663677710355</v>
      </c>
      <c r="AJ83" s="18">
        <f>1/(1+0.12)^11</f>
        <v>0.28747610409883567</v>
      </c>
      <c r="AK83" s="20">
        <f t="shared" si="60"/>
        <v>89.372479157071538</v>
      </c>
      <c r="AM83" s="11"/>
      <c r="AN83" s="9">
        <v>11</v>
      </c>
      <c r="AO83" s="18">
        <v>236.89769966670849</v>
      </c>
      <c r="AP83" s="18">
        <v>1.3453938878907409E-5</v>
      </c>
      <c r="AQ83" s="18">
        <f t="shared" si="72"/>
        <v>236.8976862127696</v>
      </c>
      <c r="AR83" s="18">
        <f t="shared" si="81"/>
        <v>59.2244215531924</v>
      </c>
      <c r="AS83" s="18">
        <f t="shared" si="74"/>
        <v>177.67327811351609</v>
      </c>
      <c r="AT83" s="18">
        <f>1/(1+0.12)^11</f>
        <v>0.28747610409883567</v>
      </c>
      <c r="AU83" s="20">
        <f t="shared" si="61"/>
        <v>51.076821794542532</v>
      </c>
      <c r="AW83" s="11"/>
      <c r="AX83" s="9">
        <v>11</v>
      </c>
      <c r="AY83" s="18">
        <v>214.99617289492608</v>
      </c>
      <c r="AZ83" s="18">
        <v>1.3453938878907409E-5</v>
      </c>
      <c r="BA83" s="18">
        <f t="shared" si="75"/>
        <v>214.99615944098719</v>
      </c>
      <c r="BB83" s="18">
        <f t="shared" si="82"/>
        <v>53.749039860246796</v>
      </c>
      <c r="BC83" s="18">
        <f t="shared" si="77"/>
        <v>161.24713303467928</v>
      </c>
      <c r="BD83" s="18">
        <f>1/(1+0.12)^11</f>
        <v>0.28747610409883567</v>
      </c>
      <c r="BE83" s="20">
        <f t="shared" si="62"/>
        <v>46.354697601916264</v>
      </c>
    </row>
    <row r="84" spans="9:57" x14ac:dyDescent="0.25">
      <c r="I84" s="8"/>
      <c r="J84" s="9">
        <v>12</v>
      </c>
      <c r="K84" s="19">
        <v>252.57441837908112</v>
      </c>
      <c r="L84" s="19">
        <v>1.3453938878907409E-5</v>
      </c>
      <c r="M84" s="19">
        <f t="shared" si="63"/>
        <v>252.57440492514223</v>
      </c>
      <c r="N84" s="19">
        <f t="shared" si="78"/>
        <v>63.143601231285558</v>
      </c>
      <c r="O84" s="19">
        <f t="shared" si="65"/>
        <v>189.43081714779555</v>
      </c>
      <c r="P84" s="19">
        <f>1/(1+0.12)^12</f>
        <v>0.25667509294538904</v>
      </c>
      <c r="Q84" s="23">
        <f t="shared" si="58"/>
        <v>48.622172598131421</v>
      </c>
      <c r="S84" s="8"/>
      <c r="T84" s="9">
        <v>12</v>
      </c>
      <c r="U84" s="18">
        <v>252.52027197824123</v>
      </c>
      <c r="V84" s="18">
        <v>1.3453938878907409E-5</v>
      </c>
      <c r="W84" s="18">
        <f t="shared" si="66"/>
        <v>252.52025852430233</v>
      </c>
      <c r="X84" s="18">
        <f t="shared" si="79"/>
        <v>63.130064631075584</v>
      </c>
      <c r="Y84" s="18">
        <f t="shared" si="68"/>
        <v>189.39020734716564</v>
      </c>
      <c r="Z84" s="18">
        <f>1/(1+0.12)^12</f>
        <v>0.25667509294538904</v>
      </c>
      <c r="AA84" s="20">
        <f t="shared" si="59"/>
        <v>48.611749073780246</v>
      </c>
      <c r="AC84" s="8"/>
      <c r="AD84" s="9">
        <v>12</v>
      </c>
      <c r="AE84" s="18">
        <v>414.51551121815845</v>
      </c>
      <c r="AF84" s="18">
        <v>1.3453938878907409E-5</v>
      </c>
      <c r="AG84" s="18">
        <f t="shared" si="69"/>
        <v>414.51549776421956</v>
      </c>
      <c r="AH84" s="18">
        <f t="shared" si="80"/>
        <v>103.62887444105489</v>
      </c>
      <c r="AI84" s="18">
        <f t="shared" si="71"/>
        <v>310.88663677710355</v>
      </c>
      <c r="AJ84" s="18">
        <f>1/(1+0.12)^12</f>
        <v>0.25667509294538904</v>
      </c>
      <c r="AK84" s="20">
        <f t="shared" si="60"/>
        <v>79.796856390242453</v>
      </c>
      <c r="AM84" s="8"/>
      <c r="AN84" s="9">
        <v>12</v>
      </c>
      <c r="AO84" s="18">
        <v>236.89769966670849</v>
      </c>
      <c r="AP84" s="18">
        <v>1.3453938878907409E-5</v>
      </c>
      <c r="AQ84" s="18">
        <f t="shared" si="72"/>
        <v>236.8976862127696</v>
      </c>
      <c r="AR84" s="18">
        <f t="shared" si="81"/>
        <v>59.2244215531924</v>
      </c>
      <c r="AS84" s="18">
        <f t="shared" si="74"/>
        <v>177.67327811351609</v>
      </c>
      <c r="AT84" s="18">
        <f>1/(1+0.12)^12</f>
        <v>0.25667509294538904</v>
      </c>
      <c r="AU84" s="20">
        <f t="shared" si="61"/>
        <v>45.604305173698698</v>
      </c>
      <c r="AW84" s="8"/>
      <c r="AX84" s="9">
        <v>12</v>
      </c>
      <c r="AY84" s="18">
        <v>214.99617289492608</v>
      </c>
      <c r="AZ84" s="18">
        <v>1.3453938878907409E-5</v>
      </c>
      <c r="BA84" s="18">
        <f t="shared" si="75"/>
        <v>214.99615944098719</v>
      </c>
      <c r="BB84" s="18">
        <f t="shared" si="82"/>
        <v>53.749039860246796</v>
      </c>
      <c r="BC84" s="18">
        <f t="shared" si="77"/>
        <v>161.24713303467928</v>
      </c>
      <c r="BD84" s="18">
        <f>1/(1+0.12)^12</f>
        <v>0.25667509294538904</v>
      </c>
      <c r="BE84" s="20">
        <f t="shared" si="62"/>
        <v>41.388122858853812</v>
      </c>
    </row>
    <row r="85" spans="9:57" x14ac:dyDescent="0.25">
      <c r="I85" s="8"/>
      <c r="J85" s="9">
        <v>13</v>
      </c>
      <c r="K85" s="19">
        <v>252.57441837908112</v>
      </c>
      <c r="L85" s="19">
        <v>1.3453938878907409E-5</v>
      </c>
      <c r="M85" s="19">
        <f t="shared" si="63"/>
        <v>252.57440492514223</v>
      </c>
      <c r="N85" s="19">
        <f t="shared" si="78"/>
        <v>63.143601231285558</v>
      </c>
      <c r="O85" s="19">
        <f t="shared" si="65"/>
        <v>189.43081714779555</v>
      </c>
      <c r="P85" s="19">
        <f>1/(1+0.12)^13</f>
        <v>0.22917419012981158</v>
      </c>
      <c r="Q85" s="23">
        <f t="shared" si="58"/>
        <v>43.412654105474466</v>
      </c>
      <c r="S85" s="8"/>
      <c r="T85" s="9">
        <v>13</v>
      </c>
      <c r="U85" s="18">
        <v>252.52027197824123</v>
      </c>
      <c r="V85" s="18">
        <v>1.3453938878907409E-5</v>
      </c>
      <c r="W85" s="18">
        <f t="shared" si="66"/>
        <v>252.52025852430233</v>
      </c>
      <c r="X85" s="18">
        <f t="shared" si="79"/>
        <v>63.130064631075584</v>
      </c>
      <c r="Y85" s="18">
        <f t="shared" si="68"/>
        <v>189.39020734716564</v>
      </c>
      <c r="Z85" s="18">
        <f>1/(1+0.12)^13</f>
        <v>0.22917419012981158</v>
      </c>
      <c r="AA85" s="20">
        <f t="shared" si="59"/>
        <v>43.403347387303775</v>
      </c>
      <c r="AC85" s="8"/>
      <c r="AD85" s="9">
        <v>13</v>
      </c>
      <c r="AE85" s="18">
        <v>414.51551121815845</v>
      </c>
      <c r="AF85" s="18">
        <v>1.3453938878907409E-5</v>
      </c>
      <c r="AG85" s="18">
        <f t="shared" si="69"/>
        <v>414.51549776421956</v>
      </c>
      <c r="AH85" s="18">
        <f t="shared" si="80"/>
        <v>103.62887444105489</v>
      </c>
      <c r="AI85" s="18">
        <f t="shared" si="71"/>
        <v>310.88663677710355</v>
      </c>
      <c r="AJ85" s="18">
        <f>1/(1+0.12)^13</f>
        <v>0.22917419012981158</v>
      </c>
      <c r="AK85" s="20">
        <f t="shared" si="60"/>
        <v>71.247193205573595</v>
      </c>
      <c r="AM85" s="8"/>
      <c r="AN85" s="9">
        <v>13</v>
      </c>
      <c r="AO85" s="18">
        <v>236.89769966670849</v>
      </c>
      <c r="AP85" s="18">
        <v>1.3453938878907409E-5</v>
      </c>
      <c r="AQ85" s="18">
        <f t="shared" si="72"/>
        <v>236.8976862127696</v>
      </c>
      <c r="AR85" s="18">
        <f t="shared" si="81"/>
        <v>59.2244215531924</v>
      </c>
      <c r="AS85" s="18">
        <f t="shared" si="74"/>
        <v>177.67327811351609</v>
      </c>
      <c r="AT85" s="18">
        <f>1/(1+0.12)^13</f>
        <v>0.22917419012981158</v>
      </c>
      <c r="AU85" s="20">
        <f t="shared" si="61"/>
        <v>40.718129619373826</v>
      </c>
      <c r="AW85" s="8"/>
      <c r="AX85" s="9">
        <v>13</v>
      </c>
      <c r="AY85" s="18">
        <v>214.99617289492608</v>
      </c>
      <c r="AZ85" s="18">
        <v>1.3453938878907409E-5</v>
      </c>
      <c r="BA85" s="18">
        <f t="shared" si="75"/>
        <v>214.99615944098719</v>
      </c>
      <c r="BB85" s="18">
        <f t="shared" si="82"/>
        <v>53.749039860246796</v>
      </c>
      <c r="BC85" s="18">
        <f t="shared" si="77"/>
        <v>161.24713303467928</v>
      </c>
      <c r="BD85" s="18">
        <f>1/(1+0.12)^13</f>
        <v>0.22917419012981158</v>
      </c>
      <c r="BE85" s="20">
        <f t="shared" si="62"/>
        <v>36.953681123976608</v>
      </c>
    </row>
    <row r="86" spans="9:57" x14ac:dyDescent="0.25">
      <c r="I86" s="8"/>
      <c r="J86" s="9">
        <v>14</v>
      </c>
      <c r="K86" s="19">
        <v>252.57441837908112</v>
      </c>
      <c r="L86" s="19">
        <v>1.3453938878907409E-5</v>
      </c>
      <c r="M86" s="19">
        <f t="shared" si="63"/>
        <v>252.57440492514223</v>
      </c>
      <c r="N86" s="19">
        <f t="shared" si="78"/>
        <v>63.143601231285558</v>
      </c>
      <c r="O86" s="19">
        <f t="shared" si="65"/>
        <v>189.43081714779555</v>
      </c>
      <c r="P86" s="19">
        <f>1/(1+0.12)^14</f>
        <v>0.20461981261590317</v>
      </c>
      <c r="Q86" s="23">
        <f t="shared" si="58"/>
        <v>38.761298308459345</v>
      </c>
      <c r="S86" s="8"/>
      <c r="T86" s="9">
        <v>14</v>
      </c>
      <c r="U86" s="18">
        <v>252.52027197824123</v>
      </c>
      <c r="V86" s="18">
        <v>1.3453938878907409E-5</v>
      </c>
      <c r="W86" s="18">
        <f t="shared" si="66"/>
        <v>252.52025852430233</v>
      </c>
      <c r="X86" s="18">
        <f t="shared" si="79"/>
        <v>63.130064631075584</v>
      </c>
      <c r="Y86" s="18">
        <f t="shared" si="68"/>
        <v>189.39020734716564</v>
      </c>
      <c r="Z86" s="18">
        <f>1/(1+0.12)^14</f>
        <v>0.20461981261590317</v>
      </c>
      <c r="AA86" s="20">
        <f t="shared" si="59"/>
        <v>38.752988738664079</v>
      </c>
      <c r="AC86" s="8"/>
      <c r="AD86" s="9">
        <v>14</v>
      </c>
      <c r="AE86" s="18">
        <v>414.51551121815845</v>
      </c>
      <c r="AF86" s="18">
        <v>1.3453938878907409E-5</v>
      </c>
      <c r="AG86" s="18">
        <f t="shared" si="69"/>
        <v>414.51549776421956</v>
      </c>
      <c r="AH86" s="18">
        <f t="shared" si="80"/>
        <v>103.62887444105489</v>
      </c>
      <c r="AI86" s="18">
        <f t="shared" si="71"/>
        <v>310.88663677710355</v>
      </c>
      <c r="AJ86" s="18">
        <f>1/(1+0.12)^14</f>
        <v>0.20461981261590317</v>
      </c>
      <c r="AK86" s="20">
        <f t="shared" si="60"/>
        <v>63.613565362119282</v>
      </c>
      <c r="AM86" s="8"/>
      <c r="AN86" s="9">
        <v>14</v>
      </c>
      <c r="AO86" s="18">
        <v>236.89769966670849</v>
      </c>
      <c r="AP86" s="18">
        <v>1.3453938878907409E-5</v>
      </c>
      <c r="AQ86" s="18">
        <f t="shared" si="72"/>
        <v>236.8976862127696</v>
      </c>
      <c r="AR86" s="18">
        <f t="shared" si="81"/>
        <v>59.2244215531924</v>
      </c>
      <c r="AS86" s="18">
        <f t="shared" si="74"/>
        <v>177.67327811351609</v>
      </c>
      <c r="AT86" s="18">
        <f>1/(1+0.12)^14</f>
        <v>0.20461981261590317</v>
      </c>
      <c r="AU86" s="20">
        <f t="shared" si="61"/>
        <v>36.355472874440913</v>
      </c>
      <c r="AW86" s="8"/>
      <c r="AX86" s="9">
        <v>14</v>
      </c>
      <c r="AY86" s="18">
        <v>214.99617289492608</v>
      </c>
      <c r="AZ86" s="18">
        <v>1.3453938878907409E-5</v>
      </c>
      <c r="BA86" s="18">
        <f t="shared" si="75"/>
        <v>214.99615944098719</v>
      </c>
      <c r="BB86" s="18">
        <f t="shared" si="82"/>
        <v>53.749039860246796</v>
      </c>
      <c r="BC86" s="18">
        <f t="shared" si="77"/>
        <v>161.24713303467928</v>
      </c>
      <c r="BD86" s="18">
        <f>1/(1+0.12)^14</f>
        <v>0.20461981261590317</v>
      </c>
      <c r="BE86" s="20">
        <f t="shared" si="62"/>
        <v>32.994358146407684</v>
      </c>
    </row>
    <row r="87" spans="9:57" x14ac:dyDescent="0.25">
      <c r="I87" s="8"/>
      <c r="J87" s="9">
        <v>15</v>
      </c>
      <c r="K87" s="19">
        <v>252.57441837908112</v>
      </c>
      <c r="L87" s="19">
        <v>1.3453938878907409E-5</v>
      </c>
      <c r="M87" s="19">
        <f t="shared" si="63"/>
        <v>252.57440492514223</v>
      </c>
      <c r="N87" s="19">
        <f t="shared" si="78"/>
        <v>63.143601231285558</v>
      </c>
      <c r="O87" s="19">
        <f t="shared" si="65"/>
        <v>189.43081714779555</v>
      </c>
      <c r="P87" s="19">
        <f>1/(1+0.12)^15</f>
        <v>0.18269626126419927</v>
      </c>
      <c r="Q87" s="23">
        <f t="shared" si="58"/>
        <v>34.608302061124412</v>
      </c>
      <c r="S87" s="8"/>
      <c r="T87" s="9">
        <v>15</v>
      </c>
      <c r="U87" s="18">
        <v>252.52027197824123</v>
      </c>
      <c r="V87" s="18">
        <v>1.3453938878907409E-5</v>
      </c>
      <c r="W87" s="18">
        <f t="shared" si="66"/>
        <v>252.52025852430233</v>
      </c>
      <c r="X87" s="18">
        <f t="shared" si="79"/>
        <v>63.130064631075584</v>
      </c>
      <c r="Y87" s="18">
        <f t="shared" si="68"/>
        <v>189.39020734716564</v>
      </c>
      <c r="Z87" s="18">
        <f>1/(1+0.12)^15</f>
        <v>0.18269626126419927</v>
      </c>
      <c r="AA87" s="20">
        <f t="shared" si="59"/>
        <v>34.600882802378649</v>
      </c>
      <c r="AC87" s="8"/>
      <c r="AD87" s="9">
        <v>15</v>
      </c>
      <c r="AE87" s="18">
        <v>414.51551121815845</v>
      </c>
      <c r="AF87" s="18">
        <v>1.3453938878907409E-5</v>
      </c>
      <c r="AG87" s="18">
        <f t="shared" si="69"/>
        <v>414.51549776421956</v>
      </c>
      <c r="AH87" s="18">
        <f t="shared" si="80"/>
        <v>103.62887444105489</v>
      </c>
      <c r="AI87" s="18">
        <f t="shared" si="71"/>
        <v>310.88663677710355</v>
      </c>
      <c r="AJ87" s="18">
        <f>1/(1+0.12)^15</f>
        <v>0.18269626126419927</v>
      </c>
      <c r="AK87" s="20">
        <f t="shared" si="60"/>
        <v>56.797826216177931</v>
      </c>
      <c r="AM87" s="8"/>
      <c r="AN87" s="9">
        <v>15</v>
      </c>
      <c r="AO87" s="18">
        <v>236.89769966670849</v>
      </c>
      <c r="AP87" s="18">
        <v>1.3453938878907409E-5</v>
      </c>
      <c r="AQ87" s="18">
        <f t="shared" si="72"/>
        <v>236.8976862127696</v>
      </c>
      <c r="AR87" s="18">
        <f t="shared" si="81"/>
        <v>59.2244215531924</v>
      </c>
      <c r="AS87" s="18">
        <f t="shared" si="74"/>
        <v>177.67327811351609</v>
      </c>
      <c r="AT87" s="18">
        <f>1/(1+0.12)^15</f>
        <v>0.18269626126419927</v>
      </c>
      <c r="AU87" s="20">
        <f t="shared" si="61"/>
        <v>32.460243637893676</v>
      </c>
      <c r="AW87" s="8"/>
      <c r="AX87" s="9">
        <v>15</v>
      </c>
      <c r="AY87" s="18">
        <v>214.99617289492608</v>
      </c>
      <c r="AZ87" s="18">
        <v>1.3453938878907409E-5</v>
      </c>
      <c r="BA87" s="18">
        <f t="shared" si="75"/>
        <v>214.99615944098719</v>
      </c>
      <c r="BB87" s="18">
        <f t="shared" si="82"/>
        <v>53.749039860246796</v>
      </c>
      <c r="BC87" s="18">
        <f t="shared" si="77"/>
        <v>161.24713303467928</v>
      </c>
      <c r="BD87" s="18">
        <f>1/(1+0.12)^15</f>
        <v>0.18269626126419927</v>
      </c>
      <c r="BE87" s="20">
        <f t="shared" si="62"/>
        <v>29.459248345006863</v>
      </c>
    </row>
    <row r="88" spans="9:57" x14ac:dyDescent="0.25">
      <c r="I88" s="8"/>
      <c r="J88" s="9">
        <v>16</v>
      </c>
      <c r="K88" s="19">
        <v>252.57441837908112</v>
      </c>
      <c r="L88" s="19">
        <v>1.3453938878907409E-5</v>
      </c>
      <c r="M88" s="19">
        <f t="shared" si="63"/>
        <v>252.57440492514223</v>
      </c>
      <c r="N88" s="19">
        <f t="shared" si="78"/>
        <v>63.143601231285558</v>
      </c>
      <c r="O88" s="19">
        <f t="shared" si="65"/>
        <v>189.43081714779555</v>
      </c>
      <c r="P88" s="19">
        <f>1/(1+0.12)^16</f>
        <v>0.16312166184303503</v>
      </c>
      <c r="Q88" s="23">
        <f t="shared" si="58"/>
        <v>30.900269697432506</v>
      </c>
      <c r="S88" s="8"/>
      <c r="T88" s="9">
        <v>16</v>
      </c>
      <c r="U88" s="18">
        <v>252.52027197824123</v>
      </c>
      <c r="V88" s="18">
        <v>1.3453938878907409E-5</v>
      </c>
      <c r="W88" s="18">
        <f t="shared" si="66"/>
        <v>252.52025852430233</v>
      </c>
      <c r="X88" s="18">
        <f t="shared" si="79"/>
        <v>63.130064631075584</v>
      </c>
      <c r="Y88" s="18">
        <f t="shared" si="68"/>
        <v>189.39020734716564</v>
      </c>
      <c r="Z88" s="18">
        <f>1/(1+0.12)^16</f>
        <v>0.16312166184303503</v>
      </c>
      <c r="AA88" s="20">
        <f t="shared" si="59"/>
        <v>30.893645359266642</v>
      </c>
      <c r="AC88" s="8"/>
      <c r="AD88" s="9">
        <v>16</v>
      </c>
      <c r="AE88" s="18">
        <v>414.51551121815845</v>
      </c>
      <c r="AF88" s="18">
        <v>1.3453938878907409E-5</v>
      </c>
      <c r="AG88" s="18">
        <f t="shared" si="69"/>
        <v>414.51549776421956</v>
      </c>
      <c r="AH88" s="18">
        <f t="shared" si="80"/>
        <v>103.62887444105489</v>
      </c>
      <c r="AI88" s="18">
        <f t="shared" si="71"/>
        <v>310.88663677710355</v>
      </c>
      <c r="AJ88" s="18">
        <f>1/(1+0.12)^16</f>
        <v>0.16312166184303503</v>
      </c>
      <c r="AK88" s="20">
        <f t="shared" si="60"/>
        <v>50.712344835873147</v>
      </c>
      <c r="AM88" s="8"/>
      <c r="AN88" s="9">
        <v>16</v>
      </c>
      <c r="AO88" s="18">
        <v>236.89769966670849</v>
      </c>
      <c r="AP88" s="18">
        <v>1.3453938878907409E-5</v>
      </c>
      <c r="AQ88" s="18">
        <f t="shared" si="72"/>
        <v>236.8976862127696</v>
      </c>
      <c r="AR88" s="18">
        <f t="shared" si="81"/>
        <v>59.2244215531924</v>
      </c>
      <c r="AS88" s="18">
        <f t="shared" si="74"/>
        <v>177.67327811351609</v>
      </c>
      <c r="AT88" s="18">
        <f>1/(1+0.12)^16</f>
        <v>0.16312166184303503</v>
      </c>
      <c r="AU88" s="20">
        <f t="shared" si="61"/>
        <v>28.982360390976488</v>
      </c>
      <c r="AW88" s="8"/>
      <c r="AX88" s="9">
        <v>16</v>
      </c>
      <c r="AY88" s="18">
        <v>214.99617289492608</v>
      </c>
      <c r="AZ88" s="18">
        <v>1.3453938878907409E-5</v>
      </c>
      <c r="BA88" s="18">
        <f t="shared" si="75"/>
        <v>214.99615944098719</v>
      </c>
      <c r="BB88" s="18">
        <f t="shared" si="82"/>
        <v>53.749039860246796</v>
      </c>
      <c r="BC88" s="18">
        <f t="shared" si="77"/>
        <v>161.24713303467928</v>
      </c>
      <c r="BD88" s="18">
        <f>1/(1+0.12)^16</f>
        <v>0.16312166184303503</v>
      </c>
      <c r="BE88" s="20">
        <f t="shared" si="62"/>
        <v>26.302900308041835</v>
      </c>
    </row>
    <row r="89" spans="9:57" x14ac:dyDescent="0.25">
      <c r="I89" s="8"/>
      <c r="J89" s="9">
        <v>17</v>
      </c>
      <c r="K89" s="19">
        <v>252.57441837908112</v>
      </c>
      <c r="L89" s="19">
        <v>1.3453938878907409E-5</v>
      </c>
      <c r="M89" s="19">
        <f t="shared" si="63"/>
        <v>252.57440492514223</v>
      </c>
      <c r="N89" s="19">
        <f t="shared" si="78"/>
        <v>63.143601231285558</v>
      </c>
      <c r="O89" s="19">
        <f t="shared" si="65"/>
        <v>189.43081714779555</v>
      </c>
      <c r="P89" s="19">
        <f>1/(1+0.12)^17</f>
        <v>0.14564434093128129</v>
      </c>
      <c r="Q89" s="23">
        <f t="shared" si="58"/>
        <v>27.589526515564739</v>
      </c>
      <c r="S89" s="8"/>
      <c r="T89" s="9">
        <v>17</v>
      </c>
      <c r="U89" s="18">
        <v>252.52027197824123</v>
      </c>
      <c r="V89" s="18">
        <v>1.3453938878907409E-5</v>
      </c>
      <c r="W89" s="18">
        <f t="shared" si="66"/>
        <v>252.52025852430233</v>
      </c>
      <c r="X89" s="18">
        <f t="shared" si="79"/>
        <v>63.130064631075584</v>
      </c>
      <c r="Y89" s="18">
        <f t="shared" si="68"/>
        <v>189.39020734716564</v>
      </c>
      <c r="Z89" s="18">
        <f>1/(1+0.12)^17</f>
        <v>0.14564434093128129</v>
      </c>
      <c r="AA89" s="20">
        <f t="shared" si="59"/>
        <v>27.583611927916646</v>
      </c>
      <c r="AC89" s="8"/>
      <c r="AD89" s="9">
        <v>17</v>
      </c>
      <c r="AE89" s="18">
        <v>414.51551121815845</v>
      </c>
      <c r="AF89" s="18">
        <v>1.3453938878907409E-5</v>
      </c>
      <c r="AG89" s="18">
        <f t="shared" si="69"/>
        <v>414.51549776421956</v>
      </c>
      <c r="AH89" s="18">
        <f t="shared" si="80"/>
        <v>103.62887444105489</v>
      </c>
      <c r="AI89" s="18">
        <f t="shared" si="71"/>
        <v>310.88663677710355</v>
      </c>
      <c r="AJ89" s="18">
        <f>1/(1+0.12)^17</f>
        <v>0.14564434093128129</v>
      </c>
      <c r="AK89" s="20">
        <f t="shared" si="60"/>
        <v>45.278879317743879</v>
      </c>
      <c r="AM89" s="8"/>
      <c r="AN89" s="9">
        <v>17</v>
      </c>
      <c r="AO89" s="18">
        <v>236.89769966670849</v>
      </c>
      <c r="AP89" s="18">
        <v>1.3453938878907409E-5</v>
      </c>
      <c r="AQ89" s="18">
        <f t="shared" si="72"/>
        <v>236.8976862127696</v>
      </c>
      <c r="AR89" s="18">
        <f t="shared" si="81"/>
        <v>59.2244215531924</v>
      </c>
      <c r="AS89" s="18">
        <f t="shared" si="74"/>
        <v>177.67327811351609</v>
      </c>
      <c r="AT89" s="18">
        <f>1/(1+0.12)^17</f>
        <v>0.14564434093128129</v>
      </c>
      <c r="AU89" s="20">
        <f t="shared" si="61"/>
        <v>25.877107491943296</v>
      </c>
      <c r="AW89" s="8"/>
      <c r="AX89" s="9">
        <v>17</v>
      </c>
      <c r="AY89" s="18">
        <v>214.99617289492608</v>
      </c>
      <c r="AZ89" s="18">
        <v>1.3453938878907409E-5</v>
      </c>
      <c r="BA89" s="18">
        <f t="shared" si="75"/>
        <v>214.99615944098719</v>
      </c>
      <c r="BB89" s="18">
        <f t="shared" si="82"/>
        <v>53.749039860246796</v>
      </c>
      <c r="BC89" s="18">
        <f t="shared" si="77"/>
        <v>161.24713303467928</v>
      </c>
      <c r="BD89" s="18">
        <f>1/(1+0.12)^17</f>
        <v>0.14564434093128129</v>
      </c>
      <c r="BE89" s="20">
        <f t="shared" si="62"/>
        <v>23.484732417894499</v>
      </c>
    </row>
    <row r="90" spans="9:57" x14ac:dyDescent="0.25">
      <c r="I90" s="8"/>
      <c r="J90" s="9">
        <v>18</v>
      </c>
      <c r="K90" s="19">
        <v>252.57441837908112</v>
      </c>
      <c r="L90" s="19">
        <v>1.3453938878907409E-5</v>
      </c>
      <c r="M90" s="19">
        <f t="shared" si="63"/>
        <v>252.57440492514223</v>
      </c>
      <c r="N90" s="19">
        <f t="shared" si="78"/>
        <v>63.143601231285558</v>
      </c>
      <c r="O90" s="19">
        <f t="shared" si="65"/>
        <v>189.43081714779555</v>
      </c>
      <c r="P90" s="19">
        <f>1/(1+0.12)^18</f>
        <v>0.13003959011721541</v>
      </c>
      <c r="Q90" s="23">
        <f t="shared" si="58"/>
        <v>24.633505817468514</v>
      </c>
      <c r="S90" s="8"/>
      <c r="T90" s="9">
        <v>18</v>
      </c>
      <c r="U90" s="18">
        <v>252.52027197824123</v>
      </c>
      <c r="V90" s="18">
        <v>1.3453938878907409E-5</v>
      </c>
      <c r="W90" s="18">
        <f t="shared" si="66"/>
        <v>252.52025852430233</v>
      </c>
      <c r="X90" s="18">
        <f t="shared" si="79"/>
        <v>63.130064631075584</v>
      </c>
      <c r="Y90" s="18">
        <f t="shared" si="68"/>
        <v>189.39020734716564</v>
      </c>
      <c r="Z90" s="18">
        <f>1/(1+0.12)^18</f>
        <v>0.13003959011721541</v>
      </c>
      <c r="AA90" s="20">
        <f t="shared" si="59"/>
        <v>24.62822493563986</v>
      </c>
      <c r="AC90" s="8"/>
      <c r="AD90" s="9">
        <v>18</v>
      </c>
      <c r="AE90" s="18">
        <v>414.51551121815845</v>
      </c>
      <c r="AF90" s="18">
        <v>1.3453938878907409E-5</v>
      </c>
      <c r="AG90" s="18">
        <f t="shared" si="69"/>
        <v>414.51549776421956</v>
      </c>
      <c r="AH90" s="18">
        <f t="shared" si="80"/>
        <v>103.62887444105489</v>
      </c>
      <c r="AI90" s="18">
        <f t="shared" si="71"/>
        <v>310.88663677710355</v>
      </c>
      <c r="AJ90" s="18">
        <f>1/(1+0.12)^18</f>
        <v>0.13003959011721541</v>
      </c>
      <c r="AK90" s="20">
        <f t="shared" si="60"/>
        <v>40.427570819414171</v>
      </c>
      <c r="AM90" s="8"/>
      <c r="AN90" s="9">
        <v>18</v>
      </c>
      <c r="AO90" s="18">
        <v>236.89769966670849</v>
      </c>
      <c r="AP90" s="18">
        <v>1.3453938878907409E-5</v>
      </c>
      <c r="AQ90" s="18">
        <f t="shared" si="72"/>
        <v>236.8976862127696</v>
      </c>
      <c r="AR90" s="18">
        <f t="shared" si="81"/>
        <v>59.2244215531924</v>
      </c>
      <c r="AS90" s="18">
        <f t="shared" si="74"/>
        <v>177.67327811351609</v>
      </c>
      <c r="AT90" s="18">
        <f>1/(1+0.12)^18</f>
        <v>0.13003959011721541</v>
      </c>
      <c r="AU90" s="20">
        <f t="shared" si="61"/>
        <v>23.104560260663654</v>
      </c>
      <c r="AW90" s="8"/>
      <c r="AX90" s="9">
        <v>18</v>
      </c>
      <c r="AY90" s="18">
        <v>214.99617289492608</v>
      </c>
      <c r="AZ90" s="18">
        <v>1.3453938878907409E-5</v>
      </c>
      <c r="BA90" s="18">
        <f t="shared" si="75"/>
        <v>214.99615944098719</v>
      </c>
      <c r="BB90" s="18">
        <f t="shared" si="82"/>
        <v>53.749039860246796</v>
      </c>
      <c r="BC90" s="18">
        <f t="shared" si="77"/>
        <v>161.24713303467928</v>
      </c>
      <c r="BD90" s="18">
        <f>1/(1+0.12)^18</f>
        <v>0.13003959011721541</v>
      </c>
      <c r="BE90" s="20">
        <f t="shared" si="62"/>
        <v>20.968511087405798</v>
      </c>
    </row>
    <row r="91" spans="9:57" x14ac:dyDescent="0.25">
      <c r="I91" s="8"/>
      <c r="J91" s="9">
        <v>19</v>
      </c>
      <c r="K91" s="19">
        <v>252.57441837908112</v>
      </c>
      <c r="L91" s="19">
        <v>1.3453938878907409E-5</v>
      </c>
      <c r="M91" s="19">
        <f t="shared" si="63"/>
        <v>252.57440492514223</v>
      </c>
      <c r="N91" s="19">
        <f t="shared" si="78"/>
        <v>63.143601231285558</v>
      </c>
      <c r="O91" s="19">
        <f t="shared" si="65"/>
        <v>189.43081714779555</v>
      </c>
      <c r="P91" s="19">
        <f>1/(1+0.12)^19</f>
        <v>0.1161067768903709</v>
      </c>
      <c r="Q91" s="23">
        <f t="shared" si="58"/>
        <v>21.994201622739745</v>
      </c>
      <c r="S91" s="8"/>
      <c r="T91" s="9">
        <v>19</v>
      </c>
      <c r="U91" s="18">
        <v>252.52027197824123</v>
      </c>
      <c r="V91" s="18">
        <v>1.3453938878907409E-5</v>
      </c>
      <c r="W91" s="18">
        <f t="shared" si="66"/>
        <v>252.52025852430233</v>
      </c>
      <c r="X91" s="18">
        <f t="shared" si="79"/>
        <v>63.130064631075584</v>
      </c>
      <c r="Y91" s="18">
        <f t="shared" si="68"/>
        <v>189.39020734716564</v>
      </c>
      <c r="Z91" s="18">
        <f>1/(1+0.12)^19</f>
        <v>0.1161067768903709</v>
      </c>
      <c r="AA91" s="20">
        <f t="shared" si="59"/>
        <v>21.989486549678443</v>
      </c>
      <c r="AC91" s="8"/>
      <c r="AD91" s="9">
        <v>19</v>
      </c>
      <c r="AE91" s="18">
        <v>414.51551121815845</v>
      </c>
      <c r="AF91" s="18">
        <v>1.3453938878907409E-5</v>
      </c>
      <c r="AG91" s="18">
        <f t="shared" si="69"/>
        <v>414.51549776421956</v>
      </c>
      <c r="AH91" s="18">
        <f t="shared" si="80"/>
        <v>103.62887444105489</v>
      </c>
      <c r="AI91" s="18">
        <f t="shared" si="71"/>
        <v>310.88663677710355</v>
      </c>
      <c r="AJ91" s="18">
        <f>1/(1+0.12)^19</f>
        <v>0.1161067768903709</v>
      </c>
      <c r="AK91" s="20">
        <f t="shared" si="60"/>
        <v>36.096045374476937</v>
      </c>
      <c r="AM91" s="8"/>
      <c r="AN91" s="9">
        <v>19</v>
      </c>
      <c r="AO91" s="18">
        <v>236.89769966670849</v>
      </c>
      <c r="AP91" s="18">
        <v>1.3453938878907409E-5</v>
      </c>
      <c r="AQ91" s="18">
        <f t="shared" si="72"/>
        <v>236.8976862127696</v>
      </c>
      <c r="AR91" s="18">
        <f t="shared" si="81"/>
        <v>59.2244215531924</v>
      </c>
      <c r="AS91" s="18">
        <f t="shared" si="74"/>
        <v>177.67327811351609</v>
      </c>
      <c r="AT91" s="18">
        <f>1/(1+0.12)^19</f>
        <v>0.1161067768903709</v>
      </c>
      <c r="AU91" s="20">
        <f t="shared" si="61"/>
        <v>20.629071661306831</v>
      </c>
      <c r="AW91" s="8"/>
      <c r="AX91" s="9">
        <v>19</v>
      </c>
      <c r="AY91" s="18">
        <v>214.99617289492608</v>
      </c>
      <c r="AZ91" s="18">
        <v>1.3453938878907409E-5</v>
      </c>
      <c r="BA91" s="18">
        <f t="shared" si="75"/>
        <v>214.99615944098719</v>
      </c>
      <c r="BB91" s="18">
        <f t="shared" si="82"/>
        <v>53.749039860246796</v>
      </c>
      <c r="BC91" s="18">
        <f t="shared" si="77"/>
        <v>161.24713303467928</v>
      </c>
      <c r="BD91" s="18">
        <f>1/(1+0.12)^19</f>
        <v>0.1161067768903709</v>
      </c>
      <c r="BE91" s="20">
        <f t="shared" si="62"/>
        <v>18.721884899469462</v>
      </c>
    </row>
    <row r="92" spans="9:57" x14ac:dyDescent="0.25">
      <c r="I92" s="8"/>
      <c r="J92" s="9">
        <v>20</v>
      </c>
      <c r="K92" s="19">
        <v>252.57441837908112</v>
      </c>
      <c r="L92" s="19">
        <v>1.3453938878907409E-5</v>
      </c>
      <c r="M92" s="19">
        <f t="shared" si="63"/>
        <v>252.57440492514223</v>
      </c>
      <c r="N92" s="19">
        <f t="shared" si="78"/>
        <v>63.143601231285558</v>
      </c>
      <c r="O92" s="19">
        <f t="shared" si="65"/>
        <v>189.43081714779555</v>
      </c>
      <c r="P92" s="19">
        <f>1/(1+0.12)^20</f>
        <v>0.1036667650806883</v>
      </c>
      <c r="Q92" s="23">
        <f t="shared" si="58"/>
        <v>19.637680020303343</v>
      </c>
      <c r="S92" s="8"/>
      <c r="T92" s="9">
        <v>20</v>
      </c>
      <c r="U92" s="18">
        <v>252.52027197824123</v>
      </c>
      <c r="V92" s="18">
        <v>1.3453938878907409E-5</v>
      </c>
      <c r="W92" s="18">
        <f t="shared" si="66"/>
        <v>252.52025852430233</v>
      </c>
      <c r="X92" s="18">
        <f t="shared" si="79"/>
        <v>63.130064631075584</v>
      </c>
      <c r="Y92" s="18">
        <f t="shared" si="68"/>
        <v>189.39020734716564</v>
      </c>
      <c r="Z92" s="18">
        <f>1/(1+0.12)^20</f>
        <v>0.1036667650806883</v>
      </c>
      <c r="AA92" s="20">
        <f t="shared" si="59"/>
        <v>19.633470133641467</v>
      </c>
      <c r="AC92" s="8"/>
      <c r="AD92" s="9">
        <v>20</v>
      </c>
      <c r="AE92" s="18">
        <v>414.51551121815845</v>
      </c>
      <c r="AF92" s="18">
        <v>1.3453938878907409E-5</v>
      </c>
      <c r="AG92" s="18">
        <f t="shared" si="69"/>
        <v>414.51549776421956</v>
      </c>
      <c r="AH92" s="18">
        <f t="shared" si="80"/>
        <v>103.62887444105489</v>
      </c>
      <c r="AI92" s="18">
        <f t="shared" si="71"/>
        <v>310.88663677710355</v>
      </c>
      <c r="AJ92" s="18">
        <f>1/(1+0.12)^20</f>
        <v>0.1036667650806883</v>
      </c>
      <c r="AK92" s="20">
        <f t="shared" si="60"/>
        <v>32.228611941497263</v>
      </c>
      <c r="AM92" s="8"/>
      <c r="AN92" s="9">
        <v>20</v>
      </c>
      <c r="AO92" s="18">
        <v>236.89769966670849</v>
      </c>
      <c r="AP92" s="18">
        <v>1.3453938878907409E-5</v>
      </c>
      <c r="AQ92" s="18">
        <f t="shared" si="72"/>
        <v>236.8976862127696</v>
      </c>
      <c r="AR92" s="18">
        <f t="shared" si="81"/>
        <v>59.2244215531924</v>
      </c>
      <c r="AS92" s="18">
        <f t="shared" si="74"/>
        <v>177.67327811351609</v>
      </c>
      <c r="AT92" s="18">
        <f>1/(1+0.12)^20</f>
        <v>0.1036667650806883</v>
      </c>
      <c r="AU92" s="20">
        <f t="shared" si="61"/>
        <v>18.418813983309668</v>
      </c>
      <c r="AW92" s="8"/>
      <c r="AX92" s="9">
        <v>20</v>
      </c>
      <c r="AY92" s="18">
        <v>214.99617289492608</v>
      </c>
      <c r="AZ92" s="18">
        <v>1.3453938878907409E-5</v>
      </c>
      <c r="BA92" s="18">
        <f t="shared" si="75"/>
        <v>214.99615944098719</v>
      </c>
      <c r="BB92" s="18">
        <f t="shared" si="82"/>
        <v>53.749039860246796</v>
      </c>
      <c r="BC92" s="18">
        <f t="shared" si="77"/>
        <v>161.24713303467928</v>
      </c>
      <c r="BD92" s="18">
        <f>1/(1+0.12)^20</f>
        <v>0.1036667650806883</v>
      </c>
      <c r="BE92" s="20">
        <f t="shared" si="62"/>
        <v>16.715968660240591</v>
      </c>
    </row>
    <row r="93" spans="9:57" x14ac:dyDescent="0.25">
      <c r="I93" s="8"/>
      <c r="J93" s="9">
        <v>21</v>
      </c>
      <c r="K93" s="19">
        <v>252.57441837908112</v>
      </c>
      <c r="L93" s="19">
        <v>1.3453938878907409E-5</v>
      </c>
      <c r="M93" s="19">
        <f>K93-L93</f>
        <v>252.57440492514223</v>
      </c>
      <c r="N93" s="19">
        <f t="shared" si="78"/>
        <v>63.143601231285558</v>
      </c>
      <c r="O93" s="19">
        <f t="shared" si="65"/>
        <v>189.43081714779555</v>
      </c>
      <c r="P93" s="19">
        <f>1/(1+0.12)^21</f>
        <v>9.2559611679185971E-2</v>
      </c>
      <c r="Q93" s="23">
        <f t="shared" si="58"/>
        <v>17.533642875270839</v>
      </c>
      <c r="S93" s="8"/>
      <c r="T93" s="9">
        <v>21</v>
      </c>
      <c r="U93" s="18">
        <v>252.52027197824123</v>
      </c>
      <c r="V93" s="18">
        <v>1.3453938878907409E-5</v>
      </c>
      <c r="W93" s="18">
        <f>U93-V93</f>
        <v>252.52025852430233</v>
      </c>
      <c r="X93" s="18">
        <f t="shared" si="79"/>
        <v>63.130064631075584</v>
      </c>
      <c r="Y93" s="18">
        <f t="shared" si="68"/>
        <v>189.39020734716564</v>
      </c>
      <c r="Z93" s="18">
        <f>1/(1+0.12)^21</f>
        <v>9.2559611679185971E-2</v>
      </c>
      <c r="AA93" s="20">
        <f t="shared" si="59"/>
        <v>17.529884047894164</v>
      </c>
      <c r="AC93" s="8"/>
      <c r="AD93" s="9">
        <v>21</v>
      </c>
      <c r="AE93" s="18">
        <v>414.51551121815845</v>
      </c>
      <c r="AF93" s="18">
        <v>1.3453938878907409E-5</v>
      </c>
      <c r="AG93" s="18">
        <f>AE93-AF93</f>
        <v>414.51549776421956</v>
      </c>
      <c r="AH93" s="18">
        <f t="shared" si="80"/>
        <v>103.62887444105489</v>
      </c>
      <c r="AI93" s="18">
        <f t="shared" si="71"/>
        <v>310.88663677710355</v>
      </c>
      <c r="AJ93" s="18">
        <f>1/(1+0.12)^21</f>
        <v>9.2559611679185971E-2</v>
      </c>
      <c r="AK93" s="20">
        <f t="shared" si="60"/>
        <v>28.775546376336841</v>
      </c>
      <c r="AM93" s="8"/>
      <c r="AN93" s="9">
        <v>21</v>
      </c>
      <c r="AO93" s="18">
        <v>236.89769966670849</v>
      </c>
      <c r="AP93" s="18">
        <v>1.3453938878907409E-5</v>
      </c>
      <c r="AQ93" s="18">
        <f>AO93-AP93</f>
        <v>236.8976862127696</v>
      </c>
      <c r="AR93" s="18">
        <f t="shared" si="81"/>
        <v>59.2244215531924</v>
      </c>
      <c r="AS93" s="18">
        <f t="shared" si="74"/>
        <v>177.67327811351609</v>
      </c>
      <c r="AT93" s="18">
        <f>1/(1+0.12)^21</f>
        <v>9.2559611679185971E-2</v>
      </c>
      <c r="AU93" s="20">
        <f t="shared" si="61"/>
        <v>16.44536962795506</v>
      </c>
      <c r="AW93" s="8"/>
      <c r="AX93" s="9">
        <v>21</v>
      </c>
      <c r="AY93" s="18">
        <v>214.99617289492608</v>
      </c>
      <c r="AZ93" s="18">
        <v>1.3453938878907409E-5</v>
      </c>
      <c r="BA93" s="18">
        <f>AY93-AZ93</f>
        <v>214.99615944098719</v>
      </c>
      <c r="BB93" s="18">
        <f t="shared" si="82"/>
        <v>53.749039860246796</v>
      </c>
      <c r="BC93" s="18">
        <f t="shared" si="77"/>
        <v>161.24713303467928</v>
      </c>
      <c r="BD93" s="18">
        <f>1/(1+0.12)^21</f>
        <v>9.2559611679185971E-2</v>
      </c>
      <c r="BE93" s="20">
        <f t="shared" si="62"/>
        <v>14.924972018071955</v>
      </c>
    </row>
    <row r="94" spans="9:57" x14ac:dyDescent="0.25">
      <c r="I94" s="8"/>
      <c r="J94" s="9">
        <v>22</v>
      </c>
      <c r="K94" s="19">
        <v>252.57441837908112</v>
      </c>
      <c r="L94" s="19">
        <v>1.3453938878907409E-5</v>
      </c>
      <c r="M94" s="19">
        <f t="shared" ref="M94:M102" si="83">K94-L94</f>
        <v>252.57440492514223</v>
      </c>
      <c r="N94" s="19">
        <f t="shared" si="78"/>
        <v>63.143601231285558</v>
      </c>
      <c r="O94" s="19">
        <f t="shared" si="65"/>
        <v>189.43081714779555</v>
      </c>
      <c r="P94" s="19">
        <f>1/(1+0.12)^22</f>
        <v>8.2642510427844609E-2</v>
      </c>
      <c r="Q94" s="23">
        <f t="shared" si="58"/>
        <v>15.655038281491819</v>
      </c>
      <c r="S94" s="8"/>
      <c r="T94" s="9">
        <v>22</v>
      </c>
      <c r="U94" s="18">
        <v>252.52027197824123</v>
      </c>
      <c r="V94" s="18">
        <v>1.3453938878907409E-5</v>
      </c>
      <c r="W94" s="18">
        <f t="shared" ref="W94:W102" si="84">U94-V94</f>
        <v>252.52025852430233</v>
      </c>
      <c r="X94" s="18">
        <f t="shared" si="79"/>
        <v>63.130064631075584</v>
      </c>
      <c r="Y94" s="18">
        <f t="shared" si="68"/>
        <v>189.39020734716564</v>
      </c>
      <c r="Z94" s="18">
        <f>1/(1+0.12)^22</f>
        <v>8.2642510427844609E-2</v>
      </c>
      <c r="AA94" s="20">
        <f t="shared" si="59"/>
        <v>15.651682185619789</v>
      </c>
      <c r="AC94" s="8"/>
      <c r="AD94" s="9">
        <v>22</v>
      </c>
      <c r="AE94" s="18">
        <v>414.51551121815845</v>
      </c>
      <c r="AF94" s="18">
        <v>1.3453938878907409E-5</v>
      </c>
      <c r="AG94" s="18">
        <f t="shared" ref="AG94:AG102" si="85">AE94-AF94</f>
        <v>414.51549776421956</v>
      </c>
      <c r="AH94" s="18">
        <f t="shared" si="80"/>
        <v>103.62887444105489</v>
      </c>
      <c r="AI94" s="18">
        <f t="shared" si="71"/>
        <v>310.88663677710355</v>
      </c>
      <c r="AJ94" s="18">
        <f>1/(1+0.12)^22</f>
        <v>8.2642510427844609E-2</v>
      </c>
      <c r="AK94" s="20">
        <f t="shared" si="60"/>
        <v>25.692452121729318</v>
      </c>
      <c r="AM94" s="8"/>
      <c r="AN94" s="9">
        <v>22</v>
      </c>
      <c r="AO94" s="18">
        <v>236.89769966670849</v>
      </c>
      <c r="AP94" s="18">
        <v>1.3453938878907409E-5</v>
      </c>
      <c r="AQ94" s="18">
        <f t="shared" ref="AQ94:AQ102" si="86">AO94-AP94</f>
        <v>236.8976862127696</v>
      </c>
      <c r="AR94" s="18">
        <f t="shared" si="81"/>
        <v>59.2244215531924</v>
      </c>
      <c r="AS94" s="18">
        <f t="shared" si="74"/>
        <v>177.67327811351609</v>
      </c>
      <c r="AT94" s="18">
        <f>1/(1+0.12)^22</f>
        <v>8.2642510427844609E-2</v>
      </c>
      <c r="AU94" s="20">
        <f t="shared" si="61"/>
        <v>14.683365739245589</v>
      </c>
      <c r="AW94" s="8"/>
      <c r="AX94" s="9">
        <v>22</v>
      </c>
      <c r="AY94" s="18">
        <v>214.99617289492608</v>
      </c>
      <c r="AZ94" s="18">
        <v>1.3453938878907409E-5</v>
      </c>
      <c r="BA94" s="18">
        <f t="shared" ref="BA94:BA102" si="87">AY94-AZ94</f>
        <v>214.99615944098719</v>
      </c>
      <c r="BB94" s="18">
        <f t="shared" si="82"/>
        <v>53.749039860246796</v>
      </c>
      <c r="BC94" s="18">
        <f t="shared" si="77"/>
        <v>161.24713303467928</v>
      </c>
      <c r="BD94" s="18">
        <f>1/(1+0.12)^22</f>
        <v>8.2642510427844609E-2</v>
      </c>
      <c r="BE94" s="20">
        <f t="shared" si="62"/>
        <v>13.325867873278529</v>
      </c>
    </row>
    <row r="95" spans="9:57" x14ac:dyDescent="0.25">
      <c r="I95" s="8"/>
      <c r="J95" s="9">
        <v>23</v>
      </c>
      <c r="K95" s="19">
        <v>252.57441837908112</v>
      </c>
      <c r="L95" s="19">
        <v>1.3453938878907409E-5</v>
      </c>
      <c r="M95" s="19">
        <f t="shared" si="83"/>
        <v>252.57440492514223</v>
      </c>
      <c r="N95" s="19">
        <f t="shared" si="78"/>
        <v>63.143601231285558</v>
      </c>
      <c r="O95" s="19">
        <f t="shared" si="65"/>
        <v>189.43081714779555</v>
      </c>
      <c r="P95" s="19">
        <f>1/(1+0.12)^23</f>
        <v>7.3787955739146982E-2</v>
      </c>
      <c r="Q95" s="23">
        <f t="shared" si="58"/>
        <v>13.977712751331984</v>
      </c>
      <c r="S95" s="8"/>
      <c r="T95" s="9">
        <v>23</v>
      </c>
      <c r="U95" s="18">
        <v>252.52027197824123</v>
      </c>
      <c r="V95" s="18">
        <v>1.3453938878907409E-5</v>
      </c>
      <c r="W95" s="18">
        <f t="shared" si="84"/>
        <v>252.52025852430233</v>
      </c>
      <c r="X95" s="18">
        <f t="shared" si="79"/>
        <v>63.130064631075584</v>
      </c>
      <c r="Y95" s="18">
        <f t="shared" si="68"/>
        <v>189.39020734716564</v>
      </c>
      <c r="Z95" s="18">
        <f>1/(1+0.12)^23</f>
        <v>7.3787955739146982E-2</v>
      </c>
      <c r="AA95" s="20">
        <f t="shared" si="59"/>
        <v>13.974716237160528</v>
      </c>
      <c r="AC95" s="8"/>
      <c r="AD95" s="9">
        <v>23</v>
      </c>
      <c r="AE95" s="18">
        <v>414.51551121815845</v>
      </c>
      <c r="AF95" s="18">
        <v>1.3453938878907409E-5</v>
      </c>
      <c r="AG95" s="18">
        <f t="shared" si="85"/>
        <v>414.51549776421956</v>
      </c>
      <c r="AH95" s="18">
        <f t="shared" si="80"/>
        <v>103.62887444105489</v>
      </c>
      <c r="AI95" s="18">
        <f t="shared" si="71"/>
        <v>310.88663677710355</v>
      </c>
      <c r="AJ95" s="18">
        <f>1/(1+0.12)^23</f>
        <v>7.3787955739146982E-2</v>
      </c>
      <c r="AK95" s="20">
        <f t="shared" si="60"/>
        <v>22.939689394401181</v>
      </c>
      <c r="AM95" s="8"/>
      <c r="AN95" s="9">
        <v>23</v>
      </c>
      <c r="AO95" s="18">
        <v>236.89769966670849</v>
      </c>
      <c r="AP95" s="18">
        <v>1.3453938878907409E-5</v>
      </c>
      <c r="AQ95" s="18">
        <f t="shared" si="86"/>
        <v>236.8976862127696</v>
      </c>
      <c r="AR95" s="18">
        <f t="shared" si="81"/>
        <v>59.2244215531924</v>
      </c>
      <c r="AS95" s="18">
        <f t="shared" si="74"/>
        <v>177.67327811351609</v>
      </c>
      <c r="AT95" s="18">
        <f>1/(1+0.12)^23</f>
        <v>7.3787955739146982E-2</v>
      </c>
      <c r="AU95" s="20">
        <f t="shared" si="61"/>
        <v>13.110147981469277</v>
      </c>
      <c r="AW95" s="8"/>
      <c r="AX95" s="9">
        <v>23</v>
      </c>
      <c r="AY95" s="18">
        <v>214.99617289492608</v>
      </c>
      <c r="AZ95" s="18">
        <v>1.3453938878907409E-5</v>
      </c>
      <c r="BA95" s="18">
        <f t="shared" si="87"/>
        <v>214.99615944098719</v>
      </c>
      <c r="BB95" s="18">
        <f t="shared" si="82"/>
        <v>53.749039860246796</v>
      </c>
      <c r="BC95" s="18">
        <f t="shared" si="77"/>
        <v>161.24713303467928</v>
      </c>
      <c r="BD95" s="18">
        <f>1/(1+0.12)^23</f>
        <v>7.3787955739146982E-2</v>
      </c>
      <c r="BE95" s="20">
        <f t="shared" si="62"/>
        <v>11.89809631542726</v>
      </c>
    </row>
    <row r="96" spans="9:57" x14ac:dyDescent="0.25">
      <c r="I96" s="8"/>
      <c r="J96" s="9">
        <v>24</v>
      </c>
      <c r="K96" s="19">
        <v>252.57441837908112</v>
      </c>
      <c r="L96" s="19">
        <v>1.3453938878907409E-5</v>
      </c>
      <c r="M96" s="19">
        <f t="shared" si="83"/>
        <v>252.57440492514223</v>
      </c>
      <c r="N96" s="19">
        <f t="shared" si="78"/>
        <v>63.143601231285558</v>
      </c>
      <c r="O96" s="19">
        <f t="shared" si="65"/>
        <v>189.43081714779555</v>
      </c>
      <c r="P96" s="19">
        <f>1/(1+0.12)^24</f>
        <v>6.5882103338524081E-2</v>
      </c>
      <c r="Q96" s="23">
        <f t="shared" si="58"/>
        <v>12.480100670832126</v>
      </c>
      <c r="S96" s="8"/>
      <c r="T96" s="9">
        <v>24</v>
      </c>
      <c r="U96" s="18">
        <v>252.52027197824123</v>
      </c>
      <c r="V96" s="18">
        <v>1.3453938878907409E-5</v>
      </c>
      <c r="W96" s="18">
        <f t="shared" si="84"/>
        <v>252.52025852430233</v>
      </c>
      <c r="X96" s="18">
        <f t="shared" si="79"/>
        <v>63.130064631075584</v>
      </c>
      <c r="Y96" s="18">
        <f t="shared" si="68"/>
        <v>189.39020734716564</v>
      </c>
      <c r="Z96" s="18">
        <f>1/(1+0.12)^24</f>
        <v>6.5882103338524081E-2</v>
      </c>
      <c r="AA96" s="20">
        <f t="shared" si="59"/>
        <v>12.47742521175047</v>
      </c>
      <c r="AC96" s="8"/>
      <c r="AD96" s="9">
        <v>24</v>
      </c>
      <c r="AE96" s="18">
        <v>414.51551121815845</v>
      </c>
      <c r="AF96" s="18">
        <v>1.3453938878907409E-5</v>
      </c>
      <c r="AG96" s="18">
        <f t="shared" si="85"/>
        <v>414.51549776421956</v>
      </c>
      <c r="AH96" s="18">
        <f t="shared" si="80"/>
        <v>103.62887444105489</v>
      </c>
      <c r="AI96" s="18">
        <f t="shared" si="71"/>
        <v>310.88663677710355</v>
      </c>
      <c r="AJ96" s="18">
        <f>1/(1+0.12)^24</f>
        <v>6.5882103338524081E-2</v>
      </c>
      <c r="AK96" s="20">
        <f t="shared" si="60"/>
        <v>20.481865530715336</v>
      </c>
      <c r="AM96" s="8"/>
      <c r="AN96" s="9">
        <v>24</v>
      </c>
      <c r="AO96" s="18">
        <v>236.89769966670849</v>
      </c>
      <c r="AP96" s="18">
        <v>1.3453938878907409E-5</v>
      </c>
      <c r="AQ96" s="18">
        <f t="shared" si="86"/>
        <v>236.8976862127696</v>
      </c>
      <c r="AR96" s="18">
        <f t="shared" si="81"/>
        <v>59.2244215531924</v>
      </c>
      <c r="AS96" s="18">
        <f t="shared" si="74"/>
        <v>177.67327811351609</v>
      </c>
      <c r="AT96" s="18">
        <f>1/(1+0.12)^24</f>
        <v>6.5882103338524081E-2</v>
      </c>
      <c r="AU96" s="20">
        <f t="shared" si="61"/>
        <v>11.705489269168996</v>
      </c>
      <c r="AW96" s="8"/>
      <c r="AX96" s="9">
        <v>24</v>
      </c>
      <c r="AY96" s="18">
        <v>214.99617289492608</v>
      </c>
      <c r="AZ96" s="18">
        <v>1.3453938878907409E-5</v>
      </c>
      <c r="BA96" s="18">
        <f t="shared" si="87"/>
        <v>214.99615944098719</v>
      </c>
      <c r="BB96" s="18">
        <f t="shared" si="82"/>
        <v>53.749039860246796</v>
      </c>
      <c r="BC96" s="18">
        <f t="shared" si="77"/>
        <v>161.24713303467928</v>
      </c>
      <c r="BD96" s="18">
        <f>1/(1+0.12)^24</f>
        <v>6.5882103338524081E-2</v>
      </c>
      <c r="BE96" s="20">
        <f t="shared" si="62"/>
        <v>10.623300281631481</v>
      </c>
    </row>
    <row r="97" spans="9:57" x14ac:dyDescent="0.25">
      <c r="I97" s="8"/>
      <c r="J97" s="9">
        <v>25</v>
      </c>
      <c r="K97" s="19">
        <v>252.57441837908112</v>
      </c>
      <c r="L97" s="19">
        <v>1.3453938878907409E-5</v>
      </c>
      <c r="M97" s="19">
        <f t="shared" si="83"/>
        <v>252.57440492514223</v>
      </c>
      <c r="N97" s="19">
        <f t="shared" si="78"/>
        <v>63.143601231285558</v>
      </c>
      <c r="O97" s="19">
        <f t="shared" si="65"/>
        <v>189.43081714779555</v>
      </c>
      <c r="P97" s="19">
        <f>1/(1+0.12)^25</f>
        <v>5.8823306552253637E-2</v>
      </c>
      <c r="Q97" s="23">
        <f t="shared" si="58"/>
        <v>11.142947027528683</v>
      </c>
      <c r="S97" s="8"/>
      <c r="T97" s="9">
        <v>25</v>
      </c>
      <c r="U97" s="18">
        <v>252.52027197824123</v>
      </c>
      <c r="V97" s="18">
        <v>1.3453938878907409E-5</v>
      </c>
      <c r="W97" s="18">
        <f t="shared" si="84"/>
        <v>252.52025852430233</v>
      </c>
      <c r="X97" s="18">
        <f t="shared" si="79"/>
        <v>63.130064631075584</v>
      </c>
      <c r="Y97" s="18">
        <f t="shared" si="68"/>
        <v>189.39020734716564</v>
      </c>
      <c r="Z97" s="18">
        <f>1/(1+0.12)^25</f>
        <v>5.8823306552253637E-2</v>
      </c>
      <c r="AA97" s="20">
        <f t="shared" si="59"/>
        <v>11.140558224777203</v>
      </c>
      <c r="AC97" s="8"/>
      <c r="AD97" s="9">
        <v>25</v>
      </c>
      <c r="AE97" s="18">
        <v>414.51551121815845</v>
      </c>
      <c r="AF97" s="18">
        <v>1.3453938878907409E-5</v>
      </c>
      <c r="AG97" s="18">
        <f t="shared" si="85"/>
        <v>414.51549776421956</v>
      </c>
      <c r="AH97" s="18">
        <f t="shared" si="80"/>
        <v>103.62887444105489</v>
      </c>
      <c r="AI97" s="18">
        <f t="shared" si="71"/>
        <v>310.88663677710355</v>
      </c>
      <c r="AJ97" s="18">
        <f>1/(1+0.12)^25</f>
        <v>5.8823306552253637E-2</v>
      </c>
      <c r="AK97" s="20">
        <f t="shared" si="60"/>
        <v>18.287379938138692</v>
      </c>
      <c r="AM97" s="8"/>
      <c r="AN97" s="9">
        <v>25</v>
      </c>
      <c r="AO97" s="18">
        <v>236.89769966670849</v>
      </c>
      <c r="AP97" s="18">
        <v>1.3453938878907409E-5</v>
      </c>
      <c r="AQ97" s="18">
        <f t="shared" si="86"/>
        <v>236.8976862127696</v>
      </c>
      <c r="AR97" s="18">
        <f t="shared" si="81"/>
        <v>59.2244215531924</v>
      </c>
      <c r="AS97" s="18">
        <f t="shared" si="74"/>
        <v>177.67327811351609</v>
      </c>
      <c r="AT97" s="18">
        <f>1/(1+0.12)^25</f>
        <v>5.8823306552253637E-2</v>
      </c>
      <c r="AU97" s="20">
        <f t="shared" si="61"/>
        <v>10.451329704615175</v>
      </c>
      <c r="AW97" s="8"/>
      <c r="AX97" s="9">
        <v>25</v>
      </c>
      <c r="AY97" s="18">
        <v>214.99617289492608</v>
      </c>
      <c r="AZ97" s="18">
        <v>1.3453938878907409E-5</v>
      </c>
      <c r="BA97" s="18">
        <f t="shared" si="87"/>
        <v>214.99615944098719</v>
      </c>
      <c r="BB97" s="18">
        <f t="shared" si="82"/>
        <v>53.749039860246796</v>
      </c>
      <c r="BC97" s="18">
        <f t="shared" si="77"/>
        <v>161.24713303467928</v>
      </c>
      <c r="BD97" s="18">
        <f>1/(1+0.12)^25</f>
        <v>5.8823306552253637E-2</v>
      </c>
      <c r="BE97" s="20">
        <f t="shared" si="62"/>
        <v>9.485089537170964</v>
      </c>
    </row>
    <row r="98" spans="9:57" x14ac:dyDescent="0.25">
      <c r="I98" s="8"/>
      <c r="J98" s="9">
        <v>26</v>
      </c>
      <c r="K98" s="19">
        <v>252.57441837908112</v>
      </c>
      <c r="L98" s="19">
        <v>1.3453938878907409E-5</v>
      </c>
      <c r="M98" s="19">
        <f t="shared" si="83"/>
        <v>252.57440492514223</v>
      </c>
      <c r="N98" s="19">
        <f t="shared" si="78"/>
        <v>63.143601231285558</v>
      </c>
      <c r="O98" s="19">
        <f t="shared" si="65"/>
        <v>189.43081714779555</v>
      </c>
      <c r="P98" s="19">
        <f>1/(1+0.12)^26</f>
        <v>5.2520809421655032E-2</v>
      </c>
      <c r="Q98" s="23">
        <f t="shared" si="58"/>
        <v>9.9490598460077528</v>
      </c>
      <c r="S98" s="8"/>
      <c r="T98" s="9">
        <v>26</v>
      </c>
      <c r="U98" s="18">
        <v>252.52027197824123</v>
      </c>
      <c r="V98" s="18">
        <v>1.3453938878907409E-5</v>
      </c>
      <c r="W98" s="18">
        <f t="shared" si="84"/>
        <v>252.52025852430233</v>
      </c>
      <c r="X98" s="18">
        <f t="shared" si="79"/>
        <v>63.130064631075584</v>
      </c>
      <c r="Y98" s="18">
        <f t="shared" si="68"/>
        <v>189.39020734716564</v>
      </c>
      <c r="Z98" s="18">
        <f>1/(1+0.12)^26</f>
        <v>5.2520809421655032E-2</v>
      </c>
      <c r="AA98" s="20">
        <f t="shared" si="59"/>
        <v>9.9469269864082168</v>
      </c>
      <c r="AC98" s="8"/>
      <c r="AD98" s="9">
        <v>26</v>
      </c>
      <c r="AE98" s="18">
        <v>414.51551121815845</v>
      </c>
      <c r="AF98" s="18">
        <v>1.3453938878907409E-5</v>
      </c>
      <c r="AG98" s="18">
        <f t="shared" si="85"/>
        <v>414.51549776421956</v>
      </c>
      <c r="AH98" s="18">
        <f t="shared" si="80"/>
        <v>103.62887444105489</v>
      </c>
      <c r="AI98" s="18">
        <f t="shared" si="71"/>
        <v>310.88663677710355</v>
      </c>
      <c r="AJ98" s="18">
        <f>1/(1+0.12)^26</f>
        <v>5.2520809421655032E-2</v>
      </c>
      <c r="AK98" s="20">
        <f t="shared" si="60"/>
        <v>16.328017801909546</v>
      </c>
      <c r="AM98" s="8"/>
      <c r="AN98" s="9">
        <v>26</v>
      </c>
      <c r="AO98" s="18">
        <v>236.89769966670849</v>
      </c>
      <c r="AP98" s="18">
        <v>1.3453938878907409E-5</v>
      </c>
      <c r="AQ98" s="18">
        <f t="shared" si="86"/>
        <v>236.8976862127696</v>
      </c>
      <c r="AR98" s="18">
        <f t="shared" si="81"/>
        <v>59.2244215531924</v>
      </c>
      <c r="AS98" s="18">
        <f t="shared" si="74"/>
        <v>177.67327811351609</v>
      </c>
      <c r="AT98" s="18">
        <f>1/(1+0.12)^26</f>
        <v>5.2520809421655032E-2</v>
      </c>
      <c r="AU98" s="20">
        <f t="shared" si="61"/>
        <v>9.3315443791206913</v>
      </c>
      <c r="AW98" s="8"/>
      <c r="AX98" s="9">
        <v>26</v>
      </c>
      <c r="AY98" s="18">
        <v>214.99617289492608</v>
      </c>
      <c r="AZ98" s="18">
        <v>1.3453938878907409E-5</v>
      </c>
      <c r="BA98" s="18">
        <f t="shared" si="87"/>
        <v>214.99615944098719</v>
      </c>
      <c r="BB98" s="18">
        <f t="shared" si="82"/>
        <v>53.749039860246796</v>
      </c>
      <c r="BC98" s="18">
        <f t="shared" si="77"/>
        <v>161.24713303467928</v>
      </c>
      <c r="BD98" s="18">
        <f>1/(1+0.12)^26</f>
        <v>5.2520809421655032E-2</v>
      </c>
      <c r="BE98" s="20">
        <f t="shared" si="62"/>
        <v>8.4688299439026462</v>
      </c>
    </row>
    <row r="99" spans="9:57" x14ac:dyDescent="0.25">
      <c r="I99" s="8"/>
      <c r="J99" s="9">
        <v>27</v>
      </c>
      <c r="K99" s="19">
        <v>252.57441837908112</v>
      </c>
      <c r="L99" s="19">
        <v>1.3453938878907409E-5</v>
      </c>
      <c r="M99" s="19">
        <f t="shared" si="83"/>
        <v>252.57440492514223</v>
      </c>
      <c r="N99" s="19">
        <f t="shared" si="78"/>
        <v>63.143601231285558</v>
      </c>
      <c r="O99" s="19">
        <f t="shared" si="65"/>
        <v>189.43081714779555</v>
      </c>
      <c r="P99" s="19">
        <f>1/(1+0.12)^27</f>
        <v>4.6893579840763415E-2</v>
      </c>
      <c r="Q99" s="23">
        <f t="shared" si="58"/>
        <v>8.883089148221206</v>
      </c>
      <c r="S99" s="8"/>
      <c r="T99" s="9">
        <v>27</v>
      </c>
      <c r="U99" s="18">
        <v>252.52027197824123</v>
      </c>
      <c r="V99" s="18">
        <v>1.3453938878907409E-5</v>
      </c>
      <c r="W99" s="18">
        <f t="shared" si="84"/>
        <v>252.52025852430233</v>
      </c>
      <c r="X99" s="18">
        <f t="shared" si="79"/>
        <v>63.130064631075584</v>
      </c>
      <c r="Y99" s="18">
        <f t="shared" si="68"/>
        <v>189.39020734716564</v>
      </c>
      <c r="Z99" s="18">
        <f>1/(1+0.12)^27</f>
        <v>4.6893579840763415E-2</v>
      </c>
      <c r="AA99" s="20">
        <f t="shared" si="59"/>
        <v>8.8811848092930497</v>
      </c>
      <c r="AC99" s="8"/>
      <c r="AD99" s="9">
        <v>27</v>
      </c>
      <c r="AE99" s="18">
        <v>414.51551121815845</v>
      </c>
      <c r="AF99" s="18">
        <v>1.3453938878907409E-5</v>
      </c>
      <c r="AG99" s="18">
        <f t="shared" si="85"/>
        <v>414.51549776421956</v>
      </c>
      <c r="AH99" s="18">
        <f t="shared" si="80"/>
        <v>103.62887444105489</v>
      </c>
      <c r="AI99" s="18">
        <f t="shared" si="71"/>
        <v>310.88663677710355</v>
      </c>
      <c r="AJ99" s="18">
        <f>1/(1+0.12)^27</f>
        <v>4.6893579840763415E-2</v>
      </c>
      <c r="AK99" s="20">
        <f t="shared" si="60"/>
        <v>14.578587323133521</v>
      </c>
      <c r="AM99" s="8"/>
      <c r="AN99" s="9">
        <v>27</v>
      </c>
      <c r="AO99" s="18">
        <v>236.89769966670849</v>
      </c>
      <c r="AP99" s="18">
        <v>1.3453938878907409E-5</v>
      </c>
      <c r="AQ99" s="18">
        <f t="shared" si="86"/>
        <v>236.8976862127696</v>
      </c>
      <c r="AR99" s="18">
        <f t="shared" si="81"/>
        <v>59.2244215531924</v>
      </c>
      <c r="AS99" s="18">
        <f t="shared" si="74"/>
        <v>177.67327811351609</v>
      </c>
      <c r="AT99" s="18">
        <f>1/(1+0.12)^27</f>
        <v>4.6893579840763415E-2</v>
      </c>
      <c r="AU99" s="20">
        <f t="shared" si="61"/>
        <v>8.3317360527863293</v>
      </c>
      <c r="AW99" s="8"/>
      <c r="AX99" s="9">
        <v>27</v>
      </c>
      <c r="AY99" s="18">
        <v>214.99617289492608</v>
      </c>
      <c r="AZ99" s="18">
        <v>1.3453938878907409E-5</v>
      </c>
      <c r="BA99" s="18">
        <f t="shared" si="87"/>
        <v>214.99615944098719</v>
      </c>
      <c r="BB99" s="18">
        <f t="shared" si="82"/>
        <v>53.749039860246796</v>
      </c>
      <c r="BC99" s="18">
        <f t="shared" si="77"/>
        <v>161.24713303467928</v>
      </c>
      <c r="BD99" s="18">
        <f>1/(1+0.12)^27</f>
        <v>4.6893579840763415E-2</v>
      </c>
      <c r="BE99" s="20">
        <f t="shared" si="62"/>
        <v>7.5614553070559332</v>
      </c>
    </row>
    <row r="100" spans="9:57" x14ac:dyDescent="0.25">
      <c r="I100" s="8"/>
      <c r="J100" s="9">
        <v>28</v>
      </c>
      <c r="K100" s="19">
        <v>252.57441837908112</v>
      </c>
      <c r="L100" s="19">
        <v>1.3453938878907409E-5</v>
      </c>
      <c r="M100" s="19">
        <f t="shared" si="83"/>
        <v>252.57440492514223</v>
      </c>
      <c r="N100" s="19">
        <f t="shared" si="78"/>
        <v>63.143601231285558</v>
      </c>
      <c r="O100" s="19">
        <f t="shared" si="65"/>
        <v>189.43081714779555</v>
      </c>
      <c r="P100" s="19">
        <f>1/(1+0.12)^28</f>
        <v>4.1869267714967337E-2</v>
      </c>
      <c r="Q100" s="23">
        <f t="shared" si="58"/>
        <v>7.9313295966260773</v>
      </c>
      <c r="S100" s="8"/>
      <c r="T100" s="9">
        <v>28</v>
      </c>
      <c r="U100" s="18">
        <v>252.52027197824123</v>
      </c>
      <c r="V100" s="18">
        <v>1.3453938878907409E-5</v>
      </c>
      <c r="W100" s="18">
        <f t="shared" si="84"/>
        <v>252.52025852430233</v>
      </c>
      <c r="X100" s="18">
        <f t="shared" si="79"/>
        <v>63.130064631075584</v>
      </c>
      <c r="Y100" s="18">
        <f t="shared" si="68"/>
        <v>189.39020734716564</v>
      </c>
      <c r="Z100" s="18">
        <f>1/(1+0.12)^28</f>
        <v>4.1869267714967337E-2</v>
      </c>
      <c r="AA100" s="20">
        <f t="shared" si="59"/>
        <v>7.9296292940116517</v>
      </c>
      <c r="AC100" s="8"/>
      <c r="AD100" s="9">
        <v>28</v>
      </c>
      <c r="AE100" s="18">
        <v>414.51551121815845</v>
      </c>
      <c r="AF100" s="18">
        <v>1.3453938878907409E-5</v>
      </c>
      <c r="AG100" s="18">
        <f t="shared" si="85"/>
        <v>414.51549776421956</v>
      </c>
      <c r="AH100" s="18">
        <f t="shared" si="80"/>
        <v>103.62887444105489</v>
      </c>
      <c r="AI100" s="18">
        <f t="shared" si="71"/>
        <v>310.88663677710355</v>
      </c>
      <c r="AJ100" s="18">
        <f>1/(1+0.12)^28</f>
        <v>4.1869267714967337E-2</v>
      </c>
      <c r="AK100" s="20">
        <f t="shared" si="60"/>
        <v>13.016595824226359</v>
      </c>
      <c r="AM100" s="8"/>
      <c r="AN100" s="9">
        <v>28</v>
      </c>
      <c r="AO100" s="18">
        <v>236.89769966670849</v>
      </c>
      <c r="AP100" s="18">
        <v>1.3453938878907409E-5</v>
      </c>
      <c r="AQ100" s="18">
        <f t="shared" si="86"/>
        <v>236.8976862127696</v>
      </c>
      <c r="AR100" s="18">
        <f t="shared" si="81"/>
        <v>59.2244215531924</v>
      </c>
      <c r="AS100" s="18">
        <f t="shared" si="74"/>
        <v>177.67327811351609</v>
      </c>
      <c r="AT100" s="18">
        <f>1/(1+0.12)^28</f>
        <v>4.1869267714967337E-2</v>
      </c>
      <c r="AU100" s="20">
        <f t="shared" si="61"/>
        <v>7.4390500471306522</v>
      </c>
      <c r="AW100" s="8"/>
      <c r="AX100" s="9">
        <v>28</v>
      </c>
      <c r="AY100" s="18">
        <v>214.99617289492608</v>
      </c>
      <c r="AZ100" s="18">
        <v>1.3453938878907409E-5</v>
      </c>
      <c r="BA100" s="18">
        <f t="shared" si="87"/>
        <v>214.99615944098719</v>
      </c>
      <c r="BB100" s="18">
        <f t="shared" si="82"/>
        <v>53.749039860246796</v>
      </c>
      <c r="BC100" s="18">
        <f t="shared" si="77"/>
        <v>161.24713303467928</v>
      </c>
      <c r="BD100" s="18">
        <f>1/(1+0.12)^28</f>
        <v>4.1869267714967337E-2</v>
      </c>
      <c r="BE100" s="20">
        <f t="shared" si="62"/>
        <v>6.7512993812999404</v>
      </c>
    </row>
    <row r="101" spans="9:57" x14ac:dyDescent="0.25">
      <c r="I101" s="8"/>
      <c r="J101" s="9">
        <v>29</v>
      </c>
      <c r="K101" s="19">
        <v>252.57441837908112</v>
      </c>
      <c r="L101" s="19">
        <v>1.3453938878907409E-5</v>
      </c>
      <c r="M101" s="19">
        <f t="shared" si="83"/>
        <v>252.57440492514223</v>
      </c>
      <c r="N101" s="19">
        <f t="shared" si="78"/>
        <v>63.143601231285558</v>
      </c>
      <c r="O101" s="19">
        <f t="shared" si="65"/>
        <v>189.43081714779555</v>
      </c>
      <c r="P101" s="19">
        <f>1/(1+0.12)^29</f>
        <v>3.7383274745506546E-2</v>
      </c>
      <c r="Q101" s="23">
        <f t="shared" si="58"/>
        <v>7.081544282701854</v>
      </c>
      <c r="S101" s="8"/>
      <c r="T101" s="9">
        <v>29</v>
      </c>
      <c r="U101" s="18">
        <v>252.52027197824123</v>
      </c>
      <c r="V101" s="18">
        <v>1.3453938878907409E-5</v>
      </c>
      <c r="W101" s="18">
        <f t="shared" si="84"/>
        <v>252.52025852430233</v>
      </c>
      <c r="X101" s="18">
        <f t="shared" si="79"/>
        <v>63.130064631075584</v>
      </c>
      <c r="Y101" s="18">
        <f t="shared" si="68"/>
        <v>189.39020734716564</v>
      </c>
      <c r="Z101" s="18">
        <f>1/(1+0.12)^29</f>
        <v>3.7383274745506546E-2</v>
      </c>
      <c r="AA101" s="20">
        <f t="shared" si="59"/>
        <v>7.0800261553675456</v>
      </c>
      <c r="AC101" s="8"/>
      <c r="AD101" s="9">
        <v>29</v>
      </c>
      <c r="AE101" s="18">
        <v>414.51551121815845</v>
      </c>
      <c r="AF101" s="18">
        <v>1.3453938878907409E-5</v>
      </c>
      <c r="AG101" s="18">
        <f t="shared" si="85"/>
        <v>414.51549776421956</v>
      </c>
      <c r="AH101" s="18">
        <f t="shared" si="80"/>
        <v>103.62887444105489</v>
      </c>
      <c r="AI101" s="18">
        <f t="shared" si="71"/>
        <v>310.88663677710355</v>
      </c>
      <c r="AJ101" s="18">
        <f>1/(1+0.12)^29</f>
        <v>3.7383274745506546E-2</v>
      </c>
      <c r="AK101" s="20">
        <f t="shared" si="60"/>
        <v>11.621960557344961</v>
      </c>
      <c r="AM101" s="8"/>
      <c r="AN101" s="9">
        <v>29</v>
      </c>
      <c r="AO101" s="18">
        <v>236.89769966670849</v>
      </c>
      <c r="AP101" s="18">
        <v>1.3453938878907409E-5</v>
      </c>
      <c r="AQ101" s="18">
        <f t="shared" si="86"/>
        <v>236.8976862127696</v>
      </c>
      <c r="AR101" s="18">
        <f t="shared" si="81"/>
        <v>59.2244215531924</v>
      </c>
      <c r="AS101" s="18">
        <f t="shared" si="74"/>
        <v>177.67327811351609</v>
      </c>
      <c r="AT101" s="18">
        <f>1/(1+0.12)^29</f>
        <v>3.7383274745506546E-2</v>
      </c>
      <c r="AU101" s="20">
        <f t="shared" si="61"/>
        <v>6.6420089706523671</v>
      </c>
      <c r="AW101" s="8"/>
      <c r="AX101" s="9">
        <v>29</v>
      </c>
      <c r="AY101" s="18">
        <v>214.99617289492608</v>
      </c>
      <c r="AZ101" s="18">
        <v>1.3453938878907409E-5</v>
      </c>
      <c r="BA101" s="18">
        <f t="shared" si="87"/>
        <v>214.99615944098719</v>
      </c>
      <c r="BB101" s="18">
        <f t="shared" si="82"/>
        <v>53.749039860246796</v>
      </c>
      <c r="BC101" s="18">
        <f t="shared" si="77"/>
        <v>161.24713303467928</v>
      </c>
      <c r="BD101" s="18">
        <f>1/(1+0.12)^29</f>
        <v>3.7383274745506546E-2</v>
      </c>
      <c r="BE101" s="20">
        <f t="shared" si="62"/>
        <v>6.0279458761606604</v>
      </c>
    </row>
    <row r="102" spans="9:57" x14ac:dyDescent="0.25">
      <c r="I102" s="8"/>
      <c r="J102" s="9">
        <v>30</v>
      </c>
      <c r="K102" s="19">
        <v>252.57441837908112</v>
      </c>
      <c r="L102" s="19">
        <v>1.3453938878907409E-5</v>
      </c>
      <c r="M102" s="19">
        <f t="shared" si="83"/>
        <v>252.57440492514223</v>
      </c>
      <c r="N102" s="19">
        <f t="shared" si="78"/>
        <v>63.143601231285558</v>
      </c>
      <c r="O102" s="19">
        <f t="shared" si="65"/>
        <v>189.43081714779555</v>
      </c>
      <c r="P102" s="19">
        <f>1/(1+0.12)^30</f>
        <v>3.3377923879916553E-2</v>
      </c>
      <c r="Q102" s="23">
        <f t="shared" si="58"/>
        <v>6.3228073952695114</v>
      </c>
      <c r="S102" s="8"/>
      <c r="T102" s="9">
        <v>30</v>
      </c>
      <c r="U102" s="18">
        <v>252.52027197824123</v>
      </c>
      <c r="V102" s="18">
        <v>1.3453938878907409E-5</v>
      </c>
      <c r="W102" s="18">
        <f t="shared" si="84"/>
        <v>252.52025852430233</v>
      </c>
      <c r="X102" s="18">
        <f t="shared" si="79"/>
        <v>63.130064631075584</v>
      </c>
      <c r="Y102" s="18">
        <f t="shared" si="68"/>
        <v>189.39020734716564</v>
      </c>
      <c r="Z102" s="18">
        <f>1/(1+0.12)^30</f>
        <v>3.3377923879916553E-2</v>
      </c>
      <c r="AA102" s="20">
        <f t="shared" si="59"/>
        <v>6.3214519244353076</v>
      </c>
      <c r="AC102" s="8"/>
      <c r="AD102" s="9">
        <v>30</v>
      </c>
      <c r="AE102" s="18">
        <v>414.51551121815845</v>
      </c>
      <c r="AF102" s="18">
        <v>1.3453938878907409E-5</v>
      </c>
      <c r="AG102" s="18">
        <f t="shared" si="85"/>
        <v>414.51549776421956</v>
      </c>
      <c r="AH102" s="18">
        <f t="shared" si="80"/>
        <v>103.62887444105489</v>
      </c>
      <c r="AI102" s="18">
        <f t="shared" si="71"/>
        <v>310.88663677710355</v>
      </c>
      <c r="AJ102" s="18">
        <f>1/(1+0.12)^30</f>
        <v>3.3377923879916553E-2</v>
      </c>
      <c r="AK102" s="20">
        <f t="shared" si="60"/>
        <v>10.376750497629429</v>
      </c>
      <c r="AM102" s="8"/>
      <c r="AN102" s="9">
        <v>30</v>
      </c>
      <c r="AO102" s="18">
        <v>236.89769966670849</v>
      </c>
      <c r="AP102" s="18">
        <v>1.3453938878907409E-5</v>
      </c>
      <c r="AQ102" s="18">
        <f t="shared" si="86"/>
        <v>236.8976862127696</v>
      </c>
      <c r="AR102" s="18">
        <f t="shared" si="81"/>
        <v>59.2244215531924</v>
      </c>
      <c r="AS102" s="18">
        <f t="shared" si="74"/>
        <v>177.67327811351609</v>
      </c>
      <c r="AT102" s="18">
        <f>1/(1+0.12)^30</f>
        <v>3.3377923879916553E-2</v>
      </c>
      <c r="AU102" s="20">
        <f t="shared" si="61"/>
        <v>5.930365152368184</v>
      </c>
      <c r="AW102" s="8"/>
      <c r="AX102" s="9">
        <v>30</v>
      </c>
      <c r="AY102" s="18">
        <v>214.99617289492608</v>
      </c>
      <c r="AZ102" s="18">
        <v>1.3453938878907409E-5</v>
      </c>
      <c r="BA102" s="18">
        <f t="shared" si="87"/>
        <v>214.99615944098719</v>
      </c>
      <c r="BB102" s="18">
        <f t="shared" si="82"/>
        <v>53.749039860246796</v>
      </c>
      <c r="BC102" s="18">
        <f t="shared" si="77"/>
        <v>161.24713303467928</v>
      </c>
      <c r="BD102" s="18">
        <f>1/(1+0.12)^30</f>
        <v>3.3377923879916553E-2</v>
      </c>
      <c r="BE102" s="20">
        <f t="shared" si="62"/>
        <v>5.3820945322863025</v>
      </c>
    </row>
    <row r="103" spans="9:57" x14ac:dyDescent="0.25">
      <c r="I103" s="8"/>
      <c r="J103" s="12"/>
      <c r="K103" s="4"/>
      <c r="L103" s="4"/>
      <c r="M103" s="4"/>
      <c r="N103" s="4"/>
      <c r="O103" s="4"/>
      <c r="P103" s="13" t="s">
        <v>22</v>
      </c>
      <c r="Q103" s="14">
        <f>SUM(Q72:Q102)</f>
        <v>1582.2778717948981</v>
      </c>
      <c r="S103" s="8"/>
      <c r="T103" s="12"/>
      <c r="U103" s="4"/>
      <c r="V103" s="4"/>
      <c r="W103" s="4"/>
      <c r="X103" s="4"/>
      <c r="Y103" s="4"/>
      <c r="Z103" s="13" t="s">
        <v>22</v>
      </c>
      <c r="AA103" s="14">
        <f>SUM(AA72:AA102)</f>
        <v>1581.9386661297458</v>
      </c>
      <c r="AC103" s="8"/>
      <c r="AD103" s="12"/>
      <c r="AE103" s="4"/>
      <c r="AF103" s="4"/>
      <c r="AG103" s="4"/>
      <c r="AH103" s="4"/>
      <c r="AI103" s="4"/>
      <c r="AJ103" s="13" t="s">
        <v>22</v>
      </c>
      <c r="AK103" s="14">
        <f>SUM(AK72:AK102)</f>
        <v>2596.7744082186632</v>
      </c>
      <c r="AM103" s="8"/>
      <c r="AN103" s="12"/>
      <c r="AO103" s="4"/>
      <c r="AP103" s="4"/>
      <c r="AQ103" s="4"/>
      <c r="AR103" s="4"/>
      <c r="AS103" s="4"/>
      <c r="AT103" s="13" t="s">
        <v>22</v>
      </c>
      <c r="AU103" s="14">
        <f>SUM(AU72:AU102)</f>
        <v>1484.0694642970207</v>
      </c>
      <c r="AW103" s="8"/>
      <c r="AX103" s="12"/>
      <c r="AY103" s="4"/>
      <c r="AZ103" s="4"/>
      <c r="BA103" s="4"/>
      <c r="BB103" s="4"/>
      <c r="BC103" s="4"/>
      <c r="BD103" s="13" t="s">
        <v>22</v>
      </c>
      <c r="BE103" s="14">
        <f>SUM(BE72:BE102)</f>
        <v>1346.8651101529811</v>
      </c>
    </row>
    <row r="104" spans="9:57" x14ac:dyDescent="0.25">
      <c r="I104" s="17"/>
      <c r="J104" s="15"/>
      <c r="K104" s="16"/>
      <c r="L104" s="16"/>
      <c r="M104" s="16"/>
      <c r="N104" s="16"/>
      <c r="O104" s="16"/>
      <c r="P104" s="21" t="s">
        <v>23</v>
      </c>
      <c r="Q104" s="25">
        <f>IRR(Q72:Q102)*100</f>
        <v>53079151.134311102</v>
      </c>
      <c r="S104" s="17"/>
      <c r="T104" s="15"/>
      <c r="U104" s="16"/>
      <c r="V104" s="16"/>
      <c r="W104" s="16"/>
      <c r="X104" s="16"/>
      <c r="Y104" s="16"/>
      <c r="Z104" s="21" t="s">
        <v>23</v>
      </c>
      <c r="AA104" s="22">
        <f>IRR(AA72:AA102)*100</f>
        <v>53067772.124619186</v>
      </c>
      <c r="AC104" s="17"/>
      <c r="AD104" s="15"/>
      <c r="AE104" s="16"/>
      <c r="AF104" s="16"/>
      <c r="AG104" s="16"/>
      <c r="AH104" s="16"/>
      <c r="AI104" s="16"/>
      <c r="AJ104" s="21" t="s">
        <v>23</v>
      </c>
      <c r="AK104" s="22">
        <f>IRR(AK72:AK102)*100</f>
        <v>87111501.465483099</v>
      </c>
      <c r="AM104" s="17"/>
      <c r="AN104" s="15"/>
      <c r="AO104" s="16"/>
      <c r="AP104" s="16"/>
      <c r="AQ104" s="16"/>
      <c r="AR104" s="16"/>
      <c r="AS104" s="16"/>
      <c r="AT104" s="21" t="s">
        <v>23</v>
      </c>
      <c r="AU104" s="22">
        <f>IRR(AU72:AU102)*100</f>
        <v>49784647.102036186</v>
      </c>
      <c r="AW104" s="17"/>
      <c r="AX104" s="15"/>
      <c r="AY104" s="16"/>
      <c r="AZ104" s="16"/>
      <c r="BA104" s="16"/>
      <c r="BB104" s="16"/>
      <c r="BC104" s="16"/>
      <c r="BD104" s="21" t="s">
        <v>23</v>
      </c>
      <c r="BE104" s="22">
        <f>IRR(BE72:BE102)*100</f>
        <v>45181983.141670257</v>
      </c>
    </row>
  </sheetData>
  <mergeCells count="5">
    <mergeCell ref="AW2:BE2"/>
    <mergeCell ref="I2:Q2"/>
    <mergeCell ref="S2:AA2"/>
    <mergeCell ref="AC2:AK2"/>
    <mergeCell ref="AM2:AU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Xiaojia Lei</dc:creator>
  <cp:lastModifiedBy>Xiaojia Lei</cp:lastModifiedBy>
  <dcterms:created xsi:type="dcterms:W3CDTF">2015-06-05T18:19:34Z</dcterms:created>
  <dcterms:modified xsi:type="dcterms:W3CDTF">2025-12-08T03:33:00Z</dcterms:modified>
</cp:coreProperties>
</file>